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 firstSheet="20" activeTab="22"/>
  </bookViews>
  <sheets>
    <sheet name="R2019-CIVIL" sheetId="1" r:id="rId1"/>
    <sheet name="R2024-CIVIL" sheetId="2" r:id="rId2"/>
    <sheet name="R2019-BME" sheetId="3" r:id="rId3"/>
    <sheet name="R2024-BME" sheetId="4" r:id="rId4"/>
    <sheet name="R2019-MED" sheetId="5" r:id="rId5"/>
    <sheet name="R2019-ECE" sheetId="6" r:id="rId6"/>
    <sheet name="R2024-ECE" sheetId="7" r:id="rId7"/>
    <sheet name="R2019-EIE" sheetId="8" r:id="rId8"/>
    <sheet name="R2019-EEE" sheetId="9" r:id="rId9"/>
    <sheet name="R2024-EEE" sheetId="10" r:id="rId10"/>
    <sheet name="R2019-CHEM" sheetId="11" r:id="rId11"/>
    <sheet name="R2024-CHEM" sheetId="12" r:id="rId12"/>
    <sheet name="R2019-AGRI" sheetId="13" r:id="rId13"/>
    <sheet name="R2024-AGRI" sheetId="14" r:id="rId14"/>
    <sheet name="R2019-MECH" sheetId="15" r:id="rId15"/>
    <sheet name="R2024-MECH" sheetId="16" r:id="rId16"/>
    <sheet name="R2019-CSE" sheetId="17" r:id="rId17"/>
    <sheet name="2023-CSE" sheetId="18" r:id="rId18"/>
    <sheet name="R2024-CSE" sheetId="19" r:id="rId19"/>
    <sheet name="R2019-IT" sheetId="20" r:id="rId20"/>
    <sheet name="2023-IT" sheetId="21" r:id="rId21"/>
    <sheet name="R2024-IT" sheetId="22" r:id="rId22"/>
    <sheet name="R2019-AI&amp;DS" sheetId="23" r:id="rId23"/>
    <sheet name="R2024-AI&amp;DS" sheetId="24" r:id="rId24"/>
    <sheet name="R2019-AI&amp;ML" sheetId="25" r:id="rId25"/>
    <sheet name="R2024-AI&amp;ML" sheetId="26" r:id="rId26"/>
    <sheet name="2023-CSE(CS)" sheetId="27" r:id="rId27"/>
    <sheet name="R2024-CSE(CS)" sheetId="28" r:id="rId28"/>
    <sheet name="2023-CSE(IoT)" sheetId="29" r:id="rId29"/>
    <sheet name="R2024-CSE(IoT)" sheetId="30" r:id="rId30"/>
    <sheet name="Online Courses" sheetId="31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/d"/>
  </numFmts>
  <fonts count="29">
    <font>
      <sz val="10"/>
      <color rgb="FF000000"/>
      <name val="Arial"/>
      <charset val="134"/>
      <scheme val="minor"/>
    </font>
    <font>
      <b/>
      <sz val="12"/>
      <color theme="1"/>
      <name val="Arial"/>
      <charset val="134"/>
      <scheme val="minor"/>
    </font>
    <font>
      <sz val="12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u/>
      <sz val="12"/>
      <color rgb="FF0000FF"/>
      <name val="Arial"/>
      <charset val="134"/>
      <scheme val="minor"/>
    </font>
    <font>
      <b/>
      <u/>
      <sz val="12"/>
      <color rgb="FF0000FF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u/>
      <sz val="12"/>
      <color rgb="FF800080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179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2" borderId="11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3" borderId="14" applyNumberFormat="0" applyAlignment="0" applyProtection="0">
      <alignment vertical="center"/>
    </xf>
    <xf numFmtId="0" fontId="19" fillId="4" borderId="15" applyNumberFormat="0" applyAlignment="0" applyProtection="0">
      <alignment vertical="center"/>
    </xf>
    <xf numFmtId="0" fontId="20" fillId="4" borderId="14" applyNumberFormat="0" applyAlignment="0" applyProtection="0">
      <alignment vertical="center"/>
    </xf>
    <xf numFmtId="0" fontId="21" fillId="5" borderId="16" applyNumberFormat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6" fillId="8" borderId="0" applyNumberFormat="0" applyBorder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</cellStyleXfs>
  <cellXfs count="32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180" fontId="2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4" fillId="0" borderId="0" xfId="0" applyFont="1"/>
    <xf numFmtId="0" fontId="7" fillId="0" borderId="0" xfId="0" applyFont="1"/>
    <xf numFmtId="0" fontId="5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5MHSo23sHhYQuvGI6Rdc88aGx1MXVhlF/view?usp=drive_link" TargetMode="External"/><Relationship Id="rId98" Type="http://schemas.openxmlformats.org/officeDocument/2006/relationships/hyperlink" Target="https://drive.google.com/file/d/1z2yIzp0ZbgM-WXwFf0MlJEXezfRG53OZ/view?usp=drive_link" TargetMode="External"/><Relationship Id="rId97" Type="http://schemas.openxmlformats.org/officeDocument/2006/relationships/hyperlink" Target="https://drive.google.com/file/d/1hgRISEvX5iKrV9xugIIrATVUTKN8dYJ5/view?usp=drive_link" TargetMode="External"/><Relationship Id="rId96" Type="http://schemas.openxmlformats.org/officeDocument/2006/relationships/hyperlink" Target="https://drive.google.com/file/d/1-F39fiiI1Y8uK47iYIJBO00YWmmzYabX/view?usp=drive_link" TargetMode="External"/><Relationship Id="rId95" Type="http://schemas.openxmlformats.org/officeDocument/2006/relationships/hyperlink" Target="https://drive.google.com/file/d/1cZYYGq4SuRuzYtA4AS2hc5--i9bXkn5j/view?usp=drive_link" TargetMode="External"/><Relationship Id="rId94" Type="http://schemas.openxmlformats.org/officeDocument/2006/relationships/hyperlink" Target="https://drive.google.com/file/d/1lKAY4JEoUqLMxou_6PW7Vgjo7gk4HElM/view?usp=drive_link" TargetMode="External"/><Relationship Id="rId93" Type="http://schemas.openxmlformats.org/officeDocument/2006/relationships/hyperlink" Target="https://drive.google.com/file/d/1Nqz_Dz8RcwmxjdyeyOYlmgc6Q3-jKXZ7/view?usp=drive_link" TargetMode="External"/><Relationship Id="rId92" Type="http://schemas.openxmlformats.org/officeDocument/2006/relationships/hyperlink" Target="https://drive.google.com/file/d/1FTDWltoLFK9CFL3xg3Elv56LVqm8auw9/view?usp=drive_link" TargetMode="External"/><Relationship Id="rId91" Type="http://schemas.openxmlformats.org/officeDocument/2006/relationships/hyperlink" Target="https://drive.google.com/file/d/1K49t_UuAC9D0jwRV6yqNgje1hmPLB2E8/view?usp=drive_link" TargetMode="External"/><Relationship Id="rId90" Type="http://schemas.openxmlformats.org/officeDocument/2006/relationships/hyperlink" Target="https://drive.google.com/file/d/1Z30zEPAXhwiQWmoDljaJC7GsD0yZuAMr/view?usp=drive_link" TargetMode="External"/><Relationship Id="rId9" Type="http://schemas.openxmlformats.org/officeDocument/2006/relationships/hyperlink" Target="https://drive.google.com/file/d/14cGRh_2GVwGIhwcirub7JRZGMV1dZAmt/view?usp=drive_link" TargetMode="External"/><Relationship Id="rId89" Type="http://schemas.openxmlformats.org/officeDocument/2006/relationships/hyperlink" Target="https://drive.google.com/file/d/1rw9MsekSHQdwf2ZO1_aMD3tLab49Qo9e/view?usp=drive_link" TargetMode="External"/><Relationship Id="rId88" Type="http://schemas.openxmlformats.org/officeDocument/2006/relationships/hyperlink" Target="https://drive.google.com/file/d/1gXKEzJHeKZXnyhk6ky8yxuLmbW8XRl9S/view?usp=drive_link" TargetMode="External"/><Relationship Id="rId87" Type="http://schemas.openxmlformats.org/officeDocument/2006/relationships/hyperlink" Target="https://drive.google.com/file/d/19zgHmQL30BnKDzXt87gTr5I0IfcJsCru/view?usp=drive_link" TargetMode="External"/><Relationship Id="rId86" Type="http://schemas.openxmlformats.org/officeDocument/2006/relationships/hyperlink" Target="https://drive.google.com/file/d/1BwABpOilBGyDSVo0yzWgz1UAtuW59pUQ/view?usp=drive_link" TargetMode="External"/><Relationship Id="rId85" Type="http://schemas.openxmlformats.org/officeDocument/2006/relationships/hyperlink" Target="https://drive.google.com/file/d/1Cig0sZR5K41nNod8Rij52zb5_MTuMfOK/view?usp=drive_link" TargetMode="External"/><Relationship Id="rId84" Type="http://schemas.openxmlformats.org/officeDocument/2006/relationships/hyperlink" Target="https://drive.google.com/file/d/174uM__7VXFHu4HrhsLvzQ9a7Z_QRw_9l/view?usp=drive_link" TargetMode="External"/><Relationship Id="rId83" Type="http://schemas.openxmlformats.org/officeDocument/2006/relationships/hyperlink" Target="https://drive.google.com/file/d/1wBNlICDKJ_EkRvWDlf6M-d0W8i2k03-Y/view?usp=drive_link" TargetMode="External"/><Relationship Id="rId82" Type="http://schemas.openxmlformats.org/officeDocument/2006/relationships/hyperlink" Target="https://drive.google.com/file/d/1HOX8naIq-KP_6FT1wrsmHajEe3r7xom5/view?usp=drive_link" TargetMode="External"/><Relationship Id="rId81" Type="http://schemas.openxmlformats.org/officeDocument/2006/relationships/hyperlink" Target="https://drive.google.com/file/d/18tDyRqS2Ed6k3RJJMziNG-tQLqzjbC_4/view?usp=drive_link" TargetMode="External"/><Relationship Id="rId80" Type="http://schemas.openxmlformats.org/officeDocument/2006/relationships/hyperlink" Target="https://drive.google.com/file/d/1ul2VUZgV3kUe4vCsl0EAVdZGg0zGPRHc/view?usp=drive_link" TargetMode="External"/><Relationship Id="rId8" Type="http://schemas.openxmlformats.org/officeDocument/2006/relationships/hyperlink" Target="https://drive.google.com/file/d/1NbjsWNBnt8yAOYgw8256z5xMLAnE9saL/view?usp=drive_link" TargetMode="External"/><Relationship Id="rId79" Type="http://schemas.openxmlformats.org/officeDocument/2006/relationships/hyperlink" Target="https://drive.google.com/file/d/1Hff_r2yrWYW9uCNfEEwfnuX_zmH3jUco/view?usp=drive_link" TargetMode="External"/><Relationship Id="rId78" Type="http://schemas.openxmlformats.org/officeDocument/2006/relationships/hyperlink" Target="https://drive.google.com/file/d/1JJxXXDiBnkpOvq2wjJstoqS76vydmnah/view?usp=drivesdk" TargetMode="External"/><Relationship Id="rId77" Type="http://schemas.openxmlformats.org/officeDocument/2006/relationships/hyperlink" Target="https://drive.google.com/file/d/1-ViehUGCoK-95HMz0jT4bisUTtKswxf_/view?usp=sharing" TargetMode="External"/><Relationship Id="rId76" Type="http://schemas.openxmlformats.org/officeDocument/2006/relationships/hyperlink" Target="https://drive.google.com/file/d/1qjtejJbPZhaEoDtH1SzjRPkoAIfcWO6P/view?usp=drive_link" TargetMode="External"/><Relationship Id="rId75" Type="http://schemas.openxmlformats.org/officeDocument/2006/relationships/hyperlink" Target="https://drive.google.com/file/d/1gAefdqv3ho9bXP4r_M9rMC-RvZx7DtOk/view?usp=drive_link" TargetMode="External"/><Relationship Id="rId74" Type="http://schemas.openxmlformats.org/officeDocument/2006/relationships/hyperlink" Target="https://drive.google.com/file/d/1UuIr96fgzstpXZATN3fxAvHifvN3GeQq/view?usp=drive_link" TargetMode="External"/><Relationship Id="rId73" Type="http://schemas.openxmlformats.org/officeDocument/2006/relationships/hyperlink" Target="https://drive.google.com/file/d/1mYXA5bh6l5_LGV60bzvQ8Q7T8LXmi6xl/view?usp=drive_link" TargetMode="External"/><Relationship Id="rId72" Type="http://schemas.openxmlformats.org/officeDocument/2006/relationships/hyperlink" Target="https://drive.google.com/file/d/1UvMc0KQqy9z55jqaSYTiAgKcEp2BxHU8/view?usp=drive_link" TargetMode="External"/><Relationship Id="rId71" Type="http://schemas.openxmlformats.org/officeDocument/2006/relationships/hyperlink" Target="https://drive.google.com/file/d/1hHOYs8job0oqYGCK4DWW2zLNBkUASjmA/view?usp=drive_link" TargetMode="External"/><Relationship Id="rId70" Type="http://schemas.openxmlformats.org/officeDocument/2006/relationships/hyperlink" Target="https://drive.google.com/file/d/1_5zN38ec_cFq8fcYBxJz8kkyhLekRsJI/view?usp=drive_link" TargetMode="External"/><Relationship Id="rId7" Type="http://schemas.openxmlformats.org/officeDocument/2006/relationships/hyperlink" Target="https://drive.google.com/file/d/1cdISt4tJ-87zLD7jrCab0AApFCkT0B4_/view?usp=drive_link" TargetMode="External"/><Relationship Id="rId69" Type="http://schemas.openxmlformats.org/officeDocument/2006/relationships/hyperlink" Target="https://drive.google.com/file/d/1tTBpS96rinwDtqgBaJyD7j4y0MM00ciw/view?usp=drive_link" TargetMode="External"/><Relationship Id="rId68" Type="http://schemas.openxmlformats.org/officeDocument/2006/relationships/hyperlink" Target="https://drive.google.com/file/d/1tc_PB5WABgsJbQTDC7zM5UNyAvnyHc5h/view?usp=drive_link" TargetMode="External"/><Relationship Id="rId67" Type="http://schemas.openxmlformats.org/officeDocument/2006/relationships/hyperlink" Target="https://drive.google.com/file/d/1SHyE2l5wYydy4lNioTqR5LB3f4Nl7nN1/view?usp=drive_link" TargetMode="External"/><Relationship Id="rId66" Type="http://schemas.openxmlformats.org/officeDocument/2006/relationships/hyperlink" Target="https://drive.google.com/file/d/1vqO-k4S8s6a3Bz4eQaFPyc6dTr0vGHFt/view?usp=drive_link" TargetMode="External"/><Relationship Id="rId65" Type="http://schemas.openxmlformats.org/officeDocument/2006/relationships/hyperlink" Target="https://drive.google.com/file/d/10lQKO4fRRkfnfRih3VWgArc5K1LhUy9n/view?usp=drive_link" TargetMode="External"/><Relationship Id="rId64" Type="http://schemas.openxmlformats.org/officeDocument/2006/relationships/hyperlink" Target="https://drive.google.com/file/d/1fhhlkVVYdhh684H4auLm4yvehZmEbu7P/view?usp=drive_link" TargetMode="External"/><Relationship Id="rId63" Type="http://schemas.openxmlformats.org/officeDocument/2006/relationships/hyperlink" Target="https://drive.google.com/file/d/14iNUd72a_Q8HN-zzDDDz-_MEu3QNtVFS/view?usp=drive_link" TargetMode="External"/><Relationship Id="rId62" Type="http://schemas.openxmlformats.org/officeDocument/2006/relationships/hyperlink" Target="https://drive.google.com/file/d/1QKIg_S6-MowQ0_hf8qYCfiVNQldKBbkW/view?usp=drive_link" TargetMode="External"/><Relationship Id="rId61" Type="http://schemas.openxmlformats.org/officeDocument/2006/relationships/hyperlink" Target="https://drive.google.com/file/d/1XzaxVZi_hZdbLBqtITxZNuJV4l-OhlkJ/view?usp=drive_link" TargetMode="External"/><Relationship Id="rId60" Type="http://schemas.openxmlformats.org/officeDocument/2006/relationships/hyperlink" Target="https://drive.google.com/file/d/1ac_1gRDD5fJU-UPjiZlC7bwTbLsQUMx6/view?usp=drive_link" TargetMode="External"/><Relationship Id="rId6" Type="http://schemas.openxmlformats.org/officeDocument/2006/relationships/hyperlink" Target="https://drive.google.com/file/d/1dofCSrM5wtNOH1KynOIxPGTQNLOBhoyB/view?usp=drive_link" TargetMode="External"/><Relationship Id="rId59" Type="http://schemas.openxmlformats.org/officeDocument/2006/relationships/hyperlink" Target="https://drive.google.com/file/d/1KZ9LoLY5BJOf2759JwxdEnz0smWjlL2s/view?usp=drive_link" TargetMode="External"/><Relationship Id="rId58" Type="http://schemas.openxmlformats.org/officeDocument/2006/relationships/hyperlink" Target="https://drive.google.com/file/d/1uDY6p47Xh9UcAE0KCOSIREjlXKvpmScr/view?usp=drive_link" TargetMode="External"/><Relationship Id="rId57" Type="http://schemas.openxmlformats.org/officeDocument/2006/relationships/hyperlink" Target="https://drive.google.com/file/d/1BCGlAkHRgnliu796JbQXNnp9Iba7_AKN/view?usp=drive_link" TargetMode="External"/><Relationship Id="rId56" Type="http://schemas.openxmlformats.org/officeDocument/2006/relationships/hyperlink" Target="https://drive.google.com/file/d/1Hv-x00UVyPqWa1C7F3gMuKKDgYtSHZI2/view?usp=drive_link" TargetMode="External"/><Relationship Id="rId55" Type="http://schemas.openxmlformats.org/officeDocument/2006/relationships/hyperlink" Target="https://drive.google.com/file/d/1EYoTAdrXZj7Z4Kf11y9M_7E5cRhgCN8-/view?usp=drive_link" TargetMode="External"/><Relationship Id="rId54" Type="http://schemas.openxmlformats.org/officeDocument/2006/relationships/hyperlink" Target="https://drive.google.com/file/d/16RYvSLzgdYAuISGtaXDkefTyS6TdyViS/view?usp=drive_link" TargetMode="External"/><Relationship Id="rId53" Type="http://schemas.openxmlformats.org/officeDocument/2006/relationships/hyperlink" Target="https://drive.google.com/file/d/1_d9Z_iu6VyGnqnbvyqOPWB92qcMOifR4/view?usp=drive_link" TargetMode="External"/><Relationship Id="rId52" Type="http://schemas.openxmlformats.org/officeDocument/2006/relationships/hyperlink" Target="https://drive.google.com/file/d/1lrtf-cCHvuHJ0qCpnpAb9sDBM0GX3voE/view?usp=drive_link" TargetMode="External"/><Relationship Id="rId51" Type="http://schemas.openxmlformats.org/officeDocument/2006/relationships/hyperlink" Target="https://drive.google.com/file/d/1WdxGMNPPlTs8-VrppYXpcunHwmJP6s_V/view?usp=drive_link" TargetMode="External"/><Relationship Id="rId50" Type="http://schemas.openxmlformats.org/officeDocument/2006/relationships/hyperlink" Target="https://drive.google.com/file/d/1uieeTMGrT9yG7OLhQtAE26JRdagKIR8t/view?usp=drive_link" TargetMode="External"/><Relationship Id="rId5" Type="http://schemas.openxmlformats.org/officeDocument/2006/relationships/hyperlink" Target="https://drive.google.com/file/d/12qjm2u6d4HXZoeZuaefjGZ0LMXzOfKZV/view?usp=drive_link" TargetMode="External"/><Relationship Id="rId49" Type="http://schemas.openxmlformats.org/officeDocument/2006/relationships/hyperlink" Target="https://drive.google.com/file/d/1q_k3-RBWkymYlU2JMt0Nh3ISp6qknz7y/view?usp=drive_link" TargetMode="External"/><Relationship Id="rId48" Type="http://schemas.openxmlformats.org/officeDocument/2006/relationships/hyperlink" Target="https://drive.google.com/file/d/1d6Pnd67z9gD2ogz9aVwvvCxkgcB_2_sj/view?usp=drive_link" TargetMode="External"/><Relationship Id="rId47" Type="http://schemas.openxmlformats.org/officeDocument/2006/relationships/hyperlink" Target="https://drive.google.com/file/d/1Wr_jpi75E2G-LIGH7shxzRT_z-CU0hiy/view?usp=drive_link" TargetMode="External"/><Relationship Id="rId46" Type="http://schemas.openxmlformats.org/officeDocument/2006/relationships/hyperlink" Target="https://drive.google.com/file/d/1oCE8_OhG4a46J0KQ2tOtinp8oUWipaTw/view?usp=drive_link" TargetMode="External"/><Relationship Id="rId45" Type="http://schemas.openxmlformats.org/officeDocument/2006/relationships/hyperlink" Target="https://drive.google.com/file/d/1ISK3-cGuOrFFKZZZV_dVYjdULDIDXC7a/view?usp=drive_link" TargetMode="External"/><Relationship Id="rId44" Type="http://schemas.openxmlformats.org/officeDocument/2006/relationships/hyperlink" Target="https://drive.google.com/file/d/1bp1aLRNQZiTX_NQtXw6-D_kRf4nzeHd3/view?usp=drive_link" TargetMode="External"/><Relationship Id="rId43" Type="http://schemas.openxmlformats.org/officeDocument/2006/relationships/hyperlink" Target="https://drive.google.com/file/d/1ifPWdJXv-uEtV0WWflXyFxQmsRXfWJDR/view?usp=drive_link" TargetMode="External"/><Relationship Id="rId42" Type="http://schemas.openxmlformats.org/officeDocument/2006/relationships/hyperlink" Target="https://drive.google.com/file/d/1qpNAY9hxMYMWmnwGdG_-yOAhoIJ1lw4V/view?usp=drive_link" TargetMode="External"/><Relationship Id="rId41" Type="http://schemas.openxmlformats.org/officeDocument/2006/relationships/hyperlink" Target="https://drive.google.com/file/d/10WxtHb5m0Nvi8yN03Q6eydehP1g74DcP/view?usp=drive_link" TargetMode="External"/><Relationship Id="rId40" Type="http://schemas.openxmlformats.org/officeDocument/2006/relationships/hyperlink" Target="https://drive.google.com/file/d/1d9DBtaXwnDRr82UjIKN2Ll88lW4s5xDb/view?usp=drive_link" TargetMode="External"/><Relationship Id="rId4" Type="http://schemas.openxmlformats.org/officeDocument/2006/relationships/hyperlink" Target="https://drive.google.com/file/d/1O_oCQwgVirp_-8d3UhY1cPDaNy9b7iKJ/view?usp=drive_link" TargetMode="External"/><Relationship Id="rId39" Type="http://schemas.openxmlformats.org/officeDocument/2006/relationships/hyperlink" Target="https://drive.google.com/file/d/11XCXGCQtnPEiP7z7Hz_b4empIx8IEDLw/view?usp=drive_link" TargetMode="External"/><Relationship Id="rId38" Type="http://schemas.openxmlformats.org/officeDocument/2006/relationships/hyperlink" Target="https://drive.google.com/file/d/1sPW3BCbvFJBUTmBS8AwI1j-mYdFZF_aA/view?usp=drive_link" TargetMode="External"/><Relationship Id="rId37" Type="http://schemas.openxmlformats.org/officeDocument/2006/relationships/hyperlink" Target="https://drive.google.com/file/d/1F38qOMc9WDO-_-uhPX6hC91MHmG2vGmR/view?usp=drive_link" TargetMode="External"/><Relationship Id="rId36" Type="http://schemas.openxmlformats.org/officeDocument/2006/relationships/hyperlink" Target="https://drive.google.com/file/d/1Kv66VX_B3qzvlrkHDgV3VIr1TWCMFF3y/view?usp=drive_link" TargetMode="External"/><Relationship Id="rId35" Type="http://schemas.openxmlformats.org/officeDocument/2006/relationships/hyperlink" Target="https://drive.google.com/file/d/1Hh90FCjlSfqYkBNkkW1_VLm3ITbgJuZ_/view?usp=drive_link" TargetMode="External"/><Relationship Id="rId34" Type="http://schemas.openxmlformats.org/officeDocument/2006/relationships/hyperlink" Target="https://drive.google.com/file/d/1wC6Y7Nm1j2CMVUdub32wifldEh5uVCIM/view?usp=drive_link" TargetMode="External"/><Relationship Id="rId33" Type="http://schemas.openxmlformats.org/officeDocument/2006/relationships/hyperlink" Target="https://drive.google.com/file/d/1cQfOS1LWpJ1xtrDrnU9h3RtbIHcSFlun/view?usp=drive_link" TargetMode="External"/><Relationship Id="rId32" Type="http://schemas.openxmlformats.org/officeDocument/2006/relationships/hyperlink" Target="https://drive.google.com/file/d/16ZTGfnxJcd32g0HftaPPDasmhez0oeyw/view?usp=drive_link" TargetMode="External"/><Relationship Id="rId31" Type="http://schemas.openxmlformats.org/officeDocument/2006/relationships/hyperlink" Target="https://drive.google.com/file/d/1k6sBK_fGueX3uC_ahIQVKkWDjXI4OfwV/view?usp=drive_link" TargetMode="External"/><Relationship Id="rId30" Type="http://schemas.openxmlformats.org/officeDocument/2006/relationships/hyperlink" Target="https://drive.google.com/file/d/1iykQftUpMwNUB5OdXBClhm7lzRAtmcli/view?usp=drive_link" TargetMode="External"/><Relationship Id="rId3" Type="http://schemas.openxmlformats.org/officeDocument/2006/relationships/hyperlink" Target="https://drive.google.com/file/d/1zEiu25y2WIqSnGOH7bEnPCHaURkPxRj3/view?usp=drive_link" TargetMode="External"/><Relationship Id="rId29" Type="http://schemas.openxmlformats.org/officeDocument/2006/relationships/hyperlink" Target="https://drive.google.com/file/d/1baOflpX9I3tvV2hV5RVgLSxl0HasbXbE/view?usp=drive_link" TargetMode="External"/><Relationship Id="rId28" Type="http://schemas.openxmlformats.org/officeDocument/2006/relationships/hyperlink" Target="https://drive.google.com/file/d/1PvtfHQbh5iJBGLtVlATUmyK2L97tbHAq/view?usp=drive_link" TargetMode="External"/><Relationship Id="rId27" Type="http://schemas.openxmlformats.org/officeDocument/2006/relationships/hyperlink" Target="https://drive.google.com/file/d/1fSWk3slTtuc3O2rwrBix5TvUycdI3hxg/view?usp=drive_link" TargetMode="External"/><Relationship Id="rId26" Type="http://schemas.openxmlformats.org/officeDocument/2006/relationships/hyperlink" Target="https://drive.google.com/file/d/1kTixfNu-UOHb9KZ_P6o5DK-AekUJzBZS/view?usp=drive_link" TargetMode="External"/><Relationship Id="rId25" Type="http://schemas.openxmlformats.org/officeDocument/2006/relationships/hyperlink" Target="https://drive.google.com/file/d/1G2M0om9ogvw3DXLDvlqdYrnPCpx-dlCO/view?usp=drive_link" TargetMode="External"/><Relationship Id="rId24" Type="http://schemas.openxmlformats.org/officeDocument/2006/relationships/hyperlink" Target="https://drive.google.com/file/d/1larRPSYnV2oeT5u8y8fJrgb2eqmUhNe3/view?usp=drive_link" TargetMode="External"/><Relationship Id="rId23" Type="http://schemas.openxmlformats.org/officeDocument/2006/relationships/hyperlink" Target="https://drive.google.com/file/d/1RH9OEH2tugiyWgCOumJANb0YSX9NDea4/view?usp=drive_link" TargetMode="External"/><Relationship Id="rId22" Type="http://schemas.openxmlformats.org/officeDocument/2006/relationships/hyperlink" Target="https://drive.google.com/file/d/1vzLURrO2bBIavgIM_JBGFQ18ojg08k84/view?usp=drive_link" TargetMode="External"/><Relationship Id="rId21" Type="http://schemas.openxmlformats.org/officeDocument/2006/relationships/hyperlink" Target="https://drive.google.com/file/d/1CCpTR6-WBMNVh3f85uPHvOGUjxvC-_B8/view?usp=drive_link" TargetMode="External"/><Relationship Id="rId20" Type="http://schemas.openxmlformats.org/officeDocument/2006/relationships/hyperlink" Target="https://drive.google.com/file/d/1k24OTCtlo5t9IkLbNUc0uOryHTpgmkUJ/view" TargetMode="External"/><Relationship Id="rId2" Type="http://schemas.openxmlformats.org/officeDocument/2006/relationships/hyperlink" Target="https://drive.google.com/file/d/1cg69iAQNc9uOtWuqUJGFIHJbW9g8lvCb/view?usp=drive_link" TargetMode="External"/><Relationship Id="rId19" Type="http://schemas.openxmlformats.org/officeDocument/2006/relationships/hyperlink" Target="https://drive.google.com/file/d/1f9YvrEEU4Hx-Gov_l-mxoXT9fJwHvlGX/view?usp=drivesdk" TargetMode="External"/><Relationship Id="rId18" Type="http://schemas.openxmlformats.org/officeDocument/2006/relationships/hyperlink" Target="https://drive.google.com/file/d/1JETn42riZxDYSGamEZwOSA-pz4HH5Yu-/view?usp=drive_link" TargetMode="External"/><Relationship Id="rId17" Type="http://schemas.openxmlformats.org/officeDocument/2006/relationships/hyperlink" Target="https://drive.google.com/file/d/1ljM-_0k4Py5zwadTD2NNJAtYJSXrTuim/view?usp=drive_link" TargetMode="External"/><Relationship Id="rId16" Type="http://schemas.openxmlformats.org/officeDocument/2006/relationships/hyperlink" Target="https://drive.google.com/file/d/1IrnaC941r5EgfrkcpCJKmAxTEcse0_Uc/view?usp=drive_link" TargetMode="External"/><Relationship Id="rId15" Type="http://schemas.openxmlformats.org/officeDocument/2006/relationships/hyperlink" Target="https://drive.google.com/file/d/1W21lwhLsfn7qAQDuXq2Ll5NfpqNJactj/view?usp=sharing" TargetMode="External"/><Relationship Id="rId14" Type="http://schemas.openxmlformats.org/officeDocument/2006/relationships/hyperlink" Target="https://drive.google.com/file/d/1oLNUgD_az6Owhshep-Lgso-VcL6GMB2t/view?usp=drive_link" TargetMode="External"/><Relationship Id="rId13" Type="http://schemas.openxmlformats.org/officeDocument/2006/relationships/hyperlink" Target="https://drive.google.com/file/d/1XoH65BvRw_juF-glmN8AfTF6l_GmG5II/view?usp=drive_link" TargetMode="External"/><Relationship Id="rId12" Type="http://schemas.openxmlformats.org/officeDocument/2006/relationships/hyperlink" Target="https://drive.google.com/file/d/1EA90Utk1ns7TCVkyeIJ5iW7Hdqq2_Zha/view?usp=drive_link" TargetMode="External"/><Relationship Id="rId114" Type="http://schemas.openxmlformats.org/officeDocument/2006/relationships/hyperlink" Target="https://drive.google.com/file/d/1z6DqqghGz5_1wHnScD8k48HgKfz0Zk9I/view?usp=sharing" TargetMode="External"/><Relationship Id="rId113" Type="http://schemas.openxmlformats.org/officeDocument/2006/relationships/hyperlink" Target="https://drive.google.com/file/d/1HvfXkFjLiHRPwmnYl-3JLNG2OHocGWGJ/view?usp=drive_link" TargetMode="External"/><Relationship Id="rId112" Type="http://schemas.openxmlformats.org/officeDocument/2006/relationships/hyperlink" Target="https://drive.google.com/file/d/1O8IFerN_b1OVb1CN9mQGTjYZpOKGoITY/view?usp=drive_link" TargetMode="External"/><Relationship Id="rId111" Type="http://schemas.openxmlformats.org/officeDocument/2006/relationships/hyperlink" Target="https://drive.google.com/file/d/1g_9nh_hqVHEgyFmCYgVlJFmL1Aj6XSjP/view?usp=drive_link" TargetMode="External"/><Relationship Id="rId110" Type="http://schemas.openxmlformats.org/officeDocument/2006/relationships/hyperlink" Target="https://drive.google.com/file/d/1pO45KJ2Anjf1wjhdMDATmYcrXCytLB3y/view?usp=sharing" TargetMode="External"/><Relationship Id="rId11" Type="http://schemas.openxmlformats.org/officeDocument/2006/relationships/hyperlink" Target="https://drive.google.com/file/d/1g_NCEmpgXGAv6Wf51xoA6Lhpz__Zkopy/view?usp=drive_link" TargetMode="External"/><Relationship Id="rId109" Type="http://schemas.openxmlformats.org/officeDocument/2006/relationships/hyperlink" Target="https://drive.google.com/file/d/1ayKyx-7T7TwOte_gGFgfgCxWiVa8Cg8m/view?usp=drive_link" TargetMode="External"/><Relationship Id="rId108" Type="http://schemas.openxmlformats.org/officeDocument/2006/relationships/hyperlink" Target="https://drive.google.com/file/d/1VXVL_r3DoAz3I_u0DD1X5QX9FVNRikkd/view?usp=drive_link" TargetMode="External"/><Relationship Id="rId107" Type="http://schemas.openxmlformats.org/officeDocument/2006/relationships/hyperlink" Target="https://drive.google.com/file/d/14S--Kd5Vl3YSMCHzwwYt_kQIgxGm_Zbg/view?usp=drive_link" TargetMode="External"/><Relationship Id="rId106" Type="http://schemas.openxmlformats.org/officeDocument/2006/relationships/hyperlink" Target="https://drive.google.com/file/d/1n-OVjxMOvOjL1phlSkz8eviOukA2jLci/view?usp=drive_link" TargetMode="External"/><Relationship Id="rId105" Type="http://schemas.openxmlformats.org/officeDocument/2006/relationships/hyperlink" Target="https://drive.google.com/file/d/1_wspiI7N_dRs_vE3p2pH0rc8yAcF-pg4/view?usp=drive_link" TargetMode="External"/><Relationship Id="rId104" Type="http://schemas.openxmlformats.org/officeDocument/2006/relationships/hyperlink" Target="https://drive.google.com/file/d/1WXt01Z5DyEaibfcb9yjRvC37GnJBijOf/view?usp=drive_link" TargetMode="External"/><Relationship Id="rId103" Type="http://schemas.openxmlformats.org/officeDocument/2006/relationships/hyperlink" Target="https://drive.google.com/file/d/12CBiVkqByJdiB_fExvTvqpU9ylB2Sy3W/view?usp=drive_link" TargetMode="External"/><Relationship Id="rId102" Type="http://schemas.openxmlformats.org/officeDocument/2006/relationships/hyperlink" Target="https://drive.google.com/file/d/1rjwl5CZZjBCqyIHHwyVOtiklXu_rVxIO/view?usp=drive_link" TargetMode="External"/><Relationship Id="rId101" Type="http://schemas.openxmlformats.org/officeDocument/2006/relationships/hyperlink" Target="https://drive.google.com/file/d/1imOf8cO4LrDK_1VGlnSJPrR4OAx8Sd2B/view?usp=drive_link" TargetMode="External"/><Relationship Id="rId100" Type="http://schemas.openxmlformats.org/officeDocument/2006/relationships/hyperlink" Target="https://drive.google.com/file/d/10aHD4D4de3IMNUlj2mTv1iugbhs7vm95/view?usp=drive_link" TargetMode="External"/><Relationship Id="rId10" Type="http://schemas.openxmlformats.org/officeDocument/2006/relationships/hyperlink" Target="https://drive.google.com/file/d/1TtxJeWuVc20ePVik4bdjwKeBWspDdqMP/view?usp=drive_link" TargetMode="External"/><Relationship Id="rId1" Type="http://schemas.openxmlformats.org/officeDocument/2006/relationships/hyperlink" Target="http://s.no/" TargetMode="External"/></Relationships>
</file>

<file path=xl/worksheets/_rels/sheet2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cZYYGq4SuRuzYtA4AS2hc5--i9bXkn5j/view?usp=drive_link" TargetMode="External"/><Relationship Id="rId98" Type="http://schemas.openxmlformats.org/officeDocument/2006/relationships/hyperlink" Target="https://drive.google.com/file/d/1lKAY4JEoUqLMxou_6PW7Vgjo7gk4HElM/view?usp=drive_link" TargetMode="External"/><Relationship Id="rId97" Type="http://schemas.openxmlformats.org/officeDocument/2006/relationships/hyperlink" Target="https://drive.google.com/file/d/1Nqz_Dz8RcwmxjdyeyOYlmgc6Q3-jKXZ7/view?usp=drive_link" TargetMode="External"/><Relationship Id="rId96" Type="http://schemas.openxmlformats.org/officeDocument/2006/relationships/hyperlink" Target="https://drive.google.com/file/d/1FTDWltoLFK9CFL3xg3Elv56LVqm8auw9/view?usp=drive_link" TargetMode="External"/><Relationship Id="rId95" Type="http://schemas.openxmlformats.org/officeDocument/2006/relationships/hyperlink" Target="https://drive.google.com/file/d/1K49t_UuAC9D0jwRV6yqNgje1hmPLB2E8/view?usp=drive_link" TargetMode="External"/><Relationship Id="rId94" Type="http://schemas.openxmlformats.org/officeDocument/2006/relationships/hyperlink" Target="https://drive.google.com/file/d/1Z30zEPAXhwiQWmoDljaJC7GsD0yZuAMr/view?usp=drive_link" TargetMode="External"/><Relationship Id="rId93" Type="http://schemas.openxmlformats.org/officeDocument/2006/relationships/hyperlink" Target="https://drive.google.com/file/d/1rw9MsekSHQdwf2ZO1_aMD3tLab49Qo9e/view?usp=drive_link" TargetMode="External"/><Relationship Id="rId92" Type="http://schemas.openxmlformats.org/officeDocument/2006/relationships/hyperlink" Target="https://drive.google.com/file/d/1gXKEzJHeKZXnyhk6ky8yxuLmbW8XRl9S/view?usp=drive_link" TargetMode="External"/><Relationship Id="rId91" Type="http://schemas.openxmlformats.org/officeDocument/2006/relationships/hyperlink" Target="https://drive.google.com/file/d/19zgHmQL30BnKDzXt87gTr5I0IfcJsCru/view?usp=drive_link" TargetMode="External"/><Relationship Id="rId90" Type="http://schemas.openxmlformats.org/officeDocument/2006/relationships/hyperlink" Target="https://drive.google.com/file/d/1BwABpOilBGyDSVo0yzWgz1UAtuW59pUQ/view?usp=drive_link" TargetMode="External"/><Relationship Id="rId9" Type="http://schemas.openxmlformats.org/officeDocument/2006/relationships/hyperlink" Target="https://drive.google.com/file/d/1oLNUgD_az6Owhshep-Lgso-VcL6GMB2t/view?usp=drive_link" TargetMode="External"/><Relationship Id="rId89" Type="http://schemas.openxmlformats.org/officeDocument/2006/relationships/hyperlink" Target="https://drive.google.com/file/d/1Cig0sZR5K41nNod8Rij52zb5_MTuMfOK/view?usp=drive_link" TargetMode="External"/><Relationship Id="rId88" Type="http://schemas.openxmlformats.org/officeDocument/2006/relationships/hyperlink" Target="https://drive.google.com/file/d/174uM__7VXFHu4HrhsLvzQ9a7Z_QRw_9l/view?usp=drive_link" TargetMode="External"/><Relationship Id="rId87" Type="http://schemas.openxmlformats.org/officeDocument/2006/relationships/hyperlink" Target="https://drive.google.com/file/d/1wBNlICDKJ_EkRvWDlf6M-d0W8i2k03-Y/view?usp=drive_link" TargetMode="External"/><Relationship Id="rId86" Type="http://schemas.openxmlformats.org/officeDocument/2006/relationships/hyperlink" Target="https://drive.google.com/file/d/1HOX8naIq-KP_6FT1wrsmHajEe3r7xom5/view?usp=drive_link" TargetMode="External"/><Relationship Id="rId85" Type="http://schemas.openxmlformats.org/officeDocument/2006/relationships/hyperlink" Target="https://drive.google.com/file/d/18tDyRqS2Ed6k3RJJMziNG-tQLqzjbC_4/view?usp=drive_link" TargetMode="External"/><Relationship Id="rId84" Type="http://schemas.openxmlformats.org/officeDocument/2006/relationships/hyperlink" Target="https://drive.google.com/file/d/1gAefdqv3ho9bXP4r_M9rMC-RvZx7DtOk/view?usp=drive_link" TargetMode="External"/><Relationship Id="rId83" Type="http://schemas.openxmlformats.org/officeDocument/2006/relationships/hyperlink" Target="https://drive.google.com/file/d/1ul2VUZgV3kUe4vCsl0EAVdZGg0zGPRHc/view?usp=drive_link" TargetMode="External"/><Relationship Id="rId82" Type="http://schemas.openxmlformats.org/officeDocument/2006/relationships/hyperlink" Target="https://drive.google.com/file/d/1UvMc0KQqy9z55jqaSYTiAgKcEp2BxHU8/view?usp=drive_link" TargetMode="External"/><Relationship Id="rId81" Type="http://schemas.openxmlformats.org/officeDocument/2006/relationships/hyperlink" Target="https://drive.google.com/file/d/1Hff_r2yrWYW9uCNfEEwfnuX_zmH3jUco/view?usp=drive_link" TargetMode="External"/><Relationship Id="rId80" Type="http://schemas.openxmlformats.org/officeDocument/2006/relationships/hyperlink" Target="https://drive.google.com/file/d/1cFIsvr7F_fOkAB7wpswW7DfZz_rHefix/view?usp=drive_link" TargetMode="External"/><Relationship Id="rId8" Type="http://schemas.openxmlformats.org/officeDocument/2006/relationships/hyperlink" Target="https://drive.google.com/file/d/1EA90Utk1ns7TCVkyeIJ5iW7Hdqq2_Zha/view?usp=drive_link" TargetMode="External"/><Relationship Id="rId79" Type="http://schemas.openxmlformats.org/officeDocument/2006/relationships/hyperlink" Target="https://drive.google.com/file/d/1lnaQi0hc8dAJPM7ZTiebQm7wgIPpF9P6/view?usp=drive_link" TargetMode="External"/><Relationship Id="rId78" Type="http://schemas.openxmlformats.org/officeDocument/2006/relationships/hyperlink" Target="https://drive.google.com/file/d/1ebBwbL3KN4no8w9rPbONimMyzh-qv0uq/view?usp=drive_link" TargetMode="External"/><Relationship Id="rId77" Type="http://schemas.openxmlformats.org/officeDocument/2006/relationships/hyperlink" Target="https://drive.google.com/file/d/1pm4YEnncXERzZXXR8c8MiEfQ0Cvywy7W/view?usp=drive_link" TargetMode="External"/><Relationship Id="rId76" Type="http://schemas.openxmlformats.org/officeDocument/2006/relationships/hyperlink" Target="https://drive.google.com/file/d/1EHyVz6s8DnNfbq7ELpLCqTdfN6_HKLU1/view?usp=drive_link" TargetMode="External"/><Relationship Id="rId75" Type="http://schemas.openxmlformats.org/officeDocument/2006/relationships/hyperlink" Target="https://drive.google.com/file/d/1hHOYs8job0oqYGCK4DWW2zLNBkUASjmA/view?usp=drive_link" TargetMode="External"/><Relationship Id="rId74" Type="http://schemas.openxmlformats.org/officeDocument/2006/relationships/hyperlink" Target="https://drive.google.com/file/d/1N-9H6HCCXDyedYX5IHYyItLOgl5k9-tK/view?usp=drive_link" TargetMode="External"/><Relationship Id="rId73" Type="http://schemas.openxmlformats.org/officeDocument/2006/relationships/hyperlink" Target="https://drive.google.com/file/d/1tTBpS96rinwDtqgBaJyD7j4y0MM00ciw/view?usp=drive_link" TargetMode="External"/><Relationship Id="rId72" Type="http://schemas.openxmlformats.org/officeDocument/2006/relationships/hyperlink" Target="https://drive.google.com/file/d/1tc_PB5WABgsJbQTDC7zM5UNyAvnyHc5h/view?usp=drive_link" TargetMode="External"/><Relationship Id="rId71" Type="http://schemas.openxmlformats.org/officeDocument/2006/relationships/hyperlink" Target="https://drive.google.com/file/d/1SHyE2l5wYydy4lNioTqR5LB3f4Nl7nN1/view?usp=drive_link" TargetMode="External"/><Relationship Id="rId70" Type="http://schemas.openxmlformats.org/officeDocument/2006/relationships/hyperlink" Target="https://drive.google.com/file/d/1vqO-k4S8s6a3Bz4eQaFPyc6dTr0vGHFt/view?usp=drive_link" TargetMode="External"/><Relationship Id="rId7" Type="http://schemas.openxmlformats.org/officeDocument/2006/relationships/hyperlink" Target="https://drive.google.com/file/d/1g_NCEmpgXGAv6Wf51xoA6Lhpz__Zkopy/view?usp=drive_link" TargetMode="External"/><Relationship Id="rId69" Type="http://schemas.openxmlformats.org/officeDocument/2006/relationships/hyperlink" Target="https://drive.google.com/file/d/10lQKO4fRRkfnfRih3VWgArc5K1LhUy9n/view?usp=drive_link" TargetMode="External"/><Relationship Id="rId68" Type="http://schemas.openxmlformats.org/officeDocument/2006/relationships/hyperlink" Target="https://drive.google.com/file/d/1RTNtwms4SeefwPqVfRaLebjyIfyWBogB/view?usp=drive_link" TargetMode="External"/><Relationship Id="rId67" Type="http://schemas.openxmlformats.org/officeDocument/2006/relationships/hyperlink" Target="https://drive.google.com/file/d/11Asi-XvX_vBhTed5OUrwCB3e-knnV8bL/view?usp=drive_link" TargetMode="External"/><Relationship Id="rId66" Type="http://schemas.openxmlformats.org/officeDocument/2006/relationships/hyperlink" Target="https://drive.google.com/file/d/1hrtGiiOIdgkqlZL32OSXCElyNOYhJR6K/view?usp=drive_link" TargetMode="External"/><Relationship Id="rId65" Type="http://schemas.openxmlformats.org/officeDocument/2006/relationships/hyperlink" Target="https://drive.google.com/file/d/1RsD2FOdWNALuitcg-RK4t57kOQsR4qfW/view?usp=drive_link" TargetMode="External"/><Relationship Id="rId64" Type="http://schemas.openxmlformats.org/officeDocument/2006/relationships/hyperlink" Target="https://drive.google.com/file/d/1uhVdScyJB7iRlwVAGQlxgnBTjah-mo8-/view?usp=drive_link" TargetMode="External"/><Relationship Id="rId63" Type="http://schemas.openxmlformats.org/officeDocument/2006/relationships/hyperlink" Target="https://drive.google.com/file/d/1ac_1gRDD5fJU-UPjiZlC7bwTbLsQUMx6/view?usp=drive_link" TargetMode="External"/><Relationship Id="rId62" Type="http://schemas.openxmlformats.org/officeDocument/2006/relationships/hyperlink" Target="https://drive.google.com/file/d/1uDY6p47Xh9UcAE0KCOSIREjlXKvpmScr/view?usp=drive_link" TargetMode="External"/><Relationship Id="rId61" Type="http://schemas.openxmlformats.org/officeDocument/2006/relationships/hyperlink" Target="https://drive.google.com/file/d/1BCGlAkHRgnliu796JbQXNnp9Iba7_AKN/view?usp=drive_link" TargetMode="External"/><Relationship Id="rId60" Type="http://schemas.openxmlformats.org/officeDocument/2006/relationships/hyperlink" Target="https://drive.google.com/file/d/1_U_fw3nFZFnehaVbSXwbakWEZkRIpTtn/view?usp=drive_link" TargetMode="External"/><Relationship Id="rId6" Type="http://schemas.openxmlformats.org/officeDocument/2006/relationships/hyperlink" Target="https://drive.google.com/file/d/1TtxJeWuVc20ePVik4bdjwKeBWspDdqMP/view?usp=drive_link" TargetMode="External"/><Relationship Id="rId59" Type="http://schemas.openxmlformats.org/officeDocument/2006/relationships/hyperlink" Target="https://drive.google.com/file/d/1nD-9TBp31Im_ZbmliM8S8foT0uqrLySF/view?usp=drive_link" TargetMode="External"/><Relationship Id="rId58" Type="http://schemas.openxmlformats.org/officeDocument/2006/relationships/hyperlink" Target="https://drive.google.com/file/d/1Nvq0nFUVZmw4qsKTOctCFAtQDn15oOJj/view?usp=drive_link" TargetMode="External"/><Relationship Id="rId57" Type="http://schemas.openxmlformats.org/officeDocument/2006/relationships/hyperlink" Target="https://drive.google.com/file/d/1_fpw1QMXyi2AL9yUV82prf27dAgXtHB2/view?usp=drive_link" TargetMode="External"/><Relationship Id="rId56" Type="http://schemas.openxmlformats.org/officeDocument/2006/relationships/hyperlink" Target="https://drive.google.com/file/d/1XzaxVZi_hZdbLBqtITxZNuJV4l-OhlkJ/view?usp=drive_link" TargetMode="External"/><Relationship Id="rId55" Type="http://schemas.openxmlformats.org/officeDocument/2006/relationships/hyperlink" Target="https://drive.google.com/file/d/1PMxac64QJuVvH75jt-0nIVGnwi0lp5wc/view?usp=drive_link" TargetMode="External"/><Relationship Id="rId54" Type="http://schemas.openxmlformats.org/officeDocument/2006/relationships/hyperlink" Target="https://drive.google.com/file/d/1ApAPIHKnQH0sdSrRHfWAj5hd5b1NBzAv/view?usp=drive_link" TargetMode="External"/><Relationship Id="rId53" Type="http://schemas.openxmlformats.org/officeDocument/2006/relationships/hyperlink" Target="https://drive.google.com/file/d/1uNAxocoJJO5kQ-dAm1cy37_BiRFPkGne/view?usp=drive_link" TargetMode="External"/><Relationship Id="rId52" Type="http://schemas.openxmlformats.org/officeDocument/2006/relationships/hyperlink" Target="https://drive.google.com/file/d/1Hv-x00UVyPqWa1C7F3gMuKKDgYtSHZI2/view?usp=drive_link" TargetMode="External"/><Relationship Id="rId51" Type="http://schemas.openxmlformats.org/officeDocument/2006/relationships/hyperlink" Target="https://drive.google.com/file/d/1EYoTAdrXZj7Z4Kf11y9M_7E5cRhgCN8-/view?usp=drive_link" TargetMode="External"/><Relationship Id="rId50" Type="http://schemas.openxmlformats.org/officeDocument/2006/relationships/hyperlink" Target="https://drive.google.com/file/d/1_d9Z_iu6VyGnqnbvyqOPWB92qcMOifR4/view?usp=drive_link" TargetMode="External"/><Relationship Id="rId5" Type="http://schemas.openxmlformats.org/officeDocument/2006/relationships/hyperlink" Target="https://drive.google.com/file/d/14cGRh_2GVwGIhwcirub7JRZGMV1dZAmt/view?usp=drive_link" TargetMode="External"/><Relationship Id="rId49" Type="http://schemas.openxmlformats.org/officeDocument/2006/relationships/hyperlink" Target="https://drive.google.com/file/d/1lrtf-cCHvuHJ0qCpnpAb9sDBM0GX3voE/view?usp=drive_link" TargetMode="External"/><Relationship Id="rId48" Type="http://schemas.openxmlformats.org/officeDocument/2006/relationships/hyperlink" Target="https://drive.google.com/file/d/1X1pJrWaLcq9IF9GoVDjX-QC3HR2wNueJ/view?usp=drive_link" TargetMode="External"/><Relationship Id="rId47" Type="http://schemas.openxmlformats.org/officeDocument/2006/relationships/hyperlink" Target="https://drive.google.com/file/d/1UlZAGp6YPbNTmLyqen4pSqRG2S4exZtr/view?usp=drive_link" TargetMode="External"/><Relationship Id="rId46" Type="http://schemas.openxmlformats.org/officeDocument/2006/relationships/hyperlink" Target="https://drive.google.com/file/d/1nJJ2-8a0EmL1zD7lzT7e09hOlxxcpvS9/view?usp=drive_link" TargetMode="External"/><Relationship Id="rId45" Type="http://schemas.openxmlformats.org/officeDocument/2006/relationships/hyperlink" Target="https://drive.google.com/file/d/1WdxGMNPPlTs8-VrppYXpcunHwmJP6s_V/view?usp=drive_link" TargetMode="External"/><Relationship Id="rId44" Type="http://schemas.openxmlformats.org/officeDocument/2006/relationships/hyperlink" Target="https://drive.google.com/file/d/1BMpdXHVHL-QS9OUDLWFccF_u4bg5WYRt/view?usp=drive_link" TargetMode="External"/><Relationship Id="rId43" Type="http://schemas.openxmlformats.org/officeDocument/2006/relationships/hyperlink" Target="https://drive.google.com/file/d/1q_k3-RBWkymYlU2JMt0Nh3ISp6qknz7y/view?usp=drive_link" TargetMode="External"/><Relationship Id="rId42" Type="http://schemas.openxmlformats.org/officeDocument/2006/relationships/hyperlink" Target="https://drive.google.com/file/d/1yKbjnE-BznIPydnMvQ2jobqdKkcYloPr/view?usp=drive_link" TargetMode="External"/><Relationship Id="rId41" Type="http://schemas.openxmlformats.org/officeDocument/2006/relationships/hyperlink" Target="https://drive.google.com/file/d/1HhlhWW81reAOv54MLhTMVeDbZZqB_LsU/view?usp=drive_link" TargetMode="External"/><Relationship Id="rId40" Type="http://schemas.openxmlformats.org/officeDocument/2006/relationships/hyperlink" Target="https://drive.google.com/file/d/1Laq8jw_UdTY4_-22Y9q7YVHypXf-li6u/view?usp=drive_link" TargetMode="External"/><Relationship Id="rId4" Type="http://schemas.openxmlformats.org/officeDocument/2006/relationships/hyperlink" Target="https://drive.google.com/file/d/1vAilJIwOsp4XAuK_CHrcMGeHYpph1rEL/view?usp=drive_link" TargetMode="External"/><Relationship Id="rId39" Type="http://schemas.openxmlformats.org/officeDocument/2006/relationships/hyperlink" Target="https://drive.google.com/file/d/1SV3EwCq_d_DGm45QapfcgAC8Xuaw5Q-C/view?usp=drive_link" TargetMode="External"/><Relationship Id="rId38" Type="http://schemas.openxmlformats.org/officeDocument/2006/relationships/hyperlink" Target="https://drive.google.com/file/d/1oCE8_OhG4a46J0KQ2tOtinp8oUWipaTw/view?usp=drive_link" TargetMode="External"/><Relationship Id="rId37" Type="http://schemas.openxmlformats.org/officeDocument/2006/relationships/hyperlink" Target="https://drive.google.com/file/d/1bp1aLRNQZiTX_NQtXw6-D_kRf4nzeHd3/view?usp=drive_link" TargetMode="External"/><Relationship Id="rId36" Type="http://schemas.openxmlformats.org/officeDocument/2006/relationships/hyperlink" Target="https://drive.google.com/file/d/1ifPWdJXv-uEtV0WWflXyFxQmsRXfWJDR/view?usp=drive_link" TargetMode="External"/><Relationship Id="rId35" Type="http://schemas.openxmlformats.org/officeDocument/2006/relationships/hyperlink" Target="https://drive.google.com/file/d/1N8bZi7FXqSj5ILvEIFzCl1J0H1ImXUfv/view?usp=drive_link" TargetMode="External"/><Relationship Id="rId34" Type="http://schemas.openxmlformats.org/officeDocument/2006/relationships/hyperlink" Target="https://drive.google.com/file/d/10WxtHb5m0Nvi8yN03Q6eydehP1g74DcP/view?usp=drive_link" TargetMode="External"/><Relationship Id="rId33" Type="http://schemas.openxmlformats.org/officeDocument/2006/relationships/hyperlink" Target="https://drive.google.com/file/d/1fLTi2Fi_8CEFD9poDEfOXI8VHX6In6ET/view?usp=drive_link" TargetMode="External"/><Relationship Id="rId32" Type="http://schemas.openxmlformats.org/officeDocument/2006/relationships/hyperlink" Target="https://drive.google.com/file/d/11XCXGCQtnPEiP7z7Hz_b4empIx8IEDLw/view?usp=drive_link" TargetMode="External"/><Relationship Id="rId31" Type="http://schemas.openxmlformats.org/officeDocument/2006/relationships/hyperlink" Target="https://drive.google.com/file/d/1D5YWZKLAAmTfP_tLw-UroEmDbqdwuWL_/view?usp=drive_link" TargetMode="External"/><Relationship Id="rId30" Type="http://schemas.openxmlformats.org/officeDocument/2006/relationships/hyperlink" Target="https://drive.google.com/file/d/1F38qOMc9WDO-_-uhPX6hC91MHmG2vGmR/view?usp=drive_link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Kv66VX_B3qzvlrkHDgV3VIr1TWCMFF3y/view?usp=drive_link" TargetMode="External"/><Relationship Id="rId28" Type="http://schemas.openxmlformats.org/officeDocument/2006/relationships/hyperlink" Target="https://drive.google.com/file/d/1cQfOS1LWpJ1xtrDrnU9h3RtbIHcSFlun/view?usp=drive_link" TargetMode="External"/><Relationship Id="rId27" Type="http://schemas.openxmlformats.org/officeDocument/2006/relationships/hyperlink" Target="https://drive.google.com/file/d/1PuW_HdJxDFfw38xkMO7OxCUV3jplXdjp/view?usp=drive_link" TargetMode="External"/><Relationship Id="rId26" Type="http://schemas.openxmlformats.org/officeDocument/2006/relationships/hyperlink" Target="https://drive.google.com/file/d/1syb_ciMWN3tdzZ9YDXda-MxN4GUR3zsK/view?usp=drive_link" TargetMode="External"/><Relationship Id="rId25" Type="http://schemas.openxmlformats.org/officeDocument/2006/relationships/hyperlink" Target="https://drive.google.com/file/d/1iykQftUpMwNUB5OdXBClhm7lzRAtmcli/view?usp=drive_link" TargetMode="External"/><Relationship Id="rId24" Type="http://schemas.openxmlformats.org/officeDocument/2006/relationships/hyperlink" Target="https://drive.google.com/file/d/1baOflpX9I3tvV2hV5RVgLSxl0HasbXbE/view?usp=drive_link" TargetMode="External"/><Relationship Id="rId23" Type="http://schemas.openxmlformats.org/officeDocument/2006/relationships/hyperlink" Target="https://drive.google.com/file/d/1PvtfHQbh5iJBGLtVlATUmyK2L97tbHAq/view?usp=drive_link" TargetMode="External"/><Relationship Id="rId22" Type="http://schemas.openxmlformats.org/officeDocument/2006/relationships/hyperlink" Target="https://drive.google.com/file/d/1fSWk3slTtuc3O2rwrBix5TvUycdI3hxg/view?usp=drive_link" TargetMode="External"/><Relationship Id="rId21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20" Type="http://schemas.openxmlformats.org/officeDocument/2006/relationships/hyperlink" Target="https://drive.google.com/file/d/1l0CarlJRdXeKckzjv5vdH8ZMNbVSDSFn/view?usp=drivesdk" TargetMode="External"/><Relationship Id="rId2" Type="http://schemas.openxmlformats.org/officeDocument/2006/relationships/hyperlink" Target="https://drive.google.com/file/d/1zEiu25y2WIqSnGOH7bEnPCHaURkPxRj3/view?usp=drive_link" TargetMode="External"/><Relationship Id="rId19" Type="http://schemas.openxmlformats.org/officeDocument/2006/relationships/hyperlink" Target="https://drive.google.com/file/d/1OCCCwrKUlTy4NqUDZsCGAqlMUuEalLTg/view?usp=drivesdk" TargetMode="External"/><Relationship Id="rId18" Type="http://schemas.openxmlformats.org/officeDocument/2006/relationships/hyperlink" Target="https://drive.google.com/file/d/1ixCk6rxvjxCtmh4WTZBKXyUeBFbPh7S8/view?usp=drive_link" TargetMode="External"/><Relationship Id="rId17" Type="http://schemas.openxmlformats.org/officeDocument/2006/relationships/hyperlink" Target="https://drive.google.com/file/d/1Niy9t5RyBw2Xa3Ec1iPgMDFyMsqeAndI/view?usp=drive_link" TargetMode="External"/><Relationship Id="rId16" Type="http://schemas.openxmlformats.org/officeDocument/2006/relationships/hyperlink" Target="https://drive.google.com/file/d/1larRPSYnV2oeT5u8y8fJrgb2eqmUhNe3/view?usp=drive_link" TargetMode="External"/><Relationship Id="rId15" Type="http://schemas.openxmlformats.org/officeDocument/2006/relationships/hyperlink" Target="https://drive.google.com/file/d/1RH9OEH2tugiyWgCOumJANb0YSX9NDea4/view?usp=drive_link" TargetMode="External"/><Relationship Id="rId14" Type="http://schemas.openxmlformats.org/officeDocument/2006/relationships/hyperlink" Target="https://drive.google.com/file/d/1ysUTWB21Ldy-6ReSmWpyp4_dFrDtmKzC/view?usp=drive_link" TargetMode="External"/><Relationship Id="rId13" Type="http://schemas.openxmlformats.org/officeDocument/2006/relationships/hyperlink" Target="https://drive.google.com/file/d/1dZur5gnTKLiATqzOYYfe6a7HxPqJZxzM/view?usp=drive_link" TargetMode="External"/><Relationship Id="rId12" Type="http://schemas.openxmlformats.org/officeDocument/2006/relationships/hyperlink" Target="https://drive.google.com/file/d/1DWHRNJ3pMF_sCvA1Cgrp7Nq-QjVOrmtQ/view?usp=drive_link" TargetMode="External"/><Relationship Id="rId110" Type="http://schemas.openxmlformats.org/officeDocument/2006/relationships/hyperlink" Target="https://drive.google.com/file/d/1jTCXH33gTrZDnqPAyOS9Jo4Vsl0cg49j/view?usp=sharing" TargetMode="External"/><Relationship Id="rId11" Type="http://schemas.openxmlformats.org/officeDocument/2006/relationships/hyperlink" Target="https://drive.google.com/file/d/1bFQ-jFNCIUJB-bQEArAitac2SVGjk5KO/view?usp=drive_link" TargetMode="External"/><Relationship Id="rId109" Type="http://schemas.openxmlformats.org/officeDocument/2006/relationships/hyperlink" Target="https://drive.google.com/file/d/1-LMn2RMdekpDhktxd6uNjQQdatMKF8yZ/view?usp=drive_link" TargetMode="External"/><Relationship Id="rId108" Type="http://schemas.openxmlformats.org/officeDocument/2006/relationships/hyperlink" Target="https://drive.google.com/file/d/1pO45KJ2Anjf1wjhdMDATmYcrXCytLB3y/view?usp=sharing" TargetMode="External"/><Relationship Id="rId107" Type="http://schemas.openxmlformats.org/officeDocument/2006/relationships/hyperlink" Target="https://drive.google.com/file/d/1ayKyx-7T7TwOte_gGFgfgCxWiVa8Cg8m/view?usp=drive_link" TargetMode="External"/><Relationship Id="rId106" Type="http://schemas.openxmlformats.org/officeDocument/2006/relationships/hyperlink" Target="https://drive.google.com/file/d/14S--Kd5Vl3YSMCHzwwYt_kQIgxGm_Zbg/view?usp=drive_link" TargetMode="External"/><Relationship Id="rId105" Type="http://schemas.openxmlformats.org/officeDocument/2006/relationships/hyperlink" Target="https://drive.google.com/file/d/1_wspiI7N_dRs_vE3p2pH0rc8yAcF-pg4/view?usp=drive_link" TargetMode="External"/><Relationship Id="rId104" Type="http://schemas.openxmlformats.org/officeDocument/2006/relationships/hyperlink" Target="https://drive.google.com/file/d/1WXt01Z5DyEaibfcb9yjRvC37GnJBijOf/view?usp=drive_link" TargetMode="External"/><Relationship Id="rId103" Type="http://schemas.openxmlformats.org/officeDocument/2006/relationships/hyperlink" Target="https://drive.google.com/file/d/1imOf8cO4LrDK_1VGlnSJPrR4OAx8Sd2B/view?usp=drive_link" TargetMode="External"/><Relationship Id="rId102" Type="http://schemas.openxmlformats.org/officeDocument/2006/relationships/hyperlink" Target="https://drive.google.com/file/d/15MHSo23sHhYQuvGI6Rdc88aGx1MXVhlF/view?usp=drive_link" TargetMode="External"/><Relationship Id="rId101" Type="http://schemas.openxmlformats.org/officeDocument/2006/relationships/hyperlink" Target="https://drive.google.com/file/d/1hgRISEvX5iKrV9xugIIrATVUTKN8dYJ5/view?usp=drive_link" TargetMode="External"/><Relationship Id="rId100" Type="http://schemas.openxmlformats.org/officeDocument/2006/relationships/hyperlink" Target="https://drive.google.com/file/d/1-F39fiiI1Y8uK47iYIJBO00YWmmzYabX/view?usp=drive_link" TargetMode="External"/><Relationship Id="rId10" Type="http://schemas.openxmlformats.org/officeDocument/2006/relationships/hyperlink" Target="https://drive.google.com/file/d/1IrnaC941r5EgfrkcpCJKmAxTEcse0_Uc/view?usp=drive_link" TargetMode="External"/><Relationship Id="rId1" Type="http://schemas.openxmlformats.org/officeDocument/2006/relationships/hyperlink" Target="http://s.no/" TargetMode="Externa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F5CnHaEPWWDpBgPO2Y5d003Hp400M-vu/view?usp=drive_link" TargetMode="External"/><Relationship Id="rId98" Type="http://schemas.openxmlformats.org/officeDocument/2006/relationships/hyperlink" Target="https://drive.google.com/file/d/1OdKa5CuwcqwTRTt5Noa5xILMVmoIbiNw/view?usp=drive_link" TargetMode="External"/><Relationship Id="rId97" Type="http://schemas.openxmlformats.org/officeDocument/2006/relationships/hyperlink" Target="https://drive.google.com/file/d/1-q77Z1Uc5XgPDpwmy7qEdUWn22WqoMns/view?usp=drive_link" TargetMode="External"/><Relationship Id="rId96" Type="http://schemas.openxmlformats.org/officeDocument/2006/relationships/hyperlink" Target="https://drive.google.com/file/d/1mvtqLLjPWaFwsL3dCNjWGBZ0x4_7aCbk/view?usp=drive_link" TargetMode="External"/><Relationship Id="rId95" Type="http://schemas.openxmlformats.org/officeDocument/2006/relationships/hyperlink" Target="https://drive.google.com/file/d/12vGY_7lsHLv9IMZalEAuPnbic72nRFB2/view?usp=drive_link" TargetMode="External"/><Relationship Id="rId94" Type="http://schemas.openxmlformats.org/officeDocument/2006/relationships/hyperlink" Target="https://drive.google.com/file/d/1BK_r_pQyqMRqGYdutcXUrCDfWu_k1FfF/view?usp=drive_link" TargetMode="External"/><Relationship Id="rId93" Type="http://schemas.openxmlformats.org/officeDocument/2006/relationships/hyperlink" Target="https://drive.google.com/file/d/10q7JWGM9CXOSi8ESG4McAmcDuWM3OLQv/view?usp=drive_link" TargetMode="External"/><Relationship Id="rId92" Type="http://schemas.openxmlformats.org/officeDocument/2006/relationships/hyperlink" Target="https://drive.google.com/file/d/1enieNA351GFAvT8TjmPO4OBVOJybDfBf/view?usp=drive_link" TargetMode="External"/><Relationship Id="rId91" Type="http://schemas.openxmlformats.org/officeDocument/2006/relationships/hyperlink" Target="https://drive.google.com/file/d/1h4UxKdilw3XmSFWXrmvEuuThDQgs0MHv/view?usp=drive_link" TargetMode="External"/><Relationship Id="rId90" Type="http://schemas.openxmlformats.org/officeDocument/2006/relationships/hyperlink" Target="https://drive.google.com/file/d/1Oxu28dNLhxLnMyUotxgkfGY0Yrsy6xFM/view?usp=drive_link" TargetMode="External"/><Relationship Id="rId9" Type="http://schemas.openxmlformats.org/officeDocument/2006/relationships/hyperlink" Target="https://drive.google.com/file/d/14cGRh_2GVwGIhwcirub7JRZGMV1dZAmt/view?usp=drive_link" TargetMode="External"/><Relationship Id="rId89" Type="http://schemas.openxmlformats.org/officeDocument/2006/relationships/hyperlink" Target="https://drive.google.com/file/d/1li35LiR9pBtRkMciLZGevuLfPLxeF-jC/view?usp=drive_link" TargetMode="External"/><Relationship Id="rId88" Type="http://schemas.openxmlformats.org/officeDocument/2006/relationships/hyperlink" Target="https://drive.google.com/file/d/1cDws5m82y0QLaMQjQn4nPhQjGbKZTTHM/view?usp=drive_link" TargetMode="External"/><Relationship Id="rId87" Type="http://schemas.openxmlformats.org/officeDocument/2006/relationships/hyperlink" Target="https://drive.google.com/file/d/1SyqKT5bF5AaGYQgD2j5JSrpmJiBMLybn/view?usp=drivesdk" TargetMode="External"/><Relationship Id="rId86" Type="http://schemas.openxmlformats.org/officeDocument/2006/relationships/hyperlink" Target="https://drive.google.com/file/d/1zVz0DVls0T0q0Nw8a9sVgmfrBBnx7VDU/view?usp=drivesdk" TargetMode="External"/><Relationship Id="rId85" Type="http://schemas.openxmlformats.org/officeDocument/2006/relationships/hyperlink" Target="https://drive.google.com/file/d/1JmOAm4079UzechP2QZhlcGLcKATeh1NC/view?usp=drivesdk" TargetMode="External"/><Relationship Id="rId84" Type="http://schemas.openxmlformats.org/officeDocument/2006/relationships/hyperlink" Target="https://drive.google.com/file/d/1LKMYyqlNdTpBAJHzScOqSYbwoX-Sj7CT/view?usp=drivesdk" TargetMode="External"/><Relationship Id="rId83" Type="http://schemas.openxmlformats.org/officeDocument/2006/relationships/hyperlink" Target="https://drive.google.com/file/d/1Ch_AMeZpQJwlPI-AnmtZuzdLGCeR9QKA/view?usp=drive_link" TargetMode="External"/><Relationship Id="rId82" Type="http://schemas.openxmlformats.org/officeDocument/2006/relationships/hyperlink" Target="https://drive.google.com/file/d/17SJTGdOIPyZoBVvb3OcOJmQ_95JfuaZ5/view?usp=drivesdk" TargetMode="External"/><Relationship Id="rId81" Type="http://schemas.openxmlformats.org/officeDocument/2006/relationships/hyperlink" Target="https://drive.google.com/file/d/1JJxXXDiBnkpOvq2wjJstoqS76vydmnah/view?usp=drivesdk" TargetMode="External"/><Relationship Id="rId80" Type="http://schemas.openxmlformats.org/officeDocument/2006/relationships/hyperlink" Target="https://drive.google.com/file/d/1lDxJBcuIu3TFbYeDrmoCWNkC3Q7oRWtQ/view?usp=drivesdk" TargetMode="External"/><Relationship Id="rId8" Type="http://schemas.openxmlformats.org/officeDocument/2006/relationships/hyperlink" Target="https://drive.google.com/file/d/1NbjsWNBnt8yAOYgw8256z5xMLAnE9saL/view?usp=drive_link" TargetMode="External"/><Relationship Id="rId79" Type="http://schemas.openxmlformats.org/officeDocument/2006/relationships/hyperlink" Target="https://drive.google.com/file/d/1s5ZFWy4lgKTWx1VTywtJJzs4tASXleI9/view?usp=drivesdk" TargetMode="External"/><Relationship Id="rId78" Type="http://schemas.openxmlformats.org/officeDocument/2006/relationships/hyperlink" Target="https://drive.google.com/file/d/1BNuTqZYxqx1yeGa2TrCYkK9pzeYN8dIj/view?usp=drivesdk" TargetMode="External"/><Relationship Id="rId77" Type="http://schemas.openxmlformats.org/officeDocument/2006/relationships/hyperlink" Target="https://drive.google.com/file/d/1p4jNVbor9SWt0QSpK-huF8RwzNZztNBs/view?usp=drive_link" TargetMode="External"/><Relationship Id="rId76" Type="http://schemas.openxmlformats.org/officeDocument/2006/relationships/hyperlink" Target="https://drive.google.com/file/d/1-ViehUGCoK-95HMz0jT4bisUTtKswxf_/view?usp=sharing" TargetMode="External"/><Relationship Id="rId75" Type="http://schemas.openxmlformats.org/officeDocument/2006/relationships/hyperlink" Target="https://drive.google.com/file/d/1pSBWMwByQ3bS1TS6p1JDl_bfYDZPEKhO/view?usp=drivesdk" TargetMode="External"/><Relationship Id="rId74" Type="http://schemas.openxmlformats.org/officeDocument/2006/relationships/hyperlink" Target="https://drive.google.com/file/d/1qjtejJbPZhaEoDtH1SzjRPkoAIfcWO6P/view?usp=drive_link" TargetMode="External"/><Relationship Id="rId73" Type="http://schemas.openxmlformats.org/officeDocument/2006/relationships/hyperlink" Target="https://drive.google.com/file/d/1zNPTqOWIAAzbj9EO4ncViLdsta6fP4-B/view?usp=drive_link" TargetMode="External"/><Relationship Id="rId72" Type="http://schemas.openxmlformats.org/officeDocument/2006/relationships/hyperlink" Target="https://drive.google.com/file/d/1H2Tu0b4e89eTHmMI63w_O40s7DDfx6nZ/view?usp=drive_link" TargetMode="External"/><Relationship Id="rId71" Type="http://schemas.openxmlformats.org/officeDocument/2006/relationships/hyperlink" Target="https://drive.google.com/file/d/1kKMgPTcSPCepLzmQtC9IH01yOX9uG2Ki/view?usp=drive_link" TargetMode="External"/><Relationship Id="rId70" Type="http://schemas.openxmlformats.org/officeDocument/2006/relationships/hyperlink" Target="https://drive.google.com/file/d/14yOnVXC07YmrJan3St1n0w59aE_nchUs/view?usp=drive_link" TargetMode="External"/><Relationship Id="rId7" Type="http://schemas.openxmlformats.org/officeDocument/2006/relationships/hyperlink" Target="https://drive.google.com/file/d/1cdISt4tJ-87zLD7jrCab0AApFCkT0B4_/view?usp=drive_link" TargetMode="External"/><Relationship Id="rId69" Type="http://schemas.openxmlformats.org/officeDocument/2006/relationships/hyperlink" Target="https://drive.google.com/file/d/1bmXuw6WZv5W2ruYHLYOySR1MC6tjL40T/view?usp=drive_link" TargetMode="External"/><Relationship Id="rId68" Type="http://schemas.openxmlformats.org/officeDocument/2006/relationships/hyperlink" Target="https://drive.google.com/file/d/1JVmGCS2hUlfhp_oXP-IfUyC3PYiP3qbZ/view?usp=sharing" TargetMode="External"/><Relationship Id="rId67" Type="http://schemas.openxmlformats.org/officeDocument/2006/relationships/hyperlink" Target="https://drive.google.com/file/d/1j5orF-EAT8nzNC71KVyOVSOQbm2_QjuJ/view?usp=drive_link" TargetMode="External"/><Relationship Id="rId66" Type="http://schemas.openxmlformats.org/officeDocument/2006/relationships/hyperlink" Target="https://drive.google.com/file/d/1FG-ePFWhh-7nEOdW2hKQ4GFiLT5XqmoM/view?usp=drive_link" TargetMode="External"/><Relationship Id="rId65" Type="http://schemas.openxmlformats.org/officeDocument/2006/relationships/hyperlink" Target="https://drive.google.com/file/d/1YqUwYHkmkInmoqR1jIrrPqzn7C9CbZSq/view?usp=drive_link" TargetMode="External"/><Relationship Id="rId64" Type="http://schemas.openxmlformats.org/officeDocument/2006/relationships/hyperlink" Target="https://drive.google.com/file/d/1kWRdu-e2bjt32eHf5kGnuM8wcS-Fx47c/view?usp=drive_link" TargetMode="External"/><Relationship Id="rId63" Type="http://schemas.openxmlformats.org/officeDocument/2006/relationships/hyperlink" Target="https://drive.google.com/file/d/1YHpfN8qEDg_LhLfUecy8oZAhcjneW4hz/view?usp=drive_link" TargetMode="External"/><Relationship Id="rId62" Type="http://schemas.openxmlformats.org/officeDocument/2006/relationships/hyperlink" Target="https://drive.google.com/file/d/1TZsYnKQN1ucpIOjS9vqOd5I2noaacdQM/view?usp=drive_link" TargetMode="External"/><Relationship Id="rId61" Type="http://schemas.openxmlformats.org/officeDocument/2006/relationships/hyperlink" Target="https://drive.google.com/file/d/1KAqMdXgB9x9LdpBY07y7fYPOvIjhi8C4/view?usp=drive_link" TargetMode="External"/><Relationship Id="rId60" Type="http://schemas.openxmlformats.org/officeDocument/2006/relationships/hyperlink" Target="https://drive.google.com/file/d/1C3BIleXh513bn49GPRScGMu485d1L8L7/view?usp=drive_link" TargetMode="External"/><Relationship Id="rId6" Type="http://schemas.openxmlformats.org/officeDocument/2006/relationships/hyperlink" Target="https://drive.google.com/file/d/1dofCSrM5wtNOH1KynOIxPGTQNLOBhoyB/view?usp=drive_link" TargetMode="External"/><Relationship Id="rId59" Type="http://schemas.openxmlformats.org/officeDocument/2006/relationships/hyperlink" Target="https://drive.google.com/file/d/1pRH64AZsoT8jL0jju8pVTiA5_8XzjQ7I/view?usp=drive_link" TargetMode="External"/><Relationship Id="rId58" Type="http://schemas.openxmlformats.org/officeDocument/2006/relationships/hyperlink" Target="https://drive.google.com/file/d/1kC70iaTwtimveoHsE1nfPR8Q79-vRT4C/view?usp=drive_link" TargetMode="External"/><Relationship Id="rId57" Type="http://schemas.openxmlformats.org/officeDocument/2006/relationships/hyperlink" Target="https://drive.google.com/file/d/1mFWGkM1k27BQWCtG-f-MRIMT6jat-Cv6/view?usp=drive_link" TargetMode="External"/><Relationship Id="rId56" Type="http://schemas.openxmlformats.org/officeDocument/2006/relationships/hyperlink" Target="https://drive.google.com/file/d/16LqVE93tFM4Tgf6oOxNQYmV0ib4mwwEk/view?usp=drive_link" TargetMode="External"/><Relationship Id="rId55" Type="http://schemas.openxmlformats.org/officeDocument/2006/relationships/hyperlink" Target="https://drive.google.com/file/d/14jqrnwRyqC-BoyeR5O45sY_apBuFkxzK/view?usp=drive_link" TargetMode="External"/><Relationship Id="rId54" Type="http://schemas.openxmlformats.org/officeDocument/2006/relationships/hyperlink" Target="https://drive.google.com/file/d/18PyXFnuhNz0WgoP5tpMcA6Tpd3naqOWY/view?usp=drive_link" TargetMode="External"/><Relationship Id="rId53" Type="http://schemas.openxmlformats.org/officeDocument/2006/relationships/hyperlink" Target="https://drive.google.com/file/d/1sHIIkCCrGptAZ8m0OAmJxb5PrwwcmyMB/view?usp=drive_link" TargetMode="External"/><Relationship Id="rId52" Type="http://schemas.openxmlformats.org/officeDocument/2006/relationships/hyperlink" Target="https://drive.google.com/file/d/1xpItLrpiwFXpKisfwtR_1Fm6dSsCWfQx/view?usp=drive_link" TargetMode="External"/><Relationship Id="rId51" Type="http://schemas.openxmlformats.org/officeDocument/2006/relationships/hyperlink" Target="https://drive.google.com/file/d/1a7oB1w4r3ps21PVNCGt_M-qipCZuF79u/view?usp=drive_link" TargetMode="External"/><Relationship Id="rId50" Type="http://schemas.openxmlformats.org/officeDocument/2006/relationships/hyperlink" Target="https://drive.google.com/file/d/1SOB8yTx3iNQluvEnXfGG6MWAqHSEz-Qo/view?usp=drive_link" TargetMode="External"/><Relationship Id="rId5" Type="http://schemas.openxmlformats.org/officeDocument/2006/relationships/hyperlink" Target="https://drive.google.com/file/d/12qjm2u6d4HXZoeZuaefjGZ0LMXzOfKZV/view?usp=drive_link" TargetMode="External"/><Relationship Id="rId49" Type="http://schemas.openxmlformats.org/officeDocument/2006/relationships/hyperlink" Target="https://drive.google.com/file/d/1TlMcYAuNXaqhxEmWpXQUqvfAQAk46AGx/view?usp=drive_link" TargetMode="External"/><Relationship Id="rId48" Type="http://schemas.openxmlformats.org/officeDocument/2006/relationships/hyperlink" Target="https://drive.google.com/file/d/1RjtduOuUUzvGEjwCm8F2bH0fsFkGv9RU/view?usp=drive_link" TargetMode="External"/><Relationship Id="rId47" Type="http://schemas.openxmlformats.org/officeDocument/2006/relationships/hyperlink" Target="https://drive.google.com/file/d/1OYyRb166OzrvRdbukdwujIApMTpSqXkq/view?usp=drive_link" TargetMode="External"/><Relationship Id="rId46" Type="http://schemas.openxmlformats.org/officeDocument/2006/relationships/hyperlink" Target="https://drive.google.com/file/d/16UsDogIzUJb0JDlNqxWAcFsGoLso2Rag/view?usp=drive_link" TargetMode="External"/><Relationship Id="rId45" Type="http://schemas.openxmlformats.org/officeDocument/2006/relationships/hyperlink" Target="https://drive.google.com/file/d/15WY7JhHyLmMVdAqEF85pxzRImdAYNbHt/view?usp=drive_link" TargetMode="External"/><Relationship Id="rId44" Type="http://schemas.openxmlformats.org/officeDocument/2006/relationships/hyperlink" Target="https://drive.google.com/file/d/1bB-ubDlDHELJkEwJsakndQ65RBsqrmiN/view?usp=drive_link" TargetMode="External"/><Relationship Id="rId43" Type="http://schemas.openxmlformats.org/officeDocument/2006/relationships/hyperlink" Target="https://drive.google.com/file/d/1B0bJNgd9noA8CsBHaEH0x07i1dCYrkar/view?usp=drive_link" TargetMode="External"/><Relationship Id="rId42" Type="http://schemas.openxmlformats.org/officeDocument/2006/relationships/hyperlink" Target="https://drive.google.com/file/d/1xmxpTJUQPA4bcqDs2vi2RbCFEqfNOQ30/view?usp=drive_link" TargetMode="External"/><Relationship Id="rId41" Type="http://schemas.openxmlformats.org/officeDocument/2006/relationships/hyperlink" Target="https://drive.google.com/file/d/1pDQZctveHAIMNuwOToZFCeFOLy-NBLjB/view?usp=drive_link" TargetMode="External"/><Relationship Id="rId40" Type="http://schemas.openxmlformats.org/officeDocument/2006/relationships/hyperlink" Target="https://drive.google.com/file/d/1i9SK2xIfgneWwszAQ8NZ14bVLJGFxCqi/view?usp=drive_link" TargetMode="External"/><Relationship Id="rId4" Type="http://schemas.openxmlformats.org/officeDocument/2006/relationships/hyperlink" Target="https://drive.google.com/file/d/1O_oCQwgVirp_-8d3UhY1cPDaNy9b7iKJ/view?usp=drive_link" TargetMode="External"/><Relationship Id="rId39" Type="http://schemas.openxmlformats.org/officeDocument/2006/relationships/hyperlink" Target="https://drive.google.com/file/d/1cvFarA3SW7-yAEjIPXFS_mL8um-66v4U/view?usp=drive_link" TargetMode="External"/><Relationship Id="rId38" Type="http://schemas.openxmlformats.org/officeDocument/2006/relationships/hyperlink" Target="https://drive.google.com/file/d/1reC79Z5VobvIwm_G13WWcxZsoT6HfJfi/view?usp=drive_link" TargetMode="External"/><Relationship Id="rId37" Type="http://schemas.openxmlformats.org/officeDocument/2006/relationships/hyperlink" Target="https://drive.google.com/file/d/11K7JKHb9-SEgmswVzAnX2wsAN-hr_Td9/view?usp=drive_link" TargetMode="External"/><Relationship Id="rId36" Type="http://schemas.openxmlformats.org/officeDocument/2006/relationships/hyperlink" Target="https://drive.google.com/file/d/1An2Uhw1--S_0CAZn0f56ljkZE1vohYQv/view?usp=drive_link" TargetMode="External"/><Relationship Id="rId35" Type="http://schemas.openxmlformats.org/officeDocument/2006/relationships/hyperlink" Target="https://drive.google.com/file/d/1-rKryF1JhHdK2zrMQNC7i0LN_4B1eUqJ/view?usp=drive_link" TargetMode="External"/><Relationship Id="rId34" Type="http://schemas.openxmlformats.org/officeDocument/2006/relationships/hyperlink" Target="https://drive.google.com/file/d/1hE4zoZlsHXBDv8WJPK8dp-fZXgpxdFv6/view?usp=drive_link" TargetMode="External"/><Relationship Id="rId33" Type="http://schemas.openxmlformats.org/officeDocument/2006/relationships/hyperlink" Target="https://drive.google.com/file/d/1CkL20XZUNh-D4W39Xon_T0oTUVFGbm-v/view?usp=drive_link" TargetMode="External"/><Relationship Id="rId32" Type="http://schemas.openxmlformats.org/officeDocument/2006/relationships/hyperlink" Target="https://drive.google.com/file/d/13hgIgEwXsrPgbPDqptf77Z9p4I6yyJfD/view?usp=drive_link" TargetMode="External"/><Relationship Id="rId31" Type="http://schemas.openxmlformats.org/officeDocument/2006/relationships/hyperlink" Target="https://drive.google.com/file/d/1tA6yACKL-6HC5hxoXPDXyx1u-98NRyTT/view?usp=drive_link" TargetMode="External"/><Relationship Id="rId30" Type="http://schemas.openxmlformats.org/officeDocument/2006/relationships/hyperlink" Target="https://drive.google.com/file/d/1C7WrrZT5BaZQN8Yt25tyXB_swLOW8xgn/view?usp=drive_link" TargetMode="External"/><Relationship Id="rId3" Type="http://schemas.openxmlformats.org/officeDocument/2006/relationships/hyperlink" Target="https://drive.google.com/file/d/1zEiu25y2WIqSnGOH7bEnPCHaURkPxRj3/view?usp=drive_link" TargetMode="External"/><Relationship Id="rId29" Type="http://schemas.openxmlformats.org/officeDocument/2006/relationships/hyperlink" Target="https://drive.google.com/file/d/1aULi1pNwQdGVpTKDuog0P9Xh1IcPJhYJ/view?usp=drive_link" TargetMode="External"/><Relationship Id="rId28" Type="http://schemas.openxmlformats.org/officeDocument/2006/relationships/hyperlink" Target="https://drive.google.com/file/d/19Tj9nBvW1X86Tl8tQHZvYNuW-cCRXuEr/view?usp=sharing" TargetMode="External"/><Relationship Id="rId27" Type="http://schemas.openxmlformats.org/officeDocument/2006/relationships/hyperlink" Target="https://drive.google.com/file/d/1y9h8s5VAhGnrjSTRX_kpZAvQxcoDZYlF/view?usp=drive_link" TargetMode="External"/><Relationship Id="rId26" Type="http://schemas.openxmlformats.org/officeDocument/2006/relationships/hyperlink" Target="https://drive.google.com/file/d/13Rp0jhLAUPxVgNUeKao1SrUscyPBF4xd/view" TargetMode="External"/><Relationship Id="rId25" Type="http://schemas.openxmlformats.org/officeDocument/2006/relationships/hyperlink" Target="https://drive.google.com/file/d/1s8OZL4bc7F2j7KS9zfzhf2P5yW2dTEDk/view?usp=drive_link" TargetMode="External"/><Relationship Id="rId24" Type="http://schemas.openxmlformats.org/officeDocument/2006/relationships/hyperlink" Target="https://drive.google.com/file/d/1ZeNs6CmY8qo9pahwhFv_xBTKwPVHiSkn/view?usp=drive_link" TargetMode="External"/><Relationship Id="rId23" Type="http://schemas.openxmlformats.org/officeDocument/2006/relationships/hyperlink" Target="https://drive.google.com/file/d/1wR3JS6mVztKSlvTXybFoo1YrSaSq3Zoq/view?usp=sharing" TargetMode="External"/><Relationship Id="rId22" Type="http://schemas.openxmlformats.org/officeDocument/2006/relationships/hyperlink" Target="https://drive.google.com/file/d/1XPxVc6VPwT28SRlF7XMFB8py7__NBFpE/view" TargetMode="External"/><Relationship Id="rId21" Type="http://schemas.openxmlformats.org/officeDocument/2006/relationships/hyperlink" Target="https://drive.google.com/file/d/1f9YvrEEU4Hx-Gov_l-mxoXT9fJwHvlGX/view?usp=drivesdk" TargetMode="External"/><Relationship Id="rId20" Type="http://schemas.openxmlformats.org/officeDocument/2006/relationships/hyperlink" Target="https://drive.google.com/file/d/12KopJf7SYPFFsnsvgmsPDbOom0TO3j0X/view?usp=drive_link" TargetMode="External"/><Relationship Id="rId2" Type="http://schemas.openxmlformats.org/officeDocument/2006/relationships/hyperlink" Target="https://drive.google.com/file/d/1cg69iAQNc9uOtWuqUJGFIHJbW9g8lvCb/view?usp=drive_link" TargetMode="External"/><Relationship Id="rId19" Type="http://schemas.openxmlformats.org/officeDocument/2006/relationships/hyperlink" Target="https://drive.google.com/file/d/1j_fMsuqPpAk6hk_Ex-1HenneeCMM4PHE/view?usp=drive_link" TargetMode="External"/><Relationship Id="rId18" Type="http://schemas.openxmlformats.org/officeDocument/2006/relationships/hyperlink" Target="https://drive.google.com/file/d/1kwhWDV2sas6q976crSlR_8DBsQ4w9Exm/view?usp=drive_link" TargetMode="External"/><Relationship Id="rId17" Type="http://schemas.openxmlformats.org/officeDocument/2006/relationships/hyperlink" Target="https://drive.google.com/file/d/1EA90Utk1ns7TCVkyeIJ5iW7Hdqq2_Zha/view?usp=drive_link" TargetMode="External"/><Relationship Id="rId16" Type="http://schemas.openxmlformats.org/officeDocument/2006/relationships/hyperlink" Target="https://drive.google.com/file/d/1Avr2c9EUJeRR_WORLT-fejRiDBwfHUZJ/view?usp=drive_link" TargetMode="External"/><Relationship Id="rId15" Type="http://schemas.openxmlformats.org/officeDocument/2006/relationships/hyperlink" Target="https://drive.google.com/file/d/1ce1-C1itmD7AlR76e27BCJ0C31lSTMnw/view?usp=drive_link" TargetMode="External"/><Relationship Id="rId14" Type="http://schemas.openxmlformats.org/officeDocument/2006/relationships/hyperlink" Target="https://drive.google.com/file/d/1xhoOelgJtETR2lksOEn2smRvK4DCukCg/view?usp=drive_link" TargetMode="External"/><Relationship Id="rId13" Type="http://schemas.openxmlformats.org/officeDocument/2006/relationships/hyperlink" Target="https://drive.google.com/file/d/1bIzwIHgyl5KuI1ukxJZqJaAoYq_sl5wD/view?usp=drive_link" TargetMode="External"/><Relationship Id="rId121" Type="http://schemas.openxmlformats.org/officeDocument/2006/relationships/hyperlink" Target="https://drive.google.com/file/d/1dVPU9ojFTzvoEQbwwIHciRRk0WuLWjKU/view?usp=sharing" TargetMode="External"/><Relationship Id="rId120" Type="http://schemas.openxmlformats.org/officeDocument/2006/relationships/hyperlink" Target="https://drive.google.com/file/d/1jS-Rm2khcd-mVb7hr4dZSn3vTM6euEMF/view?usp=drive_link" TargetMode="External"/><Relationship Id="rId12" Type="http://schemas.openxmlformats.org/officeDocument/2006/relationships/hyperlink" Target="https://drive.google.com/file/d/1g_NCEmpgXGAv6Wf51xoA6Lhpz__Zkopy/view?usp=drive_link" TargetMode="External"/><Relationship Id="rId119" Type="http://schemas.openxmlformats.org/officeDocument/2006/relationships/hyperlink" Target="https://drive.google.com/file/d/1z6DqqghGz5_1wHnScD8k48HgKfz0Zk9I/view?usp=sharing" TargetMode="External"/><Relationship Id="rId118" Type="http://schemas.openxmlformats.org/officeDocument/2006/relationships/hyperlink" Target="https://drive.google.com/file/d/1HvfXkFjLiHRPwmnYl-3JLNG2OHocGWGJ/view?usp=drive_link" TargetMode="External"/><Relationship Id="rId117" Type="http://schemas.openxmlformats.org/officeDocument/2006/relationships/hyperlink" Target="https://drive.google.com/file/d/1O8IFerN_b1OVb1CN9mQGTjYZpOKGoITY/view?usp=drive_link" TargetMode="External"/><Relationship Id="rId116" Type="http://schemas.openxmlformats.org/officeDocument/2006/relationships/hyperlink" Target="https://drive.google.com/file/d/1g_9nh_hqVHEgyFmCYgVlJFmL1Aj6XSjP/view?usp=drive_link" TargetMode="External"/><Relationship Id="rId115" Type="http://schemas.openxmlformats.org/officeDocument/2006/relationships/hyperlink" Target="https://drive.google.com/file/d/1pO45KJ2Anjf1wjhdMDATmYcrXCytLB3y/view?usp=sharing" TargetMode="External"/><Relationship Id="rId114" Type="http://schemas.openxmlformats.org/officeDocument/2006/relationships/hyperlink" Target="https://drive.google.com/file/d/1ayKyx-7T7TwOte_gGFgfgCxWiVa8Cg8m/view?usp=drive_link" TargetMode="External"/><Relationship Id="rId113" Type="http://schemas.openxmlformats.org/officeDocument/2006/relationships/hyperlink" Target="https://drive.google.com/file/d/1VXVL_r3DoAz3I_u0DD1X5QX9FVNRikkd/view?usp=drive_link" TargetMode="External"/><Relationship Id="rId112" Type="http://schemas.openxmlformats.org/officeDocument/2006/relationships/hyperlink" Target="https://drive.google.com/file/d/14S--Kd5Vl3YSMCHzwwYt_kQIgxGm_Zbg/view?usp=drive_link" TargetMode="External"/><Relationship Id="rId111" Type="http://schemas.openxmlformats.org/officeDocument/2006/relationships/hyperlink" Target="https://drive.google.com/file/d/1n-OVjxMOvOjL1phlSkz8eviOukA2jLci/view?usp=drive_link" TargetMode="External"/><Relationship Id="rId110" Type="http://schemas.openxmlformats.org/officeDocument/2006/relationships/hyperlink" Target="https://drive.google.com/file/d/1_wspiI7N_dRs_vE3p2pH0rc8yAcF-pg4/view?usp=drive_link" TargetMode="External"/><Relationship Id="rId11" Type="http://schemas.openxmlformats.org/officeDocument/2006/relationships/hyperlink" Target="https://drive.google.com/file/d/1zRYIMnuahZ6rLYGTnQ9LCNrnYC0VqvCA/view?usp=drive_link" TargetMode="External"/><Relationship Id="rId109" Type="http://schemas.openxmlformats.org/officeDocument/2006/relationships/hyperlink" Target="https://drive.google.com/file/d/1WXt01Z5DyEaibfcb9yjRvC37GnJBijOf/view?usp=drive_link" TargetMode="External"/><Relationship Id="rId108" Type="http://schemas.openxmlformats.org/officeDocument/2006/relationships/hyperlink" Target="https://drive.google.com/file/d/12CBiVkqByJdiB_fExvTvqpU9ylB2Sy3W/view?usp=drive_link" TargetMode="External"/><Relationship Id="rId107" Type="http://schemas.openxmlformats.org/officeDocument/2006/relationships/hyperlink" Target="https://drive.google.com/file/d/1rjwl5CZZjBCqyIHHwyVOtiklXu_rVxIO/view?usp=drive_link" TargetMode="External"/><Relationship Id="rId106" Type="http://schemas.openxmlformats.org/officeDocument/2006/relationships/hyperlink" Target="https://drive.google.com/file/d/1imOf8cO4LrDK_1VGlnSJPrR4OAx8Sd2B/view?usp=drive_link" TargetMode="External"/><Relationship Id="rId105" Type="http://schemas.openxmlformats.org/officeDocument/2006/relationships/hyperlink" Target="https://drive.google.com/file/d/10aHD4D4de3IMNUlj2mTv1iugbhs7vm95/view?usp=drive_link" TargetMode="External"/><Relationship Id="rId104" Type="http://schemas.openxmlformats.org/officeDocument/2006/relationships/hyperlink" Target="https://drive.google.com/file/d/15MHSo23sHhYQuvGI6Rdc88aGx1MXVhlF/view?usp=drive_link" TargetMode="External"/><Relationship Id="rId103" Type="http://schemas.openxmlformats.org/officeDocument/2006/relationships/hyperlink" Target="https://drive.google.com/file/d/1z2yIzp0ZbgM-WXwFf0MlJEXezfRG53OZ/view?usp=drive_link" TargetMode="External"/><Relationship Id="rId102" Type="http://schemas.openxmlformats.org/officeDocument/2006/relationships/hyperlink" Target="https://drive.google.com/file/d/1iM6JYBRLHprqStsbnjDbK7PDfGh7qwFM/view?usp=drive_link" TargetMode="External"/><Relationship Id="rId101" Type="http://schemas.openxmlformats.org/officeDocument/2006/relationships/hyperlink" Target="https://drive.google.com/file/d/1O7Q1DM3gk5sOxqcxfpJvyg_QnhU-8uN0/view?usp=drive_link" TargetMode="External"/><Relationship Id="rId100" Type="http://schemas.openxmlformats.org/officeDocument/2006/relationships/hyperlink" Target="https://drive.google.com/file/d/1azylkLH7erbjpKWMi9F4hPPpk1TycAVw/view?usp=drive_link" TargetMode="External"/><Relationship Id="rId10" Type="http://schemas.openxmlformats.org/officeDocument/2006/relationships/hyperlink" Target="https://drive.google.com/file/d/1TtxJeWuVc20ePVik4bdjwKeBWspDdqMP/view?usp=drive_link" TargetMode="External"/><Relationship Id="rId1" Type="http://schemas.openxmlformats.org/officeDocument/2006/relationships/hyperlink" Target="http://s.no/" TargetMode="Externa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Avr2c9EUJeRR_WORLT-fejRiDBwfHUZJ/view?usp=drive_link" TargetMode="External"/><Relationship Id="rId84" Type="http://schemas.openxmlformats.org/officeDocument/2006/relationships/hyperlink" Target="https://drive.google.com/file/d/1HvfXkFjLiHRPwmnYl-3JLNG2OHocGWGJ/view?usp=drive_link" TargetMode="External"/><Relationship Id="rId83" Type="http://schemas.openxmlformats.org/officeDocument/2006/relationships/hyperlink" Target="https://drive.google.com/file/d/1O8IFerN_b1OVb1CN9mQGTjYZpOKGoITY/view?usp=drive_link" TargetMode="External"/><Relationship Id="rId82" Type="http://schemas.openxmlformats.org/officeDocument/2006/relationships/hyperlink" Target="https://drive.google.com/file/d/1g_9nh_hqVHEgyFmCYgVlJFmL1Aj6XSjP/view?usp=drive_link" TargetMode="External"/><Relationship Id="rId81" Type="http://schemas.openxmlformats.org/officeDocument/2006/relationships/hyperlink" Target="https://drive.google.com/file/d/1-LMn2RMdekpDhktxd6uNjQQdatMKF8yZ/view?usp=drive_link" TargetMode="External"/><Relationship Id="rId80" Type="http://schemas.openxmlformats.org/officeDocument/2006/relationships/hyperlink" Target="https://drive.google.com/file/d/1pO45KJ2Anjf1wjhdMDATmYcrXCytLB3y/view?usp=sharing" TargetMode="External"/><Relationship Id="rId8" Type="http://schemas.openxmlformats.org/officeDocument/2006/relationships/hyperlink" Target="https://drive.google.com/file/d/1EA90Utk1ns7TCVkyeIJ5iW7Hdqq2_Zha/view?usp=drive_link" TargetMode="External"/><Relationship Id="rId79" Type="http://schemas.openxmlformats.org/officeDocument/2006/relationships/hyperlink" Target="https://drive.google.com/file/d/1ayKyx-7T7TwOte_gGFgfgCxWiVa8Cg8m/view?usp=drive_link" TargetMode="External"/><Relationship Id="rId78" Type="http://schemas.openxmlformats.org/officeDocument/2006/relationships/hyperlink" Target="https://drive.google.com/file/d/14S--Kd5Vl3YSMCHzwwYt_kQIgxGm_Zbg/view?usp=drive_link" TargetMode="External"/><Relationship Id="rId77" Type="http://schemas.openxmlformats.org/officeDocument/2006/relationships/hyperlink" Target="https://drive.google.com/file/d/1_wspiI7N_dRs_vE3p2pH0rc8yAcF-pg4/view?usp=drive_link" TargetMode="External"/><Relationship Id="rId76" Type="http://schemas.openxmlformats.org/officeDocument/2006/relationships/hyperlink" Target="https://drive.google.com/file/d/1WXt01Z5DyEaibfcb9yjRvC37GnJBijOf/view?usp=drive_link" TargetMode="External"/><Relationship Id="rId75" Type="http://schemas.openxmlformats.org/officeDocument/2006/relationships/hyperlink" Target="https://drive.google.com/file/d/1imOf8cO4LrDK_1VGlnSJPrR4OAx8Sd2B/view?usp=drive_link" TargetMode="External"/><Relationship Id="rId74" Type="http://schemas.openxmlformats.org/officeDocument/2006/relationships/hyperlink" Target="https://drive.google.com/file/d/15MHSo23sHhYQuvGI6Rdc88aGx1MXVhlF/view?usp=drive_link" TargetMode="External"/><Relationship Id="rId73" Type="http://schemas.openxmlformats.org/officeDocument/2006/relationships/hyperlink" Target="https://drive.google.com/file/d/1ebmbZY2bys1BHt_d6A4aQlW06jjNZwzM/view?usp=drive_link" TargetMode="External"/><Relationship Id="rId72" Type="http://schemas.openxmlformats.org/officeDocument/2006/relationships/hyperlink" Target="https://drive.google.com/file/d/1iM6JYBRLHprqStsbnjDbK7PDfGh7qwFM/view?usp=drive_link" TargetMode="External"/><Relationship Id="rId71" Type="http://schemas.openxmlformats.org/officeDocument/2006/relationships/hyperlink" Target="https://drive.google.com/file/d/1O7Q1DM3gk5sOxqcxfpJvyg_QnhU-8uN0/view?usp=drive_link" TargetMode="External"/><Relationship Id="rId70" Type="http://schemas.openxmlformats.org/officeDocument/2006/relationships/hyperlink" Target="https://drive.google.com/file/d/1azylkLH7erbjpKWMi9F4hPPpk1TycAVw/view?usp=drive_link" TargetMode="External"/><Relationship Id="rId7" Type="http://schemas.openxmlformats.org/officeDocument/2006/relationships/hyperlink" Target="https://drive.google.com/file/d/1g_NCEmpgXGAv6Wf51xoA6Lhpz__Zkopy/view?usp=drive_link" TargetMode="External"/><Relationship Id="rId69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68" Type="http://schemas.openxmlformats.org/officeDocument/2006/relationships/hyperlink" Target="https://drive.google.com/file/d/1SyqKT5bF5AaGYQgD2j5JSrpmJiBMLybn/view?usp=drivesdk" TargetMode="External"/><Relationship Id="rId67" Type="http://schemas.openxmlformats.org/officeDocument/2006/relationships/hyperlink" Target="https://drive.google.com/file/d/1l0CarlJRdXeKckzjv5vdH8ZMNbVSDSFn/view?usp=drivesdk" TargetMode="External"/><Relationship Id="rId66" Type="http://schemas.openxmlformats.org/officeDocument/2006/relationships/hyperlink" Target="https://drive.google.com/file/d/1cDws5m82y0QLaMQjQn4nPhQjGbKZTTHM/view?usp=drive_link" TargetMode="External"/><Relationship Id="rId65" Type="http://schemas.openxmlformats.org/officeDocument/2006/relationships/hyperlink" Target="https://drive.google.com/file/d/14jqrnwRyqC-BoyeR5O45sY_apBuFkxzK/view?usp=drive_link" TargetMode="External"/><Relationship Id="rId64" Type="http://schemas.openxmlformats.org/officeDocument/2006/relationships/hyperlink" Target="https://drive.google.com/file/d/1a7oB1w4r3ps21PVNCGt_M-qipCZuF79u/view?usp=drive_link" TargetMode="External"/><Relationship Id="rId63" Type="http://schemas.openxmlformats.org/officeDocument/2006/relationships/hyperlink" Target="https://drive.google.com/file/d/1yVyrbV7tSbVsyF7biRkaePSCev5IZx8s/view?usp=drive_link" TargetMode="External"/><Relationship Id="rId62" Type="http://schemas.openxmlformats.org/officeDocument/2006/relationships/hyperlink" Target="https://drive.google.com/file/d/1wKurYiXMi5iJwZmQiazv4EwbiS-ztxxa/view?usp=drive_link" TargetMode="External"/><Relationship Id="rId61" Type="http://schemas.openxmlformats.org/officeDocument/2006/relationships/hyperlink" Target="https://drive.google.com/file/d/16LqVE93tFM4Tgf6oOxNQYmV0ib4mwwEk/view?usp=drive_link" TargetMode="External"/><Relationship Id="rId60" Type="http://schemas.openxmlformats.org/officeDocument/2006/relationships/hyperlink" Target="https://drive.google.com/file/d/1kC70iaTwtimveoHsE1nfPR8Q79-vRT4C/view?usp=drive_link" TargetMode="External"/><Relationship Id="rId6" Type="http://schemas.openxmlformats.org/officeDocument/2006/relationships/hyperlink" Target="https://drive.google.com/file/d/1TtxJeWuVc20ePVik4bdjwKeBWspDdqMP/view?usp=drive_link" TargetMode="External"/><Relationship Id="rId59" Type="http://schemas.openxmlformats.org/officeDocument/2006/relationships/hyperlink" Target="https://drive.google.com/file/d/18PyXFnuhNz0WgoP5tpMcA6Tpd3naqOWY/view?usp=drive_link" TargetMode="External"/><Relationship Id="rId58" Type="http://schemas.openxmlformats.org/officeDocument/2006/relationships/hyperlink" Target="https://drive.google.com/file/d/1H2Tu0b4e89eTHmMI63w_O40s7DDfx6nZ/view?usp=drive_link" TargetMode="External"/><Relationship Id="rId57" Type="http://schemas.openxmlformats.org/officeDocument/2006/relationships/hyperlink" Target="https://drive.google.com/file/d/1mFWGkM1k27BQWCtG-f-MRIMT6jat-Cv6/view?usp=drive_link" TargetMode="External"/><Relationship Id="rId56" Type="http://schemas.openxmlformats.org/officeDocument/2006/relationships/hyperlink" Target="https://drive.google.com/file/d/1KNfODBbNw-NYMu2XsEagaPI1d4W2C2HJ/view?usp=drive_link" TargetMode="External"/><Relationship Id="rId55" Type="http://schemas.openxmlformats.org/officeDocument/2006/relationships/hyperlink" Target="https://drive.google.com/file/d/1sf2qkRhQFxFFvtsIf8yeoHX03HenZA3j/view?usp=drive_link" TargetMode="External"/><Relationship Id="rId54" Type="http://schemas.openxmlformats.org/officeDocument/2006/relationships/hyperlink" Target="https://drive.google.com/file/d/1sHIIkCCrGptAZ8m0OAmJxb5PrwwcmyMB/view?usp=drive_link" TargetMode="External"/><Relationship Id="rId53" Type="http://schemas.openxmlformats.org/officeDocument/2006/relationships/hyperlink" Target="https://drive.google.com/file/d/1F5CnHaEPWWDpBgPO2Y5d003Hp400M-vu/view?usp=drive_link" TargetMode="External"/><Relationship Id="rId52" Type="http://schemas.openxmlformats.org/officeDocument/2006/relationships/hyperlink" Target="https://drive.google.com/file/d/1OdKa5CuwcqwTRTt5Noa5xILMVmoIbiNw/view?usp=drive_link" TargetMode="External"/><Relationship Id="rId51" Type="http://schemas.openxmlformats.org/officeDocument/2006/relationships/hyperlink" Target="https://drive.google.com/file/d/1-q77Z1Uc5XgPDpwmy7qEdUWn22WqoMns/view?usp=drive_link" TargetMode="External"/><Relationship Id="rId50" Type="http://schemas.openxmlformats.org/officeDocument/2006/relationships/hyperlink" Target="https://drive.google.com/file/d/1mvtqLLjPWaFwsL3dCNjWGBZ0x4_7aCbk/view?usp=drive_link" TargetMode="External"/><Relationship Id="rId5" Type="http://schemas.openxmlformats.org/officeDocument/2006/relationships/hyperlink" Target="https://drive.google.com/file/d/14cGRh_2GVwGIhwcirub7JRZGMV1dZAmt/view?usp=drive_link" TargetMode="External"/><Relationship Id="rId49" Type="http://schemas.openxmlformats.org/officeDocument/2006/relationships/hyperlink" Target="https://drive.google.com/file/d/1kWRdu-e2bjt32eHf5kGnuM8wcS-Fx47c/view?usp=drive_link" TargetMode="External"/><Relationship Id="rId48" Type="http://schemas.openxmlformats.org/officeDocument/2006/relationships/hyperlink" Target="https://drive.google.com/file/d/12vGY_7lsHLv9IMZalEAuPnbic72nRFB2/view?usp=drive_link" TargetMode="External"/><Relationship Id="rId47" Type="http://schemas.openxmlformats.org/officeDocument/2006/relationships/hyperlink" Target="https://drive.google.com/file/d/1BK_r_pQyqMRqGYdutcXUrCDfWu_k1FfF/view?usp=drive_link" TargetMode="External"/><Relationship Id="rId46" Type="http://schemas.openxmlformats.org/officeDocument/2006/relationships/hyperlink" Target="https://drive.google.com/file/d/10q7JWGM9CXOSi8ESG4McAmcDuWM3OLQv/view?usp=drive_link" TargetMode="External"/><Relationship Id="rId45" Type="http://schemas.openxmlformats.org/officeDocument/2006/relationships/hyperlink" Target="https://drive.google.com/file/d/1enieNA351GFAvT8TjmPO4OBVOJybDfBf/view?usp=drive_link" TargetMode="External"/><Relationship Id="rId44" Type="http://schemas.openxmlformats.org/officeDocument/2006/relationships/hyperlink" Target="https://drive.google.com/file/d/1h4UxKdilw3XmSFWXrmvEuuThDQgs0MHv/view?usp=drive_link" TargetMode="External"/><Relationship Id="rId43" Type="http://schemas.openxmlformats.org/officeDocument/2006/relationships/hyperlink" Target="https://drive.google.com/file/d/1Oxu28dNLhxLnMyUotxgkfGY0Yrsy6xFM/view?usp=drive_link" TargetMode="External"/><Relationship Id="rId42" Type="http://schemas.openxmlformats.org/officeDocument/2006/relationships/hyperlink" Target="https://drive.google.com/file/d/1li35LiR9pBtRkMciLZGevuLfPLxeF-jC/view?usp=drive_link" TargetMode="External"/><Relationship Id="rId41" Type="http://schemas.openxmlformats.org/officeDocument/2006/relationships/hyperlink" Target="https://drive.google.com/file/d/1d6Tge-WeQZrvGQKkXADv1v0YnjRvDTFg/view?usp=drive_link" TargetMode="External"/><Relationship Id="rId40" Type="http://schemas.openxmlformats.org/officeDocument/2006/relationships/hyperlink" Target="https://drive.google.com/file/d/1i9SK2xIfgneWwszAQ8NZ14bVLJGFxCqi/view?usp=drive_link" TargetMode="External"/><Relationship Id="rId4" Type="http://schemas.openxmlformats.org/officeDocument/2006/relationships/hyperlink" Target="https://drive.google.com/file/d/1vAilJIwOsp4XAuK_CHrcMGeHYpph1rEL/view?usp=drive_link" TargetMode="External"/><Relationship Id="rId39" Type="http://schemas.openxmlformats.org/officeDocument/2006/relationships/hyperlink" Target="https://drive.google.com/file/d/1cvFarA3SW7-yAEjIPXFS_mL8um-66v4U/view?usp=drive_link" TargetMode="External"/><Relationship Id="rId38" Type="http://schemas.openxmlformats.org/officeDocument/2006/relationships/hyperlink" Target="https://drive.google.com/file/d/1H-HNAv2WmfD7JgR_7arAMxDt5tW8fHKp/view?usp=drive_link" TargetMode="External"/><Relationship Id="rId37" Type="http://schemas.openxmlformats.org/officeDocument/2006/relationships/hyperlink" Target="https://drive.google.com/file/d/1B0bJNgd9noA8CsBHaEH0x07i1dCYrkar/view?usp=drive_link" TargetMode="External"/><Relationship Id="rId36" Type="http://schemas.openxmlformats.org/officeDocument/2006/relationships/hyperlink" Target="https://drive.google.com/file/d/1xmxpTJUQPA4bcqDs2vi2RbCFEqfNOQ30/view?usp=drive_link" TargetMode="External"/><Relationship Id="rId35" Type="http://schemas.openxmlformats.org/officeDocument/2006/relationships/hyperlink" Target="https://drive.google.com/file/d/15WY7JhHyLmMVdAqEF85pxzRImdAYNbHt/view?usp=drive_link" TargetMode="External"/><Relationship Id="rId34" Type="http://schemas.openxmlformats.org/officeDocument/2006/relationships/hyperlink" Target="https://drive.google.com/file/d/1mmz4b8jVEdKn6M5CCxEJpT3QfLeW-n0U/view?usp=drive_link" TargetMode="External"/><Relationship Id="rId33" Type="http://schemas.openxmlformats.org/officeDocument/2006/relationships/hyperlink" Target="https://drive.google.com/file/d/1QQvh86FuQwMxTGoaV9iQNjh5O40XQv5V/view?usp=drive_link" TargetMode="External"/><Relationship Id="rId32" Type="http://schemas.openxmlformats.org/officeDocument/2006/relationships/hyperlink" Target="https://drive.google.com/file/d/1nCstGemk9QXCB8nUhzo5lfbGxBkoS3Kd/view?usp=drive_link" TargetMode="External"/><Relationship Id="rId31" Type="http://schemas.openxmlformats.org/officeDocument/2006/relationships/hyperlink" Target="https://drive.google.com/file/d/1WNDndg6mdeCG6bIw0inMxLItKNbEU3oS/view?usp=drive_link" TargetMode="External"/><Relationship Id="rId30" Type="http://schemas.openxmlformats.org/officeDocument/2006/relationships/hyperlink" Target="https://drive.google.com/file/d/1An2Uhw1--S_0CAZn0f56ljkZE1vohYQv/view?usp=drive_link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hAVil6QFP4xtfKOfl9ppeYWHq16HoPvF/view?usp=drive_link" TargetMode="External"/><Relationship Id="rId28" Type="http://schemas.openxmlformats.org/officeDocument/2006/relationships/hyperlink" Target="https://drive.google.com/file/d/1rkS7NS8ehEHdP9h40bi5hB9AJOdG12Fm/view?usp=drive_link" TargetMode="External"/><Relationship Id="rId27" Type="http://schemas.openxmlformats.org/officeDocument/2006/relationships/hyperlink" Target="https://drive.google.com/file/d/1-C2JoRK4IRi8gtZTFDKYREDKz9tnwztP/view?usp=drive_link" TargetMode="External"/><Relationship Id="rId26" Type="http://schemas.openxmlformats.org/officeDocument/2006/relationships/hyperlink" Target="https://drive.google.com/file/d/1F9DhWDArqQ0qcWiFJULrYkrWGhRprEDp/view?usp=drive_link" TargetMode="External"/><Relationship Id="rId25" Type="http://schemas.openxmlformats.org/officeDocument/2006/relationships/hyperlink" Target="https://drive.google.com/file/d/1C7WrrZT5BaZQN8Yt25tyXB_swLOW8xgn/view?usp=drive_link" TargetMode="External"/><Relationship Id="rId24" Type="http://schemas.openxmlformats.org/officeDocument/2006/relationships/hyperlink" Target="https://drive.google.com/file/d/1zVz0DVls0T0q0Nw8a9sVgmfrBBnx7VDU/view?usp=drivesdk" TargetMode="External"/><Relationship Id="rId23" Type="http://schemas.openxmlformats.org/officeDocument/2006/relationships/hyperlink" Target="https://drive.google.com/file/d/1MqKqLyL1Szw5dZPMXxT46Rrs2pbCGBzG/view?usp=drivesdk" TargetMode="External"/><Relationship Id="rId22" Type="http://schemas.openxmlformats.org/officeDocument/2006/relationships/hyperlink" Target="https://drive.google.com/file/d/1OCCCwrKUlTy4NqUDZsCGAqlMUuEalLTg/view?usp=drivesdk" TargetMode="External"/><Relationship Id="rId21" Type="http://schemas.openxmlformats.org/officeDocument/2006/relationships/hyperlink" Target="https://drive.google.com/file/d/1WAIV9EzRLNkmkzUDIIR1DMXykSJnRqNQ/view?usp=drivesdk" TargetMode="External"/><Relationship Id="rId20" Type="http://schemas.openxmlformats.org/officeDocument/2006/relationships/hyperlink" Target="https://drive.google.com/file/d/1JmOAm4079UzechP2QZhlcGLcKATeh1NC/view?usp=drivesdk" TargetMode="External"/><Relationship Id="rId2" Type="http://schemas.openxmlformats.org/officeDocument/2006/relationships/hyperlink" Target="https://drive.google.com/file/d/1zEiu25y2WIqSnGOH7bEnPCHaURkPxRj3/view?usp=drive_link" TargetMode="External"/><Relationship Id="rId19" Type="http://schemas.openxmlformats.org/officeDocument/2006/relationships/hyperlink" Target="https://drive.google.com/file/d/1LKMYyqlNdTpBAJHzScOqSYbwoX-Sj7CT/view?usp=drivesdk" TargetMode="External"/><Relationship Id="rId18" Type="http://schemas.openxmlformats.org/officeDocument/2006/relationships/hyperlink" Target="https://drive.google.com/file/d/13Rp0jhLAUPxVgNUeKao1SrUscyPBF4xd/view" TargetMode="External"/><Relationship Id="rId17" Type="http://schemas.openxmlformats.org/officeDocument/2006/relationships/hyperlink" Target="https://drive.google.com/file/d/1y5Cuk8ghfpc8y_jFJsc6fBU-XmnpXjha/view?usp=drive_link" TargetMode="External"/><Relationship Id="rId16" Type="http://schemas.openxmlformats.org/officeDocument/2006/relationships/hyperlink" Target="https://drive.google.com/file/d/1IMHp6qW1XSH2NrrHJzqcAnojYHRPY4lJ/view?usp=drive_link" TargetMode="External"/><Relationship Id="rId15" Type="http://schemas.openxmlformats.org/officeDocument/2006/relationships/hyperlink" Target="https://drive.google.com/file/d/1S_HemUZTuzd4HwHDfJXRWA3ioMCh8fUK/view?usp=drive_link" TargetMode="External"/><Relationship Id="rId14" Type="http://schemas.openxmlformats.org/officeDocument/2006/relationships/hyperlink" Target="https://drive.google.com/file/d/1ZeNs6CmY8qo9pahwhFv_xBTKwPVHiSkn/view?usp=drive_link" TargetMode="External"/><Relationship Id="rId13" Type="http://schemas.openxmlformats.org/officeDocument/2006/relationships/hyperlink" Target="https://drive.google.com/file/d/1CkL20XZUNh-D4W39Xon_T0oTUVFGbm-v/view?usp=drive_link" TargetMode="External"/><Relationship Id="rId12" Type="http://schemas.openxmlformats.org/officeDocument/2006/relationships/hyperlink" Target="https://drive.google.com/file/d/1W09YqjIRcSqjj_Qy35jFU9BHuIOlTHBW/view?usp=drive_link" TargetMode="External"/><Relationship Id="rId11" Type="http://schemas.openxmlformats.org/officeDocument/2006/relationships/hyperlink" Target="https://drive.google.com/file/d/1DWHRNJ3pMF_sCvA1Cgrp7Nq-QjVOrmtQ/view?usp=drive_link" TargetMode="External"/><Relationship Id="rId10" Type="http://schemas.openxmlformats.org/officeDocument/2006/relationships/hyperlink" Target="https://drive.google.com/file/d/13yw7d4M5DavfJhAWlocJYaBbIdVZ4MUR/view?usp=drive_link" TargetMode="External"/><Relationship Id="rId1" Type="http://schemas.openxmlformats.org/officeDocument/2006/relationships/hyperlink" Target="http://s.no/" TargetMode="External"/></Relationships>
</file>

<file path=xl/worksheets/_rels/sheet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HvfXkFjLiHRPwmnYl-3JLNG2OHocGWGJ/view?usp=drive_link" TargetMode="External"/><Relationship Id="rId98" Type="http://schemas.openxmlformats.org/officeDocument/2006/relationships/hyperlink" Target="https://drive.google.com/file/d/1O8IFerN_b1OVb1CN9mQGTjYZpOKGoITY/view?usp=drive_link" TargetMode="External"/><Relationship Id="rId97" Type="http://schemas.openxmlformats.org/officeDocument/2006/relationships/hyperlink" Target="https://drive.google.com/file/d/1g_9nh_hqVHEgyFmCYgVlJFmL1Aj6XSjP/view?usp=drive_link" TargetMode="External"/><Relationship Id="rId96" Type="http://schemas.openxmlformats.org/officeDocument/2006/relationships/hyperlink" Target="https://drive.google.com/file/d/1pO45KJ2Anjf1wjhdMDATmYcrXCytLB3y/view?usp=sharing" TargetMode="External"/><Relationship Id="rId95" Type="http://schemas.openxmlformats.org/officeDocument/2006/relationships/hyperlink" Target="https://drive.google.com/file/d/1ayKyx-7T7TwOte_gGFgfgCxWiVa8Cg8m/view?usp=drive_link" TargetMode="External"/><Relationship Id="rId94" Type="http://schemas.openxmlformats.org/officeDocument/2006/relationships/hyperlink" Target="https://drive.google.com/file/d/1VXVL_r3DoAz3I_u0DD1X5QX9FVNRikkd/view?usp=drive_link" TargetMode="External"/><Relationship Id="rId93" Type="http://schemas.openxmlformats.org/officeDocument/2006/relationships/hyperlink" Target="https://drive.google.com/file/d/14S--Kd5Vl3YSMCHzwwYt_kQIgxGm_Zbg/view?usp=drive_link" TargetMode="External"/><Relationship Id="rId92" Type="http://schemas.openxmlformats.org/officeDocument/2006/relationships/hyperlink" Target="https://drive.google.com/file/d/1n-OVjxMOvOjL1phlSkz8eviOukA2jLci/view?usp=drive_link" TargetMode="External"/><Relationship Id="rId91" Type="http://schemas.openxmlformats.org/officeDocument/2006/relationships/hyperlink" Target="https://drive.google.com/file/d/1_wspiI7N_dRs_vE3p2pH0rc8yAcF-pg4/view?usp=drive_link" TargetMode="External"/><Relationship Id="rId90" Type="http://schemas.openxmlformats.org/officeDocument/2006/relationships/hyperlink" Target="https://drive.google.com/file/d/1WXt01Z5DyEaibfcb9yjRvC37GnJBijOf/view?usp=drive_link" TargetMode="External"/><Relationship Id="rId9" Type="http://schemas.openxmlformats.org/officeDocument/2006/relationships/hyperlink" Target="https://drive.google.com/file/d/14cGRh_2GVwGIhwcirub7JRZGMV1dZAmt/view?usp=drive_link" TargetMode="External"/><Relationship Id="rId89" Type="http://schemas.openxmlformats.org/officeDocument/2006/relationships/hyperlink" Target="https://drive.google.com/file/d/12CBiVkqByJdiB_fExvTvqpU9ylB2Sy3W/view?usp=drive_link" TargetMode="External"/><Relationship Id="rId88" Type="http://schemas.openxmlformats.org/officeDocument/2006/relationships/hyperlink" Target="https://drive.google.com/file/d/1rjwl5CZZjBCqyIHHwyVOtiklXu_rVxIO/view?usp=drive_link" TargetMode="External"/><Relationship Id="rId87" Type="http://schemas.openxmlformats.org/officeDocument/2006/relationships/hyperlink" Target="https://drive.google.com/file/d/1imOf8cO4LrDK_1VGlnSJPrR4OAx8Sd2B/view?usp=drive_link" TargetMode="External"/><Relationship Id="rId86" Type="http://schemas.openxmlformats.org/officeDocument/2006/relationships/hyperlink" Target="https://drive.google.com/file/d/10aHD4D4de3IMNUlj2mTv1iugbhs7vm95/view?usp=drive_link" TargetMode="External"/><Relationship Id="rId85" Type="http://schemas.openxmlformats.org/officeDocument/2006/relationships/hyperlink" Target="https://drive.google.com/file/d/15MHSo23sHhYQuvGI6Rdc88aGx1MXVhlF/view?usp=drive_link" TargetMode="External"/><Relationship Id="rId84" Type="http://schemas.openxmlformats.org/officeDocument/2006/relationships/hyperlink" Target="https://drive.google.com/file/d/1z2yIzp0ZbgM-WXwFf0MlJEXezfRG53OZ/view?usp=drive_link" TargetMode="External"/><Relationship Id="rId83" Type="http://schemas.openxmlformats.org/officeDocument/2006/relationships/hyperlink" Target="https://drive.google.com/file/d/1ZLMRH4tu1gKVW4gOy1_9Mb-8lNa5uWka/view?usp=drive_link" TargetMode="External"/><Relationship Id="rId82" Type="http://schemas.openxmlformats.org/officeDocument/2006/relationships/hyperlink" Target="https://drive.google.com/file/d/1zwrpo_yejU-EWsLBRPYibxU8RGWpn3kI/view?usp=drive_link" TargetMode="External"/><Relationship Id="rId81" Type="http://schemas.openxmlformats.org/officeDocument/2006/relationships/hyperlink" Target="https://drive.google.com/file/d/1wbGH0ajx0Hfsg3jqSUvLg3E3IHxQRNO9/view?usp=drive_link" TargetMode="External"/><Relationship Id="rId80" Type="http://schemas.openxmlformats.org/officeDocument/2006/relationships/hyperlink" Target="https://drive.google.com/file/d/1F5CnHaEPWWDpBgPO2Y5d003Hp400M-vu/view?usp=drive_link" TargetMode="External"/><Relationship Id="rId8" Type="http://schemas.openxmlformats.org/officeDocument/2006/relationships/hyperlink" Target="https://drive.google.com/file/d/1NbjsWNBnt8yAOYgw8256z5xMLAnE9saL/view?usp=drive_link" TargetMode="External"/><Relationship Id="rId79" Type="http://schemas.openxmlformats.org/officeDocument/2006/relationships/hyperlink" Target="https://drive.google.com/file/d/1OdKa5CuwcqwTRTt5Noa5xILMVmoIbiNw/view?usp=drive_link" TargetMode="External"/><Relationship Id="rId78" Type="http://schemas.openxmlformats.org/officeDocument/2006/relationships/hyperlink" Target="https://drive.google.com/file/d/1-q77Z1Uc5XgPDpwmy7qEdUWn22WqoMns/view?usp=drive_link" TargetMode="External"/><Relationship Id="rId77" Type="http://schemas.openxmlformats.org/officeDocument/2006/relationships/hyperlink" Target="https://drive.google.com/file/d/1mvtqLLjPWaFwsL3dCNjWGBZ0x4_7aCbk/view?usp=drive_link" TargetMode="External"/><Relationship Id="rId76" Type="http://schemas.openxmlformats.org/officeDocument/2006/relationships/hyperlink" Target="https://drive.google.com/file/d/1kWRdu-e2bjt32eHf5kGnuM8wcS-Fx47c/view?usp=drive_link" TargetMode="External"/><Relationship Id="rId75" Type="http://schemas.openxmlformats.org/officeDocument/2006/relationships/hyperlink" Target="https://drive.google.com/file/d/12vGY_7lsHLv9IMZalEAuPnbic72nRFB2/view?usp=drive_link" TargetMode="External"/><Relationship Id="rId74" Type="http://schemas.openxmlformats.org/officeDocument/2006/relationships/hyperlink" Target="https://drive.google.com/file/d/1BK_r_pQyqMRqGYdutcXUrCDfWu_k1FfF/view?usp=drive_link" TargetMode="External"/><Relationship Id="rId73" Type="http://schemas.openxmlformats.org/officeDocument/2006/relationships/hyperlink" Target="https://drive.google.com/file/d/10q7JWGM9CXOSi8ESG4McAmcDuWM3OLQv/view?usp=drive_link" TargetMode="External"/><Relationship Id="rId72" Type="http://schemas.openxmlformats.org/officeDocument/2006/relationships/hyperlink" Target="https://drive.google.com/file/d/1enieNA351GFAvT8TjmPO4OBVOJybDfBf/view?usp=drive_link" TargetMode="External"/><Relationship Id="rId71" Type="http://schemas.openxmlformats.org/officeDocument/2006/relationships/hyperlink" Target="https://drive.google.com/file/d/1h4UxKdilw3XmSFWXrmvEuuThDQgs0MHv/view?usp=drive_link" TargetMode="External"/><Relationship Id="rId70" Type="http://schemas.openxmlformats.org/officeDocument/2006/relationships/hyperlink" Target="https://drive.google.com/file/d/1Oxu28dNLhxLnMyUotxgkfGY0Yrsy6xFM/view?usp=drive_link" TargetMode="External"/><Relationship Id="rId7" Type="http://schemas.openxmlformats.org/officeDocument/2006/relationships/hyperlink" Target="https://drive.google.com/file/d/1cdISt4tJ-87zLD7jrCab0AApFCkT0B4_/view?usp=drive_link" TargetMode="External"/><Relationship Id="rId69" Type="http://schemas.openxmlformats.org/officeDocument/2006/relationships/hyperlink" Target="https://drive.google.com/file/d/1li35LiR9pBtRkMciLZGevuLfPLxeF-jC/view?usp=drive_link" TargetMode="External"/><Relationship Id="rId68" Type="http://schemas.openxmlformats.org/officeDocument/2006/relationships/hyperlink" Target="https://drive.google.com/file/d/1-sH-k7diCS-WDKeXQScayM3HAWW1q7sM/view?usp=drivesdk" TargetMode="External"/><Relationship Id="rId67" Type="http://schemas.openxmlformats.org/officeDocument/2006/relationships/hyperlink" Target="https://drive.google.com/file/d/1SyqKT5bF5AaGYQgD2j5JSrpmJiBMLybn/view?usp=drivesdk" TargetMode="External"/><Relationship Id="rId66" Type="http://schemas.openxmlformats.org/officeDocument/2006/relationships/hyperlink" Target="https://drive.google.com/file/d/1zVz0DVls0T0q0Nw8a9sVgmfrBBnx7VDU/view?usp=drivesdk" TargetMode="External"/><Relationship Id="rId65" Type="http://schemas.openxmlformats.org/officeDocument/2006/relationships/hyperlink" Target="https://drive.google.com/file/d/1JmOAm4079UzechP2QZhlcGLcKATeh1NC/view?usp=drivesdk" TargetMode="External"/><Relationship Id="rId64" Type="http://schemas.openxmlformats.org/officeDocument/2006/relationships/hyperlink" Target="https://drive.google.com/file/d/1LKMYyqlNdTpBAJHzScOqSYbwoX-Sj7CT/view?usp=drivesdk" TargetMode="External"/><Relationship Id="rId63" Type="http://schemas.openxmlformats.org/officeDocument/2006/relationships/hyperlink" Target="https://drive.google.com/file/d/1-ViehUGCoK-95HMz0jT4bisUTtKswxf_/view?usp=sharing" TargetMode="External"/><Relationship Id="rId62" Type="http://schemas.openxmlformats.org/officeDocument/2006/relationships/hyperlink" Target="https://drive.google.com/file/d/17SJTGdOIPyZoBVvb3OcOJmQ_95JfuaZ5/view?usp=drivesdk" TargetMode="External"/><Relationship Id="rId61" Type="http://schemas.openxmlformats.org/officeDocument/2006/relationships/hyperlink" Target="https://drive.google.com/file/d/1JJxXXDiBnkpOvq2wjJstoqS76vydmnah/view?usp=drivesdk" TargetMode="External"/><Relationship Id="rId60" Type="http://schemas.openxmlformats.org/officeDocument/2006/relationships/hyperlink" Target="https://drive.google.com/file/d/1lDxJBcuIu3TFbYeDrmoCWNkC3Q7oRWtQ/view?usp=drivesdk" TargetMode="External"/><Relationship Id="rId6" Type="http://schemas.openxmlformats.org/officeDocument/2006/relationships/hyperlink" Target="https://drive.google.com/file/d/1dofCSrM5wtNOH1KynOIxPGTQNLOBhoyB/view?usp=drive_link" TargetMode="External"/><Relationship Id="rId59" Type="http://schemas.openxmlformats.org/officeDocument/2006/relationships/hyperlink" Target="https://drive.google.com/file/d/1s5ZFWy4lgKTWx1VTywtJJzs4tASXleI9/view?usp=drivesdk" TargetMode="External"/><Relationship Id="rId58" Type="http://schemas.openxmlformats.org/officeDocument/2006/relationships/hyperlink" Target="https://drive.google.com/file/d/1YqUwYHkmkInmoqR1jIrrPqzn7C9CbZSq/view?usp=drive_link" TargetMode="External"/><Relationship Id="rId57" Type="http://schemas.openxmlformats.org/officeDocument/2006/relationships/hyperlink" Target="https://drive.google.com/file/d/1bmXuw6WZv5W2ruYHLYOySR1MC6tjL40T/view?usp=drive_link" TargetMode="External"/><Relationship Id="rId56" Type="http://schemas.openxmlformats.org/officeDocument/2006/relationships/hyperlink" Target="https://drive.google.com/file/d/13KJ6fpCxaOuHEPqEcuxr02tviXAtz4A-/view?usp=drive_link" TargetMode="External"/><Relationship Id="rId55" Type="http://schemas.openxmlformats.org/officeDocument/2006/relationships/hyperlink" Target="https://drive.google.com/file/d/1a7oB1w4r3ps21PVNCGt_M-qipCZuF79u/view?usp=drive_link" TargetMode="External"/><Relationship Id="rId54" Type="http://schemas.openxmlformats.org/officeDocument/2006/relationships/hyperlink" Target="https://drive.google.com/file/d/19a5sE0l83drueDm-DrAIPig-M0pLAY8_/view?usp=drive_link" TargetMode="External"/><Relationship Id="rId53" Type="http://schemas.openxmlformats.org/officeDocument/2006/relationships/hyperlink" Target="https://drive.google.com/file/d/1KAqMdXgB9x9LdpBY07y7fYPOvIjhi8C4/view?usp=drive_link" TargetMode="External"/><Relationship Id="rId52" Type="http://schemas.openxmlformats.org/officeDocument/2006/relationships/hyperlink" Target="https://drive.google.com/file/d/15WY7JhHyLmMVdAqEF85pxzRImdAYNbHt/view?usp=drive_link" TargetMode="External"/><Relationship Id="rId51" Type="http://schemas.openxmlformats.org/officeDocument/2006/relationships/hyperlink" Target="https://drive.google.com/file/d/14yOnVXC07YmrJan3St1n0w59aE_nchUs/view?usp=drive_link" TargetMode="External"/><Relationship Id="rId50" Type="http://schemas.openxmlformats.org/officeDocument/2006/relationships/hyperlink" Target="https://drive.google.com/file/d/1MSpfKgw8eat5hJxvICGkgo-uTQZ_GMbK/view?usp=drive_link" TargetMode="External"/><Relationship Id="rId5" Type="http://schemas.openxmlformats.org/officeDocument/2006/relationships/hyperlink" Target="https://drive.google.com/file/d/12qjm2u6d4HXZoeZuaefjGZ0LMXzOfKZV/view?usp=drive_link" TargetMode="External"/><Relationship Id="rId49" Type="http://schemas.openxmlformats.org/officeDocument/2006/relationships/hyperlink" Target="https://drive.google.com/file/d/1OQkTVMC1IaAgqIiH8VTG8zv_BtFa3MjQ/view?usp=drive_link" TargetMode="External"/><Relationship Id="rId48" Type="http://schemas.openxmlformats.org/officeDocument/2006/relationships/hyperlink" Target="https://drive.google.com/file/d/1P5VgaPcP0URkTdAkQ0CEjXLp15UvNGmw/view?usp=drive_link" TargetMode="External"/><Relationship Id="rId47" Type="http://schemas.openxmlformats.org/officeDocument/2006/relationships/hyperlink" Target="https://drive.google.com/file/d/1SOB8yTx3iNQluvEnXfGG6MWAqHSEz-Qo/view?usp=drive_link" TargetMode="External"/><Relationship Id="rId46" Type="http://schemas.openxmlformats.org/officeDocument/2006/relationships/hyperlink" Target="https://drive.google.com/file/d/1TlMcYAuNXaqhxEmWpXQUqvfAQAk46AGx/view?usp=drive_link" TargetMode="External"/><Relationship Id="rId45" Type="http://schemas.openxmlformats.org/officeDocument/2006/relationships/hyperlink" Target="https://drive.google.com/file/d/1Yw9LzSU5PUpa2pchIPA7j8aB3VIV5g6d/view?usp=drive_link" TargetMode="External"/><Relationship Id="rId44" Type="http://schemas.openxmlformats.org/officeDocument/2006/relationships/hyperlink" Target="https://drive.google.com/file/d/1uEsY0q7aX56zLFGrYC6lnd61Soyr_r86/view?usp=drive_link" TargetMode="External"/><Relationship Id="rId43" Type="http://schemas.openxmlformats.org/officeDocument/2006/relationships/hyperlink" Target="https://drive.google.com/file/d/1MFjPLYRpDUYKne3Us0nepR5ltDxqBW2m/view?usp=drive_link" TargetMode="External"/><Relationship Id="rId42" Type="http://schemas.openxmlformats.org/officeDocument/2006/relationships/hyperlink" Target="https://drive.google.com/file/d/1jogolhiviSAbQl-ZSwUXfBBMyby41h89/view?usp=drive_link" TargetMode="External"/><Relationship Id="rId41" Type="http://schemas.openxmlformats.org/officeDocument/2006/relationships/hyperlink" Target="https://drive.google.com/file/d/1OYyRb166OzrvRdbukdwujIApMTpSqXkq/view?usp=drive_link" TargetMode="External"/><Relationship Id="rId40" Type="http://schemas.openxmlformats.org/officeDocument/2006/relationships/hyperlink" Target="https://drive.google.com/file/d/1CkL20XZUNh-D4W39Xon_T0oTUVFGbm-v/view?usp=drive_link" TargetMode="External"/><Relationship Id="rId4" Type="http://schemas.openxmlformats.org/officeDocument/2006/relationships/hyperlink" Target="https://drive.google.com/file/d/1O_oCQwgVirp_-8d3UhY1cPDaNy9b7iKJ/view?usp=drive_link" TargetMode="External"/><Relationship Id="rId39" Type="http://schemas.openxmlformats.org/officeDocument/2006/relationships/hyperlink" Target="https://drive.google.com/file/d/1xmxpTJUQPA4bcqDs2vi2RbCFEqfNOQ30/view?usp=drive_link" TargetMode="External"/><Relationship Id="rId38" Type="http://schemas.openxmlformats.org/officeDocument/2006/relationships/hyperlink" Target="https://drive.google.com/file/d/1i9SK2xIfgneWwszAQ8NZ14bVLJGFxCqi/view?usp=drive_link" TargetMode="External"/><Relationship Id="rId37" Type="http://schemas.openxmlformats.org/officeDocument/2006/relationships/hyperlink" Target="https://drive.google.com/file/d/1sf2qkRhQFxFFvtsIf8yeoHX03HenZA3j/view?usp=drive_link" TargetMode="External"/><Relationship Id="rId36" Type="http://schemas.openxmlformats.org/officeDocument/2006/relationships/hyperlink" Target="https://drive.google.com/file/d/1DrSbjppXA6M1ktXmDN0fyokZESe-x9vD/view?usp=drive_link" TargetMode="External"/><Relationship Id="rId35" Type="http://schemas.openxmlformats.org/officeDocument/2006/relationships/hyperlink" Target="https://drive.google.com/file/d/1XkGVrqLRuprKawybG5qrxOqd1gZ8186K/view?usp=drive_link" TargetMode="External"/><Relationship Id="rId34" Type="http://schemas.openxmlformats.org/officeDocument/2006/relationships/hyperlink" Target="https://drive.google.com/file/d/1H8zlaMRjDR-rixZjmnjy207oqsJCSCy4/view?usp=drive_link" TargetMode="External"/><Relationship Id="rId33" Type="http://schemas.openxmlformats.org/officeDocument/2006/relationships/hyperlink" Target="https://drive.google.com/file/d/1B0bJNgd9noA8CsBHaEH0x07i1dCYrkar/view?usp=drive_link" TargetMode="External"/><Relationship Id="rId32" Type="http://schemas.openxmlformats.org/officeDocument/2006/relationships/hyperlink" Target="https://drive.google.com/file/d/1jgp85W-El7-m3uArPqjy3Rv1_ZJ3E9Tb/view?usp=drive_link" TargetMode="External"/><Relationship Id="rId31" Type="http://schemas.openxmlformats.org/officeDocument/2006/relationships/hyperlink" Target="https://drive.google.com/file/d/1jd8LVoPMbunl2FW6jpnVbd7qQCaVAjKG/view?usp=drive_link" TargetMode="External"/><Relationship Id="rId30" Type="http://schemas.openxmlformats.org/officeDocument/2006/relationships/hyperlink" Target="https://drive.google.com/file/d/1vjeDhmB8vEWbH3jquETX7fEb32dMEHGQ/view?usp=drive_link" TargetMode="External"/><Relationship Id="rId3" Type="http://schemas.openxmlformats.org/officeDocument/2006/relationships/hyperlink" Target="https://drive.google.com/file/d/1zEiu25y2WIqSnGOH7bEnPCHaURkPxRj3/view?usp=drive_link" TargetMode="External"/><Relationship Id="rId29" Type="http://schemas.openxmlformats.org/officeDocument/2006/relationships/hyperlink" Target="https://drive.google.com/file/d/1cvFarA3SW7-yAEjIPXFS_mL8um-66v4U/view?usp=drive_link" TargetMode="External"/><Relationship Id="rId28" Type="http://schemas.openxmlformats.org/officeDocument/2006/relationships/hyperlink" Target="https://drive.google.com/file/d/1XSKpp7aj2HGAGGqgiJlz3GROaQhuQHKl/view?usp=drive_link" TargetMode="External"/><Relationship Id="rId27" Type="http://schemas.openxmlformats.org/officeDocument/2006/relationships/hyperlink" Target="https://drive.google.com/file/d/1reC79Z5VobvIwm_G13WWcxZsoT6HfJfi/view?usp=drive_link" TargetMode="External"/><Relationship Id="rId26" Type="http://schemas.openxmlformats.org/officeDocument/2006/relationships/hyperlink" Target="https://drive.google.com/file/d/1-rKryF1JhHdK2zrMQNC7i0LN_4B1eUqJ/view?usp=drive_link" TargetMode="External"/><Relationship Id="rId25" Type="http://schemas.openxmlformats.org/officeDocument/2006/relationships/hyperlink" Target="https://drive.google.com/file/d/1hE4zoZlsHXBDv8WJPK8dp-fZXgpxdFv6/view?usp=drive_link" TargetMode="External"/><Relationship Id="rId24" Type="http://schemas.openxmlformats.org/officeDocument/2006/relationships/hyperlink" Target="https://drive.google.com/file/d/13hgIgEwXsrPgbPDqptf77Z9p4I6yyJfD/view?usp=drive_link" TargetMode="External"/><Relationship Id="rId23" Type="http://schemas.openxmlformats.org/officeDocument/2006/relationships/hyperlink" Target="https://drive.google.com/file/d/1aULi1pNwQdGVpTKDuog0P9Xh1IcPJhYJ/view?usp=drive_link" TargetMode="External"/><Relationship Id="rId22" Type="http://schemas.openxmlformats.org/officeDocument/2006/relationships/hyperlink" Target="https://drive.google.com/file/d/19Tj9nBvW1X86Tl8tQHZvYNuW-cCRXuEr/view?usp=sharing" TargetMode="External"/><Relationship Id="rId21" Type="http://schemas.openxmlformats.org/officeDocument/2006/relationships/hyperlink" Target="https://drive.google.com/file/d/1y9h8s5VAhGnrjSTRX_kpZAvQxcoDZYlF/view?usp=drive_link" TargetMode="External"/><Relationship Id="rId20" Type="http://schemas.openxmlformats.org/officeDocument/2006/relationships/hyperlink" Target="https://drive.google.com/file/d/1H-pG5PMEIockOCEjSRh4aS0HlXB6RwBn/view?usp=drive_link" TargetMode="External"/><Relationship Id="rId2" Type="http://schemas.openxmlformats.org/officeDocument/2006/relationships/hyperlink" Target="https://drive.google.com/file/d/1cg69iAQNc9uOtWuqUJGFIHJbW9g8lvCb/view?usp=drive_link" TargetMode="External"/><Relationship Id="rId19" Type="http://schemas.openxmlformats.org/officeDocument/2006/relationships/hyperlink" Target="https://drive.google.com/file/d/1s8OZL4bc7F2j7KS9zfzhf2P5yW2dTEDk/view?usp=drive_link" TargetMode="External"/><Relationship Id="rId18" Type="http://schemas.openxmlformats.org/officeDocument/2006/relationships/hyperlink" Target="https://drive.google.com/file/d/1f9YvrEEU4Hx-Gov_l-mxoXT9fJwHvlGX/view?usp=drivesdk" TargetMode="External"/><Relationship Id="rId17" Type="http://schemas.openxmlformats.org/officeDocument/2006/relationships/hyperlink" Target="https://drive.google.com/file/d/1IUS8d_QOkrc_3Yf1jLvL5afjwyI3ICZg/view?usp=drive_link" TargetMode="External"/><Relationship Id="rId16" Type="http://schemas.openxmlformats.org/officeDocument/2006/relationships/hyperlink" Target="https://drive.google.com/file/d/1j_fMsuqPpAk6hk_Ex-1HenneeCMM4PHE/view?usp=drive_link" TargetMode="External"/><Relationship Id="rId15" Type="http://schemas.openxmlformats.org/officeDocument/2006/relationships/hyperlink" Target="https://drive.google.com/file/d/1kwhWDV2sas6q976crSlR_8DBsQ4w9Exm/view?usp=drive_link" TargetMode="External"/><Relationship Id="rId14" Type="http://schemas.openxmlformats.org/officeDocument/2006/relationships/hyperlink" Target="https://drive.google.com/file/d/1ce1-C1itmD7AlR76e27BCJ0C31lSTMnw/view?usp=drive_link" TargetMode="External"/><Relationship Id="rId13" Type="http://schemas.openxmlformats.org/officeDocument/2006/relationships/hyperlink" Target="https://drive.google.com/file/d/1-ihHgG-ZTzFzYax0kEDc1MFsR1x_fHKb/view?usp=drive_link" TargetMode="External"/><Relationship Id="rId12" Type="http://schemas.openxmlformats.org/officeDocument/2006/relationships/hyperlink" Target="https://drive.google.com/file/d/1bIzwIHgyl5KuI1ukxJZqJaAoYq_sl5wD/view?usp=drive_link" TargetMode="External"/><Relationship Id="rId11" Type="http://schemas.openxmlformats.org/officeDocument/2006/relationships/hyperlink" Target="https://drive.google.com/file/d/1zRYIMnuahZ6rLYGTnQ9LCNrnYC0VqvCA/view?usp=drive_link" TargetMode="External"/><Relationship Id="rId102" Type="http://schemas.openxmlformats.org/officeDocument/2006/relationships/hyperlink" Target="https://drive.google.com/file/d/1I0wSLbOpDkGcbpNk_inDp15laSSw8xcu/view?usp=sharing" TargetMode="External"/><Relationship Id="rId101" Type="http://schemas.openxmlformats.org/officeDocument/2006/relationships/hyperlink" Target="https://drive.google.com/file/d/1jS-Rm2khcd-mVb7hr4dZSn3vTM6euEMF/view?usp=drive_link" TargetMode="External"/><Relationship Id="rId100" Type="http://schemas.openxmlformats.org/officeDocument/2006/relationships/hyperlink" Target="https://drive.google.com/file/d/1z6DqqghGz5_1wHnScD8k48HgKfz0Zk9I/view?usp=sharing" TargetMode="External"/><Relationship Id="rId10" Type="http://schemas.openxmlformats.org/officeDocument/2006/relationships/hyperlink" Target="https://drive.google.com/file/d/1TtxJeWuVc20ePVik4bdjwKeBWspDdqMP/view?usp=drive_link" TargetMode="External"/><Relationship Id="rId1" Type="http://schemas.openxmlformats.org/officeDocument/2006/relationships/hyperlink" Target="http://s.no/" TargetMode="External"/></Relationships>
</file>

<file path=xl/worksheets/_rels/sheet6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rjwl5CZZjBCqyIHHwyVOtiklXu_rVxIO/view?usp=drive_link" TargetMode="External"/><Relationship Id="rId98" Type="http://schemas.openxmlformats.org/officeDocument/2006/relationships/hyperlink" Target="https://drive.google.com/file/d/1imOf8cO4LrDK_1VGlnSJPrR4OAx8Sd2B/view?usp=drive_link" TargetMode="External"/><Relationship Id="rId97" Type="http://schemas.openxmlformats.org/officeDocument/2006/relationships/hyperlink" Target="https://drive.google.com/file/d/10aHD4D4de3IMNUlj2mTv1iugbhs7vm95/view?usp=drive_link" TargetMode="External"/><Relationship Id="rId96" Type="http://schemas.openxmlformats.org/officeDocument/2006/relationships/hyperlink" Target="https://drive.google.com/file/d/15MHSo23sHhYQuvGI6Rdc88aGx1MXVhlF/view?usp=drive_link" TargetMode="External"/><Relationship Id="rId95" Type="http://schemas.openxmlformats.org/officeDocument/2006/relationships/hyperlink" Target="https://drive.google.com/file/d/1z2yIzp0ZbgM-WXwFf0MlJEXezfRG53OZ/view?usp=drive_link" TargetMode="External"/><Relationship Id="rId94" Type="http://schemas.openxmlformats.org/officeDocument/2006/relationships/hyperlink" Target="https://drive.google.com/file/d/1PvOjnHX4PswWI1vfIOlg-opgYQ-1z7OW/view?usp=drive_link" TargetMode="External"/><Relationship Id="rId93" Type="http://schemas.openxmlformats.org/officeDocument/2006/relationships/hyperlink" Target="https://drive.google.com/file/d/1pwvxtylcQU9g5ugGj6-cquw5qpxteWyy/view?usp=drive_link" TargetMode="External"/><Relationship Id="rId92" Type="http://schemas.openxmlformats.org/officeDocument/2006/relationships/hyperlink" Target="https://drive.google.com/file/d/10IopptKMrztl6WG6GZ4mCHxaaj_gYRLP/view?usp=drive_link" TargetMode="External"/><Relationship Id="rId91" Type="http://schemas.openxmlformats.org/officeDocument/2006/relationships/hyperlink" Target="https://drive.google.com/file/d/1f9YvrEEU4Hx-Gov_l-mxoXT9fJwHvlGX/view?usp=drivesdk" TargetMode="External"/><Relationship Id="rId90" Type="http://schemas.openxmlformats.org/officeDocument/2006/relationships/hyperlink" Target="https://drive.google.com/file/d/1YhQfmy0rQa_3l9AQYACCpU7Fqq-FOQEI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cDws5m82y0QLaMQjQn4nPhQjGbKZTTHM/view?usp=drive_link" TargetMode="External"/><Relationship Id="rId88" Type="http://schemas.openxmlformats.org/officeDocument/2006/relationships/hyperlink" Target="https://drive.google.com/file/d/1SyqKT5bF5AaGYQgD2j5JSrpmJiBMLybn/view?usp=drivesdk" TargetMode="External"/><Relationship Id="rId87" Type="http://schemas.openxmlformats.org/officeDocument/2006/relationships/hyperlink" Target="https://drive.google.com/file/d/10GW4FACg3bdcBCeLjSYcb833mvK73Nsk/view?usp=drive_link" TargetMode="External"/><Relationship Id="rId86" Type="http://schemas.openxmlformats.org/officeDocument/2006/relationships/hyperlink" Target="https://drive.google.com/file/d/1RjtduOuUUzvGEjwCm8F2bH0fsFkGv9RU/view?usp=drive_link" TargetMode="External"/><Relationship Id="rId85" Type="http://schemas.openxmlformats.org/officeDocument/2006/relationships/hyperlink" Target="https://drive.google.com/file/d/1LXIXzIvRS8SRSjFC0QIr0-_755NbHQZB/view?usp=drive_link" TargetMode="External"/><Relationship Id="rId84" Type="http://schemas.openxmlformats.org/officeDocument/2006/relationships/hyperlink" Target="https://drive.google.com/file/d/1ilRMmNJ04MJb2ckIlpQFrM-wEmNyOPr1/view?usp=drive_link" TargetMode="External"/><Relationship Id="rId83" Type="http://schemas.openxmlformats.org/officeDocument/2006/relationships/hyperlink" Target="https://drive.google.com/file/d/1BuTXe4o31fPLuevgalZPF5lM1OYLuXGp/view?usp=drive_link" TargetMode="External"/><Relationship Id="rId82" Type="http://schemas.openxmlformats.org/officeDocument/2006/relationships/hyperlink" Target="https://drive.google.com/file/d/1niNh1ZCUcN6fQgSirDw-RzNpPIrjs-Ur/view?usp=drive_link" TargetMode="External"/><Relationship Id="rId81" Type="http://schemas.openxmlformats.org/officeDocument/2006/relationships/hyperlink" Target="https://drive.google.com/file/d/1684hitjmTRLe4EziGT17JL9faK4cySAm/view?usp=drive_link" TargetMode="External"/><Relationship Id="rId80" Type="http://schemas.openxmlformats.org/officeDocument/2006/relationships/hyperlink" Target="https://drive.google.com/file/d/1JwLJckLJ6Zv_xo2a_WTABy9jY0JC0VJI/view?usp=sharing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HC3SQJpmdYdFi3YZtebb2hi6xTLsvbs7/view?usp=drive_link" TargetMode="External"/><Relationship Id="rId78" Type="http://schemas.openxmlformats.org/officeDocument/2006/relationships/hyperlink" Target="https://drive.google.com/file/d/1fd0sOGzaGx79ej-Ks_rdbxBPKKMdSUGz/view?usp=drive_link" TargetMode="External"/><Relationship Id="rId77" Type="http://schemas.openxmlformats.org/officeDocument/2006/relationships/hyperlink" Target="https://drive.google.com/file/d/18hgmrDj5j_vbRZbs-RQAe-OOtqZq8Dgu/view?usp=drive_link" TargetMode="External"/><Relationship Id="rId76" Type="http://schemas.openxmlformats.org/officeDocument/2006/relationships/hyperlink" Target="https://drive.google.com/file/d/1EUh1-LreaQ5RXtEP6GMjWVAJTH6Z70kR/view?usp=drive_link" TargetMode="External"/><Relationship Id="rId75" Type="http://schemas.openxmlformats.org/officeDocument/2006/relationships/hyperlink" Target="https://drive.google.com/file/d/1Bt9jKc0kynd6W4zY-0GIjnB8Puf1FCI5/view?usp=drive_link" TargetMode="External"/><Relationship Id="rId74" Type="http://schemas.openxmlformats.org/officeDocument/2006/relationships/hyperlink" Target="https://drive.google.com/file/d/1wZ-xuO39EHjL1E0GYinn2t4goiKekOZL/view?usp=drive_link" TargetMode="External"/><Relationship Id="rId73" Type="http://schemas.openxmlformats.org/officeDocument/2006/relationships/hyperlink" Target="https://drive.google.com/file/d/191nd4fjTLsFa51p91BDI8G4jqcJZKzXQ/view?usp=drive_link" TargetMode="External"/><Relationship Id="rId72" Type="http://schemas.openxmlformats.org/officeDocument/2006/relationships/hyperlink" Target="https://drive.google.com/file/d/1_ZZsiM5rxTOfRXAk8DFhocvWLhfB5x7A/view?usp=drive_link" TargetMode="External"/><Relationship Id="rId71" Type="http://schemas.openxmlformats.org/officeDocument/2006/relationships/hyperlink" Target="https://drive.google.com/file/d/1CXzzk8lJy1uYiQ7kSDFDNaEMloxhM18o/view?usp=drive_link" TargetMode="External"/><Relationship Id="rId70" Type="http://schemas.openxmlformats.org/officeDocument/2006/relationships/hyperlink" Target="https://drive.google.com/file/d/1FnlIWyliZjBpKGWlrZWC0ZLvdC1mSeRT/view?usp=drive_link" TargetMode="External"/><Relationship Id="rId7" Type="http://schemas.openxmlformats.org/officeDocument/2006/relationships/hyperlink" Target="https://drive.google.com/file/d/1pt4hQm5fLz69qYBX4AuxqIO2H-RvGtQx/view?usp=drive_link" TargetMode="External"/><Relationship Id="rId69" Type="http://schemas.openxmlformats.org/officeDocument/2006/relationships/hyperlink" Target="https://drive.google.com/file/d/1mgoAXNuAkdmXK4_xNE7w1hs2msWC_-gE/view?usp=drive_link" TargetMode="External"/><Relationship Id="rId68" Type="http://schemas.openxmlformats.org/officeDocument/2006/relationships/hyperlink" Target="https://drive.google.com/file/d/1ukZKdUEFKKZ_o1brj8pNbudE59qWsvzk/view?usp=drive_link" TargetMode="External"/><Relationship Id="rId67" Type="http://schemas.openxmlformats.org/officeDocument/2006/relationships/hyperlink" Target="https://drive.google.com/file/d/1OCCCwrKUlTy4NqUDZsCGAqlMUuEalLTg/view?usp=drivesdk" TargetMode="External"/><Relationship Id="rId66" Type="http://schemas.openxmlformats.org/officeDocument/2006/relationships/hyperlink" Target="https://drive.google.com/file/d/1wph9zlC06HPR6sLyJB2CA14nwySD_6ES/view?usp=drive_link" TargetMode="External"/><Relationship Id="rId65" Type="http://schemas.openxmlformats.org/officeDocument/2006/relationships/hyperlink" Target="https://drive.google.com/file/d/17SJTGdOIPyZoBVvb3OcOJmQ_95JfuaZ5/view?usp=drivesdk" TargetMode="External"/><Relationship Id="rId64" Type="http://schemas.openxmlformats.org/officeDocument/2006/relationships/hyperlink" Target="https://drive.google.com/file/d/1JJxXXDiBnkpOvq2wjJstoqS76vydmnah/view?usp=drivesdk" TargetMode="External"/><Relationship Id="rId63" Type="http://schemas.openxmlformats.org/officeDocument/2006/relationships/hyperlink" Target="https://drive.google.com/file/d/1s5ZFWy4lgKTWx1VTywtJJzs4tASXleI9/view?usp=drivesdk" TargetMode="External"/><Relationship Id="rId62" Type="http://schemas.openxmlformats.org/officeDocument/2006/relationships/hyperlink" Target="https://drive.google.com/file/d/1j5G0xlpPZoN_-SJWXfCmHSvy5_f5ElVb/view?usp=drive_link" TargetMode="External"/><Relationship Id="rId61" Type="http://schemas.openxmlformats.org/officeDocument/2006/relationships/hyperlink" Target="https://drive.google.com/file/d/1T7BS5aUu1suc6oUZAUJSkrbr1ggrqk4F/view?usp=drivesdk" TargetMode="External"/><Relationship Id="rId60" Type="http://schemas.openxmlformats.org/officeDocument/2006/relationships/hyperlink" Target="https://drive.google.com/file/d/1ctSd5_QiLFiSL9HusTPGh-jont9jUp5L/view?usp=drivesdk" TargetMode="External"/><Relationship Id="rId6" Type="http://schemas.openxmlformats.org/officeDocument/2006/relationships/hyperlink" Target="https://drive.google.com/file/d/1dofCSrM5wtNOH1KynOIxPGTQNLOBhoyB/view?usp=drive_link" TargetMode="External"/><Relationship Id="rId59" Type="http://schemas.openxmlformats.org/officeDocument/2006/relationships/hyperlink" Target="https://drive.google.com/file/d/1p4jNVbor9SWt0QSpK-huF8RwzNZztNBs/view?usp=drive_link" TargetMode="External"/><Relationship Id="rId58" Type="http://schemas.openxmlformats.org/officeDocument/2006/relationships/hyperlink" Target="https://drive.google.com/file/d/1-ViehUGCoK-95HMz0jT4bisUTtKswxf_/view?usp=sharing" TargetMode="External"/><Relationship Id="rId57" Type="http://schemas.openxmlformats.org/officeDocument/2006/relationships/hyperlink" Target="https://drive.google.com/file/d/1BNuTqZYxqx1yeGa2TrCYkK9pzeYN8dIj/view?usp=drivesdk" TargetMode="External"/><Relationship Id="rId56" Type="http://schemas.openxmlformats.org/officeDocument/2006/relationships/hyperlink" Target="https://drive.google.com/file/d/1qjtejJbPZhaEoDtH1SzjRPkoAIfcWO6P/view?usp=drive_link" TargetMode="External"/><Relationship Id="rId55" Type="http://schemas.openxmlformats.org/officeDocument/2006/relationships/hyperlink" Target="https://drive.google.com/file/d/1YnmX1fQNi5xiW7g0Zw275jvOexvtOxvV/view?usp=drive_link" TargetMode="External"/><Relationship Id="rId54" Type="http://schemas.openxmlformats.org/officeDocument/2006/relationships/hyperlink" Target="https://drive.google.com/file/d/1wYv_ZKOGLC-W_lmH6btE4sx9lBosl7pp/view?usp=drive_link" TargetMode="External"/><Relationship Id="rId53" Type="http://schemas.openxmlformats.org/officeDocument/2006/relationships/hyperlink" Target="https://drive.google.com/file/d/1TvB9GBclhW4rhP04DhbIb_b9Hdo5pqQV/view?usp=drive_link" TargetMode="External"/><Relationship Id="rId52" Type="http://schemas.openxmlformats.org/officeDocument/2006/relationships/hyperlink" Target="https://drive.google.com/file/d/1j5orF-EAT8nzNC71KVyOVSOQbm2_QjuJ/view?usp=drive_link" TargetMode="External"/><Relationship Id="rId51" Type="http://schemas.openxmlformats.org/officeDocument/2006/relationships/hyperlink" Target="https://drive.google.com/file/d/11Nud9T2oyMachCssaWnFqJKD18bYk-iu/view?usp=drive_link" TargetMode="External"/><Relationship Id="rId50" Type="http://schemas.openxmlformats.org/officeDocument/2006/relationships/hyperlink" Target="https://drive.google.com/file/d/1zVz0DVls0T0q0Nw8a9sVgmfrBBnx7VDU/view?usp=drivesdk" TargetMode="External"/><Relationship Id="rId5" Type="http://schemas.openxmlformats.org/officeDocument/2006/relationships/hyperlink" Target="https://drive.google.com/file/d/12qjm2u6d4HXZoeZuaefjGZ0LMXzOfKZV/view?usp=drive_link" TargetMode="External"/><Relationship Id="rId49" Type="http://schemas.openxmlformats.org/officeDocument/2006/relationships/hyperlink" Target="https://drive.google.com/file/d/1ZIYCUXxj8jOoY1XdpAD2Wop0feHv17iO/view?usp=drive_link" TargetMode="External"/><Relationship Id="rId48" Type="http://schemas.openxmlformats.org/officeDocument/2006/relationships/hyperlink" Target="https://drive.google.com/file/d/127LhmDgP_fKrh2ruUvMZZjP00Rur-NFf/view?usp=drive_link" TargetMode="External"/><Relationship Id="rId47" Type="http://schemas.openxmlformats.org/officeDocument/2006/relationships/hyperlink" Target="https://drive.google.com/file/d/1SOB8yTx3iNQluvEnXfGG6MWAqHSEz-Qo/view?usp=drive_link" TargetMode="External"/><Relationship Id="rId46" Type="http://schemas.openxmlformats.org/officeDocument/2006/relationships/hyperlink" Target="https://drive.google.com/file/d/1TlMcYAuNXaqhxEmWpXQUqvfAQAk46AGx/view?usp=drive_link" TargetMode="External"/><Relationship Id="rId45" Type="http://schemas.openxmlformats.org/officeDocument/2006/relationships/hyperlink" Target="https://drive.google.com/file/d/13Wt4hUTwmYH6v7_WxdwEhtucSKklmSpq/view?usp=drive_link" TargetMode="External"/><Relationship Id="rId44" Type="http://schemas.openxmlformats.org/officeDocument/2006/relationships/hyperlink" Target="https://drive.google.com/file/d/1fX9EPecLmQpwnjlDPMxGbEsOkw7vqEG0/view?usp=drive_link" TargetMode="External"/><Relationship Id="rId43" Type="http://schemas.openxmlformats.org/officeDocument/2006/relationships/hyperlink" Target="https://drive.google.com/file/d/1K7U-qhvEDiXJudQEWiDcDsCwp-MFvERS/view?usp=drive_link" TargetMode="External"/><Relationship Id="rId42" Type="http://schemas.openxmlformats.org/officeDocument/2006/relationships/hyperlink" Target="https://drive.google.com/file/d/1xDBdPgGdG1puSnvNkFtMwx_BjJNJmc7u/view?usp=drive_link" TargetMode="External"/><Relationship Id="rId41" Type="http://schemas.openxmlformats.org/officeDocument/2006/relationships/hyperlink" Target="https://drive.google.com/file/d/16T8xFoOwqwEOLiY-9ZrdBnmmR-j_inlY/view?usp=drive_link" TargetMode="External"/><Relationship Id="rId40" Type="http://schemas.openxmlformats.org/officeDocument/2006/relationships/hyperlink" Target="https://drive.google.com/file/d/1reC79Z5VobvIwm_G13WWcxZsoT6HfJfi/view?usp=drive_link" TargetMode="External"/><Relationship Id="rId4" Type="http://schemas.openxmlformats.org/officeDocument/2006/relationships/hyperlink" Target="https://drive.google.com/file/d/1O_oCQwgVirp_-8d3UhY1cPDaNy9b7iKJ/view?usp=drive_link" TargetMode="External"/><Relationship Id="rId39" Type="http://schemas.openxmlformats.org/officeDocument/2006/relationships/hyperlink" Target="https://drive.google.com/file/d/1RG4xudV3zDWNDnRqj4rzXvtsAzaMXNpd/view?usp=drive_link" TargetMode="External"/><Relationship Id="rId38" Type="http://schemas.openxmlformats.org/officeDocument/2006/relationships/hyperlink" Target="https://drive.google.com/file/d/1-rKryF1JhHdK2zrMQNC7i0LN_4B1eUqJ/view?usp=drive_link" TargetMode="External"/><Relationship Id="rId37" Type="http://schemas.openxmlformats.org/officeDocument/2006/relationships/hyperlink" Target="https://drive.google.com/file/d/1hE4zoZlsHXBDv8WJPK8dp-fZXgpxdFv6/view?usp=drive_link" TargetMode="External"/><Relationship Id="rId36" Type="http://schemas.openxmlformats.org/officeDocument/2006/relationships/hyperlink" Target="https://drive.google.com/file/d/1ZwpZ_DBOq3oYuMSLS3QKBJ6FZEPGuc5Y/view?usp=drive_link" TargetMode="External"/><Relationship Id="rId35" Type="http://schemas.openxmlformats.org/officeDocument/2006/relationships/hyperlink" Target="https://drive.google.com/file/d/1kn1whJ74ReVWCLGM-xG0x7Nq24VZ3Kht/view?usp=drive_link" TargetMode="External"/><Relationship Id="rId34" Type="http://schemas.openxmlformats.org/officeDocument/2006/relationships/hyperlink" Target="https://drive.google.com/file/d/18foMdVq8XOXrt_ZXLHxTGKAFZwm6wiFM/view?usp=drive_link" TargetMode="External"/><Relationship Id="rId33" Type="http://schemas.openxmlformats.org/officeDocument/2006/relationships/hyperlink" Target="https://drive.google.com/file/d/13hgIgEwXsrPgbPDqptf77Z9p4I6yyJfD/view?usp=drive_link" TargetMode="External"/><Relationship Id="rId32" Type="http://schemas.openxmlformats.org/officeDocument/2006/relationships/hyperlink" Target="https://drive.google.com/file/d/1XmZ2BctShOMoYaQgRhevf5LHXVUNNvGZ/view?usp=drive_link" TargetMode="External"/><Relationship Id="rId31" Type="http://schemas.openxmlformats.org/officeDocument/2006/relationships/hyperlink" Target="https://drive.google.com/file/d/1iIr-pWTNS-LVkZOQDqZZMy1oT1wx_T50/view?usp=drive_link" TargetMode="External"/><Relationship Id="rId30" Type="http://schemas.openxmlformats.org/officeDocument/2006/relationships/hyperlink" Target="https://drive.google.com/file/d/1GIM8k96V_35TqQ7UVo_XPmjFvwMYppQ9/view?usp=drive_link" TargetMode="External"/><Relationship Id="rId3" Type="http://schemas.openxmlformats.org/officeDocument/2006/relationships/hyperlink" Target="https://drive.google.com/file/d/1zEiu25y2WIqSnGOH7bEnPCHaURkPxRj3/view?usp=drive_link" TargetMode="External"/><Relationship Id="rId29" Type="http://schemas.openxmlformats.org/officeDocument/2006/relationships/hyperlink" Target="https://drive.google.com/file/d/1Cjj2XW4m-wljRV8u_tPe1fGysN7Ii-6Z/view?usp=drive_link" TargetMode="External"/><Relationship Id="rId28" Type="http://schemas.openxmlformats.org/officeDocument/2006/relationships/hyperlink" Target="https://drive.google.com/file/d/1H-pG5PMEIockOCEjSRh4aS0HlXB6RwBn/view?usp=drive_link" TargetMode="External"/><Relationship Id="rId27" Type="http://schemas.openxmlformats.org/officeDocument/2006/relationships/hyperlink" Target="https://drive.google.com/file/d/1iT86gwUmA5iGn6EbeTiRQ2jcedN1Q-RL/view?usp=drive_link" TargetMode="External"/><Relationship Id="rId26" Type="http://schemas.openxmlformats.org/officeDocument/2006/relationships/hyperlink" Target="https://drive.google.com/file/d/1XPxVc6VPwT28SRlF7XMFB8py7__NBFpE/view" TargetMode="External"/><Relationship Id="rId25" Type="http://schemas.openxmlformats.org/officeDocument/2006/relationships/hyperlink" Target="https://drive.google.com/file/d/1y9h8s5VAhGnrjSTRX_kpZAvQxcoDZYlF/view?usp=drive_link" TargetMode="External"/><Relationship Id="rId24" Type="http://schemas.openxmlformats.org/officeDocument/2006/relationships/hyperlink" Target="https://drive.google.com/file/d/13Rp0jhLAUPxVgNUeKao1SrUscyPBF4xd/view" TargetMode="External"/><Relationship Id="rId23" Type="http://schemas.openxmlformats.org/officeDocument/2006/relationships/hyperlink" Target="https://drive.google.com/file/d/1s8OZL4bc7F2j7KS9zfzhf2P5yW2dTEDk/view?usp=drive_link" TargetMode="External"/><Relationship Id="rId22" Type="http://schemas.openxmlformats.org/officeDocument/2006/relationships/hyperlink" Target="https://drive.google.com/file/d/1aULi1pNwQdGVpTKDuog0P9Xh1IcPJhYJ/view?usp=drive_link" TargetMode="External"/><Relationship Id="rId21" Type="http://schemas.openxmlformats.org/officeDocument/2006/relationships/hyperlink" Target="https://drive.google.com/file/d/1jS-Rm2khcd-mVb7hr4dZSn3vTM6euEMF/view?usp=drive_link" TargetMode="External"/><Relationship Id="rId20" Type="http://schemas.openxmlformats.org/officeDocument/2006/relationships/hyperlink" Target="https://drive.google.com/file/d/1n6kgQYiFSfRmzvqNvEMMpvoSSKW9tNLl/view?usp=drivesdk" TargetMode="External"/><Relationship Id="rId2" Type="http://schemas.openxmlformats.org/officeDocument/2006/relationships/hyperlink" Target="https://drive.google.com/file/d/1cg69iAQNc9uOtWuqUJGFIHJbW9g8lvCb/view?usp=drive_link" TargetMode="External"/><Relationship Id="rId19" Type="http://schemas.openxmlformats.org/officeDocument/2006/relationships/hyperlink" Target="https://drive.google.com/file/d/1IUS8d_QOkrc_3Yf1jLvL5afjwyI3ICZg/view?usp=drive_link" TargetMode="External"/><Relationship Id="rId18" Type="http://schemas.openxmlformats.org/officeDocument/2006/relationships/hyperlink" Target="https://drive.google.com/file/d/13yw7d4M5DavfJhAWlocJYaBbIdVZ4MUR/view?usp=drive_link" TargetMode="External"/><Relationship Id="rId17" Type="http://schemas.openxmlformats.org/officeDocument/2006/relationships/hyperlink" Target="https://drive.google.com/file/d/1YIfU6l0VHs1RLaY4oWN3i7J5MkKJVf21/view?usp=drive_link" TargetMode="External"/><Relationship Id="rId16" Type="http://schemas.openxmlformats.org/officeDocument/2006/relationships/hyperlink" Target="https://drive.google.com/file/d/1EA90Utk1ns7TCVkyeIJ5iW7Hdqq2_Zha/view?usp=drive_link" TargetMode="External"/><Relationship Id="rId15" Type="http://schemas.openxmlformats.org/officeDocument/2006/relationships/hyperlink" Target="https://drive.google.com/file/d/1Avr2c9EUJeRR_WORLT-fejRiDBwfHUZJ/view?usp=drive_link" TargetMode="External"/><Relationship Id="rId14" Type="http://schemas.openxmlformats.org/officeDocument/2006/relationships/hyperlink" Target="https://drive.google.com/file/d/1ce1-C1itmD7AlR76e27BCJ0C31lSTMnw/view?usp=drive_link" TargetMode="External"/><Relationship Id="rId13" Type="http://schemas.openxmlformats.org/officeDocument/2006/relationships/hyperlink" Target="https://drive.google.com/file/d/1-ihHgG-ZTzFzYax0kEDc1MFsR1x_fHKb/view?usp=drive_link" TargetMode="External"/><Relationship Id="rId12" Type="http://schemas.openxmlformats.org/officeDocument/2006/relationships/hyperlink" Target="https://drive.google.com/file/d/1bIzwIHgyl5KuI1ukxJZqJaAoYq_sl5wD/view?usp=drive_link" TargetMode="External"/><Relationship Id="rId110" Type="http://schemas.openxmlformats.org/officeDocument/2006/relationships/hyperlink" Target="https://drive.google.com/file/d/1ayKyx-7T7TwOte_gGFgfgCxWiVa8Cg8m/view?usp=drive_link" TargetMode="External"/><Relationship Id="rId11" Type="http://schemas.openxmlformats.org/officeDocument/2006/relationships/hyperlink" Target="https://drive.google.com/file/d/1g_NCEmpgXGAv6Wf51xoA6Lhpz__Zkopy/view?usp=drive_link" TargetMode="External"/><Relationship Id="rId109" Type="http://schemas.openxmlformats.org/officeDocument/2006/relationships/hyperlink" Target="https://drive.google.com/file/d/1HvfXkFjLiHRPwmnYl-3JLNG2OHocGWGJ/view?usp=drive_link" TargetMode="External"/><Relationship Id="rId108" Type="http://schemas.openxmlformats.org/officeDocument/2006/relationships/hyperlink" Target="https://drive.google.com/file/d/1O8IFerN_b1OVb1CN9mQGTjYZpOKGoITY/view?usp=drive_link" TargetMode="External"/><Relationship Id="rId107" Type="http://schemas.openxmlformats.org/officeDocument/2006/relationships/hyperlink" Target="https://drive.google.com/file/d/1g_9nh_hqVHEgyFmCYgVlJFmL1Aj6XSjP/view?usp=drive_link" TargetMode="External"/><Relationship Id="rId106" Type="http://schemas.openxmlformats.org/officeDocument/2006/relationships/hyperlink" Target="https://drive.google.com/file/d/1pO45KJ2Anjf1wjhdMDATmYcrXCytLB3y/view?usp=sharing" TargetMode="External"/><Relationship Id="rId105" Type="http://schemas.openxmlformats.org/officeDocument/2006/relationships/hyperlink" Target="https://drive.google.com/file/d/1VXVL_r3DoAz3I_u0DD1X5QX9FVNRikkd/view?usp=drive_link" TargetMode="External"/><Relationship Id="rId104" Type="http://schemas.openxmlformats.org/officeDocument/2006/relationships/hyperlink" Target="https://drive.google.com/file/d/14S--Kd5Vl3YSMCHzwwYt_kQIgxGm_Zbg/view?usp=drive_link" TargetMode="External"/><Relationship Id="rId103" Type="http://schemas.openxmlformats.org/officeDocument/2006/relationships/hyperlink" Target="https://drive.google.com/file/d/1n-OVjxMOvOjL1phlSkz8eviOukA2jLci/view?usp=drive_link" TargetMode="External"/><Relationship Id="rId102" Type="http://schemas.openxmlformats.org/officeDocument/2006/relationships/hyperlink" Target="https://drive.google.com/file/d/1_wspiI7N_dRs_vE3p2pH0rc8yAcF-pg4/view?usp=drive_link" TargetMode="External"/><Relationship Id="rId101" Type="http://schemas.openxmlformats.org/officeDocument/2006/relationships/hyperlink" Target="https://drive.google.com/file/d/1WXt01Z5DyEaibfcb9yjRvC37GnJBijOf/view?usp=drive_link" TargetMode="External"/><Relationship Id="rId100" Type="http://schemas.openxmlformats.org/officeDocument/2006/relationships/hyperlink" Target="https://drive.google.com/file/d/12CBiVkqByJdiB_fExvTvqpU9ylB2Sy3W/view?usp=drive_link" TargetMode="External"/><Relationship Id="rId10" Type="http://schemas.openxmlformats.org/officeDocument/2006/relationships/hyperlink" Target="https://drive.google.com/file/d/1zRYIMnuahZ6rLYGTnQ9LCNrnYC0VqvCA/view?usp=drive_link" TargetMode="External"/><Relationship Id="rId1" Type="http://schemas.openxmlformats.org/officeDocument/2006/relationships/hyperlink" Target="http://s.no/" TargetMode="External"/></Relationships>
</file>

<file path=xl/worksheets/_rels/sheet7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9jnO6RnG6PDuzpzS88sxRvmJbKY0TeSc/view?usp=drive_link" TargetMode="External"/><Relationship Id="rId84" Type="http://schemas.openxmlformats.org/officeDocument/2006/relationships/hyperlink" Target="https://drive.google.com/file/d/1jTCXH33gTrZDnqPAyOS9Jo4Vsl0cg49j/view?usp=sharing" TargetMode="External"/><Relationship Id="rId83" Type="http://schemas.openxmlformats.org/officeDocument/2006/relationships/hyperlink" Target="https://drive.google.com/file/d/1-LMn2RMdekpDhktxd6uNjQQdatMKF8yZ/view?usp=drive_link" TargetMode="External"/><Relationship Id="rId82" Type="http://schemas.openxmlformats.org/officeDocument/2006/relationships/hyperlink" Target="https://drive.google.com/file/d/1pO45KJ2Anjf1wjhdMDATmYcrXCytLB3y/view?usp=sharing" TargetMode="External"/><Relationship Id="rId81" Type="http://schemas.openxmlformats.org/officeDocument/2006/relationships/hyperlink" Target="https://drive.google.com/file/d/1ayKyx-7T7TwOte_gGFgfgCxWiVa8Cg8m/view?usp=drive_link" TargetMode="External"/><Relationship Id="rId80" Type="http://schemas.openxmlformats.org/officeDocument/2006/relationships/hyperlink" Target="https://drive.google.com/file/d/14S--Kd5Vl3YSMCHzwwYt_kQIgxGm_Zbg/view?usp=drive_link" TargetMode="External"/><Relationship Id="rId8" Type="http://schemas.openxmlformats.org/officeDocument/2006/relationships/hyperlink" Target="https://drive.google.com/file/d/13yw7d4M5DavfJhAWlocJYaBbIdVZ4MUR/view?usp=drive_link" TargetMode="External"/><Relationship Id="rId79" Type="http://schemas.openxmlformats.org/officeDocument/2006/relationships/hyperlink" Target="https://drive.google.com/file/d/1_wspiI7N_dRs_vE3p2pH0rc8yAcF-pg4/view?usp=drive_link" TargetMode="External"/><Relationship Id="rId78" Type="http://schemas.openxmlformats.org/officeDocument/2006/relationships/hyperlink" Target="https://drive.google.com/file/d/1WXt01Z5DyEaibfcb9yjRvC37GnJBijOf/view?usp=drive_link" TargetMode="External"/><Relationship Id="rId77" Type="http://schemas.openxmlformats.org/officeDocument/2006/relationships/hyperlink" Target="https://drive.google.com/file/d/1imOf8cO4LrDK_1VGlnSJPrR4OAx8Sd2B/view?usp=drive_link" TargetMode="External"/><Relationship Id="rId76" Type="http://schemas.openxmlformats.org/officeDocument/2006/relationships/hyperlink" Target="https://drive.google.com/file/d/15MHSo23sHhYQuvGI6Rdc88aGx1MXVhlF/view?usp=drive_link" TargetMode="External"/><Relationship Id="rId75" Type="http://schemas.openxmlformats.org/officeDocument/2006/relationships/hyperlink" Target="https://drive.google.com/file/d/1PvOjnHX4PswWI1vfIOlg-opgYQ-1z7OW/view?usp=drive_link" TargetMode="External"/><Relationship Id="rId74" Type="http://schemas.openxmlformats.org/officeDocument/2006/relationships/hyperlink" Target="https://drive.google.com/file/d/1pwvxtylcQU9g5ugGj6-cquw5qpxteWyy/view?usp=drive_link" TargetMode="External"/><Relationship Id="rId73" Type="http://schemas.openxmlformats.org/officeDocument/2006/relationships/hyperlink" Target="https://drive.google.com/file/d/10IopptKMrztl6WG6GZ4mCHxaaj_gYRLP/view?usp=drive_link" TargetMode="External"/><Relationship Id="rId72" Type="http://schemas.openxmlformats.org/officeDocument/2006/relationships/hyperlink" Target="https://drive.google.com/file/d/1j5G0xlpPZoN_-SJWXfCmHSvy5_f5ElVb/view?usp=drive_link" TargetMode="External"/><Relationship Id="rId71" Type="http://schemas.openxmlformats.org/officeDocument/2006/relationships/hyperlink" Target="https://drive.google.com/file/d/1T7BS5aUu1suc6oUZAUJSkrbr1ggrqk4F/view?usp=drivesdk" TargetMode="External"/><Relationship Id="rId70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7" Type="http://schemas.openxmlformats.org/officeDocument/2006/relationships/hyperlink" Target="https://drive.google.com/file/d/1TtxJeWuVc20ePVik4bdjwKeBWspDdqMP/view?usp=drive_link" TargetMode="External"/><Relationship Id="rId69" Type="http://schemas.openxmlformats.org/officeDocument/2006/relationships/hyperlink" Target="https://drive.google.com/file/d/1l0CarlJRdXeKckzjv5vdH8ZMNbVSDSFn/view?usp=drivesdk" TargetMode="External"/><Relationship Id="rId68" Type="http://schemas.openxmlformats.org/officeDocument/2006/relationships/hyperlink" Target="https://drive.google.com/file/d/1cDws5m82y0QLaMQjQn4nPhQjGbKZTTHM/view?usp=drive_link" TargetMode="External"/><Relationship Id="rId67" Type="http://schemas.openxmlformats.org/officeDocument/2006/relationships/hyperlink" Target="https://drive.google.com/file/d/1SyqKT5bF5AaGYQgD2j5JSrpmJiBMLybn/view?usp=drivesdk" TargetMode="External"/><Relationship Id="rId66" Type="http://schemas.openxmlformats.org/officeDocument/2006/relationships/hyperlink" Target="https://drive.google.com/file/d/1XpAcBk1dx3kbxiOjQANL9NEcJId6HWRV/view?usp=drive_link" TargetMode="External"/><Relationship Id="rId65" Type="http://schemas.openxmlformats.org/officeDocument/2006/relationships/hyperlink" Target="https://drive.google.com/file/d/1dnnPv2EwuF26BE5dj4yO97-n5kHqdM1k/view?usp=drive_link" TargetMode="External"/><Relationship Id="rId64" Type="http://schemas.openxmlformats.org/officeDocument/2006/relationships/hyperlink" Target="https://drive.google.com/file/d/16K-raV8iz6WgP29DkRdLlFKKY-8sr_to/view?usp=drive_link" TargetMode="External"/><Relationship Id="rId63" Type="http://schemas.openxmlformats.org/officeDocument/2006/relationships/hyperlink" Target="https://drive.google.com/file/d/1fd0sOGzaGx79ej-Ks_rdbxBPKKMdSUGz/view?usp=drive_link" TargetMode="External"/><Relationship Id="rId62" Type="http://schemas.openxmlformats.org/officeDocument/2006/relationships/hyperlink" Target="https://drive.google.com/file/d/1ARMN9n1uhR_EfgszzEHZV1aOiyogjwmq/view?usp=drive_link" TargetMode="External"/><Relationship Id="rId61" Type="http://schemas.openxmlformats.org/officeDocument/2006/relationships/hyperlink" Target="https://drive.google.com/file/d/1IajYd8ZkdFGsJNyD5ac7YfLrLiErUAaS/view?usp=drive_link" TargetMode="External"/><Relationship Id="rId60" Type="http://schemas.openxmlformats.org/officeDocument/2006/relationships/hyperlink" Target="https://drive.google.com/file/d/191nd4fjTLsFa51p91BDI8G4jqcJZKzXQ/view?usp=drive_link" TargetMode="External"/><Relationship Id="rId6" Type="http://schemas.openxmlformats.org/officeDocument/2006/relationships/hyperlink" Target="https://drive.google.com/file/d/14cGRh_2GVwGIhwcirub7JRZGMV1dZAmt/view?usp=drive_link" TargetMode="External"/><Relationship Id="rId59" Type="http://schemas.openxmlformats.org/officeDocument/2006/relationships/hyperlink" Target="https://drive.google.com/file/d/1FqXG1wxuTRQ5pwh-UNuuUTQhA2K-VYU3/view?usp=drive_link" TargetMode="External"/><Relationship Id="rId58" Type="http://schemas.openxmlformats.org/officeDocument/2006/relationships/hyperlink" Target="https://drive.google.com/file/d/1ICvljw9LVi-JbkGMPoofgGxf5AqgBTCT/view?usp=drive_link" TargetMode="External"/><Relationship Id="rId57" Type="http://schemas.openxmlformats.org/officeDocument/2006/relationships/hyperlink" Target="https://drive.google.com/file/d/1KBww0rHUyciI0mWR1se0OIUm2pcqH1OA/view?usp=drive_link" TargetMode="External"/><Relationship Id="rId56" Type="http://schemas.openxmlformats.org/officeDocument/2006/relationships/hyperlink" Target="https://drive.google.com/file/d/1aP7DA80_xB-L2ZdinW3aluQ9BDO2Jz4J/view?usp=drive_link" TargetMode="External"/><Relationship Id="rId55" Type="http://schemas.openxmlformats.org/officeDocument/2006/relationships/hyperlink" Target="https://drive.google.com/file/d/1XPFrIq8oP3gM9I2Hb6PG2BlJP5QYhNpp/view?usp=drive_link" TargetMode="External"/><Relationship Id="rId54" Type="http://schemas.openxmlformats.org/officeDocument/2006/relationships/hyperlink" Target="https://drive.google.com/file/d/1nQe6dre832VdK8lAyDDmuH-4k1FNpMe9/view?usp=drive_link" TargetMode="External"/><Relationship Id="rId53" Type="http://schemas.openxmlformats.org/officeDocument/2006/relationships/hyperlink" Target="https://drive.google.com/file/d/14-i6FREDfcd3sWtXcRWcR3dbbCjLF-pQ/view?usp=drive_link" TargetMode="External"/><Relationship Id="rId52" Type="http://schemas.openxmlformats.org/officeDocument/2006/relationships/hyperlink" Target="https://drive.google.com/file/d/1diCDIf20OjD4Lh9Y37smK8jwQ2pFReOd/view?usp=drive_link" TargetMode="External"/><Relationship Id="rId51" Type="http://schemas.openxmlformats.org/officeDocument/2006/relationships/hyperlink" Target="https://drive.google.com/file/d/11Xc595EQ9UklFdShbVGpLBe3kOINfNuH/view?usp=drive_link" TargetMode="External"/><Relationship Id="rId50" Type="http://schemas.openxmlformats.org/officeDocument/2006/relationships/hyperlink" Target="https://drive.google.com/file/d/1QdpPxCp_Hwu-RhHoxmb6iCNGSJoPsqz_/view?usp=drive_link" TargetMode="External"/><Relationship Id="rId5" Type="http://schemas.openxmlformats.org/officeDocument/2006/relationships/hyperlink" Target="https://drive.google.com/file/d/1vAilJIwOsp4XAuK_CHrcMGeHYpph1rEL/view?usp=drive_link" TargetMode="External"/><Relationship Id="rId49" Type="http://schemas.openxmlformats.org/officeDocument/2006/relationships/hyperlink" Target="https://drive.google.com/file/d/1myT6gM4hYiMWqa0IaSPrsH1f1mm7s3nI/view?usp=drive_link" TargetMode="External"/><Relationship Id="rId48" Type="http://schemas.openxmlformats.org/officeDocument/2006/relationships/hyperlink" Target="https://drive.google.com/file/d/16wscUPZIwXe1kxCxLd3C1Rw9DvYau1cI/view?usp=drive_link" TargetMode="External"/><Relationship Id="rId47" Type="http://schemas.openxmlformats.org/officeDocument/2006/relationships/hyperlink" Target="https://drive.google.com/file/d/1fS4-xLS9T_rT-smJrAh7k4nGkXaO8pet/view?usp=drive_link" TargetMode="External"/><Relationship Id="rId46" Type="http://schemas.openxmlformats.org/officeDocument/2006/relationships/hyperlink" Target="https://drive.google.com/file/d/1_w9lqTLHULjCu8oYUCejKjj55PWV3XVX/view?usp=drive_link" TargetMode="External"/><Relationship Id="rId45" Type="http://schemas.openxmlformats.org/officeDocument/2006/relationships/hyperlink" Target="https://drive.google.com/file/d/13kfxZmwabNyA70-lw843VtntZTek8eKx/view?usp=drive_link" TargetMode="External"/><Relationship Id="rId44" Type="http://schemas.openxmlformats.org/officeDocument/2006/relationships/hyperlink" Target="https://drive.google.com/file/d/1TvB9GBclhW4rhP04DhbIb_b9Hdo5pqQV/view?usp=drive_link" TargetMode="External"/><Relationship Id="rId43" Type="http://schemas.openxmlformats.org/officeDocument/2006/relationships/hyperlink" Target="https://drive.google.com/file/d/1YnmX1fQNi5xiW7g0Zw275jvOexvtOxvV/view?usp=drive_link" TargetMode="External"/><Relationship Id="rId42" Type="http://schemas.openxmlformats.org/officeDocument/2006/relationships/hyperlink" Target="https://drive.google.com/file/d/1BuTXe4o31fPLuevgalZPF5lM1OYLuXGp/view?usp=drive_link" TargetMode="External"/><Relationship Id="rId41" Type="http://schemas.openxmlformats.org/officeDocument/2006/relationships/hyperlink" Target="https://drive.google.com/file/d/1684hitjmTRLe4EziGT17JL9faK4cySAm/view?usp=drive_link" TargetMode="External"/><Relationship Id="rId40" Type="http://schemas.openxmlformats.org/officeDocument/2006/relationships/hyperlink" Target="https://drive.google.com/file/d/1_b6MAbkk4gIiqVkEvs4tD_bGrj6Qjfr2/view?usp=sharing" TargetMode="External"/><Relationship Id="rId4" Type="http://schemas.openxmlformats.org/officeDocument/2006/relationships/hyperlink" Target="https://drive.google.com/file/d/1uU_cmBjBGXCWi-tPHtYzj7uqEK85TQeF/view?usp=drive_link" TargetMode="External"/><Relationship Id="rId39" Type="http://schemas.openxmlformats.org/officeDocument/2006/relationships/hyperlink" Target="https://drive.google.com/file/d/1LXIXzIvRS8SRSjFC0QIr0-_755NbHQZB/view?usp=drive_link" TargetMode="External"/><Relationship Id="rId38" Type="http://schemas.openxmlformats.org/officeDocument/2006/relationships/hyperlink" Target="https://drive.google.com/file/d/1ilRMmNJ04MJb2ckIlpQFrM-wEmNyOPr1/view?usp=drive_link" TargetMode="External"/><Relationship Id="rId37" Type="http://schemas.openxmlformats.org/officeDocument/2006/relationships/hyperlink" Target="https://drive.google.com/file/d/1JwLJckLJ6Zv_xo2a_WTABy9jY0JC0VJI/view?usp=sharing" TargetMode="External"/><Relationship Id="rId36" Type="http://schemas.openxmlformats.org/officeDocument/2006/relationships/hyperlink" Target="https://drive.google.com/file/d/1RjtduOuUUzvGEjwCm8F2bH0fsFkGv9RU/view?usp=drive_link" TargetMode="External"/><Relationship Id="rId35" Type="http://schemas.openxmlformats.org/officeDocument/2006/relationships/hyperlink" Target="https://drive.google.com/file/d/127LhmDgP_fKrh2ruUvMZZjP00Rur-NFf/view?usp=drive_link" TargetMode="External"/><Relationship Id="rId34" Type="http://schemas.openxmlformats.org/officeDocument/2006/relationships/hyperlink" Target="https://drive.google.com/file/d/1RG4xudV3zDWNDnRqj4rzXvtsAzaMXNpd/view?usp=drive_link" TargetMode="External"/><Relationship Id="rId33" Type="http://schemas.openxmlformats.org/officeDocument/2006/relationships/hyperlink" Target="https://drive.google.com/file/d/1K_GMnaRKUNbQfM7yT1nPjUFYCR4Y8yZE/view?usp=drive_link" TargetMode="External"/><Relationship Id="rId32" Type="http://schemas.openxmlformats.org/officeDocument/2006/relationships/hyperlink" Target="https://drive.google.com/file/d/1SOB8yTx3iNQluvEnXfGG6MWAqHSEz-Qo/view?usp=drive_link" TargetMode="External"/><Relationship Id="rId31" Type="http://schemas.openxmlformats.org/officeDocument/2006/relationships/hyperlink" Target="https://drive.google.com/file/d/13Wt4hUTwmYH6v7_WxdwEhtucSKklmSpq/view?usp=drive_link" TargetMode="External"/><Relationship Id="rId30" Type="http://schemas.openxmlformats.org/officeDocument/2006/relationships/hyperlink" Target="https://drive.google.com/file/d/1xDBdPgGdG1puSnvNkFtMwx_BjJNJmc7u/view?usp=drive_link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6T8xFoOwqwEOLiY-9ZrdBnmmR-j_inlY/view?usp=drive_link" TargetMode="External"/><Relationship Id="rId28" Type="http://schemas.openxmlformats.org/officeDocument/2006/relationships/hyperlink" Target="https://drive.google.com/file/d/1ZwpZ_DBOq3oYuMSLS3QKBJ6FZEPGuc5Y/view?usp=drive_link" TargetMode="External"/><Relationship Id="rId27" Type="http://schemas.openxmlformats.org/officeDocument/2006/relationships/hyperlink" Target="https://drive.google.com/file/d/1kn1whJ74ReVWCLGM-xG0x7Nq24VZ3Kht/view?usp=drive_link" TargetMode="External"/><Relationship Id="rId26" Type="http://schemas.openxmlformats.org/officeDocument/2006/relationships/hyperlink" Target="https://drive.google.com/file/d/1-rKryF1JhHdK2zrMQNC7i0LN_4B1eUqJ/view?usp=drive_link" TargetMode="External"/><Relationship Id="rId25" Type="http://schemas.openxmlformats.org/officeDocument/2006/relationships/hyperlink" Target="https://drive.google.com/file/d/15YJCmmOIpZIf0vwYNwhtt-cBFVTo1z4S/view?usp=drive_link" TargetMode="External"/><Relationship Id="rId24" Type="http://schemas.openxmlformats.org/officeDocument/2006/relationships/hyperlink" Target="https://drive.google.com/file/d/1XmZ2BctShOMoYaQgRhevf5LHXVUNNvGZ/view?usp=drive_link" TargetMode="External"/><Relationship Id="rId23" Type="http://schemas.openxmlformats.org/officeDocument/2006/relationships/hyperlink" Target="https://drive.google.com/file/d/1p_9oZzM9Ynvy3DjdN4ezftWJEHFNoqHp/view?usp=drive_link" TargetMode="External"/><Relationship Id="rId22" Type="http://schemas.openxmlformats.org/officeDocument/2006/relationships/hyperlink" Target="https://drive.google.com/file/d/13hgIgEwXsrPgbPDqptf77Z9p4I6yyJfD/view?usp=drive_link" TargetMode="External"/><Relationship Id="rId21" Type="http://schemas.openxmlformats.org/officeDocument/2006/relationships/hyperlink" Target="https://drive.google.com/file/d/1H-pG5PMEIockOCEjSRh4aS0HlXB6RwBn/view?usp=drive_link" TargetMode="External"/><Relationship Id="rId20" Type="http://schemas.openxmlformats.org/officeDocument/2006/relationships/hyperlink" Target="https://drive.google.com/file/d/1zVz0DVls0T0q0Nw8a9sVgmfrBBnx7VDU/view?usp=drivesdk" TargetMode="External"/><Relationship Id="rId2" Type="http://schemas.openxmlformats.org/officeDocument/2006/relationships/hyperlink" Target="https://drive.google.com/file/d/1zEiu25y2WIqSnGOH7bEnPCHaURkPxRj3/view?usp=drive_link" TargetMode="External"/><Relationship Id="rId19" Type="http://schemas.openxmlformats.org/officeDocument/2006/relationships/hyperlink" Target="https://drive.google.com/file/d/1MqKqLyL1Szw5dZPMXxT46Rrs2pbCGBzG/view?usp=drivesdk" TargetMode="External"/><Relationship Id="rId18" Type="http://schemas.openxmlformats.org/officeDocument/2006/relationships/hyperlink" Target="https://drive.google.com/file/d/1f9YvrEEU4Hx-Gov_l-mxoXT9fJwHvlGX/view?usp=drivesdk" TargetMode="External"/><Relationship Id="rId17" Type="http://schemas.openxmlformats.org/officeDocument/2006/relationships/hyperlink" Target="https://drive.google.com/file/d/1WAIV9EzRLNkmkzUDIIR1DMXykSJnRqNQ/view?usp=drivesdk" TargetMode="External"/><Relationship Id="rId16" Type="http://schemas.openxmlformats.org/officeDocument/2006/relationships/hyperlink" Target="https://drive.google.com/file/d/1JmOAm4079UzechP2QZhlcGLcKATeh1NC/view?usp=drivesdk" TargetMode="External"/><Relationship Id="rId15" Type="http://schemas.openxmlformats.org/officeDocument/2006/relationships/hyperlink" Target="https://drive.google.com/file/d/1LKMYyqlNdTpBAJHzScOqSYbwoX-Sj7CT/view?usp=drivesdk" TargetMode="External"/><Relationship Id="rId14" Type="http://schemas.openxmlformats.org/officeDocument/2006/relationships/hyperlink" Target="https://drive.google.com/file/d/13Rp0jhLAUPxVgNUeKao1SrUscyPBF4xd/view" TargetMode="External"/><Relationship Id="rId13" Type="http://schemas.openxmlformats.org/officeDocument/2006/relationships/hyperlink" Target="https://drive.google.com/file/d/1DWHRNJ3pMF_sCvA1Cgrp7Nq-QjVOrmtQ/view?usp=drive_link" TargetMode="External"/><Relationship Id="rId12" Type="http://schemas.openxmlformats.org/officeDocument/2006/relationships/hyperlink" Target="https://drive.google.com/file/d/1Avr2c9EUJeRR_WORLT-fejRiDBwfHUZJ/view?usp=drive_link" TargetMode="External"/><Relationship Id="rId11" Type="http://schemas.openxmlformats.org/officeDocument/2006/relationships/hyperlink" Target="https://drive.google.com/file/d/1EA90Utk1ns7TCVkyeIJ5iW7Hdqq2_Zha/view?usp=drive_link" TargetMode="External"/><Relationship Id="rId10" Type="http://schemas.openxmlformats.org/officeDocument/2006/relationships/hyperlink" Target="https://drive.google.com/file/d/1g_NCEmpgXGAv6Wf51xoA6Lhpz__Zkopy/view?usp=drive_link" TargetMode="External"/><Relationship Id="rId1" Type="http://schemas.openxmlformats.org/officeDocument/2006/relationships/hyperlink" Target="http://s.no/" TargetMode="External"/></Relationships>
</file>

<file path=xl/worksheets/_rels/sheet8.xml.rels><?xml version="1.0" encoding="UTF-8" standalone="yes"?>
<Relationships xmlns="http://schemas.openxmlformats.org/package/2006/relationships"><Relationship Id="rId90" Type="http://schemas.openxmlformats.org/officeDocument/2006/relationships/hyperlink" Target="https://drive.google.com/file/d/1ayKyx-7T7TwOte_gGFgfgCxWiVa8Cg8m/view?usp=drive_lin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z6DqqghGz5_1wHnScD8k48HgKfz0Zk9I/view?usp=sharing" TargetMode="External"/><Relationship Id="rId88" Type="http://schemas.openxmlformats.org/officeDocument/2006/relationships/hyperlink" Target="https://drive.google.com/file/d/1HvfXkFjLiHRPwmnYl-3JLNG2OHocGWGJ/view?usp=drive_link" TargetMode="External"/><Relationship Id="rId87" Type="http://schemas.openxmlformats.org/officeDocument/2006/relationships/hyperlink" Target="https://drive.google.com/file/d/1O8IFerN_b1OVb1CN9mQGTjYZpOKGoITY/view?usp=drive_link" TargetMode="External"/><Relationship Id="rId86" Type="http://schemas.openxmlformats.org/officeDocument/2006/relationships/hyperlink" Target="https://drive.google.com/file/d/1g_9nh_hqVHEgyFmCYgVlJFmL1Aj6XSjP/view?usp=drive_link" TargetMode="External"/><Relationship Id="rId85" Type="http://schemas.openxmlformats.org/officeDocument/2006/relationships/hyperlink" Target="https://drive.google.com/file/d/1pO45KJ2Anjf1wjhdMDATmYcrXCytLB3y/view?usp=sharing" TargetMode="External"/><Relationship Id="rId84" Type="http://schemas.openxmlformats.org/officeDocument/2006/relationships/hyperlink" Target="https://drive.google.com/file/d/1VXVL_r3DoAz3I_u0DD1X5QX9FVNRikkd/view?usp=drive_link" TargetMode="External"/><Relationship Id="rId83" Type="http://schemas.openxmlformats.org/officeDocument/2006/relationships/hyperlink" Target="https://drive.google.com/file/d/14S--Kd5Vl3YSMCHzwwYt_kQIgxGm_Zbg/view?usp=drive_link" TargetMode="External"/><Relationship Id="rId82" Type="http://schemas.openxmlformats.org/officeDocument/2006/relationships/hyperlink" Target="https://drive.google.com/file/d/1n-OVjxMOvOjL1phlSkz8eviOukA2jLci/view?usp=drive_link" TargetMode="External"/><Relationship Id="rId81" Type="http://schemas.openxmlformats.org/officeDocument/2006/relationships/hyperlink" Target="https://drive.google.com/file/d/1_wspiI7N_dRs_vE3p2pH0rc8yAcF-pg4/view?usp=drive_link" TargetMode="External"/><Relationship Id="rId80" Type="http://schemas.openxmlformats.org/officeDocument/2006/relationships/hyperlink" Target="https://drive.google.com/file/d/1WXt01Z5DyEaibfcb9yjRvC37GnJBijOf/view?usp=drive_lin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2CBiVkqByJdiB_fExvTvqpU9ylB2Sy3W/view?usp=drive_link" TargetMode="External"/><Relationship Id="rId78" Type="http://schemas.openxmlformats.org/officeDocument/2006/relationships/hyperlink" Target="https://drive.google.com/file/d/1rjwl5CZZjBCqyIHHwyVOtiklXu_rVxIO/view?usp=drive_link" TargetMode="External"/><Relationship Id="rId77" Type="http://schemas.openxmlformats.org/officeDocument/2006/relationships/hyperlink" Target="https://drive.google.com/file/d/1imOf8cO4LrDK_1VGlnSJPrR4OAx8Sd2B/view?usp=drive_link" TargetMode="External"/><Relationship Id="rId76" Type="http://schemas.openxmlformats.org/officeDocument/2006/relationships/hyperlink" Target="https://drive.google.com/file/d/10aHD4D4de3IMNUlj2mTv1iugbhs7vm95/view?usp=drive_link" TargetMode="External"/><Relationship Id="rId75" Type="http://schemas.openxmlformats.org/officeDocument/2006/relationships/hyperlink" Target="https://drive.google.com/file/d/15MHSo23sHhYQuvGI6Rdc88aGx1MXVhlF/view?usp=drive_link" TargetMode="External"/><Relationship Id="rId74" Type="http://schemas.openxmlformats.org/officeDocument/2006/relationships/hyperlink" Target="https://drive.google.com/file/d/1z2yIzp0ZbgM-WXwFf0MlJEXezfRG53OZ/view?usp=drive_link" TargetMode="External"/><Relationship Id="rId73" Type="http://schemas.openxmlformats.org/officeDocument/2006/relationships/hyperlink" Target="https://drive.google.com/file/d/1xHYG71X2k3983YHN99dbp4xBXMcrt0Lo/view?usp=drive_link" TargetMode="External"/><Relationship Id="rId72" Type="http://schemas.openxmlformats.org/officeDocument/2006/relationships/hyperlink" Target="https://drive.google.com/file/d/1jRKZBKe7w2Xi53zqSAn6NrmAes6P_moI/view?usp=drive_link" TargetMode="External"/><Relationship Id="rId71" Type="http://schemas.openxmlformats.org/officeDocument/2006/relationships/hyperlink" Target="https://drive.google.com/file/d/1NIe9-9-Vi7Clsa9fZrLU9IAT4VSyUYuq/view?usp=drive_link" TargetMode="External"/><Relationship Id="rId70" Type="http://schemas.openxmlformats.org/officeDocument/2006/relationships/hyperlink" Target="https://drive.google.com/file/d/19_dx_7HDqCSj9F5aEh7N_XJbyyTnKbLA/view?usp=drive_link" TargetMode="External"/><Relationship Id="rId7" Type="http://schemas.openxmlformats.org/officeDocument/2006/relationships/hyperlink" Target="https://drive.google.com/file/d/1cdISt4tJ-87zLD7jrCab0AApFCkT0B4_/view?usp=drive_link" TargetMode="External"/><Relationship Id="rId69" Type="http://schemas.openxmlformats.org/officeDocument/2006/relationships/hyperlink" Target="https://drive.google.com/file/d/1TnkSymx8dEC4jd7hluBFSHR1s-4B3c0t/view?usp=drive_link" TargetMode="External"/><Relationship Id="rId68" Type="http://schemas.openxmlformats.org/officeDocument/2006/relationships/hyperlink" Target="https://drive.google.com/file/d/1MoL3PqqDNMgDrJNgU1xfskRPEU5jM8zM/view?usp=drive_link" TargetMode="External"/><Relationship Id="rId67" Type="http://schemas.openxmlformats.org/officeDocument/2006/relationships/hyperlink" Target="https://drive.google.com/file/d/15sgnIo5Nwd1liWL5ghfLMZCwgDn4j7T1/view?usp=drive_link" TargetMode="External"/><Relationship Id="rId66" Type="http://schemas.openxmlformats.org/officeDocument/2006/relationships/hyperlink" Target="https://drive.google.com/file/d/1mzW9EuoUz7wYxr9hhtZWb6clutWdhwsF/view?usp=drive_link" TargetMode="External"/><Relationship Id="rId65" Type="http://schemas.openxmlformats.org/officeDocument/2006/relationships/hyperlink" Target="https://drive.google.com/file/d/1r6sZOksPLJbJSi54-f6X4oXEdbirRFsP/view?usp=drive_link" TargetMode="External"/><Relationship Id="rId64" Type="http://schemas.openxmlformats.org/officeDocument/2006/relationships/hyperlink" Target="https://drive.google.com/file/d/1vHL0u6JBgIF0hZw76uvy6ki5VSo9xxda/view?usp=drive_link" TargetMode="External"/><Relationship Id="rId63" Type="http://schemas.openxmlformats.org/officeDocument/2006/relationships/hyperlink" Target="https://drive.google.com/file/d/1SyqKT5bF5AaGYQgD2j5JSrpmJiBMLybn/view?usp=drivesdk" TargetMode="External"/><Relationship Id="rId62" Type="http://schemas.openxmlformats.org/officeDocument/2006/relationships/hyperlink" Target="https://drive.google.com/file/d/1zVz0DVls0T0q0Nw8a9sVgmfrBBnx7VDU/view?usp=drivesdk" TargetMode="External"/><Relationship Id="rId61" Type="http://schemas.openxmlformats.org/officeDocument/2006/relationships/hyperlink" Target="https://drive.google.com/file/d/1wph9zlC06HPR6sLyJB2CA14nwySD_6ES/view?usp=drive_link" TargetMode="External"/><Relationship Id="rId60" Type="http://schemas.openxmlformats.org/officeDocument/2006/relationships/hyperlink" Target="https://drive.google.com/file/d/1JJxXXDiBnkpOvq2wjJstoqS76vydmnah/view?usp=drivesdk" TargetMode="External"/><Relationship Id="rId6" Type="http://schemas.openxmlformats.org/officeDocument/2006/relationships/hyperlink" Target="https://drive.google.com/file/d/1dofCSrM5wtNOH1KynOIxPGTQNLOBhoyB/view?usp=drive_link" TargetMode="External"/><Relationship Id="rId59" Type="http://schemas.openxmlformats.org/officeDocument/2006/relationships/hyperlink" Target="https://drive.google.com/file/d/1p4jNVbor9SWt0QSpK-huF8RwzNZztNBs/view?usp=drive_link" TargetMode="External"/><Relationship Id="rId58" Type="http://schemas.openxmlformats.org/officeDocument/2006/relationships/hyperlink" Target="https://drive.google.com/file/d/1-ViehUGCoK-95HMz0jT4bisUTtKswxf_/view?usp=sharing" TargetMode="External"/><Relationship Id="rId57" Type="http://schemas.openxmlformats.org/officeDocument/2006/relationships/hyperlink" Target="https://drive.google.com/file/d/1BNuTqZYxqx1yeGa2TrCYkK9pzeYN8dIj/view?usp=drivesdk" TargetMode="External"/><Relationship Id="rId56" Type="http://schemas.openxmlformats.org/officeDocument/2006/relationships/hyperlink" Target="https://drive.google.com/file/d/1ow9KKbxb9uDMLv7NLRBuNn7BckjB-3_f/view?usp=drive_link" TargetMode="External"/><Relationship Id="rId55" Type="http://schemas.openxmlformats.org/officeDocument/2006/relationships/hyperlink" Target="https://drive.google.com/file/d/1WBWjyJaSaH02eQwC2WO1X9RaddJ5LAGx/view?usp=drive_link" TargetMode="External"/><Relationship Id="rId54" Type="http://schemas.openxmlformats.org/officeDocument/2006/relationships/hyperlink" Target="https://drive.google.com/file/d/1tc_PB5WABgsJbQTDC7zM5UNyAvnyHc5h/view?usp=drive_link" TargetMode="External"/><Relationship Id="rId53" Type="http://schemas.openxmlformats.org/officeDocument/2006/relationships/hyperlink" Target="https://drive.google.com/file/d/10Qv_Pw2QlVsinbj7XcY9HTpwAGHuT1jz/view?usp=drive_link" TargetMode="External"/><Relationship Id="rId52" Type="http://schemas.openxmlformats.org/officeDocument/2006/relationships/hyperlink" Target="https://drive.google.com/file/d/1LYaBA7j8-QYYolkZEePKUFV-lWGu8f9_/view?usp=drive_link" TargetMode="External"/><Relationship Id="rId51" Type="http://schemas.openxmlformats.org/officeDocument/2006/relationships/hyperlink" Target="https://drive.google.com/file/d/1qjtejJbPZhaEoDtH1SzjRPkoAIfcWO6P/view?usp=drive_link" TargetMode="External"/><Relationship Id="rId50" Type="http://schemas.openxmlformats.org/officeDocument/2006/relationships/hyperlink" Target="https://drive.google.com/file/d/1fSvGTS8bB6HuiPaZYdDiOhcl5coBTyn6/view?usp=drivesdk" TargetMode="External"/><Relationship Id="rId5" Type="http://schemas.openxmlformats.org/officeDocument/2006/relationships/hyperlink" Target="https://drive.google.com/file/d/12qjm2u6d4HXZoeZuaefjGZ0LMXzOfKZV/view?usp=drive_link" TargetMode="External"/><Relationship Id="rId49" Type="http://schemas.openxmlformats.org/officeDocument/2006/relationships/hyperlink" Target="https://drive.google.com/file/d/10Dt6PW6d8vSh2veTZYcVZ49nnHed92ut/view?usp=drive_link" TargetMode="External"/><Relationship Id="rId48" Type="http://schemas.openxmlformats.org/officeDocument/2006/relationships/hyperlink" Target="https://drive.google.com/file/d/1TvB9GBclhW4rhP04DhbIb_b9Hdo5pqQV/view?usp=drive_link" TargetMode="External"/><Relationship Id="rId47" Type="http://schemas.openxmlformats.org/officeDocument/2006/relationships/hyperlink" Target="https://drive.google.com/file/d/1-IfSjegsPl46fzt-KuP3eNqOiU40de8n/view?usp=drive_link" TargetMode="External"/><Relationship Id="rId46" Type="http://schemas.openxmlformats.org/officeDocument/2006/relationships/hyperlink" Target="https://drive.google.com/file/d/1iwKOrR9Mu2nD8yIC0CHznCnL7OMUj45p/view?usp=drive_link" TargetMode="External"/><Relationship Id="rId45" Type="http://schemas.openxmlformats.org/officeDocument/2006/relationships/hyperlink" Target="https://drive.google.com/file/d/1azq9aydvT2RyB7l6dJQOq4N0j2PDa7TG/view?usp=drive_link" TargetMode="External"/><Relationship Id="rId44" Type="http://schemas.openxmlformats.org/officeDocument/2006/relationships/hyperlink" Target="https://drive.google.com/file/d/1SprBpmWZEYmpaBcgQu7-V1MtcvqLqb_y/view?usp=drive_link" TargetMode="External"/><Relationship Id="rId43" Type="http://schemas.openxmlformats.org/officeDocument/2006/relationships/hyperlink" Target="https://drive.google.com/file/d/1uYqUo1cnxr72Dq1ENRJdp0VTfCR5MNJz/view?usp=drive_link" TargetMode="External"/><Relationship Id="rId42" Type="http://schemas.openxmlformats.org/officeDocument/2006/relationships/hyperlink" Target="https://drive.google.com/file/d/1zvglCWf6inv0JufrBrDhQ1xnqa4H86nv/view?usp=drive_link" TargetMode="External"/><Relationship Id="rId41" Type="http://schemas.openxmlformats.org/officeDocument/2006/relationships/hyperlink" Target="https://drive.google.com/file/d/1Y2BsuO6b0SHXfdKlE5Sjt5G4oUi_P62r/view?usp=drive_link" TargetMode="External"/><Relationship Id="rId40" Type="http://schemas.openxmlformats.org/officeDocument/2006/relationships/hyperlink" Target="https://drive.google.com/file/d/1670jEEXYP0pXagHL2ohCbLwCKEs35Zqy/view?usp=drive_link" TargetMode="External"/><Relationship Id="rId4" Type="http://schemas.openxmlformats.org/officeDocument/2006/relationships/hyperlink" Target="https://drive.google.com/file/d/1O_oCQwgVirp_-8d3UhY1cPDaNy9b7iKJ/view?usp=drive_link" TargetMode="External"/><Relationship Id="rId39" Type="http://schemas.openxmlformats.org/officeDocument/2006/relationships/hyperlink" Target="https://drive.google.com/file/d/1TeB-SXLBAu6-W1iH1_ImGzh4RWCnCi4J/view?usp=drive_link" TargetMode="External"/><Relationship Id="rId38" Type="http://schemas.openxmlformats.org/officeDocument/2006/relationships/hyperlink" Target="https://drive.google.com/file/d/1pbKddhoejFM_u6uy_szpKZxCuiqTAQC4/view?usp=drive_link" TargetMode="External"/><Relationship Id="rId37" Type="http://schemas.openxmlformats.org/officeDocument/2006/relationships/hyperlink" Target="https://drive.google.com/file/d/1nZ18APChnR51ULWTs3AZh7jp2gR7fEst/view?usp=drive_link" TargetMode="External"/><Relationship Id="rId36" Type="http://schemas.openxmlformats.org/officeDocument/2006/relationships/hyperlink" Target="https://drive.google.com/file/d/18FEVNepWvPRHW7lK3AG1vd-yqvAJeBnu/view?usp=drive_link" TargetMode="External"/><Relationship Id="rId35" Type="http://schemas.openxmlformats.org/officeDocument/2006/relationships/hyperlink" Target="https://drive.google.com/file/d/1_E02Uu9fWjGIN6aAi7ahjHaQvvJOZhEX/view?usp=drive_link" TargetMode="External"/><Relationship Id="rId34" Type="http://schemas.openxmlformats.org/officeDocument/2006/relationships/hyperlink" Target="https://drive.google.com/file/d/1f4eAIigJJAcIDdPm2cDhEcS6tRmr06lE/view?usp=drive_link" TargetMode="External"/><Relationship Id="rId33" Type="http://schemas.openxmlformats.org/officeDocument/2006/relationships/hyperlink" Target="https://drive.google.com/file/d/1g5mk2VYJUrtPkD0910MraZJsbf9k9vXR/view?usp=drive_link" TargetMode="External"/><Relationship Id="rId32" Type="http://schemas.openxmlformats.org/officeDocument/2006/relationships/hyperlink" Target="https://drive.google.com/file/d/1x1oznX1EnFubhLaK1BFiR4Uu7M0IUrPx/view?usp=drive_link" TargetMode="External"/><Relationship Id="rId31" Type="http://schemas.openxmlformats.org/officeDocument/2006/relationships/hyperlink" Target="https://drive.google.com/file/d/1MVWKQMxB3vC2Lj8FwvnHwP4NP6Ir8nJ2/view?usp=drive_link" TargetMode="External"/><Relationship Id="rId30" Type="http://schemas.openxmlformats.org/officeDocument/2006/relationships/hyperlink" Target="https://drive.google.com/file/d/1lXJmQ6uG1t6XyJzDVtA84WE7xd7_Y6ye/view?usp=drive_link" TargetMode="External"/><Relationship Id="rId3" Type="http://schemas.openxmlformats.org/officeDocument/2006/relationships/hyperlink" Target="https://drive.google.com/file/d/1zEiu25y2WIqSnGOH7bEnPCHaURkPxRj3/view?usp=drive_link" TargetMode="External"/><Relationship Id="rId29" Type="http://schemas.openxmlformats.org/officeDocument/2006/relationships/hyperlink" Target="https://drive.google.com/file/d/1sFs1_wPHDUA17gOUVKAxmoqEuedrF9c6/view?usp=drive_link" TargetMode="External"/><Relationship Id="rId28" Type="http://schemas.openxmlformats.org/officeDocument/2006/relationships/hyperlink" Target="https://drive.google.com/file/d/1YlOOolPgRiMVmjUGJrgAM15AacZBMfsc/view?usp=drive_link" TargetMode="External"/><Relationship Id="rId27" Type="http://schemas.openxmlformats.org/officeDocument/2006/relationships/hyperlink" Target="https://drive.google.com/file/d/13kxfJeR6ahJfpHeEBHJVJV-RlTybeHel/view?usp=drive_link" TargetMode="External"/><Relationship Id="rId26" Type="http://schemas.openxmlformats.org/officeDocument/2006/relationships/hyperlink" Target="https://drive.google.com/file/d/15SAb8BMtSODezI_qaNvXCXaCNPkJ8WwB/view?usp=drive_link" TargetMode="External"/><Relationship Id="rId25" Type="http://schemas.openxmlformats.org/officeDocument/2006/relationships/hyperlink" Target="https://drive.google.com/file/d/1yMbwr_4uXWrYAq7OOBoc6hS7yu73accG/view?usp=drive_link" TargetMode="External"/><Relationship Id="rId24" Type="http://schemas.openxmlformats.org/officeDocument/2006/relationships/hyperlink" Target="https://drive.google.com/file/d/1n6ijnhgV-kAseaw86jh0icYnX84jMR5-/view?usp=drive_link" TargetMode="External"/><Relationship Id="rId23" Type="http://schemas.openxmlformats.org/officeDocument/2006/relationships/hyperlink" Target="https://drive.google.com/file/d/1KSMbzrz3X3oZco_1VRLWlNF8b1Ct_y1e/view?usp=drive_link" TargetMode="External"/><Relationship Id="rId22" Type="http://schemas.openxmlformats.org/officeDocument/2006/relationships/hyperlink" Target="https://drive.google.com/file/d/1QPuIyqavFZPUfq9GCoWqslEMn-f24xPs/view" TargetMode="External"/><Relationship Id="rId21" Type="http://schemas.openxmlformats.org/officeDocument/2006/relationships/hyperlink" Target="https://drive.google.com/file/d/1s8OZL4bc7F2j7KS9zfzhf2P5yW2dTEDk/view?usp=drive_link" TargetMode="External"/><Relationship Id="rId20" Type="http://schemas.openxmlformats.org/officeDocument/2006/relationships/hyperlink" Target="https://drive.google.com/file/d/16L0dP5CnKXZqAgL6ouLwQp1aSAnQ-wux/view?usp=drive_link" TargetMode="External"/><Relationship Id="rId2" Type="http://schemas.openxmlformats.org/officeDocument/2006/relationships/hyperlink" Target="https://drive.google.com/file/d/1cg69iAQNc9uOtWuqUJGFIHJbW9g8lvCb/view?usp=drive_link" TargetMode="External"/><Relationship Id="rId19" Type="http://schemas.openxmlformats.org/officeDocument/2006/relationships/hyperlink" Target="https://drive.google.com/file/d/12XcISPHpKmNi_FcMc_iLO3abKv607xCZ/view?usp=sharing" TargetMode="External"/><Relationship Id="rId18" Type="http://schemas.openxmlformats.org/officeDocument/2006/relationships/hyperlink" Target="https://drive.google.com/file/d/1aULi1pNwQdGVpTKDuog0P9Xh1IcPJhYJ/view?usp=drive_link" TargetMode="External"/><Relationship Id="rId17" Type="http://schemas.openxmlformats.org/officeDocument/2006/relationships/hyperlink" Target="https://drive.google.com/file/d/1f9YvrEEU4Hx-Gov_l-mxoXT9fJwHvlGX/view?usp=drivesdk" TargetMode="External"/><Relationship Id="rId16" Type="http://schemas.openxmlformats.org/officeDocument/2006/relationships/hyperlink" Target="https://drive.google.com/file/d/1le8Dgp4VJgL2ZpxYQy1EqXYo2jFqVKxy/view?usp=drive_link" TargetMode="External"/><Relationship Id="rId15" Type="http://schemas.openxmlformats.org/officeDocument/2006/relationships/hyperlink" Target="https://drive.google.com/file/d/1EI4wP9nsr7XSoT8b74ompJ0bzlLItCYA/view?usp=drive_link" TargetMode="External"/><Relationship Id="rId14" Type="http://schemas.openxmlformats.org/officeDocument/2006/relationships/hyperlink" Target="https://drive.google.com/file/d/1ci_nXXHHddGJl1kzPtK-6vkL5elFItyD/view?usp=drive_link" TargetMode="External"/><Relationship Id="rId13" Type="http://schemas.openxmlformats.org/officeDocument/2006/relationships/hyperlink" Target="https://drive.google.com/file/d/1W21lwhLsfn7qAQDuXq2Ll5NfpqNJactj/view?usp=sharing" TargetMode="External"/><Relationship Id="rId12" Type="http://schemas.openxmlformats.org/officeDocument/2006/relationships/hyperlink" Target="https://drive.google.com/file/d/19Op5rlKsBFSrcKSGSKjvlUA5fsxgemtU/view?usp=drive_link" TargetMode="External"/><Relationship Id="rId11" Type="http://schemas.openxmlformats.org/officeDocument/2006/relationships/hyperlink" Target="https://drive.google.com/file/d/1hqVcLmYPj4NVC2oehFvUE-UepBZMGH95/view?usp=drive_link" TargetMode="External"/><Relationship Id="rId10" Type="http://schemas.openxmlformats.org/officeDocument/2006/relationships/hyperlink" Target="https://drive.google.com/file/d/1zRYIMnuahZ6rLYGTnQ9LCNrnYC0VqvCA/view?usp=drive_link" TargetMode="External"/><Relationship Id="rId1" Type="http://schemas.openxmlformats.org/officeDocument/2006/relationships/hyperlink" Target="http://s.no/" TargetMode="External"/></Relationships>
</file>

<file path=xl/worksheets/_rels/sheet9.xml.rels><?xml version="1.0" encoding="UTF-8" standalone="yes"?>
<Relationships xmlns="http://schemas.openxmlformats.org/package/2006/relationships"><Relationship Id="rId98" Type="http://schemas.openxmlformats.org/officeDocument/2006/relationships/hyperlink" Target="https://drive.google.com/file/d/1z6DqqghGz5_1wHnScD8k48HgKfz0Zk9I/view?usp=sharing" TargetMode="External"/><Relationship Id="rId97" Type="http://schemas.openxmlformats.org/officeDocument/2006/relationships/hyperlink" Target="https://drive.google.com/file/d/1HvfXkFjLiHRPwmnYl-3JLNG2OHocGWGJ/view?usp=drive_link" TargetMode="External"/><Relationship Id="rId96" Type="http://schemas.openxmlformats.org/officeDocument/2006/relationships/hyperlink" Target="https://drive.google.com/file/d/1O8IFerN_b1OVb1CN9mQGTjYZpOKGoITY/view?usp=drive_link" TargetMode="External"/><Relationship Id="rId95" Type="http://schemas.openxmlformats.org/officeDocument/2006/relationships/hyperlink" Target="https://drive.google.com/file/d/1g_9nh_hqVHEgyFmCYgVlJFmL1Aj6XSjP/view?usp=drive_link" TargetMode="External"/><Relationship Id="rId94" Type="http://schemas.openxmlformats.org/officeDocument/2006/relationships/hyperlink" Target="https://drive.google.com/file/d/1pO45KJ2Anjf1wjhdMDATmYcrXCytLB3y/view?usp=sharing" TargetMode="External"/><Relationship Id="rId93" Type="http://schemas.openxmlformats.org/officeDocument/2006/relationships/hyperlink" Target="https://drive.google.com/file/d/1ayKyx-7T7TwOte_gGFgfgCxWiVa8Cg8m/view?usp=drive_link" TargetMode="External"/><Relationship Id="rId92" Type="http://schemas.openxmlformats.org/officeDocument/2006/relationships/hyperlink" Target="https://drive.google.com/file/d/1VXVL_r3DoAz3I_u0DD1X5QX9FVNRikkd/view?usp=drive_link" TargetMode="External"/><Relationship Id="rId91" Type="http://schemas.openxmlformats.org/officeDocument/2006/relationships/hyperlink" Target="https://drive.google.com/file/d/14S--Kd5Vl3YSMCHzwwYt_kQIgxGm_Zbg/view?usp=drive_link" TargetMode="External"/><Relationship Id="rId90" Type="http://schemas.openxmlformats.org/officeDocument/2006/relationships/hyperlink" Target="https://drive.google.com/file/d/1n-OVjxMOvOjL1phlSkz8eviOukA2jLci/view?usp=drive_link" TargetMode="External"/><Relationship Id="rId9" Type="http://schemas.openxmlformats.org/officeDocument/2006/relationships/hyperlink" Target="https://drive.google.com/file/d/19Op5rlKsBFSrcKSGSKjvlUA5fsxgemtU/view?usp=drive_link" TargetMode="External"/><Relationship Id="rId89" Type="http://schemas.openxmlformats.org/officeDocument/2006/relationships/hyperlink" Target="https://drive.google.com/file/d/1_wspiI7N_dRs_vE3p2pH0rc8yAcF-pg4/view?usp=drive_link" TargetMode="External"/><Relationship Id="rId88" Type="http://schemas.openxmlformats.org/officeDocument/2006/relationships/hyperlink" Target="https://drive.google.com/file/d/1WXt01Z5DyEaibfcb9yjRvC37GnJBijOf/view?usp=drive_link" TargetMode="External"/><Relationship Id="rId87" Type="http://schemas.openxmlformats.org/officeDocument/2006/relationships/hyperlink" Target="https://drive.google.com/file/d/12CBiVkqByJdiB_fExvTvqpU9ylB2Sy3W/view?usp=drive_link" TargetMode="External"/><Relationship Id="rId86" Type="http://schemas.openxmlformats.org/officeDocument/2006/relationships/hyperlink" Target="https://drive.google.com/file/d/1rjwl5CZZjBCqyIHHwyVOtiklXu_rVxIO/view?usp=drive_link" TargetMode="External"/><Relationship Id="rId85" Type="http://schemas.openxmlformats.org/officeDocument/2006/relationships/hyperlink" Target="https://drive.google.com/file/d/1imOf8cO4LrDK_1VGlnSJPrR4OAx8Sd2B/view?usp=drive_link" TargetMode="External"/><Relationship Id="rId84" Type="http://schemas.openxmlformats.org/officeDocument/2006/relationships/hyperlink" Target="https://drive.google.com/file/d/10aHD4D4de3IMNUlj2mTv1iugbhs7vm95/view?usp=drive_link" TargetMode="External"/><Relationship Id="rId83" Type="http://schemas.openxmlformats.org/officeDocument/2006/relationships/hyperlink" Target="https://drive.google.com/file/d/15MHSo23sHhYQuvGI6Rdc88aGx1MXVhlF/view?usp=drive_link" TargetMode="External"/><Relationship Id="rId82" Type="http://schemas.openxmlformats.org/officeDocument/2006/relationships/hyperlink" Target="https://drive.google.com/file/d/1z2yIzp0ZbgM-WXwFf0MlJEXezfRG53OZ/view?usp=drive_link" TargetMode="External"/><Relationship Id="rId81" Type="http://schemas.openxmlformats.org/officeDocument/2006/relationships/hyperlink" Target="https://drive.google.com/file/d/14oq14kZ9uUpAwbJWeWc1PO_lr4leav0H/view" TargetMode="External"/><Relationship Id="rId80" Type="http://schemas.openxmlformats.org/officeDocument/2006/relationships/hyperlink" Target="https://drive.google.com/file/d/1E1oQ-NnzVxFtXbqo7XKO0DBs_qpMqk7f/view" TargetMode="External"/><Relationship Id="rId8" Type="http://schemas.openxmlformats.org/officeDocument/2006/relationships/hyperlink" Target="https://drive.google.com/file/d/1hqVcLmYPj4NVC2oehFvUE-UepBZMGH95/view?usp=drive_link" TargetMode="External"/><Relationship Id="rId79" Type="http://schemas.openxmlformats.org/officeDocument/2006/relationships/hyperlink" Target="https://drive.google.com/file/d/1t1gzDUgNWE8tMWmEl-iTrC_pVGpowJTu/view" TargetMode="External"/><Relationship Id="rId78" Type="http://schemas.openxmlformats.org/officeDocument/2006/relationships/hyperlink" Target="https://drive.google.com/file/d/1bES5tANhKTPVW_qJXNwk2wSliSIlZzdT/view" TargetMode="External"/><Relationship Id="rId77" Type="http://schemas.openxmlformats.org/officeDocument/2006/relationships/hyperlink" Target="https://drive.google.com/file/d/1K8rXXjPN04HCVBwoHuUmAsMxA5Cr5xjC/view" TargetMode="External"/><Relationship Id="rId76" Type="http://schemas.openxmlformats.org/officeDocument/2006/relationships/hyperlink" Target="https://drive.google.com/file/d/11r1RAeXPQ3Ef0Er4F6BtHKFlJA3NENOD/view" TargetMode="External"/><Relationship Id="rId75" Type="http://schemas.openxmlformats.org/officeDocument/2006/relationships/hyperlink" Target="https://drive.google.com/file/d/1EVCTg0ifC7G4WsDCQgg-oZbh_VNY7dYb/view" TargetMode="External"/><Relationship Id="rId74" Type="http://schemas.openxmlformats.org/officeDocument/2006/relationships/hyperlink" Target="https://drive.google.com/file/d/1PFMKBQvTFjEDzTblMeRmkHgpq-xsyLOM/view" TargetMode="External"/><Relationship Id="rId73" Type="http://schemas.openxmlformats.org/officeDocument/2006/relationships/hyperlink" Target="https://drive.google.com/file/d/1YEd1Wnkbd4lg-McSssnAG1Hmut5LftBF/view" TargetMode="External"/><Relationship Id="rId72" Type="http://schemas.openxmlformats.org/officeDocument/2006/relationships/hyperlink" Target="https://drive.google.com/file/d/1ibvB7pMA8nosIPT6ePB3R0bACimFkIK9/view" TargetMode="External"/><Relationship Id="rId71" Type="http://schemas.openxmlformats.org/officeDocument/2006/relationships/hyperlink" Target="https://drive.google.com/file/d/1T7BS5aUu1suc6oUZAUJSkrbr1ggrqk4F/view?usp=drivesdk" TargetMode="External"/><Relationship Id="rId70" Type="http://schemas.openxmlformats.org/officeDocument/2006/relationships/hyperlink" Target="https://drive.google.com/file/d/1tJVjSUe46ZQZv_T1ZRRwz9CwyO_SXI7N/view" TargetMode="External"/><Relationship Id="rId7" Type="http://schemas.openxmlformats.org/officeDocument/2006/relationships/hyperlink" Target="https://drive.google.com/file/d/1zRYIMnuahZ6rLYGTnQ9LCNrnYC0VqvCA/view?usp=drive_link" TargetMode="External"/><Relationship Id="rId69" Type="http://schemas.openxmlformats.org/officeDocument/2006/relationships/hyperlink" Target="https://drive.google.com/file/d/1cDws5m82y0QLaMQjQn4nPhQjGbKZTTHM/view?usp=drive_link" TargetMode="External"/><Relationship Id="rId68" Type="http://schemas.openxmlformats.org/officeDocument/2006/relationships/hyperlink" Target="https://drive.google.com/file/d/1JmOAm4079UzechP2QZhlcGLcKATeh1NC/view?usp=drivesdk" TargetMode="External"/><Relationship Id="rId67" Type="http://schemas.openxmlformats.org/officeDocument/2006/relationships/hyperlink" Target="https://drive.google.com/file/d/1LKMYyqlNdTpBAJHzScOqSYbwoX-Sj7CT/view?usp=drivesdk" TargetMode="External"/><Relationship Id="rId66" Type="http://schemas.openxmlformats.org/officeDocument/2006/relationships/hyperlink" Target="https://drive.google.com/file/d/1KSMbzrz3X3oZco_1VRLWlNF8b1Ct_y1e/view?usp=drive_link" TargetMode="External"/><Relationship Id="rId65" Type="http://schemas.openxmlformats.org/officeDocument/2006/relationships/hyperlink" Target="https://drive.google.com/file/d/1iGKA3hPBIdzknRXOsigRb45eGXGWvMmk/view" TargetMode="External"/><Relationship Id="rId64" Type="http://schemas.openxmlformats.org/officeDocument/2006/relationships/hyperlink" Target="https://drive.google.com/file/d/1KUiOeww7cZ-llVJp1w8Y8CqyxjpHjZq2/view" TargetMode="External"/><Relationship Id="rId63" Type="http://schemas.openxmlformats.org/officeDocument/2006/relationships/hyperlink" Target="https://drive.google.com/file/d/1Jx9SVAdUyr4MJy2B8oTy6IbpQlXjFkw8/view" TargetMode="External"/><Relationship Id="rId62" Type="http://schemas.openxmlformats.org/officeDocument/2006/relationships/hyperlink" Target="https://drive.google.com/file/d/1SEbMjSDLc_YGZTrqISq3MFoBGXBI6O9Z/view" TargetMode="External"/><Relationship Id="rId61" Type="http://schemas.openxmlformats.org/officeDocument/2006/relationships/hyperlink" Target="https://drive.google.com/file/d/1ceNzNHMH-TvEoEyIdVCpc_lFCq8S_7aG/view" TargetMode="External"/><Relationship Id="rId60" Type="http://schemas.openxmlformats.org/officeDocument/2006/relationships/hyperlink" Target="https://drive.google.com/file/d/1bnhdGjKWARLSwgv2W2LfB6bKF6-Cc0bE/view" TargetMode="External"/><Relationship Id="rId6" Type="http://schemas.openxmlformats.org/officeDocument/2006/relationships/hyperlink" Target="https://drive.google.com/file/d/1NbjsWNBnt8yAOYgw8256z5xMLAnE9saL/view?usp=drive_link" TargetMode="External"/><Relationship Id="rId59" Type="http://schemas.openxmlformats.org/officeDocument/2006/relationships/hyperlink" Target="https://drive.google.com/file/d/141_LOU_yWEpDmbrw8-sjEeG5SPcXaWOC/view" TargetMode="External"/><Relationship Id="rId58" Type="http://schemas.openxmlformats.org/officeDocument/2006/relationships/hyperlink" Target="https://drive.google.com/file/d/1EalKexFcqIkEaOYI_3pFRRGlbulym-pR/view" TargetMode="External"/><Relationship Id="rId57" Type="http://schemas.openxmlformats.org/officeDocument/2006/relationships/hyperlink" Target="https://drive.google.com/file/d/1HQDRZ2WlDTS3bLh21OxPfvZgkVHdMRa9/view" TargetMode="External"/><Relationship Id="rId56" Type="http://schemas.openxmlformats.org/officeDocument/2006/relationships/hyperlink" Target="https://drive.google.com/file/d/1IIP9nJyI0F6QP7sRd7q7cKtDEw7B74Ah/view" TargetMode="External"/><Relationship Id="rId55" Type="http://schemas.openxmlformats.org/officeDocument/2006/relationships/hyperlink" Target="https://drive.google.com/file/d/1yAI_y-02Nldriwf5fEqGwlWx--2kUFG3/view" TargetMode="External"/><Relationship Id="rId54" Type="http://schemas.openxmlformats.org/officeDocument/2006/relationships/hyperlink" Target="https://drive.google.com/file/d/1EmufWMkB6ibQv80NxoTJ7p_1Bh0HnJrr/view" TargetMode="External"/><Relationship Id="rId53" Type="http://schemas.openxmlformats.org/officeDocument/2006/relationships/hyperlink" Target="https://drive.google.com/file/d/1A78kfPGysj6Qxi4h7OLbVsw0CTzyJbIX/view" TargetMode="External"/><Relationship Id="rId52" Type="http://schemas.openxmlformats.org/officeDocument/2006/relationships/hyperlink" Target="https://drive.google.com/file/d/1aSue4YnIsExzvSxTxctTjCFa83BTGXOj/view" TargetMode="External"/><Relationship Id="rId51" Type="http://schemas.openxmlformats.org/officeDocument/2006/relationships/hyperlink" Target="https://drive.google.com/file/d/1QIoiJAw0vsr7s7AS5u-5Q0efs0VxK2qY/view" TargetMode="External"/><Relationship Id="rId50" Type="http://schemas.openxmlformats.org/officeDocument/2006/relationships/hyperlink" Target="https://drive.google.com/file/d/1pi0Z7SUCWJqL7X79JX8IkfYtY2IkdqmE/view" TargetMode="External"/><Relationship Id="rId5" Type="http://schemas.openxmlformats.org/officeDocument/2006/relationships/hyperlink" Target="https://drive.google.com/file/d/1cdISt4tJ-87zLD7jrCab0AApFCkT0B4_/view?usp=drive_link" TargetMode="External"/><Relationship Id="rId49" Type="http://schemas.openxmlformats.org/officeDocument/2006/relationships/hyperlink" Target="https://drive.google.com/file/d/1dEU5vXhqdu6MS4428wIps9yVtBzLRefY/view" TargetMode="External"/><Relationship Id="rId48" Type="http://schemas.openxmlformats.org/officeDocument/2006/relationships/hyperlink" Target="https://drive.google.com/file/d/1USYiayR3_Tg8Cm_smogWwmxROX7MnT1N/view" TargetMode="External"/><Relationship Id="rId47" Type="http://schemas.openxmlformats.org/officeDocument/2006/relationships/hyperlink" Target="https://drive.google.com/file/d/1ZOTmGqVaTK4Gjq9xms9rEefJJJt-jTt1/view" TargetMode="External"/><Relationship Id="rId46" Type="http://schemas.openxmlformats.org/officeDocument/2006/relationships/hyperlink" Target="https://drive.google.com/file/d/1dvOGEMHBeiEyFrxFq_qqJ63JT9RPcJUR/view" TargetMode="External"/><Relationship Id="rId45" Type="http://schemas.openxmlformats.org/officeDocument/2006/relationships/hyperlink" Target="https://drive.google.com/file/d/1ql0KQDwEvjI10VWUiFfI7otZCmPAtOlw/view" TargetMode="External"/><Relationship Id="rId44" Type="http://schemas.openxmlformats.org/officeDocument/2006/relationships/hyperlink" Target="https://drive.google.com/file/d/1JqsHuuALhnv2GDO_6KXPSsL7LQFVhq2u/view" TargetMode="External"/><Relationship Id="rId43" Type="http://schemas.openxmlformats.org/officeDocument/2006/relationships/hyperlink" Target="https://drive.google.com/file/d/1pQYIFVMYX3XvKLN_6JYzsXxvvScLHl10/view" TargetMode="External"/><Relationship Id="rId42" Type="http://schemas.openxmlformats.org/officeDocument/2006/relationships/hyperlink" Target="https://drive.google.com/file/d/1fKF5GOLAoH8CDk_bWeBfI4vSu2tGF_Cs/view" TargetMode="External"/><Relationship Id="rId41" Type="http://schemas.openxmlformats.org/officeDocument/2006/relationships/hyperlink" Target="https://drive.google.com/file/d/1T3ka2NLUMH_Hzz-QD8Jgm11BPrjmRzGQ/view" TargetMode="External"/><Relationship Id="rId40" Type="http://schemas.openxmlformats.org/officeDocument/2006/relationships/hyperlink" Target="https://drive.google.com/file/d/1zVz0DVls0T0q0Nw8a9sVgmfrBBnx7VDU/view?usp=drivesdk" TargetMode="External"/><Relationship Id="rId4" Type="http://schemas.openxmlformats.org/officeDocument/2006/relationships/hyperlink" Target="https://drive.google.com/file/d/1dofCSrM5wtNOH1KynOIxPGTQNLOBhoyB/view?usp=drive_link" TargetMode="External"/><Relationship Id="rId39" Type="http://schemas.openxmlformats.org/officeDocument/2006/relationships/hyperlink" Target="https://drive.google.com/file/d/1jS-Rm2khcd-mVb7hr4dZSn3vTM6euEMF/view?usp=drive_link" TargetMode="External"/><Relationship Id="rId38" Type="http://schemas.openxmlformats.org/officeDocument/2006/relationships/hyperlink" Target="https://drive.google.com/file/d/1GxczWaK081Qf4ErDx_8VrDGRulvwH3at/view" TargetMode="External"/><Relationship Id="rId37" Type="http://schemas.openxmlformats.org/officeDocument/2006/relationships/hyperlink" Target="https://drive.google.com/file/d/1teXtjS0FtaXjSWGpr4HbVynmiE8VZZdh/view" TargetMode="External"/><Relationship Id="rId36" Type="http://schemas.openxmlformats.org/officeDocument/2006/relationships/hyperlink" Target="https://drive.google.com/file/d/1JEn0tAhpe_Hvg9uAnx_MNvQVg25ha972/view" TargetMode="External"/><Relationship Id="rId35" Type="http://schemas.openxmlformats.org/officeDocument/2006/relationships/hyperlink" Target="https://drive.google.com/file/d/1zTU0Hf45NGPbkabRGQQeg2X5aTd6ywoW/view" TargetMode="External"/><Relationship Id="rId34" Type="http://schemas.openxmlformats.org/officeDocument/2006/relationships/hyperlink" Target="https://drive.google.com/file/d/15U2Cp7k4z8-TMC4oVs3iFxIJ8WbsWAOE/view" TargetMode="External"/><Relationship Id="rId33" Type="http://schemas.openxmlformats.org/officeDocument/2006/relationships/hyperlink" Target="https://drive.google.com/file/d/1LsG2HsjYi2tQlP6uZtODsNy-0k7L_Azg/view" TargetMode="External"/><Relationship Id="rId32" Type="http://schemas.openxmlformats.org/officeDocument/2006/relationships/hyperlink" Target="https://drive.google.com/file/d/1VItg7c3rnHBdarboB7siiN8XXsIHo6Kd/view" TargetMode="External"/><Relationship Id="rId31" Type="http://schemas.openxmlformats.org/officeDocument/2006/relationships/hyperlink" Target="https://drive.google.com/file/d/1kvFHNex7fUbdSxBkcvg0vU-Iv71lKYw7/view" TargetMode="External"/><Relationship Id="rId30" Type="http://schemas.openxmlformats.org/officeDocument/2006/relationships/hyperlink" Target="https://drive.google.com/file/d/1J3EV5-bmRtd-cZfR4_Y9E7u-5lsO-Rul/view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HxY7PksvGVWYflv1J11MBNLcsfl5DJRs/view" TargetMode="External"/><Relationship Id="rId28" Type="http://schemas.openxmlformats.org/officeDocument/2006/relationships/hyperlink" Target="https://drive.google.com/file/d/1FhDYzasU9leAH6U0NCgVMCKp4IsInly1/view" TargetMode="External"/><Relationship Id="rId27" Type="http://schemas.openxmlformats.org/officeDocument/2006/relationships/hyperlink" Target="https://drive.google.com/file/d/1DDfCY3EdqjmRHxeamK4IELYbwgpPEp6t/view" TargetMode="External"/><Relationship Id="rId26" Type="http://schemas.openxmlformats.org/officeDocument/2006/relationships/hyperlink" Target="https://drive.google.com/file/d/1SNfH_zWrzRZskJtt3vxHU7WS7hSax48Z/view" TargetMode="External"/><Relationship Id="rId25" Type="http://schemas.openxmlformats.org/officeDocument/2006/relationships/hyperlink" Target="https://drive.google.com/file/d/1j6z_L7F1ez8ItqPnrQsPNGg2j38KtlgG/view" TargetMode="External"/><Relationship Id="rId24" Type="http://schemas.openxmlformats.org/officeDocument/2006/relationships/hyperlink" Target="https://drive.google.com/file/d/1DmJteEaYbe-CZC0YzjYlcMGnTTSGHCDO/view" TargetMode="External"/><Relationship Id="rId23" Type="http://schemas.openxmlformats.org/officeDocument/2006/relationships/hyperlink" Target="https://drive.google.com/file/d/1rYfE5Vu9xkhRxh3GXxnCk8xKKqDgKtDc/view" TargetMode="External"/><Relationship Id="rId22" Type="http://schemas.openxmlformats.org/officeDocument/2006/relationships/hyperlink" Target="https://drive.google.com/file/d/1U0_bc3dUCDvr7iofZPqnUlmTZteLBHIP/view" TargetMode="External"/><Relationship Id="rId21" Type="http://schemas.openxmlformats.org/officeDocument/2006/relationships/hyperlink" Target="https://drive.google.com/file/d/1a-90FqKIbzNXyKr6ATQnjXy8o5n4jLhi/view" TargetMode="External"/><Relationship Id="rId20" Type="http://schemas.openxmlformats.org/officeDocument/2006/relationships/hyperlink" Target="https://drive.google.com/file/d/13Rp0jhLAUPxVgNUeKao1SrUscyPBF4xd/view" TargetMode="External"/><Relationship Id="rId2" Type="http://schemas.openxmlformats.org/officeDocument/2006/relationships/hyperlink" Target="https://drive.google.com/file/d/1O_oCQwgVirp_-8d3UhY1cPDaNy9b7iKJ/view?usp=drive_link" TargetMode="External"/><Relationship Id="rId19" Type="http://schemas.openxmlformats.org/officeDocument/2006/relationships/hyperlink" Target="https://drive.google.com/file/d/17r7fhJr-CMKrAk-8xuo4Grgr6pGSWA1V/view?usp=drive_link" TargetMode="External"/><Relationship Id="rId18" Type="http://schemas.openxmlformats.org/officeDocument/2006/relationships/hyperlink" Target="https://drive.google.com/file/d/1KcLq6lKhaSIpdXvoowFoXRlYRJDl_n5v/view?usp=sharing" TargetMode="External"/><Relationship Id="rId17" Type="http://schemas.openxmlformats.org/officeDocument/2006/relationships/hyperlink" Target="https://drive.google.com/file/d/12XcISPHpKmNi_FcMc_iLO3abKv607xCZ/view?usp=sharing" TargetMode="External"/><Relationship Id="rId16" Type="http://schemas.openxmlformats.org/officeDocument/2006/relationships/hyperlink" Target="https://drive.google.com/file/d/1aULi1pNwQdGVpTKDuog0P9Xh1IcPJhYJ/view?usp=drive_link" TargetMode="External"/><Relationship Id="rId15" Type="http://schemas.openxmlformats.org/officeDocument/2006/relationships/hyperlink" Target="https://drive.google.com/file/d/1cS46q7UEZriVdm8yV74ht2JkrGLUj1mk/view" TargetMode="External"/><Relationship Id="rId14" Type="http://schemas.openxmlformats.org/officeDocument/2006/relationships/hyperlink" Target="https://drive.google.com/file/d/1f9YvrEEU4Hx-Gov_l-mxoXT9fJwHvlGX/view?usp=drivesdk" TargetMode="External"/><Relationship Id="rId13" Type="http://schemas.openxmlformats.org/officeDocument/2006/relationships/hyperlink" Target="https://drive.google.com/file/d/1sIIlhYS7zsO3mhzpK9MRlOE0ByuyxHxv/view?usp=drive_link" TargetMode="External"/><Relationship Id="rId12" Type="http://schemas.openxmlformats.org/officeDocument/2006/relationships/hyperlink" Target="https://drive.google.com/file/d/1nbl-4h8gUNpTyTNMXr3BYAgbKruNk_zA/view?usp=drive_link" TargetMode="External"/><Relationship Id="rId11" Type="http://schemas.openxmlformats.org/officeDocument/2006/relationships/hyperlink" Target="https://drive.google.com/file/d/1OwWnREY-jc4YEZO8GRgVSZ6UQB65jA2g/view?usp=drive_link" TargetMode="External"/><Relationship Id="rId10" Type="http://schemas.openxmlformats.org/officeDocument/2006/relationships/hyperlink" Target="https://drive.google.com/file/d/1nU0YiNlTGCbsSChFi0eQknbIzlvrZ4yY/view?usp=drive_link" TargetMode="External"/><Relationship Id="rId1" Type="http://schemas.openxmlformats.org/officeDocument/2006/relationships/hyperlink" Target="http://s.no/" TargetMode="External"/></Relationships>
</file>

<file path=xl/worksheets/_rels/sheet10.xml.rels><?xml version="1.0" encoding="UTF-8" standalone="yes"?>
<Relationships xmlns="http://schemas.openxmlformats.org/package/2006/relationships"><Relationship Id="rId94" Type="http://schemas.openxmlformats.org/officeDocument/2006/relationships/hyperlink" Target="https://drive.google.com/file/d/1jTCXH33gTrZDnqPAyOS9Jo4Vsl0cg49j/view?usp=sharing" TargetMode="External"/><Relationship Id="rId93" Type="http://schemas.openxmlformats.org/officeDocument/2006/relationships/hyperlink" Target="https://drive.google.com/file/d/1-LMn2RMdekpDhktxd6uNjQQdatMKF8yZ/view?usp=drive_link" TargetMode="External"/><Relationship Id="rId92" Type="http://schemas.openxmlformats.org/officeDocument/2006/relationships/hyperlink" Target="https://drive.google.com/file/d/1pO45KJ2Anjf1wjhdMDATmYcrXCytLB3y/view?usp=sharing" TargetMode="External"/><Relationship Id="rId91" Type="http://schemas.openxmlformats.org/officeDocument/2006/relationships/hyperlink" Target="https://drive.google.com/file/d/1ayKyx-7T7TwOte_gGFgfgCxWiVa8Cg8m/view?usp=drive_link" TargetMode="External"/><Relationship Id="rId90" Type="http://schemas.openxmlformats.org/officeDocument/2006/relationships/hyperlink" Target="https://drive.google.com/file/d/14S--Kd5Vl3YSMCHzwwYt_kQIgxGm_Zbg/view?usp=drive_link" TargetMode="External"/><Relationship Id="rId9" Type="http://schemas.openxmlformats.org/officeDocument/2006/relationships/hyperlink" Target="https://drive.google.com/file/d/1EA90Utk1ns7TCVkyeIJ5iW7Hdqq2_Zha/view?usp=drive_link" TargetMode="External"/><Relationship Id="rId89" Type="http://schemas.openxmlformats.org/officeDocument/2006/relationships/hyperlink" Target="https://drive.google.com/file/d/1_wspiI7N_dRs_vE3p2pH0rc8yAcF-pg4/view?usp=drive_link" TargetMode="External"/><Relationship Id="rId88" Type="http://schemas.openxmlformats.org/officeDocument/2006/relationships/hyperlink" Target="https://drive.google.com/file/d/1WXt01Z5DyEaibfcb9yjRvC37GnJBijOf/view?usp=drive_link" TargetMode="External"/><Relationship Id="rId87" Type="http://schemas.openxmlformats.org/officeDocument/2006/relationships/hyperlink" Target="https://drive.google.com/file/d/1imOf8cO4LrDK_1VGlnSJPrR4OAx8Sd2B/view?usp=drive_link" TargetMode="External"/><Relationship Id="rId86" Type="http://schemas.openxmlformats.org/officeDocument/2006/relationships/hyperlink" Target="https://drive.google.com/file/d/15MHSo23sHhYQuvGI6Rdc88aGx1MXVhlF/view?usp=drive_link" TargetMode="External"/><Relationship Id="rId85" Type="http://schemas.openxmlformats.org/officeDocument/2006/relationships/hyperlink" Target="https://drive.google.com/file/d/14oq14kZ9uUpAwbJWeWc1PO_lr4leav0H/view" TargetMode="External"/><Relationship Id="rId84" Type="http://schemas.openxmlformats.org/officeDocument/2006/relationships/hyperlink" Target="https://drive.google.com/file/d/1E1oQ-NnzVxFtXbqo7XKO0DBs_qpMqk7f/view" TargetMode="External"/><Relationship Id="rId83" Type="http://schemas.openxmlformats.org/officeDocument/2006/relationships/hyperlink" Target="https://drive.google.com/file/d/1t1gzDUgNWE8tMWmEl-iTrC_pVGpowJTu/view" TargetMode="External"/><Relationship Id="rId82" Type="http://schemas.openxmlformats.org/officeDocument/2006/relationships/hyperlink" Target="https://drive.google.com/file/d/1T7BS5aUu1suc6oUZAUJSkrbr1ggrqk4F/view?usp=drivesdk" TargetMode="External"/><Relationship Id="rId81" Type="http://schemas.openxmlformats.org/officeDocument/2006/relationships/hyperlink" Target="https://drive.google.com/file/d/1yAI_y-02Nldriwf5fEqGwlWx--2kUFG3/view" TargetMode="External"/><Relationship Id="rId80" Type="http://schemas.openxmlformats.org/officeDocument/2006/relationships/hyperlink" Target="https://drive.google.com/file/d/1RjtduOuUUzvGEjwCm8F2bH0fsFkGv9RU/view?usp=drive_link" TargetMode="External"/><Relationship Id="rId8" Type="http://schemas.openxmlformats.org/officeDocument/2006/relationships/hyperlink" Target="https://drive.google.com/file/d/1g_NCEmpgXGAv6Wf51xoA6Lhpz__Zkopy/view?usp=drive_link" TargetMode="External"/><Relationship Id="rId79" Type="http://schemas.openxmlformats.org/officeDocument/2006/relationships/hyperlink" Target="https://drive.google.com/file/d/1IIP9nJyI0F6QP7sRd7q7cKtDEw7B74Ah/view" TargetMode="External"/><Relationship Id="rId78" Type="http://schemas.openxmlformats.org/officeDocument/2006/relationships/hyperlink" Target="https://drive.google.com/file/d/1dEU5vXhqdu6MS4428wIps9yVtBzLRefY/view" TargetMode="External"/><Relationship Id="rId77" Type="http://schemas.openxmlformats.org/officeDocument/2006/relationships/hyperlink" Target="https://drive.google.com/file/d/1kHdD0GHZdVUVLAn1WDitnDQlLjsQZBin/view" TargetMode="External"/><Relationship Id="rId76" Type="http://schemas.openxmlformats.org/officeDocument/2006/relationships/hyperlink" Target="https://drive.google.com/file/d/16KwbhVl0KyF0Csk4SqfFf5kFybbxuODt/view" TargetMode="External"/><Relationship Id="rId75" Type="http://schemas.openxmlformats.org/officeDocument/2006/relationships/hyperlink" Target="https://drive.google.com/file/d/1aSue4YnIsExzvSxTxctTjCFa83BTGXOj/view" TargetMode="External"/><Relationship Id="rId74" Type="http://schemas.openxmlformats.org/officeDocument/2006/relationships/hyperlink" Target="https://drive.google.com/file/d/1QIoiJAw0vsr7s7AS5u-5Q0efs0VxK2qY/view" TargetMode="External"/><Relationship Id="rId73" Type="http://schemas.openxmlformats.org/officeDocument/2006/relationships/hyperlink" Target="https://drive.google.com/file/d/1USYiayR3_Tg8Cm_smogWwmxROX7MnT1N/view" TargetMode="External"/><Relationship Id="rId72" Type="http://schemas.openxmlformats.org/officeDocument/2006/relationships/hyperlink" Target="https://drive.google.com/file/d/1l0CarlJRdXeKckzjv5vdH8ZMNbVSDSFn/view?usp=drivesdk" TargetMode="External"/><Relationship Id="rId71" Type="http://schemas.openxmlformats.org/officeDocument/2006/relationships/hyperlink" Target="https://drive.google.com/file/d/1cDws5m82y0QLaMQjQn4nPhQjGbKZTTHM/view?usp=drive_link" TargetMode="External"/><Relationship Id="rId70" Type="http://schemas.openxmlformats.org/officeDocument/2006/relationships/hyperlink" Target="https://drive.google.com/file/d/1SyqKT5bF5AaGYQgD2j5JSrpmJiBMLybn/view?usp=drivesdk" TargetMode="External"/><Relationship Id="rId7" Type="http://schemas.openxmlformats.org/officeDocument/2006/relationships/hyperlink" Target="https://drive.google.com/file/d/1TtxJeWuVc20ePVik4bdjwKeBWspDdqMP/view?usp=drive_link" TargetMode="External"/><Relationship Id="rId69" Type="http://schemas.openxmlformats.org/officeDocument/2006/relationships/hyperlink" Target="https://drive.google.com/file/d/1BuTXe4o31fPLuevgalZPF5lM1OYLuXGp/view?usp=drive_link" TargetMode="External"/><Relationship Id="rId68" Type="http://schemas.openxmlformats.org/officeDocument/2006/relationships/hyperlink" Target="https://drive.google.com/file/d/1684hitjmTRLe4EziGT17JL9faK4cySAm/view?usp=drive_link" TargetMode="External"/><Relationship Id="rId67" Type="http://schemas.openxmlformats.org/officeDocument/2006/relationships/hyperlink" Target="https://drive.google.com/file/d/1_b6MAbkk4gIiqVkEvs4tD_bGrj6Qjfr2/view?usp=sharing" TargetMode="External"/><Relationship Id="rId66" Type="http://schemas.openxmlformats.org/officeDocument/2006/relationships/hyperlink" Target="https://drive.google.com/file/d/1LXIXzIvRS8SRSjFC0QIr0-_755NbHQZB/view?usp=drive_link" TargetMode="External"/><Relationship Id="rId65" Type="http://schemas.openxmlformats.org/officeDocument/2006/relationships/hyperlink" Target="https://drive.google.com/file/d/1ilRMmNJ04MJb2ckIlpQFrM-wEmNyOPr1/view?usp=drive_link" TargetMode="External"/><Relationship Id="rId64" Type="http://schemas.openxmlformats.org/officeDocument/2006/relationships/hyperlink" Target="https://drive.google.com/file/d/1JwLJckLJ6Zv_xo2a_WTABy9jY0JC0VJI/view?usp=sharing" TargetMode="External"/><Relationship Id="rId63" Type="http://schemas.openxmlformats.org/officeDocument/2006/relationships/hyperlink" Target="https://drive.google.com/file/d/1xDBdPgGdG1puSnvNkFtMwx_BjJNJmc7u/view?usp=drive_link" TargetMode="External"/><Relationship Id="rId62" Type="http://schemas.openxmlformats.org/officeDocument/2006/relationships/hyperlink" Target="https://drive.google.com/file/d/1bES5tANhKTPVW_qJXNwk2wSliSIlZzdT/view" TargetMode="External"/><Relationship Id="rId61" Type="http://schemas.openxmlformats.org/officeDocument/2006/relationships/hyperlink" Target="https://drive.google.com/file/d/1K8rXXjPN04HCVBwoHuUmAsMxA5Cr5xjC/view" TargetMode="External"/><Relationship Id="rId60" Type="http://schemas.openxmlformats.org/officeDocument/2006/relationships/hyperlink" Target="https://drive.google.com/file/d/11r1RAeXPQ3Ef0Er4F6BtHKFlJA3NENOD/view" TargetMode="External"/><Relationship Id="rId6" Type="http://schemas.openxmlformats.org/officeDocument/2006/relationships/hyperlink" Target="https://drive.google.com/file/d/14cGRh_2GVwGIhwcirub7JRZGMV1dZAmt/view?usp=drive_link" TargetMode="External"/><Relationship Id="rId59" Type="http://schemas.openxmlformats.org/officeDocument/2006/relationships/hyperlink" Target="https://drive.google.com/file/d/1EVCTg0ifC7G4WsDCQgg-oZbh_VNY7dYb/view" TargetMode="External"/><Relationship Id="rId58" Type="http://schemas.openxmlformats.org/officeDocument/2006/relationships/hyperlink" Target="https://drive.google.com/file/d/1PFMKBQvTFjEDzTblMeRmkHgpq-xsyLOM/view" TargetMode="External"/><Relationship Id="rId57" Type="http://schemas.openxmlformats.org/officeDocument/2006/relationships/hyperlink" Target="https://drive.google.com/file/d/1YEd1Wnkbd4lg-McSssnAG1Hmut5LftBF/view" TargetMode="External"/><Relationship Id="rId56" Type="http://schemas.openxmlformats.org/officeDocument/2006/relationships/hyperlink" Target="https://drive.google.com/file/d/1ibvB7pMA8nosIPT6ePB3R0bACimFkIK9/view" TargetMode="External"/><Relationship Id="rId55" Type="http://schemas.openxmlformats.org/officeDocument/2006/relationships/hyperlink" Target="https://drive.google.com/file/d/1DVeddjYtH9JUq10o9sWHrfGeqfAe61Rz/view" TargetMode="External"/><Relationship Id="rId54" Type="http://schemas.openxmlformats.org/officeDocument/2006/relationships/hyperlink" Target="https://drive.google.com/file/d/1MKHTeHfDwqnG7gww3jZQcENmaNscIP9T/view" TargetMode="External"/><Relationship Id="rId53" Type="http://schemas.openxmlformats.org/officeDocument/2006/relationships/hyperlink" Target="https://drive.google.com/file/d/1ZYngVGTyhp9osIcwOLIGEonbkqfuURvf/view" TargetMode="External"/><Relationship Id="rId52" Type="http://schemas.openxmlformats.org/officeDocument/2006/relationships/hyperlink" Target="https://drive.google.com/file/d/1BanpZutB_OM5SP-st3NRKuBYd8DJIxXH/view" TargetMode="External"/><Relationship Id="rId51" Type="http://schemas.openxmlformats.org/officeDocument/2006/relationships/hyperlink" Target="https://drive.google.com/file/d/1aLtIoPyB7cJnljQGVGxwWp1_hRoqD1c4/view" TargetMode="External"/><Relationship Id="rId50" Type="http://schemas.openxmlformats.org/officeDocument/2006/relationships/hyperlink" Target="https://drive.google.com/file/d/10BBEGNWH7_tA_vNMl5mOZAbhdX0xukaA/view" TargetMode="External"/><Relationship Id="rId5" Type="http://schemas.openxmlformats.org/officeDocument/2006/relationships/hyperlink" Target="https://drive.google.com/file/d/1vAilJIwOsp4XAuK_CHrcMGeHYpph1rEL/view?usp=drive_link" TargetMode="External"/><Relationship Id="rId49" Type="http://schemas.openxmlformats.org/officeDocument/2006/relationships/hyperlink" Target="https://drive.google.com/file/d/1wtuZ0iYFz6vKLG_6haJ-XDUbdW1yWAXu/view" TargetMode="External"/><Relationship Id="rId48" Type="http://schemas.openxmlformats.org/officeDocument/2006/relationships/hyperlink" Target="https://drive.google.com/file/d/1rhM9-MOiGoEqo4zbLBQl85Wi-PoIuuMT/view" TargetMode="External"/><Relationship Id="rId47" Type="http://schemas.openxmlformats.org/officeDocument/2006/relationships/hyperlink" Target="https://drive.google.com/file/d/1Tlf_JriRr2zN9_lQSSI6UDz9mg7H1QAa/view" TargetMode="External"/><Relationship Id="rId46" Type="http://schemas.openxmlformats.org/officeDocument/2006/relationships/hyperlink" Target="https://drive.google.com/file/d/11t725B2lbkTDb6nIhh2fKfJBus489Tfa/view" TargetMode="External"/><Relationship Id="rId45" Type="http://schemas.openxmlformats.org/officeDocument/2006/relationships/hyperlink" Target="https://drive.google.com/file/d/1cRuUge_7neVELIppPDnKMjQO7qyJtuk8/view" TargetMode="External"/><Relationship Id="rId44" Type="http://schemas.openxmlformats.org/officeDocument/2006/relationships/hyperlink" Target="https://drive.google.com/file/d/164KH7SdbXYH0fJvArOVum0HjuF-kFKJy/view" TargetMode="External"/><Relationship Id="rId43" Type="http://schemas.openxmlformats.org/officeDocument/2006/relationships/hyperlink" Target="https://drive.google.com/file/d/1HAU8dQw4as8JMCeRdrkQ2rfmI51k1cSC/view" TargetMode="External"/><Relationship Id="rId42" Type="http://schemas.openxmlformats.org/officeDocument/2006/relationships/hyperlink" Target="https://drive.google.com/file/d/1aese3VuSAqVd4p7ld12IPZWsT58Lp--e/view" TargetMode="External"/><Relationship Id="rId41" Type="http://schemas.openxmlformats.org/officeDocument/2006/relationships/hyperlink" Target="https://drive.google.com/file/d/1szA7o5TdhPD7c0LQDw0bWTNO77wYZ58d/view" TargetMode="External"/><Relationship Id="rId40" Type="http://schemas.openxmlformats.org/officeDocument/2006/relationships/hyperlink" Target="https://drive.google.com/file/d/1JqsHuuALhnv2GDO_6KXPSsL7LQFVhq2u/view" TargetMode="External"/><Relationship Id="rId4" Type="http://schemas.openxmlformats.org/officeDocument/2006/relationships/hyperlink" Target="https://drive.google.com/file/d/1uU_cmBjBGXCWi-tPHtYzj7uqEK85TQeF/view?usp=drive_link" TargetMode="External"/><Relationship Id="rId39" Type="http://schemas.openxmlformats.org/officeDocument/2006/relationships/hyperlink" Target="https://drive.google.com/file/d/1dvOGEMHBeiEyFrxFq_qqJ63JT9RPcJUR/view" TargetMode="External"/><Relationship Id="rId38" Type="http://schemas.openxmlformats.org/officeDocument/2006/relationships/hyperlink" Target="https://drive.google.com/file/d/1EYqTsPLi7Ugx31vG41-3JlBQNqIgKZkw/view" TargetMode="External"/><Relationship Id="rId37" Type="http://schemas.openxmlformats.org/officeDocument/2006/relationships/hyperlink" Target="https://drive.google.com/file/d/1JEn0tAhpe_Hvg9uAnx_MNvQVg25ha972/view" TargetMode="External"/><Relationship Id="rId36" Type="http://schemas.openxmlformats.org/officeDocument/2006/relationships/hyperlink" Target="https://drive.google.com/file/d/1H7_XHSUMJ0EBMCI4VooHd8UmuMksEnI-/view" TargetMode="External"/><Relationship Id="rId35" Type="http://schemas.openxmlformats.org/officeDocument/2006/relationships/hyperlink" Target="https://drive.google.com/file/d/1htVq7vcvvN8CvGJiolAsqClz4EpQ_pSc/view" TargetMode="External"/><Relationship Id="rId34" Type="http://schemas.openxmlformats.org/officeDocument/2006/relationships/hyperlink" Target="https://drive.google.com/file/d/1ownnJkq6SaB1nNj-Ng52up9TO7RlLVd7/view" TargetMode="External"/><Relationship Id="rId33" Type="http://schemas.openxmlformats.org/officeDocument/2006/relationships/hyperlink" Target="https://drive.google.com/file/d/1VItg7c3rnHBdarboB7siiN8XXsIHo6Kd/view" TargetMode="External"/><Relationship Id="rId32" Type="http://schemas.openxmlformats.org/officeDocument/2006/relationships/hyperlink" Target="https://drive.google.com/file/d/1kvFHNex7fUbdSxBkcvg0vU-Iv71lKYw7/view" TargetMode="External"/><Relationship Id="rId31" Type="http://schemas.openxmlformats.org/officeDocument/2006/relationships/hyperlink" Target="https://drive.google.com/file/d/18LY15CpF533tcG-r3UxFEqrjYPagfqTB/view" TargetMode="External"/><Relationship Id="rId30" Type="http://schemas.openxmlformats.org/officeDocument/2006/relationships/hyperlink" Target="https://drive.google.com/file/d/162E8vp-K6UYQQ2I_S9N9OP6r4U3XBZJt/view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FhDYzasU9leAH6U0NCgVMCKp4IsInly1/view" TargetMode="External"/><Relationship Id="rId28" Type="http://schemas.openxmlformats.org/officeDocument/2006/relationships/hyperlink" Target="https://drive.google.com/file/d/19tGZnmv9OZmnSoiBjgGQ_x6-Yjusv1-K/view" TargetMode="External"/><Relationship Id="rId27" Type="http://schemas.openxmlformats.org/officeDocument/2006/relationships/hyperlink" Target="https://drive.google.com/file/d/1SNfH_zWrzRZskJtt3vxHU7WS7hSax48Z/view" TargetMode="External"/><Relationship Id="rId26" Type="http://schemas.openxmlformats.org/officeDocument/2006/relationships/hyperlink" Target="https://drive.google.com/file/d/1j6z_L7F1ez8ItqPnrQsPNGg2j38KtlgG/view" TargetMode="External"/><Relationship Id="rId25" Type="http://schemas.openxmlformats.org/officeDocument/2006/relationships/hyperlink" Target="https://drive.google.com/file/d/1DmJteEaYbe-CZC0YzjYlcMGnTTSGHCDO/view" TargetMode="External"/><Relationship Id="rId24" Type="http://schemas.openxmlformats.org/officeDocument/2006/relationships/hyperlink" Target="https://drive.google.com/file/d/1rYfE5Vu9xkhRxh3GXxnCk8xKKqDgKtDc/view" TargetMode="External"/><Relationship Id="rId23" Type="http://schemas.openxmlformats.org/officeDocument/2006/relationships/hyperlink" Target="https://drive.google.com/file/d/1W9YpDu6iVbjHvxcdVhbdjqcEV-yI9UWP/view" TargetMode="External"/><Relationship Id="rId22" Type="http://schemas.openxmlformats.org/officeDocument/2006/relationships/hyperlink" Target="https://drive.google.com/file/d/13Rp0jhLAUPxVgNUeKao1SrUscyPBF4xd/view" TargetMode="External"/><Relationship Id="rId21" Type="http://schemas.openxmlformats.org/officeDocument/2006/relationships/hyperlink" Target="https://drive.google.com/file/d/17r7fhJr-CMKrAk-8xuo4Grgr6pGSWA1V/view?usp=drive_link" TargetMode="External"/><Relationship Id="rId20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2" Type="http://schemas.openxmlformats.org/officeDocument/2006/relationships/hyperlink" Target="https://drive.google.com/file/d/1zEiu25y2WIqSnGOH7bEnPCHaURkPxRj3/view?usp=drive_link" TargetMode="External"/><Relationship Id="rId19" Type="http://schemas.openxmlformats.org/officeDocument/2006/relationships/hyperlink" Target="https://drive.google.com/file/d/1WAIV9EzRLNkmkzUDIIR1DMXykSJnRqNQ/view?usp=drivesdk" TargetMode="External"/><Relationship Id="rId18" Type="http://schemas.openxmlformats.org/officeDocument/2006/relationships/hyperlink" Target="https://drive.google.com/file/d/1OCCCwrKUlTy4NqUDZsCGAqlMUuEalLTg/view?usp=drivesdk" TargetMode="External"/><Relationship Id="rId17" Type="http://schemas.openxmlformats.org/officeDocument/2006/relationships/hyperlink" Target="https://drive.google.com/file/d/1zVz0DVls0T0q0Nw8a9sVgmfrBBnx7VDU/view?usp=drivesdk" TargetMode="External"/><Relationship Id="rId16" Type="http://schemas.openxmlformats.org/officeDocument/2006/relationships/hyperlink" Target="https://drive.google.com/file/d/1MqKqLyL1Szw5dZPMXxT46Rrs2pbCGBzG/view?usp=drivesdk" TargetMode="External"/><Relationship Id="rId15" Type="http://schemas.openxmlformats.org/officeDocument/2006/relationships/hyperlink" Target="https://drive.google.com/file/d/1JmOAm4079UzechP2QZhlcGLcKATeh1NC/view?usp=drivesdk" TargetMode="External"/><Relationship Id="rId14" Type="http://schemas.openxmlformats.org/officeDocument/2006/relationships/hyperlink" Target="https://drive.google.com/file/d/1LKMYyqlNdTpBAJHzScOqSYbwoX-Sj7CT/view?usp=drivesdk" TargetMode="External"/><Relationship Id="rId13" Type="http://schemas.openxmlformats.org/officeDocument/2006/relationships/hyperlink" Target="https://drive.google.com/file/d/1DWHRNJ3pMF_sCvA1Cgrp7Nq-QjVOrmtQ/view?usp=drive_link" TargetMode="External"/><Relationship Id="rId12" Type="http://schemas.openxmlformats.org/officeDocument/2006/relationships/hyperlink" Target="https://drive.google.com/file/d/19jnO6RnG6PDuzpzS88sxRvmJbKY0TeSc/view?usp=drive_link" TargetMode="External"/><Relationship Id="rId11" Type="http://schemas.openxmlformats.org/officeDocument/2006/relationships/hyperlink" Target="https://drive.google.com/file/d/13yw7d4M5DavfJhAWlocJYaBbIdVZ4MUR/view?usp=drive_link" TargetMode="External"/><Relationship Id="rId10" Type="http://schemas.openxmlformats.org/officeDocument/2006/relationships/hyperlink" Target="https://drive.google.com/file/d/1Avr2c9EUJeRR_WORLT-fejRiDBwfHUZJ/view?usp=drive_link" TargetMode="External"/><Relationship Id="rId1" Type="http://schemas.openxmlformats.org/officeDocument/2006/relationships/hyperlink" Target="http://s.no/" TargetMode="External"/></Relationships>
</file>

<file path=xl/worksheets/_rels/sheet1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z2yIzp0ZbgM-WXwFf0MlJEXezfRG53OZ/view?usp=drive_link" TargetMode="External"/><Relationship Id="rId98" Type="http://schemas.openxmlformats.org/officeDocument/2006/relationships/hyperlink" Target="https://drive.google.com/file/d/1n-J5ZaaaTcS93gRg5dA3US0-WE9uy9vR/view?usp=drive_link" TargetMode="External"/><Relationship Id="rId97" Type="http://schemas.openxmlformats.org/officeDocument/2006/relationships/hyperlink" Target="https://drive.google.com/file/d/1Qwajh7n0liSuyiHduyRZzIt_jlaBjK0Z/view?usp=drive_link" TargetMode="External"/><Relationship Id="rId96" Type="http://schemas.openxmlformats.org/officeDocument/2006/relationships/hyperlink" Target="https://drive.google.com/file/d/1Ph6Yqlc04T06ZRinsd8uE1JWKuHtD2ML/view?usp=drive_link" TargetMode="External"/><Relationship Id="rId95" Type="http://schemas.openxmlformats.org/officeDocument/2006/relationships/hyperlink" Target="https://drive.google.com/file/d/1zvglCWf6inv0JufrBrDhQ1xnqa4H86nv/view?usp=drive_link" TargetMode="External"/><Relationship Id="rId94" Type="http://schemas.openxmlformats.org/officeDocument/2006/relationships/hyperlink" Target="https://drive.google.com/file/d/19Gt1eI1LyE7Tqvbhy9OmN6b5Bya9eeMx/view?usp=drive_link" TargetMode="External"/><Relationship Id="rId93" Type="http://schemas.openxmlformats.org/officeDocument/2006/relationships/hyperlink" Target="https://drive.google.com/file/d/1sdT27Q_9mzUPD9NgDNNR_afUBnRg4Po4/view?usp=drive_link" TargetMode="External"/><Relationship Id="rId92" Type="http://schemas.openxmlformats.org/officeDocument/2006/relationships/hyperlink" Target="https://drive.google.com/file/d/1lt07cbJ1jw4g0wq-jkfpfJEnmCvaIFWC/view?usp=drive_link" TargetMode="External"/><Relationship Id="rId91" Type="http://schemas.openxmlformats.org/officeDocument/2006/relationships/hyperlink" Target="https://drive.google.com/file/d/1ddaNcBPS3vaRLP269dLdT0Kvh_vTYVQz/view?usp=drive_link" TargetMode="External"/><Relationship Id="rId90" Type="http://schemas.openxmlformats.org/officeDocument/2006/relationships/hyperlink" Target="https://drive.google.com/file/d/1Tnz6xtDp4Bz-eLwIZxmYlIU0Q-mhox1b/view?usp=drive_lin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3HaZyxvKuCpRZlxCFSrTRoSR88KAxps9/view?usp=drive_link" TargetMode="External"/><Relationship Id="rId88" Type="http://schemas.openxmlformats.org/officeDocument/2006/relationships/hyperlink" Target="https://drive.google.com/file/d/1FBIEkaGP6O-AyYECrJoX0W59MumK3rY1/view?usp=drive_link" TargetMode="External"/><Relationship Id="rId87" Type="http://schemas.openxmlformats.org/officeDocument/2006/relationships/hyperlink" Target="https://drive.google.com/file/d/18_teK10UMd0PyI7B35fSJo5VKM09LIcS/view?usp=drive_link" TargetMode="External"/><Relationship Id="rId86" Type="http://schemas.openxmlformats.org/officeDocument/2006/relationships/hyperlink" Target="https://drive.google.com/file/d/1U1Qt6B55hznGNuWlzMs5lCGGOnRIKPWG/view?usp=drive_link" TargetMode="External"/><Relationship Id="rId85" Type="http://schemas.openxmlformats.org/officeDocument/2006/relationships/hyperlink" Target="https://drive.google.com/file/d/1RUuMlXafKJ6-bky72Is_-tnUaxU-CN3O/view?usp=drive_link" TargetMode="External"/><Relationship Id="rId84" Type="http://schemas.openxmlformats.org/officeDocument/2006/relationships/hyperlink" Target="https://drive.google.com/file/d/1jH4IngwsTD_x00o_fYUcb22RcXFyoJB9/view?usp=drive_link" TargetMode="External"/><Relationship Id="rId83" Type="http://schemas.openxmlformats.org/officeDocument/2006/relationships/hyperlink" Target="https://drive.google.com/file/d/1cQu-wGQ3kCsdFk9CfgqsUTpSYfM2JgyI/view?usp=drive_link" TargetMode="External"/><Relationship Id="rId82" Type="http://schemas.openxmlformats.org/officeDocument/2006/relationships/hyperlink" Target="https://drive.google.com/file/d/1zIF8RoQzttIJJ0LHPxKFCPi4tZ49_C03/view?usp=drive_link" TargetMode="External"/><Relationship Id="rId81" Type="http://schemas.openxmlformats.org/officeDocument/2006/relationships/hyperlink" Target="https://drive.google.com/file/d/10Qv_Pw2QlVsinbj7XcY9HTpwAGHuT1jz/view?usp=drive_link" TargetMode="External"/><Relationship Id="rId80" Type="http://schemas.openxmlformats.org/officeDocument/2006/relationships/hyperlink" Target="https://drive.google.com/file/d/1rEw2h5JIUrUvv393VVP_P2BUvEwrgH3h/view?usp=drive_lin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AME9ORh6TvGXZO77DAULJ1ZzRfmInJnY/view?usp=drive_link" TargetMode="External"/><Relationship Id="rId78" Type="http://schemas.openxmlformats.org/officeDocument/2006/relationships/hyperlink" Target="https://drive.google.com/file/d/1i11Of1CfgZfWX4HakLtzGHBOGGgGujgx/view?usp=drive_link" TargetMode="External"/><Relationship Id="rId77" Type="http://schemas.openxmlformats.org/officeDocument/2006/relationships/hyperlink" Target="https://drive.google.com/file/d/1sIpiShKDRLzB7RLA9SSIc8-PoPeW7nlo/view?usp=drive_link" TargetMode="External"/><Relationship Id="rId76" Type="http://schemas.openxmlformats.org/officeDocument/2006/relationships/hyperlink" Target="https://drive.google.com/file/d/1nlEFQ6VHms_KWZTCtUVCpiNQlwqCfygS/view?usp=drive_link" TargetMode="External"/><Relationship Id="rId75" Type="http://schemas.openxmlformats.org/officeDocument/2006/relationships/hyperlink" Target="https://drive.google.com/file/d/1NYc5qGcBQv3wG5Jq_8B1CQZm0HxoA3DT/view?usp=drive_link" TargetMode="External"/><Relationship Id="rId74" Type="http://schemas.openxmlformats.org/officeDocument/2006/relationships/hyperlink" Target="https://drive.google.com/file/d/1ycf8vxtf_-jzk1GR8QZc-jfK9RhbReRM/view?usp=drive_link" TargetMode="External"/><Relationship Id="rId73" Type="http://schemas.openxmlformats.org/officeDocument/2006/relationships/hyperlink" Target="https://drive.google.com/file/d/17I_no0FVoAPGyeql6KG88pB2F5SsSot6/view?usp=drive_link" TargetMode="External"/><Relationship Id="rId72" Type="http://schemas.openxmlformats.org/officeDocument/2006/relationships/hyperlink" Target="https://drive.google.com/file/d/1C8mShCANIDafRmtylHWibvx8rOs9wXHS/view?usp=drive_link" TargetMode="External"/><Relationship Id="rId71" Type="http://schemas.openxmlformats.org/officeDocument/2006/relationships/hyperlink" Target="https://drive.google.com/file/d/11LAX4LMtZCCgDiR30Yr1PWfa4txmjdER/view?usp=drive_link" TargetMode="External"/><Relationship Id="rId70" Type="http://schemas.openxmlformats.org/officeDocument/2006/relationships/hyperlink" Target="https://drive.google.com/file/d/1G5mgA5dH3lwmAji0mn42VZzlGmfvyMig/view?usp=drive_link" TargetMode="External"/><Relationship Id="rId7" Type="http://schemas.openxmlformats.org/officeDocument/2006/relationships/hyperlink" Target="https://drive.google.com/file/d/1NbjsWNBnt8yAOYgw8256z5xMLAnE9saL/view?usp=drive_link" TargetMode="External"/><Relationship Id="rId69" Type="http://schemas.openxmlformats.org/officeDocument/2006/relationships/hyperlink" Target="https://drive.google.com/file/d/1uvOc-mviA2izFh5xqtYowgOCTFoUsagF/view?usp=drive_link" TargetMode="External"/><Relationship Id="rId68" Type="http://schemas.openxmlformats.org/officeDocument/2006/relationships/hyperlink" Target="https://drive.google.com/file/d/1TWN05kzxQSnzVYR_k1ui8Yct8C_QUb1w/view?usp=drive_link" TargetMode="External"/><Relationship Id="rId67" Type="http://schemas.openxmlformats.org/officeDocument/2006/relationships/hyperlink" Target="https://drive.google.com/file/d/1u67jk1YndrAZUccL48etnCiubUvs9zt4/view?usp=drive_link" TargetMode="External"/><Relationship Id="rId66" Type="http://schemas.openxmlformats.org/officeDocument/2006/relationships/hyperlink" Target="https://drive.google.com/file/d/1UhvHk7ELawikygubuvvCATNdY0kjS-ix/view?usp=drive_link" TargetMode="External"/><Relationship Id="rId65" Type="http://schemas.openxmlformats.org/officeDocument/2006/relationships/hyperlink" Target="https://drive.google.com/file/d/1BVosj9C-HqjIzoRnIcniDUnCfRNkwveb/view?usp=drive_link" TargetMode="External"/><Relationship Id="rId64" Type="http://schemas.openxmlformats.org/officeDocument/2006/relationships/hyperlink" Target="https://drive.google.com/file/d/1M7LQwhqexZ1_5hwZybkAZlA4uy8qa2EJ/view?usp=drive_link" TargetMode="External"/><Relationship Id="rId63" Type="http://schemas.openxmlformats.org/officeDocument/2006/relationships/hyperlink" Target="https://drive.google.com/file/d/1bWqfQ9n8yNL7-qe5l8EdrrrlQdQAIP1S/view?usp=drive_link" TargetMode="External"/><Relationship Id="rId62" Type="http://schemas.openxmlformats.org/officeDocument/2006/relationships/hyperlink" Target="https://drive.google.com/file/d/1dGFtbYY-is9mfLDx4btcrmhl5jVZsIeI/view?usp=drive_link" TargetMode="External"/><Relationship Id="rId61" Type="http://schemas.openxmlformats.org/officeDocument/2006/relationships/hyperlink" Target="https://drive.google.com/file/d/1inMJKY1QLuOr5PSKhJaokacxDX4JMjgO/view?usp=drive_link" TargetMode="External"/><Relationship Id="rId60" Type="http://schemas.openxmlformats.org/officeDocument/2006/relationships/hyperlink" Target="https://drive.google.com/file/d/1rUfhrVEANNWfPaSrRZOdgogSTx_Oboy3/view?usp=drive_link" TargetMode="External"/><Relationship Id="rId6" Type="http://schemas.openxmlformats.org/officeDocument/2006/relationships/hyperlink" Target="https://drive.google.com/file/d/1dofCSrM5wtNOH1KynOIxPGTQNLOBhoyB/view?usp=drive_link" TargetMode="External"/><Relationship Id="rId59" Type="http://schemas.openxmlformats.org/officeDocument/2006/relationships/hyperlink" Target="https://drive.google.com/file/d/1W0RXN7zCMpuvB8djqAwfj2-WxMxHg8iw/view?usp=drive_link" TargetMode="External"/><Relationship Id="rId58" Type="http://schemas.openxmlformats.org/officeDocument/2006/relationships/hyperlink" Target="https://drive.google.com/file/d/1HDqb7FGrqDiTjRMbJIp7l-oFi24ZwiBZ/view?usp=drive_link" TargetMode="External"/><Relationship Id="rId57" Type="http://schemas.openxmlformats.org/officeDocument/2006/relationships/hyperlink" Target="https://drive.google.com/file/d/1ZUFxvtWFlXZ3l2InPIPcM8zYeEmcCxxq/view?usp=drive_link" TargetMode="External"/><Relationship Id="rId56" Type="http://schemas.openxmlformats.org/officeDocument/2006/relationships/hyperlink" Target="https://drive.google.com/file/d/1T1IMdTN_cih_SnoJoKhsc8PyH4cov2i3/view?usp=drive_link" TargetMode="External"/><Relationship Id="rId55" Type="http://schemas.openxmlformats.org/officeDocument/2006/relationships/hyperlink" Target="https://drive.google.com/file/d/1xlEWk-bpl01vW8x1Mi8x2sdGIq-9nStX/view?usp=drive_link" TargetMode="External"/><Relationship Id="rId54" Type="http://schemas.openxmlformats.org/officeDocument/2006/relationships/hyperlink" Target="https://drive.google.com/file/d/1hkZAZ3GsbIlkN5dEd4ecN1J5-zGTLa0E/view?usp=drive_link" TargetMode="External"/><Relationship Id="rId53" Type="http://schemas.openxmlformats.org/officeDocument/2006/relationships/hyperlink" Target="https://drive.google.com/file/d/1aD1CWuTLduBYvx8yqdTo1bBe773mtMX6/view?usp=drive_link" TargetMode="External"/><Relationship Id="rId52" Type="http://schemas.openxmlformats.org/officeDocument/2006/relationships/hyperlink" Target="https://drive.google.com/file/d/1-BsM1j0swAU7NvtqfcaONp_BiLVNp6q_/view?usp=drive_link" TargetMode="External"/><Relationship Id="rId51" Type="http://schemas.openxmlformats.org/officeDocument/2006/relationships/hyperlink" Target="https://drive.google.com/file/d/1KTrjo-_h95a_aeFV6JhU0IiRtDPHOed9/view?usp=drive_link" TargetMode="External"/><Relationship Id="rId50" Type="http://schemas.openxmlformats.org/officeDocument/2006/relationships/hyperlink" Target="https://drive.google.com/file/d/1HN2olS41riyixlW298xkUXVK1Y5_uFYe/view?usp=drive_link" TargetMode="External"/><Relationship Id="rId5" Type="http://schemas.openxmlformats.org/officeDocument/2006/relationships/hyperlink" Target="https://drive.google.com/file/d/12qjm2u6d4HXZoeZuaefjGZ0LMXzOfKZV/view?usp=drive_link" TargetMode="External"/><Relationship Id="rId49" Type="http://schemas.openxmlformats.org/officeDocument/2006/relationships/hyperlink" Target="https://drive.google.com/file/d/1GH1YZJ5hbGDovsNqEtuigu0smy0pBQI-/view?usp=drive_link" TargetMode="External"/><Relationship Id="rId48" Type="http://schemas.openxmlformats.org/officeDocument/2006/relationships/hyperlink" Target="https://drive.google.com/file/d/170ok-TQUJk-Bw_iRzIdHuaY7PesmDnRp/view?usp=drive_link" TargetMode="External"/><Relationship Id="rId47" Type="http://schemas.openxmlformats.org/officeDocument/2006/relationships/hyperlink" Target="https://drive.google.com/file/d/1j89ZwkwM-vRcNtPJZiS5OV3dcNu7qkRH/view?usp=drive_link" TargetMode="External"/><Relationship Id="rId46" Type="http://schemas.openxmlformats.org/officeDocument/2006/relationships/hyperlink" Target="https://drive.google.com/file/d/1WgOhZmqv_be5-OWQ3NuGtdCPYhxd1F3i/view?usp=drive_link" TargetMode="External"/><Relationship Id="rId45" Type="http://schemas.openxmlformats.org/officeDocument/2006/relationships/hyperlink" Target="https://drive.google.com/file/d/1XxX96wtXrjxBclpqpgChhg3eSFOcnetG/view?usp=drive_link" TargetMode="External"/><Relationship Id="rId44" Type="http://schemas.openxmlformats.org/officeDocument/2006/relationships/hyperlink" Target="https://drive.google.com/file/d/1h0xLpyJx-e2OVV_fXYlOzIZe3OkZvd7L/view?usp=drive_link" TargetMode="External"/><Relationship Id="rId43" Type="http://schemas.openxmlformats.org/officeDocument/2006/relationships/hyperlink" Target="https://drive.google.com/file/d/1HogOAbqDkkelIjneI7tiXXmjngwbxwuM/view?usp=drive_link" TargetMode="External"/><Relationship Id="rId42" Type="http://schemas.openxmlformats.org/officeDocument/2006/relationships/hyperlink" Target="https://drive.google.com/file/d/1CHotgVCNugjvjjJlSfP8-hBaAU7uTF09/view?usp=drive_link" TargetMode="External"/><Relationship Id="rId41" Type="http://schemas.openxmlformats.org/officeDocument/2006/relationships/hyperlink" Target="https://drive.google.com/file/d/17muKwxRdm9eokz7Tvp2j0T10LM_fyNcJ/view?usp=drive_link" TargetMode="External"/><Relationship Id="rId40" Type="http://schemas.openxmlformats.org/officeDocument/2006/relationships/hyperlink" Target="https://drive.google.com/file/d/1iVdAb7rcFAojbCoTVNlhR7H1BGcmI6RK/view?usp=drive_link" TargetMode="External"/><Relationship Id="rId4" Type="http://schemas.openxmlformats.org/officeDocument/2006/relationships/hyperlink" Target="https://drive.google.com/file/d/1O_oCQwgVirp_-8d3UhY1cPDaNy9b7iKJ/view?usp=drive_link" TargetMode="External"/><Relationship Id="rId39" Type="http://schemas.openxmlformats.org/officeDocument/2006/relationships/hyperlink" Target="https://drive.google.com/file/d/1CEhPUwDaj_LmlFt5H4i0JfB10aD6rR7K/view?usp=drive_link" TargetMode="External"/><Relationship Id="rId38" Type="http://schemas.openxmlformats.org/officeDocument/2006/relationships/hyperlink" Target="https://drive.google.com/file/d/1Kd1amJjxUA2uNyZWAp-FoH9HPNZhYD7B/view?usp=drive_link" TargetMode="External"/><Relationship Id="rId37" Type="http://schemas.openxmlformats.org/officeDocument/2006/relationships/hyperlink" Target="https://drive.google.com/file/d/1CJi10APzKqDnhn-G-MyJcAmrRv_Dxw-X/view?usp=drive_link" TargetMode="External"/><Relationship Id="rId36" Type="http://schemas.openxmlformats.org/officeDocument/2006/relationships/hyperlink" Target="https://drive.google.com/file/d/1LavCRmHQuy_pYmp60ek_UBjBpaYDLdHB/view?usp=drive_link" TargetMode="External"/><Relationship Id="rId35" Type="http://schemas.openxmlformats.org/officeDocument/2006/relationships/hyperlink" Target="https://drive.google.com/file/d/1KVe43xLRB-ilGmnL-pp2OWJaWGqVgJoq/view?usp=drive_link" TargetMode="External"/><Relationship Id="rId34" Type="http://schemas.openxmlformats.org/officeDocument/2006/relationships/hyperlink" Target="https://drive.google.com/file/d/1AB3CDLKfHx8rIDZ7pxrXVdCYp5w1WQHp/view?usp=drive_link" TargetMode="External"/><Relationship Id="rId33" Type="http://schemas.openxmlformats.org/officeDocument/2006/relationships/hyperlink" Target="https://drive.google.com/file/d/1fJO_zZOo1FA_Byxrua8nM5Kfkv-DONRR/view?usp=drive_link" TargetMode="External"/><Relationship Id="rId32" Type="http://schemas.openxmlformats.org/officeDocument/2006/relationships/hyperlink" Target="https://drive.google.com/file/d/1oyFz8DDt3i2NalWm_aWsfrCVsB9AptpC/view?usp=drive_link" TargetMode="External"/><Relationship Id="rId31" Type="http://schemas.openxmlformats.org/officeDocument/2006/relationships/hyperlink" Target="https://drive.google.com/file/d/1qDFqj1jMues0Ns6BRJ7V40_0WNhHi0b9/view?usp=drive_link" TargetMode="External"/><Relationship Id="rId30" Type="http://schemas.openxmlformats.org/officeDocument/2006/relationships/hyperlink" Target="https://drive.google.com/file/d/1jtfbK1OLUOYokWzeCL1Vy7KOFthPYbDd/view?usp=drive_link" TargetMode="External"/><Relationship Id="rId3" Type="http://schemas.openxmlformats.org/officeDocument/2006/relationships/hyperlink" Target="https://drive.google.com/file/d/1zEiu25y2WIqSnGOH7bEnPCHaURkPxRj3/view?usp=drive_link" TargetMode="External"/><Relationship Id="rId29" Type="http://schemas.openxmlformats.org/officeDocument/2006/relationships/hyperlink" Target="https://drive.google.com/file/d/1bR5a_q5HSt6xQnj-0mTi834gKNe-qwQB/view?usp=drive_link" TargetMode="External"/><Relationship Id="rId28" Type="http://schemas.openxmlformats.org/officeDocument/2006/relationships/hyperlink" Target="https://drive.google.com/file/d/1AS_j9rldnE1NaO8zx7VK3tfCp5BvDMqV/view?usp=drive_link" TargetMode="External"/><Relationship Id="rId27" Type="http://schemas.openxmlformats.org/officeDocument/2006/relationships/hyperlink" Target="https://drive.google.com/file/d/1WN0Y_TPhKAAuty-tYtVuy79ylkl_gWG6/view?usp=sharing" TargetMode="External"/><Relationship Id="rId26" Type="http://schemas.openxmlformats.org/officeDocument/2006/relationships/hyperlink" Target="https://drive.google.com/file/d/1f1n-p-WolYqiFXIpb9jqDtDv2ikeJ7UQ/view?usp=drive_link" TargetMode="External"/><Relationship Id="rId25" Type="http://schemas.openxmlformats.org/officeDocument/2006/relationships/hyperlink" Target="https://drive.google.com/file/d/1lGlwfEQzlKJXH_DG5XA5Kfme3VQcjtVd/view?usp=drive_link" TargetMode="External"/><Relationship Id="rId24" Type="http://schemas.openxmlformats.org/officeDocument/2006/relationships/hyperlink" Target="https://drive.google.com/file/d/1C72I_l-Voz5RUSM92DNivku88n31HBSB/view?usp=drive_link" TargetMode="External"/><Relationship Id="rId23" Type="http://schemas.openxmlformats.org/officeDocument/2006/relationships/hyperlink" Target="https://drive.google.com/file/d/1Z5JlTjNRs0piGYpsJDpNyZ8G9O7erc4n/view?usp=drive_link" TargetMode="External"/><Relationship Id="rId22" Type="http://schemas.openxmlformats.org/officeDocument/2006/relationships/hyperlink" Target="https://drive.google.com/file/d/1k24OTCtlo5t9IkLbNUc0uOryHTpgmkUJ/view" TargetMode="External"/><Relationship Id="rId21" Type="http://schemas.openxmlformats.org/officeDocument/2006/relationships/hyperlink" Target="https://drive.google.com/file/d/1n62QvGGlMYyU1EUEKxx0SUguChG-LczF/view?usp=sharing" TargetMode="External"/><Relationship Id="rId20" Type="http://schemas.openxmlformats.org/officeDocument/2006/relationships/hyperlink" Target="https://drive.google.com/file/d/1aULi1pNwQdGVpTKDuog0P9Xh1IcPJhYJ/view?usp=drive_link" TargetMode="External"/><Relationship Id="rId2" Type="http://schemas.openxmlformats.org/officeDocument/2006/relationships/hyperlink" Target="https://drive.google.com/file/d/1cg69iAQNc9uOtWuqUJGFIHJbW9g8lvCb/view?usp=drive_link" TargetMode="External"/><Relationship Id="rId19" Type="http://schemas.openxmlformats.org/officeDocument/2006/relationships/hyperlink" Target="https://drive.google.com/file/d/1f9YvrEEU4Hx-Gov_l-mxoXT9fJwHvlGX/view?usp=drivesdk" TargetMode="External"/><Relationship Id="rId18" Type="http://schemas.openxmlformats.org/officeDocument/2006/relationships/hyperlink" Target="https://drive.google.com/file/d/1BeNbXLaIsFatjmSQuJD_UVlvT6H38aFg/view?usp=drive_link" TargetMode="External"/><Relationship Id="rId17" Type="http://schemas.openxmlformats.org/officeDocument/2006/relationships/hyperlink" Target="https://drive.google.com/file/d/1_lFvT7hZz8oU8zv_-UGOgv4VdPreBu8L/view?usp=drive_link" TargetMode="External"/><Relationship Id="rId16" Type="http://schemas.openxmlformats.org/officeDocument/2006/relationships/hyperlink" Target="https://drive.google.com/file/d/1cQKRbcCn95LfMhapJFVl3grpk9Ym2QLt/view?usp=drive_link" TargetMode="External"/><Relationship Id="rId15" Type="http://schemas.openxmlformats.org/officeDocument/2006/relationships/hyperlink" Target="https://drive.google.com/file/d/1eyRL8uxtqQIgJLJ-sSlmzTxnrPRgcB-x/view?usp=drive_link" TargetMode="External"/><Relationship Id="rId14" Type="http://schemas.openxmlformats.org/officeDocument/2006/relationships/hyperlink" Target="https://drive.google.com/file/d/1EA90Utk1ns7TCVkyeIJ5iW7Hdqq2_Zha/view?usp=drive_link" TargetMode="External"/><Relationship Id="rId13" Type="http://schemas.openxmlformats.org/officeDocument/2006/relationships/hyperlink" Target="https://drive.google.com/file/d/1t9DTLm_WgXQsxTeTNNBQsiJybJLt6SQM/view?usp=drive_link" TargetMode="External"/><Relationship Id="rId12" Type="http://schemas.openxmlformats.org/officeDocument/2006/relationships/hyperlink" Target="https://drive.google.com/file/d/1oLNUgD_az6Owhshep-Lgso-VcL6GMB2t/view?usp=drive_link" TargetMode="External"/><Relationship Id="rId115" Type="http://schemas.openxmlformats.org/officeDocument/2006/relationships/hyperlink" Target="https://drive.google.com/file/d/1z6DqqghGz5_1wHnScD8k48HgKfz0Zk9I/view?usp=sharing" TargetMode="External"/><Relationship Id="rId114" Type="http://schemas.openxmlformats.org/officeDocument/2006/relationships/hyperlink" Target="https://drive.google.com/file/d/1HvfXkFjLiHRPwmnYl-3JLNG2OHocGWGJ/view?usp=drive_link" TargetMode="External"/><Relationship Id="rId113" Type="http://schemas.openxmlformats.org/officeDocument/2006/relationships/hyperlink" Target="https://drive.google.com/file/d/1O8IFerN_b1OVb1CN9mQGTjYZpOKGoITY/view?usp=drive_link" TargetMode="External"/><Relationship Id="rId112" Type="http://schemas.openxmlformats.org/officeDocument/2006/relationships/hyperlink" Target="https://drive.google.com/file/d/1g_9nh_hqVHEgyFmCYgVlJFmL1Aj6XSjP/view?usp=drive_link" TargetMode="External"/><Relationship Id="rId111" Type="http://schemas.openxmlformats.org/officeDocument/2006/relationships/hyperlink" Target="https://drive.google.com/file/d/1pO45KJ2Anjf1wjhdMDATmYcrXCytLB3y/view?usp=sharing" TargetMode="External"/><Relationship Id="rId110" Type="http://schemas.openxmlformats.org/officeDocument/2006/relationships/hyperlink" Target="https://drive.google.com/file/d/1ayKyx-7T7TwOte_gGFgfgCxWiVa8Cg8m/view?usp=drive_link" TargetMode="External"/><Relationship Id="rId11" Type="http://schemas.openxmlformats.org/officeDocument/2006/relationships/hyperlink" Target="https://drive.google.com/file/d/1XoH65BvRw_juF-glmN8AfTF6l_GmG5II/view?usp=drive_link" TargetMode="External"/><Relationship Id="rId109" Type="http://schemas.openxmlformats.org/officeDocument/2006/relationships/hyperlink" Target="https://drive.google.com/file/d/1VXVL_r3DoAz3I_u0DD1X5QX9FVNRikkd/view?usp=drive_link" TargetMode="External"/><Relationship Id="rId108" Type="http://schemas.openxmlformats.org/officeDocument/2006/relationships/hyperlink" Target="https://drive.google.com/file/d/14S--Kd5Vl3YSMCHzwwYt_kQIgxGm_Zbg/view?usp=drive_link" TargetMode="External"/><Relationship Id="rId107" Type="http://schemas.openxmlformats.org/officeDocument/2006/relationships/hyperlink" Target="https://drive.google.com/file/d/1n-OVjxMOvOjL1phlSkz8eviOukA2jLci/view?usp=drive_link" TargetMode="External"/><Relationship Id="rId106" Type="http://schemas.openxmlformats.org/officeDocument/2006/relationships/hyperlink" Target="https://drive.google.com/file/d/1_wspiI7N_dRs_vE3p2pH0rc8yAcF-pg4/view?usp=drive_link" TargetMode="External"/><Relationship Id="rId105" Type="http://schemas.openxmlformats.org/officeDocument/2006/relationships/hyperlink" Target="https://drive.google.com/file/d/1WXt01Z5DyEaibfcb9yjRvC37GnJBijOf/view?usp=drive_link" TargetMode="External"/><Relationship Id="rId104" Type="http://schemas.openxmlformats.org/officeDocument/2006/relationships/hyperlink" Target="https://drive.google.com/file/d/12CBiVkqByJdiB_fExvTvqpU9ylB2Sy3W/view?usp=drive_link" TargetMode="External"/><Relationship Id="rId103" Type="http://schemas.openxmlformats.org/officeDocument/2006/relationships/hyperlink" Target="https://drive.google.com/file/d/1rjwl5CZZjBCqyIHHwyVOtiklXu_rVxIO/view?usp=drive_link" TargetMode="External"/><Relationship Id="rId102" Type="http://schemas.openxmlformats.org/officeDocument/2006/relationships/hyperlink" Target="https://drive.google.com/file/d/1imOf8cO4LrDK_1VGlnSJPrR4OAx8Sd2B/view?usp=drive_link" TargetMode="External"/><Relationship Id="rId101" Type="http://schemas.openxmlformats.org/officeDocument/2006/relationships/hyperlink" Target="https://drive.google.com/file/d/10aHD4D4de3IMNUlj2mTv1iugbhs7vm95/view?usp=drive_link" TargetMode="External"/><Relationship Id="rId100" Type="http://schemas.openxmlformats.org/officeDocument/2006/relationships/hyperlink" Target="https://drive.google.com/file/d/15MHSo23sHhYQuvGI6Rdc88aGx1MXVhlF/view?usp=drive_link" TargetMode="External"/><Relationship Id="rId10" Type="http://schemas.openxmlformats.org/officeDocument/2006/relationships/hyperlink" Target="https://drive.google.com/file/d/1g_NCEmpgXGAv6Wf51xoA6Lhpz__Zkopy/view?usp=drive_link" TargetMode="External"/><Relationship Id="rId1" Type="http://schemas.openxmlformats.org/officeDocument/2006/relationships/hyperlink" Target="http://s.no/" TargetMode="External"/></Relationships>
</file>

<file path=xl/worksheets/_rels/sheet12.xml.rels><?xml version="1.0" encoding="UTF-8" standalone="yes"?>
<Relationships xmlns="http://schemas.openxmlformats.org/package/2006/relationships"><Relationship Id="rId9" Type="http://schemas.openxmlformats.org/officeDocument/2006/relationships/hyperlink" Target="https://drive.google.com/file/d/1EA90Utk1ns7TCVkyeIJ5iW7Hdqq2_Zha/view?usp=drive_link" TargetMode="External"/><Relationship Id="rId86" Type="http://schemas.openxmlformats.org/officeDocument/2006/relationships/hyperlink" Target="https://drive.google.com/file/d/1jTCXH33gTrZDnqPAyOS9Jo4Vsl0cg49j/view?usp=sharing" TargetMode="External"/><Relationship Id="rId85" Type="http://schemas.openxmlformats.org/officeDocument/2006/relationships/hyperlink" Target="https://drive.google.com/file/d/1-LMn2RMdekpDhktxd6uNjQQdatMKF8yZ/view?usp=drive_link" TargetMode="External"/><Relationship Id="rId84" Type="http://schemas.openxmlformats.org/officeDocument/2006/relationships/hyperlink" Target="https://drive.google.com/file/d/1pO45KJ2Anjf1wjhdMDATmYcrXCytLB3y/view?usp=sharing" TargetMode="External"/><Relationship Id="rId83" Type="http://schemas.openxmlformats.org/officeDocument/2006/relationships/hyperlink" Target="https://drive.google.com/file/d/1ayKyx-7T7TwOte_gGFgfgCxWiVa8Cg8m/view?usp=drive_link" TargetMode="External"/><Relationship Id="rId82" Type="http://schemas.openxmlformats.org/officeDocument/2006/relationships/hyperlink" Target="https://drive.google.com/file/d/14S--Kd5Vl3YSMCHzwwYt_kQIgxGm_Zbg/view?usp=drive_link" TargetMode="External"/><Relationship Id="rId81" Type="http://schemas.openxmlformats.org/officeDocument/2006/relationships/hyperlink" Target="https://drive.google.com/file/d/1_wspiI7N_dRs_vE3p2pH0rc8yAcF-pg4/view?usp=drive_link" TargetMode="External"/><Relationship Id="rId80" Type="http://schemas.openxmlformats.org/officeDocument/2006/relationships/hyperlink" Target="https://drive.google.com/file/d/1WXt01Z5DyEaibfcb9yjRvC37GnJBijOf/view?usp=drive_link" TargetMode="External"/><Relationship Id="rId8" Type="http://schemas.openxmlformats.org/officeDocument/2006/relationships/hyperlink" Target="https://drive.google.com/file/d/1g_NCEmpgXGAv6Wf51xoA6Lhpz__Zkopy/view?usp=drive_link" TargetMode="External"/><Relationship Id="rId79" Type="http://schemas.openxmlformats.org/officeDocument/2006/relationships/hyperlink" Target="https://drive.google.com/file/d/1imOf8cO4LrDK_1VGlnSJPrR4OAx8Sd2B/view?usp=drive_link" TargetMode="External"/><Relationship Id="rId78" Type="http://schemas.openxmlformats.org/officeDocument/2006/relationships/hyperlink" Target="https://drive.google.com/file/d/15MHSo23sHhYQuvGI6Rdc88aGx1MXVhlF/view?usp=drive_link" TargetMode="External"/><Relationship Id="rId77" Type="http://schemas.openxmlformats.org/officeDocument/2006/relationships/hyperlink" Target="https://drive.google.com/file/d/1n-J5ZaaaTcS93gRg5dA3US0-WE9uy9vR/view?usp=drive_link" TargetMode="External"/><Relationship Id="rId76" Type="http://schemas.openxmlformats.org/officeDocument/2006/relationships/hyperlink" Target="https://drive.google.com/file/d/1Qwajh7n0liSuyiHduyRZzIt_jlaBjK0Z/view?usp=drive_link" TargetMode="External"/><Relationship Id="rId75" Type="http://schemas.openxmlformats.org/officeDocument/2006/relationships/hyperlink" Target="https://drive.google.com/file/d/1Ph6Yqlc04T06ZRinsd8uE1JWKuHtD2ML/view?usp=drive_link" TargetMode="External"/><Relationship Id="rId74" Type="http://schemas.openxmlformats.org/officeDocument/2006/relationships/hyperlink" Target="https://drive.google.com/file/d/1WgOhZmqv_be5-OWQ3NuGtdCPYhxd1F3i/view?usp=drive_link" TargetMode="External"/><Relationship Id="rId73" Type="http://schemas.openxmlformats.org/officeDocument/2006/relationships/hyperlink" Target="https://drive.google.com/file/d/1XxX96wtXrjxBclpqpgChhg3eSFOcnetG/view?usp=drive_link" TargetMode="External"/><Relationship Id="rId72" Type="http://schemas.openxmlformats.org/officeDocument/2006/relationships/hyperlink" Target="https://drive.google.com/file/d/1h0xLpyJx-e2OVV_fXYlOzIZe3OkZvd7L/view?usp=drive_link" TargetMode="External"/><Relationship Id="rId71" Type="http://schemas.openxmlformats.org/officeDocument/2006/relationships/hyperlink" Target="https://drive.google.com/file/d/1HogOAbqDkkelIjneI7tiXXmjngwbxwuM/view?usp=drive_link" TargetMode="External"/><Relationship Id="rId70" Type="http://schemas.openxmlformats.org/officeDocument/2006/relationships/hyperlink" Target="https://drive.google.com/file/d/1CHotgVCNugjvjjJlSfP8-hBaAU7uTF09/view?usp=drive_link" TargetMode="External"/><Relationship Id="rId7" Type="http://schemas.openxmlformats.org/officeDocument/2006/relationships/hyperlink" Target="https://drive.google.com/file/d/1TtxJeWuVc20ePVik4bdjwKeBWspDdqMP/view?usp=drive_link" TargetMode="External"/><Relationship Id="rId69" Type="http://schemas.openxmlformats.org/officeDocument/2006/relationships/hyperlink" Target="https://drive.google.com/file/d/17muKwxRdm9eokz7Tvp2j0T10LM_fyNcJ/view?usp=drive_link" TargetMode="External"/><Relationship Id="rId68" Type="http://schemas.openxmlformats.org/officeDocument/2006/relationships/hyperlink" Target="https://drive.google.com/file/d/1ycf8vxtf_-jzk1GR8QZc-jfK9RhbReRM/view?usp=drive_link" TargetMode="External"/><Relationship Id="rId67" Type="http://schemas.openxmlformats.org/officeDocument/2006/relationships/hyperlink" Target="https://drive.google.com/file/d/17I_no0FVoAPGyeql6KG88pB2F5SsSot6/view?usp=drive_link" TargetMode="External"/><Relationship Id="rId66" Type="http://schemas.openxmlformats.org/officeDocument/2006/relationships/hyperlink" Target="https://drive.google.com/file/d/1C8mShCANIDafRmtylHWibvx8rOs9wXHS/view?usp=drive_link" TargetMode="External"/><Relationship Id="rId65" Type="http://schemas.openxmlformats.org/officeDocument/2006/relationships/hyperlink" Target="https://drive.google.com/file/d/11LAX4LMtZCCgDiR30Yr1PWfa4txmjdER/view?usp=drive_link" TargetMode="External"/><Relationship Id="rId64" Type="http://schemas.openxmlformats.org/officeDocument/2006/relationships/hyperlink" Target="https://drive.google.com/file/d/1nlEFQ6VHms_KWZTCtUVCpiNQlwqCfygS/view?usp=drive_link" TargetMode="External"/><Relationship Id="rId63" Type="http://schemas.openxmlformats.org/officeDocument/2006/relationships/hyperlink" Target="https://drive.google.com/file/d/1NYc5qGcBQv3wG5Jq_8B1CQZm0HxoA3DT/view?usp=drive_link" TargetMode="External"/><Relationship Id="rId62" Type="http://schemas.openxmlformats.org/officeDocument/2006/relationships/hyperlink" Target="https://drive.google.com/file/d/1G5mgA5dH3lwmAji0mn42VZzlGmfvyMig/view?usp=drive_link" TargetMode="External"/><Relationship Id="rId61" Type="http://schemas.openxmlformats.org/officeDocument/2006/relationships/hyperlink" Target="https://drive.google.com/file/d/1uvOc-mviA2izFh5xqtYowgOCTFoUsagF/view?usp=drive_link" TargetMode="External"/><Relationship Id="rId60" Type="http://schemas.openxmlformats.org/officeDocument/2006/relationships/hyperlink" Target="https://drive.google.com/file/d/1TWN05kzxQSnzVYR_k1ui8Yct8C_QUb1w/view?usp=drive_link" TargetMode="External"/><Relationship Id="rId6" Type="http://schemas.openxmlformats.org/officeDocument/2006/relationships/hyperlink" Target="https://drive.google.com/file/d/14cGRh_2GVwGIhwcirub7JRZGMV1dZAmt/view?usp=drive_link" TargetMode="External"/><Relationship Id="rId59" Type="http://schemas.openxmlformats.org/officeDocument/2006/relationships/hyperlink" Target="https://drive.google.com/file/d/1u67jk1YndrAZUccL48etnCiubUvs9zt4/view?usp=drive_link" TargetMode="External"/><Relationship Id="rId58" Type="http://schemas.openxmlformats.org/officeDocument/2006/relationships/hyperlink" Target="https://drive.google.com/file/d/1UhvHk7ELawikygubuvvCATNdY0kjS-ix/view?usp=drive_link" TargetMode="External"/><Relationship Id="rId57" Type="http://schemas.openxmlformats.org/officeDocument/2006/relationships/hyperlink" Target="https://drive.google.com/file/d/1BVosj9C-HqjIzoRnIcniDUnCfRNkwveb/view?usp=drive_link" TargetMode="External"/><Relationship Id="rId56" Type="http://schemas.openxmlformats.org/officeDocument/2006/relationships/hyperlink" Target="https://drive.google.com/file/d/1M7LQwhqexZ1_5hwZybkAZlA4uy8qa2EJ/view?usp=drive_link" TargetMode="External"/><Relationship Id="rId55" Type="http://schemas.openxmlformats.org/officeDocument/2006/relationships/hyperlink" Target="https://drive.google.com/file/d/1bWqfQ9n8yNL7-qe5l8EdrrrlQdQAIP1S/view?usp=drive_link" TargetMode="External"/><Relationship Id="rId54" Type="http://schemas.openxmlformats.org/officeDocument/2006/relationships/hyperlink" Target="https://drive.google.com/file/d/1dGFtbYY-is9mfLDx4btcrmhl5jVZsIeI/view?usp=drive_link" TargetMode="External"/><Relationship Id="rId53" Type="http://schemas.openxmlformats.org/officeDocument/2006/relationships/hyperlink" Target="https://drive.google.com/file/d/1inMJKY1QLuOr5PSKhJaokacxDX4JMjgO/view?usp=drive_link" TargetMode="External"/><Relationship Id="rId52" Type="http://schemas.openxmlformats.org/officeDocument/2006/relationships/hyperlink" Target="https://drive.google.com/file/d/1rUfhrVEANNWfPaSrRZOdgogSTx_Oboy3/view?usp=drive_link" TargetMode="External"/><Relationship Id="rId51" Type="http://schemas.openxmlformats.org/officeDocument/2006/relationships/hyperlink" Target="https://drive.google.com/file/d/1W0RXN7zCMpuvB8djqAwfj2-WxMxHg8iw/view?usp=drive_link" TargetMode="External"/><Relationship Id="rId50" Type="http://schemas.openxmlformats.org/officeDocument/2006/relationships/hyperlink" Target="https://drive.google.com/file/d/1HDqb7FGrqDiTjRMbJIp7l-oFi24ZwiBZ/view?usp=drive_link" TargetMode="External"/><Relationship Id="rId5" Type="http://schemas.openxmlformats.org/officeDocument/2006/relationships/hyperlink" Target="https://drive.google.com/file/d/1vAilJIwOsp4XAuK_CHrcMGeHYpph1rEL/view?usp=drive_link" TargetMode="External"/><Relationship Id="rId49" Type="http://schemas.openxmlformats.org/officeDocument/2006/relationships/hyperlink" Target="https://drive.google.com/file/d/1ZUFxvtWFlXZ3l2InPIPcM8zYeEmcCxxq/view?usp=drive_link" TargetMode="External"/><Relationship Id="rId48" Type="http://schemas.openxmlformats.org/officeDocument/2006/relationships/hyperlink" Target="https://drive.google.com/file/d/1T1IMdTN_cih_SnoJoKhsc8PyH4cov2i3/view?usp=drive_link" TargetMode="External"/><Relationship Id="rId47" Type="http://schemas.openxmlformats.org/officeDocument/2006/relationships/hyperlink" Target="https://drive.google.com/file/d/1xlEWk-bpl01vW8x1Mi8x2sdGIq-9nStX/view?usp=drive_link" TargetMode="External"/><Relationship Id="rId46" Type="http://schemas.openxmlformats.org/officeDocument/2006/relationships/hyperlink" Target="https://drive.google.com/file/d/1hkZAZ3GsbIlkN5dEd4ecN1J5-zGTLa0E/view?usp=drive_link" TargetMode="External"/><Relationship Id="rId45" Type="http://schemas.openxmlformats.org/officeDocument/2006/relationships/hyperlink" Target="https://drive.google.com/file/d/1aD1CWuTLduBYvx8yqdTo1bBe773mtMX6/view?usp=drive_link" TargetMode="External"/><Relationship Id="rId44" Type="http://schemas.openxmlformats.org/officeDocument/2006/relationships/hyperlink" Target="https://drive.google.com/file/d/1-BsM1j0swAU7NvtqfcaONp_BiLVNp6q_/view?usp=drive_link" TargetMode="External"/><Relationship Id="rId43" Type="http://schemas.openxmlformats.org/officeDocument/2006/relationships/hyperlink" Target="https://drive.google.com/file/d/1KTrjo-_h95a_aeFV6JhU0IiRtDPHOed9/view?usp=drive_link" TargetMode="External"/><Relationship Id="rId42" Type="http://schemas.openxmlformats.org/officeDocument/2006/relationships/hyperlink" Target="https://drive.google.com/file/d/1HN2olS41riyixlW298xkUXVK1Y5_uFYe/view?usp=drive_link" TargetMode="External"/><Relationship Id="rId41" Type="http://schemas.openxmlformats.org/officeDocument/2006/relationships/hyperlink" Target="https://drive.google.com/file/d/1GH1YZJ5hbGDovsNqEtuigu0smy0pBQI-/view?usp=drive_link" TargetMode="External"/><Relationship Id="rId40" Type="http://schemas.openxmlformats.org/officeDocument/2006/relationships/hyperlink" Target="https://drive.google.com/file/d/170ok-TQUJk-Bw_iRzIdHuaY7PesmDnRp/view?usp=drive_link" TargetMode="External"/><Relationship Id="rId4" Type="http://schemas.openxmlformats.org/officeDocument/2006/relationships/hyperlink" Target="https://drive.google.com/file/d/1uU_cmBjBGXCWi-tPHtYzj7uqEK85TQeF/view?usp=drive_link" TargetMode="External"/><Relationship Id="rId39" Type="http://schemas.openxmlformats.org/officeDocument/2006/relationships/hyperlink" Target="https://drive.google.com/file/d/1j89ZwkwM-vRcNtPJZiS5OV3dcNu7qkRH/view?usp=drive_link" TargetMode="External"/><Relationship Id="rId38" Type="http://schemas.openxmlformats.org/officeDocument/2006/relationships/hyperlink" Target="https://drive.google.com/file/d/1iVdAb7rcFAojbCoTVNlhR7H1BGcmI6RK/view?usp=drive_link" TargetMode="External"/><Relationship Id="rId37" Type="http://schemas.openxmlformats.org/officeDocument/2006/relationships/hyperlink" Target="https://drive.google.com/file/d/1CEhPUwDaj_LmlFt5H4i0JfB10aD6rR7K/view?usp=drive_link" TargetMode="External"/><Relationship Id="rId36" Type="http://schemas.openxmlformats.org/officeDocument/2006/relationships/hyperlink" Target="https://drive.google.com/file/d/1Kd1amJjxUA2uNyZWAp-FoH9HPNZhYD7B/view?usp=drive_link" TargetMode="External"/><Relationship Id="rId35" Type="http://schemas.openxmlformats.org/officeDocument/2006/relationships/hyperlink" Target="https://drive.google.com/file/d/1LavCRmHQuy_pYmp60ek_UBjBpaYDLdHB/view?usp=drive_link" TargetMode="External"/><Relationship Id="rId34" Type="http://schemas.openxmlformats.org/officeDocument/2006/relationships/hyperlink" Target="https://drive.google.com/file/d/1KVe43xLRB-ilGmnL-pp2OWJaWGqVgJoq/view?usp=drive_link" TargetMode="External"/><Relationship Id="rId33" Type="http://schemas.openxmlformats.org/officeDocument/2006/relationships/hyperlink" Target="https://drive.google.com/file/d/1QOr2NsVQnfAqlfNFUfK9XFw8jZWIhDet/view?usp=drive_link" TargetMode="External"/><Relationship Id="rId32" Type="http://schemas.openxmlformats.org/officeDocument/2006/relationships/hyperlink" Target="https://drive.google.com/file/d/1AB3CDLKfHx8rIDZ7pxrXVdCYp5w1WQHp/view?usp=drive_link" TargetMode="External"/><Relationship Id="rId31" Type="http://schemas.openxmlformats.org/officeDocument/2006/relationships/hyperlink" Target="https://drive.google.com/file/d/1fJO_zZOo1FA_Byxrua8nM5Kfkv-DONRR/view?usp=drive_link" TargetMode="External"/><Relationship Id="rId30" Type="http://schemas.openxmlformats.org/officeDocument/2006/relationships/hyperlink" Target="https://drive.google.com/file/d/1oyFz8DDt3i2NalWm_aWsfrCVsB9AptpC/view?usp=drive_link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qDFqj1jMues0Ns6BRJ7V40_0WNhHi0b9/view?usp=drive_link" TargetMode="External"/><Relationship Id="rId28" Type="http://schemas.openxmlformats.org/officeDocument/2006/relationships/hyperlink" Target="https://drive.google.com/file/d/1jtfbK1OLUOYokWzeCL1Vy7KOFthPYbDd/view?usp=drive_link" TargetMode="External"/><Relationship Id="rId27" Type="http://schemas.openxmlformats.org/officeDocument/2006/relationships/hyperlink" Target="https://drive.google.com/file/d/1A4u_6LCXWAtc5cFRxLzWHyeVm8T6XM2w/view?usp=drive_link" TargetMode="External"/><Relationship Id="rId26" Type="http://schemas.openxmlformats.org/officeDocument/2006/relationships/hyperlink" Target="https://drive.google.com/file/d/1gxwJKox12MFNWuuR8OYvISAJ8_tdBCOG/view?usp=drive_link" TargetMode="External"/><Relationship Id="rId25" Type="http://schemas.openxmlformats.org/officeDocument/2006/relationships/hyperlink" Target="https://drive.google.com/file/d/1bR5a_q5HSt6xQnj-0mTi834gKNe-qwQB/view?usp=drive_link" TargetMode="External"/><Relationship Id="rId24" Type="http://schemas.openxmlformats.org/officeDocument/2006/relationships/hyperlink" Target="https://drive.google.com/file/d/1AS_j9rldnE1NaO8zx7VK3tfCp5BvDMqV/view?usp=drive_link" TargetMode="External"/><Relationship Id="rId23" Type="http://schemas.openxmlformats.org/officeDocument/2006/relationships/hyperlink" Target="https://drive.google.com/file/d/1f1n-p-WolYqiFXIpb9jqDtDv2ikeJ7UQ/view?usp=drive_link" TargetMode="External"/><Relationship Id="rId22" Type="http://schemas.openxmlformats.org/officeDocument/2006/relationships/hyperlink" Target="https://drive.google.com/file/d/1Xdiqzq5T6wKELn8fODRewOtUyzBdx0hR/view?usp=drive_link" TargetMode="External"/><Relationship Id="rId21" Type="http://schemas.openxmlformats.org/officeDocument/2006/relationships/hyperlink" Target="https://drive.google.com/file/d/1C72I_l-Voz5RUSM92DNivku88n31HBSB/view?usp=drive_link" TargetMode="External"/><Relationship Id="rId20" Type="http://schemas.openxmlformats.org/officeDocument/2006/relationships/hyperlink" Target="https://drive.google.com/file/d/1Z5JlTjNRs0piGYpsJDpNyZ8G9O7erc4n/view?usp=drive_link" TargetMode="External"/><Relationship Id="rId2" Type="http://schemas.openxmlformats.org/officeDocument/2006/relationships/hyperlink" Target="https://drive.google.com/file/d/1zEiu25y2WIqSnGOH7bEnPCHaURkPxRj3/view?usp=drive_link" TargetMode="External"/><Relationship Id="rId19" Type="http://schemas.openxmlformats.org/officeDocument/2006/relationships/hyperlink" Target="https://drive.google.com/file/d/1k24OTCtlo5t9IkLbNUc0uOryHTpgmkUJ/view" TargetMode="External"/><Relationship Id="rId18" Type="http://schemas.openxmlformats.org/officeDocument/2006/relationships/hyperlink" Target="https://drive.google.com/file/d/1g5oe0YSR8JgjFTYtpfB_Ix4g7gTpzeQ6/view?usp=sharing" TargetMode="External"/><Relationship Id="rId17" Type="http://schemas.openxmlformats.org/officeDocument/2006/relationships/hyperlink" Target="https://drive.google.com/file/d/14PJBKiM2FLprFkXzhY_lu7iLXqs10Raf/view?usp=sharing" TargetMode="External"/><Relationship Id="rId16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15" Type="http://schemas.openxmlformats.org/officeDocument/2006/relationships/hyperlink" Target="https://drive.google.com/file/d/1OCCCwrKUlTy4NqUDZsCGAqlMUuEalLTg/view?usp=drivesdk" TargetMode="External"/><Relationship Id="rId14" Type="http://schemas.openxmlformats.org/officeDocument/2006/relationships/hyperlink" Target="https://drive.google.com/file/d/1DWHRNJ3pMF_sCvA1Cgrp7Nq-QjVOrmtQ/view?usp=drive_link" TargetMode="External"/><Relationship Id="rId13" Type="http://schemas.openxmlformats.org/officeDocument/2006/relationships/hyperlink" Target="https://drive.google.com/file/d/11pJQYO0cptSZj-Eo0LmIRtYJToszFpTy/view?usp=drive_link" TargetMode="External"/><Relationship Id="rId12" Type="http://schemas.openxmlformats.org/officeDocument/2006/relationships/hyperlink" Target="https://drive.google.com/file/d/1bFQ-jFNCIUJB-bQEArAitac2SVGjk5KO/view?usp=drive_link" TargetMode="External"/><Relationship Id="rId11" Type="http://schemas.openxmlformats.org/officeDocument/2006/relationships/hyperlink" Target="https://drive.google.com/file/d/1eyRL8uxtqQIgJLJ-sSlmzTxnrPRgcB-x/view?usp=drive_link" TargetMode="External"/><Relationship Id="rId10" Type="http://schemas.openxmlformats.org/officeDocument/2006/relationships/hyperlink" Target="https://drive.google.com/file/d/1oLNUgD_az6Owhshep-Lgso-VcL6GMB2t/view?usp=drive_link" TargetMode="External"/><Relationship Id="rId1" Type="http://schemas.openxmlformats.org/officeDocument/2006/relationships/hyperlink" Target="http://s.no/" TargetMode="External"/></Relationships>
</file>

<file path=xl/worksheets/_rels/sheet1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IqQJuL6vVcNN3vBZjzozL8qAPRaIj6T8/view?usp=drive_link" TargetMode="External"/><Relationship Id="rId98" Type="http://schemas.openxmlformats.org/officeDocument/2006/relationships/hyperlink" Target="https://drive.google.com/file/d/1Iq2NlEYjQ-EUc41rbx1s3Bk4fCN2UpoS/view?usp=drive_link" TargetMode="External"/><Relationship Id="rId97" Type="http://schemas.openxmlformats.org/officeDocument/2006/relationships/hyperlink" Target="https://drive.google.com/file/d/1IoAS70u6Mte8s79wFQCO9RBAPdCco5Ci/view?usp=drive_link" TargetMode="External"/><Relationship Id="rId96" Type="http://schemas.openxmlformats.org/officeDocument/2006/relationships/hyperlink" Target="https://drive.google.com/file/d/1IjHSHzUAV86HIlIgEDwo0Sqsm8sS_epO/view?usp=drive_link" TargetMode="External"/><Relationship Id="rId95" Type="http://schemas.openxmlformats.org/officeDocument/2006/relationships/hyperlink" Target="https://drive.google.com/file/d/1IhCIvrywAPYH68g_nxZZCcjusigrSGAr/view?usp=drive_link" TargetMode="External"/><Relationship Id="rId94" Type="http://schemas.openxmlformats.org/officeDocument/2006/relationships/hyperlink" Target="https://drive.google.com/file/d/1RXy1kM9fXPimFsqvKYedOL2uiUgdTnWk/view?usp=drive_link" TargetMode="External"/><Relationship Id="rId93" Type="http://schemas.openxmlformats.org/officeDocument/2006/relationships/hyperlink" Target="https://drive.google.com/file/d/1RTUxMGinMhSBjAlJhJTGxz9jDiGWsHq4/view?usp=drive_link" TargetMode="External"/><Relationship Id="rId92" Type="http://schemas.openxmlformats.org/officeDocument/2006/relationships/hyperlink" Target="https://drive.google.com/file/d/1RRMUvCR3a3l6RqwyS7ph_Kgp5iCvaHfL/view?usp=drive_link" TargetMode="External"/><Relationship Id="rId91" Type="http://schemas.openxmlformats.org/officeDocument/2006/relationships/hyperlink" Target="https://drive.google.com/file/d/1RNLP92TcLfBj6GkIKIigilub-w6y-jEW/view?usp=drive_link" TargetMode="External"/><Relationship Id="rId90" Type="http://schemas.openxmlformats.org/officeDocument/2006/relationships/hyperlink" Target="https://drive.google.com/file/d/1RMnS4zdiRAge9eGYSqcUysTrvPWvDeLR/view?usp=drive_link" TargetMode="External"/><Relationship Id="rId9" Type="http://schemas.openxmlformats.org/officeDocument/2006/relationships/hyperlink" Target="https://drive.google.com/file/d/1YdY00R-eppaEuzg0ZoFbRqtaM8WFTUUx/view?usp=drive_link" TargetMode="External"/><Relationship Id="rId89" Type="http://schemas.openxmlformats.org/officeDocument/2006/relationships/hyperlink" Target="https://drive.google.com/file/d/1RIblqgD118rtG2ui-rSskRAgCOCCXV8i/view?usp=drive_link" TargetMode="External"/><Relationship Id="rId88" Type="http://schemas.openxmlformats.org/officeDocument/2006/relationships/hyperlink" Target="https://drive.google.com/file/d/1RFHSO3Hs1qlosdzvaPrhpZhPXdlW6C4m/view?usp=drive_link" TargetMode="External"/><Relationship Id="rId87" Type="http://schemas.openxmlformats.org/officeDocument/2006/relationships/hyperlink" Target="https://drive.google.com/file/d/1RCKas9m-NdZo1yakl9BhtHYwpCc7F-RB/view?usp=drive_link" TargetMode="External"/><Relationship Id="rId86" Type="http://schemas.openxmlformats.org/officeDocument/2006/relationships/hyperlink" Target="https://drive.google.com/file/d/1R12kVspJpB-A43x7E4aNJYEYfYNbOfG3/view?usp=drive_link" TargetMode="External"/><Relationship Id="rId85" Type="http://schemas.openxmlformats.org/officeDocument/2006/relationships/hyperlink" Target="https://drive.google.com/file/d/1R0iE9IDT7LtHuRQ7OpztBPRAp3VhEQ9S/view?usp=drive_link" TargetMode="External"/><Relationship Id="rId84" Type="http://schemas.openxmlformats.org/officeDocument/2006/relationships/hyperlink" Target="https://drive.google.com/file/d/1Qw4FKezxiI6JOzYij1mwEeIXcyj_Cu3l/view?usp=drive_link" TargetMode="External"/><Relationship Id="rId83" Type="http://schemas.openxmlformats.org/officeDocument/2006/relationships/hyperlink" Target="https://drive.google.com/file/d/1Qh9J7pjPWXVPHcs1Z6mP2PaFRIfqQZAg/view?usp=drive_link" TargetMode="External"/><Relationship Id="rId82" Type="http://schemas.openxmlformats.org/officeDocument/2006/relationships/hyperlink" Target="https://drive.google.com/file/d/1Qgs_c1EmK7Jz3Olcd6LRN77jF_nUOOPi/view?usp=drive_link" TargetMode="External"/><Relationship Id="rId81" Type="http://schemas.openxmlformats.org/officeDocument/2006/relationships/hyperlink" Target="https://drive.google.com/file/d/1QaEfR_7J4wE4gxi83g0o_c9HP2tAEHIQ/view?usp=drive_link" TargetMode="External"/><Relationship Id="rId80" Type="http://schemas.openxmlformats.org/officeDocument/2006/relationships/hyperlink" Target="https://drive.google.com/file/d/1ayKyx-7T7TwOte_gGFgfgCxWiVa8Cg8m/view?usp=drive_link" TargetMode="External"/><Relationship Id="rId8" Type="http://schemas.openxmlformats.org/officeDocument/2006/relationships/hyperlink" Target="https://drive.google.com/file/d/1mwWjeiqQmTheUpSIu2TXxy1P9njK9zWD/view?usp=drive_link" TargetMode="External"/><Relationship Id="rId79" Type="http://schemas.openxmlformats.org/officeDocument/2006/relationships/hyperlink" Target="https://drive.google.com/file/d/1g_9nh_hqVHEgyFmCYgVlJFmL1Aj6XSjP/view?usp=drive_link" TargetMode="External"/><Relationship Id="rId78" Type="http://schemas.openxmlformats.org/officeDocument/2006/relationships/hyperlink" Target="https://drive.google.com/file/d/1O8IFerN_b1OVb1CN9mQGTjYZpOKGoITY/view?usp=drive_link" TargetMode="External"/><Relationship Id="rId77" Type="http://schemas.openxmlformats.org/officeDocument/2006/relationships/hyperlink" Target="https://drive.google.com/file/d/1HvfXkFjLiHRPwmnYl-3JLNG2OHocGWGJ/view?usp=drive_link" TargetMode="External"/><Relationship Id="rId76" Type="http://schemas.openxmlformats.org/officeDocument/2006/relationships/hyperlink" Target="https://drive.google.com/file/d/1pO45KJ2Anjf1wjhdMDATmYcrXCytLB3y/view?usp=sharing" TargetMode="External"/><Relationship Id="rId75" Type="http://schemas.openxmlformats.org/officeDocument/2006/relationships/hyperlink" Target="https://drive.google.com/file/d/1VXVL_r3DoAz3I_u0DD1X5QX9FVNRikkd/view?usp=drive_link" TargetMode="External"/><Relationship Id="rId74" Type="http://schemas.openxmlformats.org/officeDocument/2006/relationships/hyperlink" Target="https://drive.google.com/file/d/14S--Kd5Vl3YSMCHzwwYt_kQIgxGm_Zbg/view?usp=drive_link" TargetMode="External"/><Relationship Id="rId73" Type="http://schemas.openxmlformats.org/officeDocument/2006/relationships/hyperlink" Target="https://drive.google.com/file/d/1n-OVjxMOvOjL1phlSkz8eviOukA2jLci/view?usp=drive_link" TargetMode="External"/><Relationship Id="rId72" Type="http://schemas.openxmlformats.org/officeDocument/2006/relationships/hyperlink" Target="https://drive.google.com/file/d/1_wspiI7N_dRs_vE3p2pH0rc8yAcF-pg4/view?usp=drive_link" TargetMode="External"/><Relationship Id="rId71" Type="http://schemas.openxmlformats.org/officeDocument/2006/relationships/hyperlink" Target="https://drive.google.com/file/d/1WXt01Z5DyEaibfcb9yjRvC37GnJBijOf/view?usp=drive_link" TargetMode="External"/><Relationship Id="rId70" Type="http://schemas.openxmlformats.org/officeDocument/2006/relationships/hyperlink" Target="https://drive.google.com/file/d/12CBiVkqByJdiB_fExvTvqpU9ylB2Sy3W/view?usp=drive_link" TargetMode="External"/><Relationship Id="rId7" Type="http://schemas.openxmlformats.org/officeDocument/2006/relationships/hyperlink" Target="https://drive.google.com/file/d/1hXXYKzuOCrkv_s5TmDcMckSp-6WoqZUV/view?usp=drive_link" TargetMode="External"/><Relationship Id="rId69" Type="http://schemas.openxmlformats.org/officeDocument/2006/relationships/hyperlink" Target="https://drive.google.com/file/d/1rjwl5CZZjBCqyIHHwyVOtiklXu_rVxIO/view?usp=drive_link" TargetMode="External"/><Relationship Id="rId68" Type="http://schemas.openxmlformats.org/officeDocument/2006/relationships/hyperlink" Target="https://drive.google.com/file/d/1imOf8cO4LrDK_1VGlnSJPrR4OAx8Sd2B/view?usp=drive_link" TargetMode="External"/><Relationship Id="rId67" Type="http://schemas.openxmlformats.org/officeDocument/2006/relationships/hyperlink" Target="https://drive.google.com/file/d/10aHD4D4de3IMNUlj2mTv1iugbhs7vm95/view?usp=drive_link" TargetMode="External"/><Relationship Id="rId66" Type="http://schemas.openxmlformats.org/officeDocument/2006/relationships/hyperlink" Target="https://drive.google.com/file/d/1z2yIzp0ZbgM-WXwFf0MlJEXezfRG53OZ/view?usp=drive_link" TargetMode="External"/><Relationship Id="rId65" Type="http://schemas.openxmlformats.org/officeDocument/2006/relationships/hyperlink" Target="https://drive.google.com/file/d/15MHSo23sHhYQuvGI6Rdc88aGx1MXVhlF/view?usp=drive_link" TargetMode="External"/><Relationship Id="rId64" Type="http://schemas.openxmlformats.org/officeDocument/2006/relationships/hyperlink" Target="https://drive.google.com/file/d/1J87Zhyr309v3cM4vU-qQjvRj1odWh8Et/view?usp=drive_link" TargetMode="External"/><Relationship Id="rId63" Type="http://schemas.openxmlformats.org/officeDocument/2006/relationships/hyperlink" Target="https://drive.google.com/file/d/1RjpHu8zCkLQfvM2k-qzFhpX7Lh0zdAFJ/view?usp=drive_link" TargetMode="External"/><Relationship Id="rId62" Type="http://schemas.openxmlformats.org/officeDocument/2006/relationships/hyperlink" Target="https://drive.google.com/file/d/1RiqbycA1dNT0XJ68j20tj_DCylcTHKKj/view?usp=drive_link" TargetMode="External"/><Relationship Id="rId61" Type="http://schemas.openxmlformats.org/officeDocument/2006/relationships/hyperlink" Target="https://drive.google.com/file/d/1Rfy0nG_yU9wMlzuxFQAMIKxQs9BM8o-q/view?usp=drive_link" TargetMode="External"/><Relationship Id="rId60" Type="http://schemas.openxmlformats.org/officeDocument/2006/relationships/hyperlink" Target="https://drive.google.com/file/d/1RaF-Oiku3jWWj-lO6IMz3sBBFkVdl4Cf/view?usp=drive_link" TargetMode="External"/><Relationship Id="rId6" Type="http://schemas.openxmlformats.org/officeDocument/2006/relationships/hyperlink" Target="https://drive.google.com/file/d/1g_NCEmpgXGAv6Wf51xoA6Lhpz__Zkopy/view?usp=drive_link" TargetMode="External"/><Relationship Id="rId59" Type="http://schemas.openxmlformats.org/officeDocument/2006/relationships/hyperlink" Target="https://drive.google.com/file/d/1R_jLa-nSi6iu4wPvCkgriXlS3CIPLQgu/view?usp=drive_link" TargetMode="External"/><Relationship Id="rId58" Type="http://schemas.openxmlformats.org/officeDocument/2006/relationships/hyperlink" Target="https://drive.google.com/file/d/1NlV51HaXrKvAOegtLaBiYTJQFT5jcck1/view?usp=drive_link" TargetMode="External"/><Relationship Id="rId57" Type="http://schemas.openxmlformats.org/officeDocument/2006/relationships/hyperlink" Target="https://drive.google.com/file/d/1Cwb-Ueq-8R9r95GS3cZ94HbJgjM_osOY/view?usp=drive_link" TargetMode="External"/><Relationship Id="rId56" Type="http://schemas.openxmlformats.org/officeDocument/2006/relationships/hyperlink" Target="https://drive.google.com/file/d/1jRB3Hcpd_xqF7dBt2A06NqRzzaRDQAFd/view?usp=drive_link" TargetMode="External"/><Relationship Id="rId55" Type="http://schemas.openxmlformats.org/officeDocument/2006/relationships/hyperlink" Target="https://drive.google.com/file/d/1R8Says2Jg6Md5QpfknguCfPf-WWC85qK/view?usp=drive_link" TargetMode="External"/><Relationship Id="rId54" Type="http://schemas.openxmlformats.org/officeDocument/2006/relationships/hyperlink" Target="https://drive.google.com/file/d/1R1RghLdxUTWRFro_nUfQ09vEt2nypIlt/view?usp=drive_link" TargetMode="External"/><Relationship Id="rId53" Type="http://schemas.openxmlformats.org/officeDocument/2006/relationships/hyperlink" Target="https://drive.google.com/file/d/1Q_SzXkzJA1kK1VhVCwDHvxunRFhJqvpj/view?usp=drive_link" TargetMode="External"/><Relationship Id="rId52" Type="http://schemas.openxmlformats.org/officeDocument/2006/relationships/hyperlink" Target="https://drive.google.com/file/d/1Q_4U4FXIKOdeoamN8bcTKYfi_ZxZJ9_b/view?usp=drive_link" TargetMode="External"/><Relationship Id="rId51" Type="http://schemas.openxmlformats.org/officeDocument/2006/relationships/hyperlink" Target="https://drive.google.com/file/d/1QWrRAj_0ux0tpedtloYlTFl-QPyKGcNE/view?usp=drive_link" TargetMode="External"/><Relationship Id="rId50" Type="http://schemas.openxmlformats.org/officeDocument/2006/relationships/hyperlink" Target="https://drive.google.com/file/d/1QVUe-SxSE9892keKZDh7hpCNvyaOrodz/view?usp=drive_link" TargetMode="External"/><Relationship Id="rId5" Type="http://schemas.openxmlformats.org/officeDocument/2006/relationships/hyperlink" Target="https://drive.google.com/file/d/1TtxJeWuVc20ePVik4bdjwKeBWspDdqMP/view?usp=drive_link" TargetMode="External"/><Relationship Id="rId49" Type="http://schemas.openxmlformats.org/officeDocument/2006/relationships/hyperlink" Target="https://drive.google.com/file/d/1QV4fb6xNVm4S3-12kEi5LmkVkSED7Ocq/view?usp=drive_link" TargetMode="External"/><Relationship Id="rId48" Type="http://schemas.openxmlformats.org/officeDocument/2006/relationships/hyperlink" Target="https://drive.google.com/file/d/1MPxdCzilLPuNsdW8H_8LH7683v_jNKBm/view?usp=drive_link" TargetMode="External"/><Relationship Id="rId47" Type="http://schemas.openxmlformats.org/officeDocument/2006/relationships/hyperlink" Target="https://drive.google.com/file/d/1QQSRmiK4fh-broCEEcgfCjKSDrT-IvG_/view?usp=drive_link" TargetMode="External"/><Relationship Id="rId46" Type="http://schemas.openxmlformats.org/officeDocument/2006/relationships/hyperlink" Target="https://drive.google.com/file/d/1QFfG8FNvdcSX3szOaVV_tc7KNThXkM9D/view?usp=drive_link" TargetMode="External"/><Relationship Id="rId45" Type="http://schemas.openxmlformats.org/officeDocument/2006/relationships/hyperlink" Target="https://drive.google.com/file/d/1Q81dtLACTeFzCGPpl6J-ORvQFVXBYtYF/view?usp=drive_link" TargetMode="External"/><Relationship Id="rId44" Type="http://schemas.openxmlformats.org/officeDocument/2006/relationships/hyperlink" Target="https://drive.google.com/file/d/1Q7Qo86hDeppzQeG-iD2WvcEpCsTzX6dk/view?usp=drive_link" TargetMode="External"/><Relationship Id="rId43" Type="http://schemas.openxmlformats.org/officeDocument/2006/relationships/hyperlink" Target="https://drive.google.com/file/d/1Q3YZRcw2b4yh6cykIYHKkQ0fol4igM3b/view?usp=drive_link" TargetMode="External"/><Relationship Id="rId42" Type="http://schemas.openxmlformats.org/officeDocument/2006/relationships/hyperlink" Target="https://drive.google.com/file/d/1Q2HHft_CZfQrN8_Rrc4tWa9K9rx_cWTR/view?usp=drive_link" TargetMode="External"/><Relationship Id="rId41" Type="http://schemas.openxmlformats.org/officeDocument/2006/relationships/hyperlink" Target="https://drive.google.com/file/d/1Q27wfFKc0weKlP4MRi9nrYsKYhRWs9lf/view?usp=drive_link" TargetMode="External"/><Relationship Id="rId40" Type="http://schemas.openxmlformats.org/officeDocument/2006/relationships/hyperlink" Target="https://drive.google.com/file/d/1Q00ZDTp6lAj6yur9JAJGr49VXnhlLqil/view?usp=drive_link" TargetMode="External"/><Relationship Id="rId4" Type="http://schemas.openxmlformats.org/officeDocument/2006/relationships/hyperlink" Target="https://drive.google.com/file/d/14cGRh_2GVwGIhwcirub7JRZGMV1dZAmt/view?usp=drive_link" TargetMode="External"/><Relationship Id="rId39" Type="http://schemas.openxmlformats.org/officeDocument/2006/relationships/hyperlink" Target="https://drive.google.com/file/d/1PxvgeetBFtrEBYI9zk36wzLkfFsbWlvC/view?usp=drive_link" TargetMode="External"/><Relationship Id="rId38" Type="http://schemas.openxmlformats.org/officeDocument/2006/relationships/hyperlink" Target="https://drive.google.com/file/d/1Px74aghyKE1Z7zKqM4WmaxCDVKylSZsW/view?usp=drive_link" TargetMode="External"/><Relationship Id="rId37" Type="http://schemas.openxmlformats.org/officeDocument/2006/relationships/hyperlink" Target="https://drive.google.com/file/d/1PwgbXtu2d1pqwvLqTp06rQN6uIyYI_44/view?usp=drive_link" TargetMode="External"/><Relationship Id="rId36" Type="http://schemas.openxmlformats.org/officeDocument/2006/relationships/hyperlink" Target="https://drive.google.com/file/d/1PsdsOivVTCtL0DDpnIrGoSsBB5nuQVPx/view?usp=drive_link" TargetMode="External"/><Relationship Id="rId35" Type="http://schemas.openxmlformats.org/officeDocument/2006/relationships/hyperlink" Target="https://drive.google.com/file/d/1PkRL8tzafk1GZZzkKWaIXOn1A1xn6SQv/view?usp=drive_link" TargetMode="External"/><Relationship Id="rId34" Type="http://schemas.openxmlformats.org/officeDocument/2006/relationships/hyperlink" Target="https://drive.google.com/file/d/1PjqKc6332_5YmTogiStXiBk_RoUi4FsL/view?usp=drive_link" TargetMode="External"/><Relationship Id="rId33" Type="http://schemas.openxmlformats.org/officeDocument/2006/relationships/hyperlink" Target="https://drive.google.com/file/d/1PhfkLQDUb9N6xKtIZqBuT8YtkXk2tFEN/view?usp=drive_link" TargetMode="External"/><Relationship Id="rId32" Type="http://schemas.openxmlformats.org/officeDocument/2006/relationships/hyperlink" Target="https://drive.google.com/file/d/1PfmqOTPhW_2jNZ0hR9RP9gW8_7TNhySq/view?usp=drive_link" TargetMode="External"/><Relationship Id="rId31" Type="http://schemas.openxmlformats.org/officeDocument/2006/relationships/hyperlink" Target="https://drive.google.com/file/d/1PdchB-f4jxYXPa9WbPf7tvrsj5Mqo03u/view?usp=drive_link" TargetMode="External"/><Relationship Id="rId30" Type="http://schemas.openxmlformats.org/officeDocument/2006/relationships/hyperlink" Target="https://drive.google.com/file/d/1PW6AbrUkdlIAqS1ntJLV5bRqbhNBAG3g/view?usp=drive_link" TargetMode="External"/><Relationship Id="rId3" Type="http://schemas.openxmlformats.org/officeDocument/2006/relationships/hyperlink" Target="https://drive.google.com/file/d/1vAilJIwOsp4XAuK_CHrcMGeHYpph1rEL/view?usp=drive_link" TargetMode="External"/><Relationship Id="rId29" Type="http://schemas.openxmlformats.org/officeDocument/2006/relationships/hyperlink" Target="https://drive.google.com/file/d/1PPBVV2sZlrK6IOwWiLfLtqZVGqQOW_Mv/view?usp=drive_link" TargetMode="External"/><Relationship Id="rId28" Type="http://schemas.openxmlformats.org/officeDocument/2006/relationships/hyperlink" Target="https://drive.google.com/file/d/1POYCdpLDF3_epeDd9280dvAnvIGEKn9u/view?usp=drive_link" TargetMode="External"/><Relationship Id="rId27" Type="http://schemas.openxmlformats.org/officeDocument/2006/relationships/hyperlink" Target="https://drive.google.com/file/d/1P8T995jZJXsYtiQHo3zxq8uxOaum75RF/view?usp=drive_link" TargetMode="External"/><Relationship Id="rId26" Type="http://schemas.openxmlformats.org/officeDocument/2006/relationships/hyperlink" Target="https://drive.google.com/file/d/1P6eKH8hJhDU-ubxlek3GhbglFPRu1DP3/view?usp=drive_link" TargetMode="External"/><Relationship Id="rId25" Type="http://schemas.openxmlformats.org/officeDocument/2006/relationships/hyperlink" Target="https://drive.google.com/file/d/1Ozm5frZwK6-V15PLGP_nO5mpVGtKKL6l/view?usp=drive_link" TargetMode="External"/><Relationship Id="rId24" Type="http://schemas.openxmlformats.org/officeDocument/2006/relationships/hyperlink" Target="https://drive.google.com/file/d/1OvNlOPS7B8I76jVuxE4qouVy-sdYEqnE/view?usp=drive_link" TargetMode="External"/><Relationship Id="rId23" Type="http://schemas.openxmlformats.org/officeDocument/2006/relationships/hyperlink" Target="https://drive.google.com/file/d/1OqTgx2p23AeaPlXUxXF4wOG3LWZivpCN/view?usp=drive_link" TargetMode="External"/><Relationship Id="rId22" Type="http://schemas.openxmlformats.org/officeDocument/2006/relationships/hyperlink" Target="https://drive.google.com/file/d/1Opof1AMggwxWpg3-u9MicCKQu5zPHZ2S/view?usp=drive_link" TargetMode="External"/><Relationship Id="rId21" Type="http://schemas.openxmlformats.org/officeDocument/2006/relationships/hyperlink" Target="https://drive.google.com/file/d/1S-kqTAdxlbNYlxITI0lQxNoC2E9kNYci/view?usp=sharing" TargetMode="External"/><Relationship Id="rId20" Type="http://schemas.openxmlformats.org/officeDocument/2006/relationships/hyperlink" Target="https://drive.google.com/file/d/1Ooh-x1bibjcCcfKJm2SIYkNGVhRIVneo/view?usp=drive_link" TargetMode="External"/><Relationship Id="rId2" Type="http://schemas.openxmlformats.org/officeDocument/2006/relationships/hyperlink" Target="https://drive.google.com/file/d/1T1ai8jxLg7nl_PbtINRnX8UvLxVEqVno/view?usp=drive_link" TargetMode="External"/><Relationship Id="rId19" Type="http://schemas.openxmlformats.org/officeDocument/2006/relationships/hyperlink" Target="https://drive.google.com/file/d/1OhO-lddLwrRRcCeX7CtgWGSPdVB78all/view?usp=drive_link" TargetMode="External"/><Relationship Id="rId18" Type="http://schemas.openxmlformats.org/officeDocument/2006/relationships/hyperlink" Target="https://drive.google.com/file/d/1OLOTSez-83j1RRdsHbA8ZY_6Os1oQg4j/view?usp=drive_link" TargetMode="External"/><Relationship Id="rId17" Type="http://schemas.openxmlformats.org/officeDocument/2006/relationships/hyperlink" Target="https://drive.google.com/file/d/1OeRPyBuEuRAM0F_3cxQCAc3T7YPi7jr-/view?usp=drive_link" TargetMode="External"/><Relationship Id="rId16" Type="http://schemas.openxmlformats.org/officeDocument/2006/relationships/hyperlink" Target="https://drive.google.com/file/d/1OQ0fudnWvCkDCs-7PSSNlHvnTt_CWw-9/view?usp=drive_link" TargetMode="External"/><Relationship Id="rId15" Type="http://schemas.openxmlformats.org/officeDocument/2006/relationships/hyperlink" Target="https://drive.google.com/file/d/1OOuTfHA9hnxdUT46HA1P81FT3cBFOAtb/view?usp=drive_link" TargetMode="External"/><Relationship Id="rId14" Type="http://schemas.openxmlformats.org/officeDocument/2006/relationships/hyperlink" Target="https://drive.google.com/file/d/1k24OTCtlo5t9IkLbNUc0uOryHTpgmkUJ/view" TargetMode="External"/><Relationship Id="rId13" Type="http://schemas.openxmlformats.org/officeDocument/2006/relationships/hyperlink" Target="https://drive.google.com/file/d/1CCpTR6-WBMNVh3f85uPHvOGUjxvC-_B8/view?usp=drive_link" TargetMode="External"/><Relationship Id="rId12" Type="http://schemas.openxmlformats.org/officeDocument/2006/relationships/hyperlink" Target="https://drive.google.com/file/d/14PJBKiM2FLprFkXzhY_lu7iLXqs10Raf/view?usp=sharing" TargetMode="External"/><Relationship Id="rId11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102" Type="http://schemas.openxmlformats.org/officeDocument/2006/relationships/hyperlink" Target="https://drive.google.com/file/d/1J-9h_R6nxu3g1_bZlMpm7Ls3joQJbCnD/view?usp=drive_link" TargetMode="External"/><Relationship Id="rId101" Type="http://schemas.openxmlformats.org/officeDocument/2006/relationships/hyperlink" Target="https://drive.google.com/file/d/1IygRIo1Kn4MPJt39Ctp-pxgGagiM4k03/view?usp=drive_link" TargetMode="External"/><Relationship Id="rId100" Type="http://schemas.openxmlformats.org/officeDocument/2006/relationships/hyperlink" Target="https://drive.google.com/file/d/1It5ybdTYCsI9ZWjJil1ADv9zuLRs0ldP/view?usp=drive_link" TargetMode="External"/><Relationship Id="rId10" Type="http://schemas.openxmlformats.org/officeDocument/2006/relationships/hyperlink" Target="https://drive.google.com/file/d/1OCCCwrKUlTy4NqUDZsCGAqlMUuEalLTg/view?usp=drivesdk" TargetMode="External"/><Relationship Id="rId1" Type="http://schemas.openxmlformats.org/officeDocument/2006/relationships/hyperlink" Target="http://s.no/" TargetMode="External"/></Relationships>
</file>

<file path=xl/worksheets/_rels/sheet14.xml.rels><?xml version="1.0" encoding="UTF-8" standalone="yes"?>
<Relationships xmlns="http://schemas.openxmlformats.org/package/2006/relationships"><Relationship Id="rId94" Type="http://schemas.openxmlformats.org/officeDocument/2006/relationships/hyperlink" Target="https://drive.google.com/file/d/1-LMn2RMdekpDhktxd6uNjQQdatMKF8yZ/view?usp=drive_link" TargetMode="External"/><Relationship Id="rId93" Type="http://schemas.openxmlformats.org/officeDocument/2006/relationships/hyperlink" Target="https://drive.google.com/file/d/1pO45KJ2Anjf1wjhdMDATmYcrXCytLB3y/view?usp=sharing" TargetMode="External"/><Relationship Id="rId92" Type="http://schemas.openxmlformats.org/officeDocument/2006/relationships/hyperlink" Target="https://drive.google.com/file/d/1VXVL_r3DoAz3I_u0DD1X5QX9FVNRikkd/view?usp=drive_link" TargetMode="External"/><Relationship Id="rId91" Type="http://schemas.openxmlformats.org/officeDocument/2006/relationships/hyperlink" Target="https://drive.google.com/file/d/14S--Kd5Vl3YSMCHzwwYt_kQIgxGm_Zbg/view?usp=drive_link" TargetMode="External"/><Relationship Id="rId90" Type="http://schemas.openxmlformats.org/officeDocument/2006/relationships/hyperlink" Target="https://drive.google.com/file/d/1_wspiI7N_dRs_vE3p2pH0rc8yAcF-pg4/view?usp=drive_link" TargetMode="External"/><Relationship Id="rId9" Type="http://schemas.openxmlformats.org/officeDocument/2006/relationships/hyperlink" Target="https://drive.google.com/file/d/1oLNUgD_az6Owhshep-Lgso-VcL6GMB2t/view?usp=drive_link" TargetMode="External"/><Relationship Id="rId89" Type="http://schemas.openxmlformats.org/officeDocument/2006/relationships/hyperlink" Target="https://drive.google.com/file/d/1WXt01Z5DyEaibfcb9yjRvC37GnJBijOf/view?usp=drive_link" TargetMode="External"/><Relationship Id="rId88" Type="http://schemas.openxmlformats.org/officeDocument/2006/relationships/hyperlink" Target="https://drive.google.com/file/d/1imOf8cO4LrDK_1VGlnSJPrR4OAx8Sd2B/view?usp=drive_link" TargetMode="External"/><Relationship Id="rId87" Type="http://schemas.openxmlformats.org/officeDocument/2006/relationships/hyperlink" Target="https://drive.google.com/file/d/15MHSo23sHhYQuvGI6Rdc88aGx1MXVhlF/view?usp=drive_link" TargetMode="External"/><Relationship Id="rId86" Type="http://schemas.openxmlformats.org/officeDocument/2006/relationships/hyperlink" Target="https://drive.google.com/file/d/1OC1gKxb5Q-tJZm41YwJWIeln5n4l0m7Y/view?usp=drive_link" TargetMode="External"/><Relationship Id="rId85" Type="http://schemas.openxmlformats.org/officeDocument/2006/relationships/hyperlink" Target="https://drive.google.com/file/d/1NwkVmNf_LKHm4m6bIjhGeuJTZLMp5xBT/view?usp=drive_link" TargetMode="External"/><Relationship Id="rId84" Type="http://schemas.openxmlformats.org/officeDocument/2006/relationships/hyperlink" Target="https://drive.google.com/file/d/1NveuPc1WpR8NE3RkYMIAQ4-kKyahs9Lt/view?usp=drive_link" TargetMode="External"/><Relationship Id="rId83" Type="http://schemas.openxmlformats.org/officeDocument/2006/relationships/hyperlink" Target="https://drive.google.com/file/d/1NW8CH6wjuN10Gq2eAedqSujHX79Ups-c/view?usp=drive_link" TargetMode="External"/><Relationship Id="rId82" Type="http://schemas.openxmlformats.org/officeDocument/2006/relationships/hyperlink" Target="https://drive.google.com/file/d/1NoxElE5JQ_mkh_a9lILl7rXPrq8BHVgj/view?usp=drive_link" TargetMode="External"/><Relationship Id="rId81" Type="http://schemas.openxmlformats.org/officeDocument/2006/relationships/hyperlink" Target="https://drive.google.com/file/d/1NlV51HaXrKvAOegtLaBiYTJQFT5jcck1/view?usp=drive_link" TargetMode="External"/><Relationship Id="rId80" Type="http://schemas.openxmlformats.org/officeDocument/2006/relationships/hyperlink" Target="https://drive.google.com/file/d/1NnXyW0EXoMT_KJbis97IWTMmF3EwbfvE/view?usp=drive_link" TargetMode="External"/><Relationship Id="rId8" Type="http://schemas.openxmlformats.org/officeDocument/2006/relationships/hyperlink" Target="https://drive.google.com/file/d/1EA90Utk1ns7TCVkyeIJ5iW7Hdqq2_Zha/view?usp=drive_link" TargetMode="External"/><Relationship Id="rId79" Type="http://schemas.openxmlformats.org/officeDocument/2006/relationships/hyperlink" Target="https://drive.google.com/file/d/1N_W009sKwN8fz4C7TgeUdEl68a77Eljd/view?usp=drive_link" TargetMode="External"/><Relationship Id="rId78" Type="http://schemas.openxmlformats.org/officeDocument/2006/relationships/hyperlink" Target="https://drive.google.com/file/d/1J87Zhyr309v3cM4vU-qQjvRj1odWh8Et/view?usp=drive_link" TargetMode="External"/><Relationship Id="rId77" Type="http://schemas.openxmlformats.org/officeDocument/2006/relationships/hyperlink" Target="https://drive.google.com/file/d/1NZqCgO0TNcYwsKvYK-iJmE9KA0dfy48Y/view?usp=drive_link" TargetMode="External"/><Relationship Id="rId76" Type="http://schemas.openxmlformats.org/officeDocument/2006/relationships/hyperlink" Target="https://drive.google.com/file/d/1J-9h_R6nxu3g1_bZlMpm7Ls3joQJbCnD/view?usp=drive_link" TargetMode="External"/><Relationship Id="rId75" Type="http://schemas.openxmlformats.org/officeDocument/2006/relationships/hyperlink" Target="https://drive.google.com/file/d/1IygRIo1Kn4MPJt39Ctp-pxgGagiM4k03/view?usp=drive_link" TargetMode="External"/><Relationship Id="rId74" Type="http://schemas.openxmlformats.org/officeDocument/2006/relationships/hyperlink" Target="https://drive.google.com/file/d/1IhCIvrywAPYH68g_nxZZCcjusigrSGAr/view?usp=drive_link" TargetMode="External"/><Relationship Id="rId73" Type="http://schemas.openxmlformats.org/officeDocument/2006/relationships/hyperlink" Target="https://drive.google.com/file/d/1IjHSHzUAV86HIlIgEDwo0Sqsm8sS_epO/view?usp=drive_link" TargetMode="External"/><Relationship Id="rId72" Type="http://schemas.openxmlformats.org/officeDocument/2006/relationships/hyperlink" Target="https://drive.google.com/file/d/1It5ybdTYCsI9ZWjJil1ADv9zuLRs0ldP/view?usp=drive_link" TargetMode="External"/><Relationship Id="rId71" Type="http://schemas.openxmlformats.org/officeDocument/2006/relationships/hyperlink" Target="https://drive.google.com/file/d/1IqQJuL6vVcNN3vBZjzozL8qAPRaIj6T8/view?usp=drive_link" TargetMode="External"/><Relationship Id="rId70" Type="http://schemas.openxmlformats.org/officeDocument/2006/relationships/hyperlink" Target="https://drive.google.com/file/d/1Iq2NlEYjQ-EUc41rbx1s3Bk4fCN2UpoS/view?usp=drive_link" TargetMode="External"/><Relationship Id="rId7" Type="http://schemas.openxmlformats.org/officeDocument/2006/relationships/hyperlink" Target="https://drive.google.com/file/d/1g_NCEmpgXGAv6Wf51xoA6Lhpz__Zkopy/view?usp=drive_link" TargetMode="External"/><Relationship Id="rId69" Type="http://schemas.openxmlformats.org/officeDocument/2006/relationships/hyperlink" Target="https://drive.google.com/file/d/1IoAS70u6Mte8s79wFQCO9RBAPdCco5Ci/view?usp=drive_link" TargetMode="External"/><Relationship Id="rId68" Type="http://schemas.openxmlformats.org/officeDocument/2006/relationships/hyperlink" Target="https://drive.google.com/file/d/1NT_2ciujJYkp-pVpiimgPGLAlaYjLh9d/view?usp=drive_link" TargetMode="External"/><Relationship Id="rId67" Type="http://schemas.openxmlformats.org/officeDocument/2006/relationships/hyperlink" Target="https://drive.google.com/file/d/1NTYjtna_DNGk6tqj05fsgUyaqnXRJN7G/view?usp=drive_link" TargetMode="External"/><Relationship Id="rId66" Type="http://schemas.openxmlformats.org/officeDocument/2006/relationships/hyperlink" Target="https://drive.google.com/file/d/1NBOyiLdDlTYOLi4AcPo8HuF_W1qXMb0Q/view?usp=drive_link" TargetMode="External"/><Relationship Id="rId65" Type="http://schemas.openxmlformats.org/officeDocument/2006/relationships/hyperlink" Target="https://drive.google.com/file/d/1N9jHL1e3sELudUYOYHB9b5kDjlFsBILQ/view?usp=drive_link" TargetMode="External"/><Relationship Id="rId64" Type="http://schemas.openxmlformats.org/officeDocument/2006/relationships/hyperlink" Target="https://drive.google.com/file/d/1My8g2Gcdb21R90-gXtM2QrnXZhf4iHQN/view?usp=drive_link" TargetMode="External"/><Relationship Id="rId63" Type="http://schemas.openxmlformats.org/officeDocument/2006/relationships/hyperlink" Target="https://drive.google.com/file/d/1MwVuNBP1xayhn6BFJ6A1dpdzBLEJtQHN/view?usp=drive_link" TargetMode="External"/><Relationship Id="rId62" Type="http://schemas.openxmlformats.org/officeDocument/2006/relationships/hyperlink" Target="https://drive.google.com/file/d/1MqqmXldAhAhR280EYaI30pdcnBGNcCdr/view?usp=drive_link" TargetMode="External"/><Relationship Id="rId61" Type="http://schemas.openxmlformats.org/officeDocument/2006/relationships/hyperlink" Target="https://drive.google.com/file/d/1MjGA9p_ubEGehp8harh3ZVrqA_XCT8wx/view?usp=drive_link" TargetMode="External"/><Relationship Id="rId60" Type="http://schemas.openxmlformats.org/officeDocument/2006/relationships/hyperlink" Target="https://drive.google.com/file/d/1MgxxBzornQjwm8AX7TNzaWoLi-sndEV3/view?usp=drive_link" TargetMode="External"/><Relationship Id="rId6" Type="http://schemas.openxmlformats.org/officeDocument/2006/relationships/hyperlink" Target="https://drive.google.com/file/d/1TtxJeWuVc20ePVik4bdjwKeBWspDdqMP/view?usp=drive_link" TargetMode="External"/><Relationship Id="rId59" Type="http://schemas.openxmlformats.org/officeDocument/2006/relationships/hyperlink" Target="https://drive.google.com/file/d/1M_ccr-lUCyy3ISts6VCMqXpLjkM07E1s/view?usp=drive_link" TargetMode="External"/><Relationship Id="rId58" Type="http://schemas.openxmlformats.org/officeDocument/2006/relationships/hyperlink" Target="https://drive.google.com/file/d/1MW3DDVSJT3ywhhCy-fuY0WPFOrhiC54T/view?usp=drive_link" TargetMode="External"/><Relationship Id="rId57" Type="http://schemas.openxmlformats.org/officeDocument/2006/relationships/hyperlink" Target="https://drive.google.com/file/d/1MPxdCzilLPuNsdW8H_8LH7683v_jNKBm/view?usp=drive_link" TargetMode="External"/><Relationship Id="rId56" Type="http://schemas.openxmlformats.org/officeDocument/2006/relationships/hyperlink" Target="https://drive.google.com/file/d/1MKdGvYotOEXnoT1Y-s46U9VEoaanuzFS/view?usp=drive_link" TargetMode="External"/><Relationship Id="rId55" Type="http://schemas.openxmlformats.org/officeDocument/2006/relationships/hyperlink" Target="https://drive.google.com/file/d/1MHThbXVZjwzHG0TW6g-Y839BD6Es_58o/view?usp=drive_link" TargetMode="External"/><Relationship Id="rId54" Type="http://schemas.openxmlformats.org/officeDocument/2006/relationships/hyperlink" Target="https://drive.google.com/file/d/1M3MxgCHdemyYG1uzUQzm-KPYttgkgIfj/view?usp=drive_link" TargetMode="External"/><Relationship Id="rId53" Type="http://schemas.openxmlformats.org/officeDocument/2006/relationships/hyperlink" Target="https://drive.google.com/file/d/1M0leSspfx3etL6XlE1DmdBOXXJOhsa9f/view?usp=drive_link" TargetMode="External"/><Relationship Id="rId52" Type="http://schemas.openxmlformats.org/officeDocument/2006/relationships/hyperlink" Target="https://drive.google.com/file/d/1Lz845iho5Q8noTTyinh0K9vT6Hx4wiXL/view?usp=drive_link" TargetMode="External"/><Relationship Id="rId51" Type="http://schemas.openxmlformats.org/officeDocument/2006/relationships/hyperlink" Target="https://drive.google.com/file/d/1LyoLVww-I061qJJME_XZVgzqYFnXa1pu/view?usp=drive_link" TargetMode="External"/><Relationship Id="rId50" Type="http://schemas.openxmlformats.org/officeDocument/2006/relationships/hyperlink" Target="https://drive.google.com/file/d/1LsrUrVRbg7R7xguw4TjzwIAI5TPj6EK8/view?usp=drive_link" TargetMode="External"/><Relationship Id="rId5" Type="http://schemas.openxmlformats.org/officeDocument/2006/relationships/hyperlink" Target="https://drive.google.com/file/d/14cGRh_2GVwGIhwcirub7JRZGMV1dZAmt/view?usp=drive_link" TargetMode="External"/><Relationship Id="rId49" Type="http://schemas.openxmlformats.org/officeDocument/2006/relationships/hyperlink" Target="https://drive.google.com/file/d/1Lo28aHG9xrH7_dGNvuAO6bHAdzBFA1Za/view?usp=drive_link" TargetMode="External"/><Relationship Id="rId48" Type="http://schemas.openxmlformats.org/officeDocument/2006/relationships/hyperlink" Target="https://drive.google.com/file/d/1LlZpWJWGJae4ddkZJ-isDLsmTMd8Jz00/view?usp=drive_link" TargetMode="External"/><Relationship Id="rId47" Type="http://schemas.openxmlformats.org/officeDocument/2006/relationships/hyperlink" Target="https://drive.google.com/file/d/1LhqzIRXDQ6GObGTZCBv_2fxdH8VbTkWc/view?usp=drive_link" TargetMode="External"/><Relationship Id="rId46" Type="http://schemas.openxmlformats.org/officeDocument/2006/relationships/hyperlink" Target="https://drive.google.com/file/d/1LaPsU55VcvmnGmVn-e18dBDnRQnJFNaV/view?usp=drive_link" TargetMode="External"/><Relationship Id="rId45" Type="http://schemas.openxmlformats.org/officeDocument/2006/relationships/hyperlink" Target="https://drive.google.com/file/d/1L_g1mVdJRcTbLZ6m5pLvohoP0mNEGgbg/view?usp=drive_link" TargetMode="External"/><Relationship Id="rId44" Type="http://schemas.openxmlformats.org/officeDocument/2006/relationships/hyperlink" Target="https://drive.google.com/file/d/1LYftISp00pK7NIecjINfFM6c-FJp4NIY/view?usp=drive_link" TargetMode="External"/><Relationship Id="rId43" Type="http://schemas.openxmlformats.org/officeDocument/2006/relationships/hyperlink" Target="https://drive.google.com/file/d/1LVJ53Th1x72pEXZ9WQkrPwVDY2plmekz/view?usp=drive_link" TargetMode="External"/><Relationship Id="rId42" Type="http://schemas.openxmlformats.org/officeDocument/2006/relationships/hyperlink" Target="https://drive.google.com/file/d/1L4H3uihn7ox9M8Gf26nNOT8S4qwd3u8q/view?usp=drive_link" TargetMode="External"/><Relationship Id="rId41" Type="http://schemas.openxmlformats.org/officeDocument/2006/relationships/hyperlink" Target="https://drive.google.com/file/d/1L30-EshTAtpN3wsnNraO-UVBQNdjOiig/view?usp=drive_link" TargetMode="External"/><Relationship Id="rId40" Type="http://schemas.openxmlformats.org/officeDocument/2006/relationships/hyperlink" Target="https://drive.google.com/file/d/1KdPKP45jR6pJNpGpsAhUct1-JkkaKTGi/view?usp=drive_link" TargetMode="External"/><Relationship Id="rId4" Type="http://schemas.openxmlformats.org/officeDocument/2006/relationships/hyperlink" Target="https://drive.google.com/file/d/1vAilJIwOsp4XAuK_CHrcMGeHYpph1rEL/view?usp=drive_link" TargetMode="External"/><Relationship Id="rId39" Type="http://schemas.openxmlformats.org/officeDocument/2006/relationships/hyperlink" Target="https://drive.google.com/file/d/1Kbuq5MRVPS8enaF_ASRH0cUDHcES9bS6/view?usp=drive_link" TargetMode="External"/><Relationship Id="rId38" Type="http://schemas.openxmlformats.org/officeDocument/2006/relationships/hyperlink" Target="https://drive.google.com/file/d/1KaExD94vWQGuIGb2yYSMYorJSzjaCd2d/view?usp=drive_link" TargetMode="External"/><Relationship Id="rId37" Type="http://schemas.openxmlformats.org/officeDocument/2006/relationships/hyperlink" Target="https://drive.google.com/file/d/1KXDjxDsHFVwQyUA8mE_PO1sD91ph5VUE/view?usp=drive_link" TargetMode="External"/><Relationship Id="rId36" Type="http://schemas.openxmlformats.org/officeDocument/2006/relationships/hyperlink" Target="https://drive.google.com/file/d/1KX7yWpWouuI3vSRuiOX1qDVCyvfnXdMO/view?usp=drive_link" TargetMode="External"/><Relationship Id="rId35" Type="http://schemas.openxmlformats.org/officeDocument/2006/relationships/hyperlink" Target="https://drive.google.com/file/d/1KUc3YIzrFekbC6B-SCwypLcctLMzP1ab/view?usp=drive_link" TargetMode="External"/><Relationship Id="rId34" Type="http://schemas.openxmlformats.org/officeDocument/2006/relationships/hyperlink" Target="https://drive.google.com/file/d/1KIr-iY5mj2HGwMlh0u1LFsleKkMS6rlW/view?usp=drive_link" TargetMode="External"/><Relationship Id="rId33" Type="http://schemas.openxmlformats.org/officeDocument/2006/relationships/hyperlink" Target="https://drive.google.com/file/d/1KHjesaSZrmg7HHXSPmbdWWfQTtpN8VSX/view?usp=drive_link" TargetMode="External"/><Relationship Id="rId32" Type="http://schemas.openxmlformats.org/officeDocument/2006/relationships/hyperlink" Target="https://drive.google.com/file/d/1Jxipr_392q-DFBpmXJ06QEpveKizSnX1/view?usp=drive_link" TargetMode="External"/><Relationship Id="rId31" Type="http://schemas.openxmlformats.org/officeDocument/2006/relationships/hyperlink" Target="https://drive.google.com/file/d/1l0CarlJRdXeKckzjv5vdH8ZMNbVSDSFn/view?usp=drivesdk" TargetMode="External"/><Relationship Id="rId30" Type="http://schemas.openxmlformats.org/officeDocument/2006/relationships/hyperlink" Target="https://drive.google.com/file/d/18nxrS8QITuRBNH5wkJCYG1Z7Foj3w_MH/view?usp=sharing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S-kqTAdxlbNYlxITI0lQxNoC2E9kNYci/view?usp=sharing" TargetMode="External"/><Relationship Id="rId28" Type="http://schemas.openxmlformats.org/officeDocument/2006/relationships/hyperlink" Target="https://drive.google.com/file/d/1uxBVNs9szs9cQag2-s5knnZan9OXdAwM/view?usp=sharing" TargetMode="External"/><Relationship Id="rId27" Type="http://schemas.openxmlformats.org/officeDocument/2006/relationships/hyperlink" Target="https://drive.google.com/file/d/1JYpDw0F8BHF0x65ohsTABr5N6cW1r16j/view?usp=drive_link" TargetMode="External"/><Relationship Id="rId26" Type="http://schemas.openxmlformats.org/officeDocument/2006/relationships/hyperlink" Target="https://drive.google.com/file/d/1JXMwkHeHQM79F_7P5eW2rsSYcoQrxb64/view?usp=drive_link" TargetMode="External"/><Relationship Id="rId25" Type="http://schemas.openxmlformats.org/officeDocument/2006/relationships/hyperlink" Target="https://drive.google.com/file/d/1JiIQWWyYIxjXwWPumbdoD7I884Bo4eZ4/view?usp=drive_link" TargetMode="External"/><Relationship Id="rId24" Type="http://schemas.openxmlformats.org/officeDocument/2006/relationships/hyperlink" Target="https://drive.google.com/file/d/1JZg3f8On7v87jKpS6GDW9gON__2qhwN8/view?usp=drive_link" TargetMode="External"/><Relationship Id="rId23" Type="http://schemas.openxmlformats.org/officeDocument/2006/relationships/hyperlink" Target="https://drive.google.com/file/d/1Jev8cW7nQTRfmNS-rL3jhXM0Oo_Jc2uD/view?usp=drive_link" TargetMode="External"/><Relationship Id="rId22" Type="http://schemas.openxmlformats.org/officeDocument/2006/relationships/hyperlink" Target="https://drive.google.com/file/d/1Jc6QbMDg_tPCtyYYojR7s_r-_bKXbjyH/view?usp=drive_link" TargetMode="External"/><Relationship Id="rId21" Type="http://schemas.openxmlformats.org/officeDocument/2006/relationships/hyperlink" Target="https://drive.google.com/file/d/1JWDQJavsv2Yx_vCgl0wpx43ymETp2rQp/view?usp=drive_link" TargetMode="External"/><Relationship Id="rId20" Type="http://schemas.openxmlformats.org/officeDocument/2006/relationships/hyperlink" Target="https://drive.google.com/file/d/1JK5zvLsgpDKBiJBbKugWG-nub3eS3WF0/view?usp=drive_link" TargetMode="External"/><Relationship Id="rId2" Type="http://schemas.openxmlformats.org/officeDocument/2006/relationships/hyperlink" Target="https://drive.google.com/file/d/1zEiu25y2WIqSnGOH7bEnPCHaURkPxRj3/view?usp=drive_link" TargetMode="External"/><Relationship Id="rId19" Type="http://schemas.openxmlformats.org/officeDocument/2006/relationships/hyperlink" Target="https://drive.google.com/file/d/1JJwVvJD03YY3uwDxgCf1wGppxkWnPH3r/view?usp=drive_link" TargetMode="External"/><Relationship Id="rId18" Type="http://schemas.openxmlformats.org/officeDocument/2006/relationships/hyperlink" Target="https://drive.google.com/file/d/1k24OTCtlo5t9IkLbNUc0uOryHTpgmkUJ/view" TargetMode="External"/><Relationship Id="rId17" Type="http://schemas.openxmlformats.org/officeDocument/2006/relationships/hyperlink" Target="https://drive.google.com/file/d/1Gg10lE2p8gU47DbSdBRE9psXT2bvOEDX/view?usp=drive_link" TargetMode="External"/><Relationship Id="rId16" Type="http://schemas.openxmlformats.org/officeDocument/2006/relationships/hyperlink" Target="https://drive.google.com/file/d/1g5oe0YSR8JgjFTYtpfB_Ix4g7gTpzeQ6/view?usp=sharing" TargetMode="External"/><Relationship Id="rId15" Type="http://schemas.openxmlformats.org/officeDocument/2006/relationships/hyperlink" Target="https://drive.google.com/file/d/14PJBKiM2FLprFkXzhY_lu7iLXqs10Raf/view?usp=sharing" TargetMode="External"/><Relationship Id="rId14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13" Type="http://schemas.openxmlformats.org/officeDocument/2006/relationships/hyperlink" Target="https://drive.google.com/file/d/1OCCCwrKUlTy4NqUDZsCGAqlMUuEalLTg/view?usp=drivesdk" TargetMode="External"/><Relationship Id="rId12" Type="http://schemas.openxmlformats.org/officeDocument/2006/relationships/hyperlink" Target="https://drive.google.com/file/d/1Cwb-Ueq-8R9r95GS3cZ94HbJgjM_osOY/view?usp=drive_link" TargetMode="External"/><Relationship Id="rId11" Type="http://schemas.openxmlformats.org/officeDocument/2006/relationships/hyperlink" Target="https://drive.google.com/file/d/1jRB3Hcpd_xqF7dBt2A06NqRzzaRDQAFd/view?usp=drive_link" TargetMode="External"/><Relationship Id="rId10" Type="http://schemas.openxmlformats.org/officeDocument/2006/relationships/hyperlink" Target="https://drive.google.com/file/d/1DWHRNJ3pMF_sCvA1Cgrp7Nq-QjVOrmtQ/view?usp=drive_link" TargetMode="External"/><Relationship Id="rId1" Type="http://schemas.openxmlformats.org/officeDocument/2006/relationships/hyperlink" Target="http://s.no/" TargetMode="External"/></Relationships>
</file>

<file path=xl/worksheets/_rels/sheet1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u0J2DE_JUPDU4IjiZl1usxS9o9a-dkho/view?usp=sharing" TargetMode="External"/><Relationship Id="rId98" Type="http://schemas.openxmlformats.org/officeDocument/2006/relationships/hyperlink" Target="https://drive.google.com/file/d/1fFzA_P3SusuqLo792ms8yOox96C2uG9O/view?usp=sharing" TargetMode="External"/><Relationship Id="rId97" Type="http://schemas.openxmlformats.org/officeDocument/2006/relationships/hyperlink" Target="https://drive.google.com/file/d/1a0bI48utP3Fos4brNdmhe0P1xBSWIe9e/view?usp=sharing" TargetMode="External"/><Relationship Id="rId96" Type="http://schemas.openxmlformats.org/officeDocument/2006/relationships/hyperlink" Target="https://drive.google.com/file/d/1zb1C3N_qByDinsKqX-AgPzAoiK9jQ_m6/view?usp=sharing" TargetMode="External"/><Relationship Id="rId95" Type="http://schemas.openxmlformats.org/officeDocument/2006/relationships/hyperlink" Target="https://drive.google.com/file/d/1zQloo93wpwgTRA-cBIqE0v35IBii98pM/view?usp=sharing" TargetMode="External"/><Relationship Id="rId94" Type="http://schemas.openxmlformats.org/officeDocument/2006/relationships/hyperlink" Target="https://drive.google.com/file/d/1Um8dqTAAb2DMoHGufCA_OvODOSH5pPrD/view?usp=sharing" TargetMode="External"/><Relationship Id="rId93" Type="http://schemas.openxmlformats.org/officeDocument/2006/relationships/hyperlink" Target="https://drive.google.com/file/d/1_YMOPUQ8iDaJs_dD5jR1tio6A2OuxPD5/view?usp=sharing" TargetMode="External"/><Relationship Id="rId92" Type="http://schemas.openxmlformats.org/officeDocument/2006/relationships/hyperlink" Target="https://drive.google.com/file/d/1Zxz1NIpBeVwRLQGx9g0KRQQMi-gMdISN/view?usp=sharing" TargetMode="External"/><Relationship Id="rId91" Type="http://schemas.openxmlformats.org/officeDocument/2006/relationships/hyperlink" Target="https://drive.google.com/file/d/14eyHoZaDozg44G17jWZimDgatS8tvuEA/view?usp=sharing" TargetMode="External"/><Relationship Id="rId90" Type="http://schemas.openxmlformats.org/officeDocument/2006/relationships/hyperlink" Target="https://drive.google.com/file/d/14hEff2OshT8hsGqTcQSCFX23i1_EJDDO/view?usp=drive_lin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IOZnd2COP8xNxjmii_vqVk01JvR0Xwy4/view?usp=sharing" TargetMode="External"/><Relationship Id="rId88" Type="http://schemas.openxmlformats.org/officeDocument/2006/relationships/hyperlink" Target="https://drive.google.com/file/d/1lCZuEdeHfUqZ-N2TY1zi4HxmBNOh1LcK/view?usp=sharing" TargetMode="External"/><Relationship Id="rId87" Type="http://schemas.openxmlformats.org/officeDocument/2006/relationships/hyperlink" Target="https://drive.google.com/file/d/1Y_CL_vYziasrTWglgcjoGPZUvgTPpsEv/view?usp=sharing" TargetMode="External"/><Relationship Id="rId86" Type="http://schemas.openxmlformats.org/officeDocument/2006/relationships/hyperlink" Target="https://drive.google.com/file/d/1H_SPy1fW0yG82V6HSGveT6rEhZA_IgHe/view?usp=sharing" TargetMode="External"/><Relationship Id="rId85" Type="http://schemas.openxmlformats.org/officeDocument/2006/relationships/hyperlink" Target="https://drive.google.com/file/d/1veotl6XP3TyAPOi4EAKyJNIwui-eGPq8/view?usp=sharing" TargetMode="External"/><Relationship Id="rId84" Type="http://schemas.openxmlformats.org/officeDocument/2006/relationships/hyperlink" Target="https://drive.google.com/file/d/12qZJe9JW6jNeNTNy4gI4z3b_K6BJGDiw/view?usp=sharing" TargetMode="External"/><Relationship Id="rId83" Type="http://schemas.openxmlformats.org/officeDocument/2006/relationships/hyperlink" Target="https://drive.google.com/file/d/1L4TXpZJRlMKtRm9CqfXz2FQiY3yFl8Gv/view?usp=sharing" TargetMode="External"/><Relationship Id="rId82" Type="http://schemas.openxmlformats.org/officeDocument/2006/relationships/hyperlink" Target="https://drive.google.com/file/d/1E7MnWy0ZAg5t8aJS3wp0C-UHwcu14yMY/view?usp=sharing" TargetMode="External"/><Relationship Id="rId81" Type="http://schemas.openxmlformats.org/officeDocument/2006/relationships/hyperlink" Target="https://drive.google.com/file/d/1l83GDUA5umbOoftKzct0EyIC_Eg7aGtr/view?usp=sharing" TargetMode="External"/><Relationship Id="rId80" Type="http://schemas.openxmlformats.org/officeDocument/2006/relationships/hyperlink" Target="https://drive.google.com/file/d/1UQEMzFklBb60N36VbBlsnw_wYGIdQ_my/view?usp=sharing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sjK-3om6rFzR8BNodMEhsc2hkuRgz5HJ/view?usp=sharing" TargetMode="External"/><Relationship Id="rId78" Type="http://schemas.openxmlformats.org/officeDocument/2006/relationships/hyperlink" Target="https://drive.google.com/file/d/1_YHIK-zFmF2VwxjcAgXVoX4nJ9VujRNW/view?usp=sharing" TargetMode="External"/><Relationship Id="rId77" Type="http://schemas.openxmlformats.org/officeDocument/2006/relationships/hyperlink" Target="https://drive.google.com/file/d/1np2bO2k2lN-TK7QfsbqLXJQCfRU3ApCi/view?usp=sharing" TargetMode="External"/><Relationship Id="rId76" Type="http://schemas.openxmlformats.org/officeDocument/2006/relationships/hyperlink" Target="https://drive.google.com/file/d/1MvOvPnJQHTOZNbPRqHmbqbUZrQo3xIKC/view?usp=sharing" TargetMode="External"/><Relationship Id="rId75" Type="http://schemas.openxmlformats.org/officeDocument/2006/relationships/hyperlink" Target="https://drive.google.com/file/d/1rheNCmEYoBj2wibsoa3SBTsChLVb_ejj/view?usp=sharing" TargetMode="External"/><Relationship Id="rId74" Type="http://schemas.openxmlformats.org/officeDocument/2006/relationships/hyperlink" Target="https://drive.google.com/file/d/1eQgaJvFPv7slWP33v_BJPyQL_BCaGYzq/view?usp=sharing" TargetMode="External"/><Relationship Id="rId73" Type="http://schemas.openxmlformats.org/officeDocument/2006/relationships/hyperlink" Target="https://drive.google.com/file/d/1zzITj5PEm96bdtb-r787Eomt4f-cNQCL/view?usp=sharing" TargetMode="External"/><Relationship Id="rId72" Type="http://schemas.openxmlformats.org/officeDocument/2006/relationships/hyperlink" Target="https://drive.google.com/file/d/1KhWVtauZ19RwW2ZhKCaddulRWj8wcrgu/view?usp=drive_link" TargetMode="External"/><Relationship Id="rId71" Type="http://schemas.openxmlformats.org/officeDocument/2006/relationships/hyperlink" Target="https://drive.google.com/file/d/1tRI0ReaApUDivHmieNuxXNdaM15kdC94/view?usp=sharing" TargetMode="External"/><Relationship Id="rId70" Type="http://schemas.openxmlformats.org/officeDocument/2006/relationships/hyperlink" Target="https://drive.google.com/file/d/1D59kVkTlDVuBIAG8IbW5GFSeDG5bsnD9/view?usp=sharing" TargetMode="External"/><Relationship Id="rId7" Type="http://schemas.openxmlformats.org/officeDocument/2006/relationships/hyperlink" Target="https://drive.google.com/file/d/1NbjsWNBnt8yAOYgw8256z5xMLAnE9saL/view?usp=drive_link" TargetMode="External"/><Relationship Id="rId69" Type="http://schemas.openxmlformats.org/officeDocument/2006/relationships/hyperlink" Target="https://drive.google.com/file/d/1J_qYGaruJKwtW5V-DssbcJsciSNNNM72/view?usp=sharing" TargetMode="External"/><Relationship Id="rId68" Type="http://schemas.openxmlformats.org/officeDocument/2006/relationships/hyperlink" Target="https://drive.google.com/file/d/1KXh9L0juqbzifcS0-FXPPZELGR9cKfCN/view?usp=sharing" TargetMode="External"/><Relationship Id="rId67" Type="http://schemas.openxmlformats.org/officeDocument/2006/relationships/hyperlink" Target="https://drive.google.com/file/d/1d-2E5Rk0dOB-hNidOEN2sXzl_AZa7z8r/view?usp=sharing" TargetMode="External"/><Relationship Id="rId66" Type="http://schemas.openxmlformats.org/officeDocument/2006/relationships/hyperlink" Target="https://drive.google.com/file/d/1aUsRpfZOZPyMnHho4Fg4hoIHQtT49jJo/view?usp=sharing" TargetMode="External"/><Relationship Id="rId65" Type="http://schemas.openxmlformats.org/officeDocument/2006/relationships/hyperlink" Target="https://drive.google.com/file/d/1H_smTc56MX_SYRdRXgLl1ym-wS7jV4fO/view?usp=sharing" TargetMode="External"/><Relationship Id="rId64" Type="http://schemas.openxmlformats.org/officeDocument/2006/relationships/hyperlink" Target="https://drive.google.com/file/d/1l5Jj1uhZhul9yilWw332YmSfit1wM3i7/view?usp=drive_link" TargetMode="External"/><Relationship Id="rId63" Type="http://schemas.openxmlformats.org/officeDocument/2006/relationships/hyperlink" Target="https://drive.google.com/file/d/1GXKhtfskO7bpJ_BIH1R6sWD9CZhuvc-_/view?usp=sharing" TargetMode="External"/><Relationship Id="rId62" Type="http://schemas.openxmlformats.org/officeDocument/2006/relationships/hyperlink" Target="https://drive.google.com/file/d/1ImmCTdqicneH9GXwKEaxTnqHwQv4zQ9J/view?usp=sharing" TargetMode="External"/><Relationship Id="rId61" Type="http://schemas.openxmlformats.org/officeDocument/2006/relationships/hyperlink" Target="https://drive.google.com/file/d/17b2NjZeeKCU6x8lN_qvL-d450-vcDOgS/view?usp=sharing" TargetMode="External"/><Relationship Id="rId60" Type="http://schemas.openxmlformats.org/officeDocument/2006/relationships/hyperlink" Target="https://drive.google.com/file/d/11NHRk2ZGqKeu9h-zMhNGd3EKQVqyZ_vr/view?usp=sharing" TargetMode="External"/><Relationship Id="rId6" Type="http://schemas.openxmlformats.org/officeDocument/2006/relationships/hyperlink" Target="https://drive.google.com/file/d/1dofCSrM5wtNOH1KynOIxPGTQNLOBhoyB/view?usp=drive_link" TargetMode="External"/><Relationship Id="rId59" Type="http://schemas.openxmlformats.org/officeDocument/2006/relationships/hyperlink" Target="https://drive.google.com/file/d/1pjCsgLjwJcjuZJT3B5FRsMrakPjAuStk/view?usp=drive_link" TargetMode="External"/><Relationship Id="rId58" Type="http://schemas.openxmlformats.org/officeDocument/2006/relationships/hyperlink" Target="https://drive.google.com/file/d/1-a2038BQibO0BD7heLVmArG39OZoKrhq/view?usp=sharing" TargetMode="External"/><Relationship Id="rId57" Type="http://schemas.openxmlformats.org/officeDocument/2006/relationships/hyperlink" Target="https://drive.google.com/file/d/1uXa5_zeoqwd0SfRxQj_yzzspG9vHIcxu/view?usp=sharing" TargetMode="External"/><Relationship Id="rId56" Type="http://schemas.openxmlformats.org/officeDocument/2006/relationships/hyperlink" Target="https://drive.google.com/file/d/13GQN_OWOshugkpDsP-JggIydd5aVxcVb/view?usp=sharing" TargetMode="External"/><Relationship Id="rId55" Type="http://schemas.openxmlformats.org/officeDocument/2006/relationships/hyperlink" Target="https://drive.google.com/file/d/1sJLu6IxyQGzJe1MvrQ1O1mlO6Y-2PMgR/view?usp=sharing" TargetMode="External"/><Relationship Id="rId54" Type="http://schemas.openxmlformats.org/officeDocument/2006/relationships/hyperlink" Target="https://drive.google.com/file/d/1uYE0IW9hb3NqVxnR6Gn-Dhl97EB97Oag/view?usp=sharing" TargetMode="External"/><Relationship Id="rId53" Type="http://schemas.openxmlformats.org/officeDocument/2006/relationships/hyperlink" Target="https://drive.google.com/file/d/1FUD43zu9dK51OLUlpdHX4SPkFjrk6o2e/view?usp=sharing" TargetMode="External"/><Relationship Id="rId52" Type="http://schemas.openxmlformats.org/officeDocument/2006/relationships/hyperlink" Target="https://drive.google.com/file/d/121jtWSSMNsdiiLJ8rvgn_pkkKuWF7tq7/view?usp=sharing" TargetMode="External"/><Relationship Id="rId51" Type="http://schemas.openxmlformats.org/officeDocument/2006/relationships/hyperlink" Target="https://drive.google.com/file/d/11mSvkYF-1S2DX9oQr3gOy2Op6xQgl7dE/view?usp=sharing" TargetMode="External"/><Relationship Id="rId50" Type="http://schemas.openxmlformats.org/officeDocument/2006/relationships/hyperlink" Target="https://drive.google.com/file/d/1fiutfD5Xc_Hz34Z3fICJztcqbwCDzpFj/view?usp=sharing" TargetMode="External"/><Relationship Id="rId5" Type="http://schemas.openxmlformats.org/officeDocument/2006/relationships/hyperlink" Target="https://drive.google.com/file/d/12qjm2u6d4HXZoeZuaefjGZ0LMXzOfKZV/view?usp=drive_link" TargetMode="External"/><Relationship Id="rId49" Type="http://schemas.openxmlformats.org/officeDocument/2006/relationships/hyperlink" Target="https://drive.google.com/file/d/1tKS9UIxaZ9XsxiENv55aJmJf2gQ0M93w/view?usp=sharing" TargetMode="External"/><Relationship Id="rId48" Type="http://schemas.openxmlformats.org/officeDocument/2006/relationships/hyperlink" Target="https://drive.google.com/file/d/1ppxr4yzVigstmuT2ODQE5uvaQ51RthOE/view?usp=sharing" TargetMode="External"/><Relationship Id="rId47" Type="http://schemas.openxmlformats.org/officeDocument/2006/relationships/hyperlink" Target="https://drive.google.com/file/d/1r20TWETWFqlY18ij4kQkqWkpRxgBBcf-/view?usp=sharing" TargetMode="External"/><Relationship Id="rId46" Type="http://schemas.openxmlformats.org/officeDocument/2006/relationships/hyperlink" Target="https://drive.google.com/file/d/1zq_P7NXQe4XGz-YNWRN7oyfe-UZw0b93/view?usp=sharing" TargetMode="External"/><Relationship Id="rId45" Type="http://schemas.openxmlformats.org/officeDocument/2006/relationships/hyperlink" Target="https://drive.google.com/file/d/1lZMYh6ZgfDZ8Ld7V9omRIhYh4w9Fo1Il/view?usp=sharing" TargetMode="External"/><Relationship Id="rId44" Type="http://schemas.openxmlformats.org/officeDocument/2006/relationships/hyperlink" Target="https://drive.google.com/file/d/1WToAdo0nF-D_OlzCz8q0iHGTVfnL0GL1/view?usp=drive_link" TargetMode="External"/><Relationship Id="rId43" Type="http://schemas.openxmlformats.org/officeDocument/2006/relationships/hyperlink" Target="https://drive.google.com/file/d/1FqCuRlzqw0E9EX5-HSxlNvHEHo-3qEnl/view?usp=sharing" TargetMode="External"/><Relationship Id="rId42" Type="http://schemas.openxmlformats.org/officeDocument/2006/relationships/hyperlink" Target="https://drive.google.com/file/d/1Y5h4k1TY95zyc_Yjlz-TjWEYssW0Jok5/view?usp=drive_link" TargetMode="External"/><Relationship Id="rId41" Type="http://schemas.openxmlformats.org/officeDocument/2006/relationships/hyperlink" Target="https://drive.google.com/file/d/1egFht17W-A3p74UcpnjTN0ESAgQkjEfK/view?usp=sharing" TargetMode="External"/><Relationship Id="rId40" Type="http://schemas.openxmlformats.org/officeDocument/2006/relationships/hyperlink" Target="https://drive.google.com/file/d/12z-Jb6W4grCwwEht7BhsF34PJ8tpd9WK/view?usp=sharing" TargetMode="External"/><Relationship Id="rId4" Type="http://schemas.openxmlformats.org/officeDocument/2006/relationships/hyperlink" Target="https://drive.google.com/file/d/1O_oCQwgVirp_-8d3UhY1cPDaNy9b7iKJ/view?usp=drive_link" TargetMode="External"/><Relationship Id="rId39" Type="http://schemas.openxmlformats.org/officeDocument/2006/relationships/hyperlink" Target="https://drive.google.com/file/d/1BBX3NAoKYIMY7TObyJe3nzEiO6QFHt1X/view?usp=sharing" TargetMode="External"/><Relationship Id="rId38" Type="http://schemas.openxmlformats.org/officeDocument/2006/relationships/hyperlink" Target="https://drive.google.com/file/d/18nxrS8QITuRBNH5wkJCYG1Z7Foj3w_MH/view?usp=sharing" TargetMode="External"/><Relationship Id="rId37" Type="http://schemas.openxmlformats.org/officeDocument/2006/relationships/hyperlink" Target="https://drive.google.com/file/d/1U5LVali6OcreC4ZAHeR_yXrVjvrgDI1-/view?usp=sharing" TargetMode="External"/><Relationship Id="rId36" Type="http://schemas.openxmlformats.org/officeDocument/2006/relationships/hyperlink" Target="https://drive.google.com/file/d/1rybMu7gCUG-_SjYpI_kRN9AIZlRj_hcv/view?usp=sharing" TargetMode="External"/><Relationship Id="rId35" Type="http://schemas.openxmlformats.org/officeDocument/2006/relationships/hyperlink" Target="https://drive.google.com/file/d/1jVcfOMHHHDXSmtdi0cWNHA9_GmFU91n3/view?usp=sharing" TargetMode="External"/><Relationship Id="rId34" Type="http://schemas.openxmlformats.org/officeDocument/2006/relationships/hyperlink" Target="https://drive.google.com/file/d/1posP0kqhFsyYlOBms5J247jRyP6h6cKw/view?usp=sharing" TargetMode="External"/><Relationship Id="rId33" Type="http://schemas.openxmlformats.org/officeDocument/2006/relationships/hyperlink" Target="https://drive.google.com/file/d/17r7fhJr-CMKrAk-8xuo4Grgr6pGSWA1V/view?usp=drive_link" TargetMode="External"/><Relationship Id="rId32" Type="http://schemas.openxmlformats.org/officeDocument/2006/relationships/hyperlink" Target="https://drive.google.com/file/d/1KcLq6lKhaSIpdXvoowFoXRlYRJDl_n5v/view?usp=sharing" TargetMode="External"/><Relationship Id="rId31" Type="http://schemas.openxmlformats.org/officeDocument/2006/relationships/hyperlink" Target="https://drive.google.com/file/d/1hyTW0QmlBRIEd2X67aSoyoks4PhV96Qt/view?usp=sharing" TargetMode="External"/><Relationship Id="rId30" Type="http://schemas.openxmlformats.org/officeDocument/2006/relationships/hyperlink" Target="https://drive.google.com/file/d/1Bl0GYdNZ5KL3He2CUZV3F-YSE7u8Lt_2/view?usp=sharing" TargetMode="External"/><Relationship Id="rId3" Type="http://schemas.openxmlformats.org/officeDocument/2006/relationships/hyperlink" Target="https://drive.google.com/file/d/1zEiu25y2WIqSnGOH7bEnPCHaURkPxRj3/view?usp=drive_link" TargetMode="External"/><Relationship Id="rId29" Type="http://schemas.openxmlformats.org/officeDocument/2006/relationships/hyperlink" Target="https://drive.google.com/file/d/1mSWdr_ydirwOGz_JqsS-HGcHDXFdglFI/view?usp=sharing" TargetMode="External"/><Relationship Id="rId28" Type="http://schemas.openxmlformats.org/officeDocument/2006/relationships/hyperlink" Target="https://drive.google.com/file/d/1NxTVIuJedZjMp6pAvUD2EV5XEke8YIo7/view?usp=sharing" TargetMode="External"/><Relationship Id="rId27" Type="http://schemas.openxmlformats.org/officeDocument/2006/relationships/hyperlink" Target="https://drive.google.com/file/d/1Hdgfo1XWdxIyUU3nbx3l5EQGNkrBXxzO/view" TargetMode="External"/><Relationship Id="rId26" Type="http://schemas.openxmlformats.org/officeDocument/2006/relationships/hyperlink" Target="https://drive.google.com/file/d/1k24OTCtlo5t9IkLbNUc0uOryHTpgmkUJ/view" TargetMode="External"/><Relationship Id="rId25" Type="http://schemas.openxmlformats.org/officeDocument/2006/relationships/hyperlink" Target="https://drive.google.com/file/d/18lfjdmyNayCVWFz_fPUxgxzNjUerXt8Y/view?usp=drive_link" TargetMode="External"/><Relationship Id="rId24" Type="http://schemas.openxmlformats.org/officeDocument/2006/relationships/hyperlink" Target="https://drive.google.com/file/d/1S-kqTAdxlbNYlxITI0lQxNoC2E9kNYci/view?usp=sharing" TargetMode="External"/><Relationship Id="rId23" Type="http://schemas.openxmlformats.org/officeDocument/2006/relationships/hyperlink" Target="https://drive.google.com/file/d/1bbUzDtFVGGxBrotfG-sbfEibu_qQ-dkk/view?usp=sharing" TargetMode="External"/><Relationship Id="rId22" Type="http://schemas.openxmlformats.org/officeDocument/2006/relationships/hyperlink" Target="https://drive.google.com/file/d/1uxBVNs9szs9cQag2-s5knnZan9OXdAwM/view?usp=sharing" TargetMode="External"/><Relationship Id="rId21" Type="http://schemas.openxmlformats.org/officeDocument/2006/relationships/hyperlink" Target="https://drive.google.com/file/d/1pgRdIRqMwFjJGHHRO89QCvVZOlebAAp5/view?usp=sharing" TargetMode="External"/><Relationship Id="rId20" Type="http://schemas.openxmlformats.org/officeDocument/2006/relationships/hyperlink" Target="https://drive.google.com/file/d/1g5oe0YSR8JgjFTYtpfB_Ix4g7gTpzeQ6/view?usp=sharing" TargetMode="External"/><Relationship Id="rId2" Type="http://schemas.openxmlformats.org/officeDocument/2006/relationships/hyperlink" Target="https://drive.google.com/file/d/1cg69iAQNc9uOtWuqUJGFIHJbW9g8lvCb/view?usp=drive_link" TargetMode="External"/><Relationship Id="rId19" Type="http://schemas.openxmlformats.org/officeDocument/2006/relationships/hyperlink" Target="https://drive.google.com/file/d/14PJBKiM2FLprFkXzhY_lu7iLXqs10Raf/view?usp=sharing" TargetMode="External"/><Relationship Id="rId18" Type="http://schemas.openxmlformats.org/officeDocument/2006/relationships/hyperlink" Target="https://drive.google.com/file/d/1xUT3xA2W_drvkBy9uPrnKkP1AFWotvlq/view?usp=sharing" TargetMode="External"/><Relationship Id="rId17" Type="http://schemas.openxmlformats.org/officeDocument/2006/relationships/hyperlink" Target="https://drive.google.com/file/d/1f9YvrEEU4Hx-Gov_l-mxoXT9fJwHvlGX/view?usp=drivesdk" TargetMode="External"/><Relationship Id="rId16" Type="http://schemas.openxmlformats.org/officeDocument/2006/relationships/hyperlink" Target="https://drive.google.com/file/d/1bFQ-jFNCIUJB-bQEArAitac2SVGjk5KO/view?usp=drive_link" TargetMode="External"/><Relationship Id="rId15" Type="http://schemas.openxmlformats.org/officeDocument/2006/relationships/hyperlink" Target="https://drive.google.com/file/d/1og7D4CUtWG2P7QadaRq9rTznPo-kjNX4/view?usp=drive_link" TargetMode="External"/><Relationship Id="rId14" Type="http://schemas.openxmlformats.org/officeDocument/2006/relationships/hyperlink" Target="https://drive.google.com/file/d/1kwhWDV2sas6q976crSlR_8DBsQ4w9Exm/view?usp=drive_link" TargetMode="External"/><Relationship Id="rId133" Type="http://schemas.openxmlformats.org/officeDocument/2006/relationships/hyperlink" Target="https://drive.google.com/file/d/1z6DqqghGz5_1wHnScD8k48HgKfz0Zk9I/view?usp=sharing" TargetMode="External"/><Relationship Id="rId132" Type="http://schemas.openxmlformats.org/officeDocument/2006/relationships/hyperlink" Target="https://drive.google.com/file/d/1HvfXkFjLiHRPwmnYl-3JLNG2OHocGWGJ/view?usp=drive_link" TargetMode="External"/><Relationship Id="rId131" Type="http://schemas.openxmlformats.org/officeDocument/2006/relationships/hyperlink" Target="https://drive.google.com/file/d/1O8IFerN_b1OVb1CN9mQGTjYZpOKGoITY/view?usp=drive_link" TargetMode="External"/><Relationship Id="rId130" Type="http://schemas.openxmlformats.org/officeDocument/2006/relationships/hyperlink" Target="https://drive.google.com/file/d/1g_9nh_hqVHEgyFmCYgVlJFmL1Aj6XSjP/view?usp=drive_link" TargetMode="External"/><Relationship Id="rId13" Type="http://schemas.openxmlformats.org/officeDocument/2006/relationships/hyperlink" Target="https://drive.google.com/file/d/1oLNUgD_az6Owhshep-Lgso-VcL6GMB2t/view?usp=drive_link" TargetMode="External"/><Relationship Id="rId129" Type="http://schemas.openxmlformats.org/officeDocument/2006/relationships/hyperlink" Target="https://drive.google.com/file/d/1pO45KJ2Anjf1wjhdMDATmYcrXCytLB3y/view?usp=sharing" TargetMode="External"/><Relationship Id="rId128" Type="http://schemas.openxmlformats.org/officeDocument/2006/relationships/hyperlink" Target="https://drive.google.com/file/d/1ayKyx-7T7TwOte_gGFgfgCxWiVa8Cg8m/view?usp=drive_link" TargetMode="External"/><Relationship Id="rId127" Type="http://schemas.openxmlformats.org/officeDocument/2006/relationships/hyperlink" Target="https://drive.google.com/file/d/1VXVL_r3DoAz3I_u0DD1X5QX9FVNRikkd/view?usp=drive_link" TargetMode="External"/><Relationship Id="rId126" Type="http://schemas.openxmlformats.org/officeDocument/2006/relationships/hyperlink" Target="https://drive.google.com/file/d/14S--Kd5Vl3YSMCHzwwYt_kQIgxGm_Zbg/view?usp=drive_link" TargetMode="External"/><Relationship Id="rId125" Type="http://schemas.openxmlformats.org/officeDocument/2006/relationships/hyperlink" Target="https://drive.google.com/file/d/1n-OVjxMOvOjL1phlSkz8eviOukA2jLci/view?usp=drive_link" TargetMode="External"/><Relationship Id="rId124" Type="http://schemas.openxmlformats.org/officeDocument/2006/relationships/hyperlink" Target="https://drive.google.com/file/d/1_wspiI7N_dRs_vE3p2pH0rc8yAcF-pg4/view?usp=drive_link" TargetMode="External"/><Relationship Id="rId123" Type="http://schemas.openxmlformats.org/officeDocument/2006/relationships/hyperlink" Target="https://drive.google.com/file/d/1WXt01Z5DyEaibfcb9yjRvC37GnJBijOf/view?usp=drive_link" TargetMode="External"/><Relationship Id="rId122" Type="http://schemas.openxmlformats.org/officeDocument/2006/relationships/hyperlink" Target="https://drive.google.com/file/d/12CBiVkqByJdiB_fExvTvqpU9ylB2Sy3W/view?usp=drive_link" TargetMode="External"/><Relationship Id="rId121" Type="http://schemas.openxmlformats.org/officeDocument/2006/relationships/hyperlink" Target="https://drive.google.com/file/d/1rjwl5CZZjBCqyIHHwyVOtiklXu_rVxIO/view?usp=drive_link" TargetMode="External"/><Relationship Id="rId120" Type="http://schemas.openxmlformats.org/officeDocument/2006/relationships/hyperlink" Target="https://drive.google.com/file/d/1imOf8cO4LrDK_1VGlnSJPrR4OAx8Sd2B/view?usp=drive_link" TargetMode="External"/><Relationship Id="rId12" Type="http://schemas.openxmlformats.org/officeDocument/2006/relationships/hyperlink" Target="https://drive.google.com/file/d/1XoH65BvRw_juF-glmN8AfTF6l_GmG5II/view?usp=drive_link" TargetMode="External"/><Relationship Id="rId119" Type="http://schemas.openxmlformats.org/officeDocument/2006/relationships/hyperlink" Target="https://drive.google.com/file/d/10aHD4D4de3IMNUlj2mTv1iugbhs7vm95/view?usp=drive_link" TargetMode="External"/><Relationship Id="rId118" Type="http://schemas.openxmlformats.org/officeDocument/2006/relationships/hyperlink" Target="https://drive.google.com/file/d/15MHSo23sHhYQuvGI6Rdc88aGx1MXVhlF/view?usp=drive_link" TargetMode="External"/><Relationship Id="rId117" Type="http://schemas.openxmlformats.org/officeDocument/2006/relationships/hyperlink" Target="https://drive.google.com/file/d/1z2yIzp0ZbgM-WXwFf0MlJEXezfRG53OZ/view?usp=drive_link" TargetMode="External"/><Relationship Id="rId116" Type="http://schemas.openxmlformats.org/officeDocument/2006/relationships/hyperlink" Target="https://drive.google.com/file/d/1FaxovTw_MikjtDN76wy-HVlOvyps3J4O/view?usp=sharing" TargetMode="External"/><Relationship Id="rId115" Type="http://schemas.openxmlformats.org/officeDocument/2006/relationships/hyperlink" Target="https://drive.google.com/file/d/1UAcenGbozIWBTX6Ug5C-jTX5Rej6dvRV/view?usp=sharing" TargetMode="External"/><Relationship Id="rId114" Type="http://schemas.openxmlformats.org/officeDocument/2006/relationships/hyperlink" Target="https://drive.google.com/file/d/1hGEJGlxpk7SMNUPA-p6mRE1XsDFMY61y/view?usp=sharing" TargetMode="External"/><Relationship Id="rId113" Type="http://schemas.openxmlformats.org/officeDocument/2006/relationships/hyperlink" Target="https://drive.google.com/file/d/1xYCXW-TfFY-ONKgnn2I_ZrFjvBTs75nl/view?usp=sharing" TargetMode="External"/><Relationship Id="rId112" Type="http://schemas.openxmlformats.org/officeDocument/2006/relationships/hyperlink" Target="https://drive.google.com/file/d/1p6WL8e1cWS3Ar8v68l_LgaJhbQmEflu_/view?usp=sharing" TargetMode="External"/><Relationship Id="rId111" Type="http://schemas.openxmlformats.org/officeDocument/2006/relationships/hyperlink" Target="https://drive.google.com/file/d/1Y-9_ZN5wmoVySiwLkX6Tsm3nSPKpZE2I/view?usp=sharing" TargetMode="External"/><Relationship Id="rId110" Type="http://schemas.openxmlformats.org/officeDocument/2006/relationships/hyperlink" Target="https://drive.google.com/file/d/1EmxPEd24o3pkkySShThy936dYaldPr3I/view?usp=sharing" TargetMode="External"/><Relationship Id="rId11" Type="http://schemas.openxmlformats.org/officeDocument/2006/relationships/hyperlink" Target="https://drive.google.com/file/d/1EA90Utk1ns7TCVkyeIJ5iW7Hdqq2_Zha/view?usp=drive_link" TargetMode="External"/><Relationship Id="rId109" Type="http://schemas.openxmlformats.org/officeDocument/2006/relationships/hyperlink" Target="https://drive.google.com/file/d/1DRBU8HGhRqLFda6ScxKt-7x3V_0nvHr2/view?usp=sharing" TargetMode="External"/><Relationship Id="rId108" Type="http://schemas.openxmlformats.org/officeDocument/2006/relationships/hyperlink" Target="https://drive.google.com/file/d/1p8WHgxjUg_c35qOoGceqwUrfIHbB06Kh/view?usp=sharing" TargetMode="External"/><Relationship Id="rId107" Type="http://schemas.openxmlformats.org/officeDocument/2006/relationships/hyperlink" Target="https://drive.google.com/file/d/14X90fBlyaOCC_WWeH31uJ542CVOZ9czX/view?usp=sharing" TargetMode="External"/><Relationship Id="rId106" Type="http://schemas.openxmlformats.org/officeDocument/2006/relationships/hyperlink" Target="https://drive.google.com/file/d/1B7eyXMUFP6_zAjHxtA0k0nP93RV5GzJJ/view?usp=sharing" TargetMode="External"/><Relationship Id="rId105" Type="http://schemas.openxmlformats.org/officeDocument/2006/relationships/hyperlink" Target="https://drive.google.com/file/d/1Azmq5X1k0IbsPQuFfcQGZF_xoJ0xkCk3/view?usp=sharing" TargetMode="External"/><Relationship Id="rId104" Type="http://schemas.openxmlformats.org/officeDocument/2006/relationships/hyperlink" Target="https://drive.google.com/file/d/1ajAdfD4LmV8FfP14KccZEyPsPZd2S3gv/view?usp=sharing" TargetMode="External"/><Relationship Id="rId103" Type="http://schemas.openxmlformats.org/officeDocument/2006/relationships/hyperlink" Target="https://drive.google.com/file/d/1wFJn5X6CA9EDKE0JhFCXozhLoZmqhV2z/view?usp=sharing" TargetMode="External"/><Relationship Id="rId102" Type="http://schemas.openxmlformats.org/officeDocument/2006/relationships/hyperlink" Target="https://drive.google.com/file/d/1lh0RyHYAmh4xbX6ryNqBWgIbTU8L9Lsd/view?usp=sharing" TargetMode="External"/><Relationship Id="rId101" Type="http://schemas.openxmlformats.org/officeDocument/2006/relationships/hyperlink" Target="https://drive.google.com/file/d/1pWBQo39BPljKAPkURfyvvlyFq5_xFYE3/view?usp=sharing" TargetMode="External"/><Relationship Id="rId100" Type="http://schemas.openxmlformats.org/officeDocument/2006/relationships/hyperlink" Target="https://drive.google.com/file/d/1GbbOcMyTuFyLEpI2U5ODr2zGNt-zWyZ0/view?usp=sharing" TargetMode="External"/><Relationship Id="rId10" Type="http://schemas.openxmlformats.org/officeDocument/2006/relationships/hyperlink" Target="https://drive.google.com/file/d/1g_NCEmpgXGAv6Wf51xoA6Lhpz__Zkopy/view?usp=drive_link" TargetMode="External"/><Relationship Id="rId1" Type="http://schemas.openxmlformats.org/officeDocument/2006/relationships/hyperlink" Target="http://s.no/" TargetMode="External"/></Relationships>
</file>

<file path=xl/worksheets/_rels/sheet16.xml.rels><?xml version="1.0" encoding="UTF-8" standalone="yes"?>
<Relationships xmlns="http://schemas.openxmlformats.org/package/2006/relationships"><Relationship Id="rId92" Type="http://schemas.openxmlformats.org/officeDocument/2006/relationships/hyperlink" Target="https://drive.google.com/file/d/1jTCXH33gTrZDnqPAyOS9Jo4Vsl0cg49j/view?usp=sharing" TargetMode="External"/><Relationship Id="rId91" Type="http://schemas.openxmlformats.org/officeDocument/2006/relationships/hyperlink" Target="https://drive.google.com/file/d/1-LMn2RMdekpDhktxd6uNjQQdatMKF8yZ/view?usp=drive_link" TargetMode="External"/><Relationship Id="rId90" Type="http://schemas.openxmlformats.org/officeDocument/2006/relationships/hyperlink" Target="https://drive.google.com/file/d/1pO45KJ2Anjf1wjhdMDATmYcrXCytLB3y/view?usp=sharing" TargetMode="External"/><Relationship Id="rId9" Type="http://schemas.openxmlformats.org/officeDocument/2006/relationships/hyperlink" Target="https://drive.google.com/file/d/1EA90Utk1ns7TCVkyeIJ5iW7Hdqq2_Zha/view?usp=drive_link" TargetMode="External"/><Relationship Id="rId89" Type="http://schemas.openxmlformats.org/officeDocument/2006/relationships/hyperlink" Target="https://drive.google.com/file/d/1ayKyx-7T7TwOte_gGFgfgCxWiVa8Cg8m/view?usp=drive_link" TargetMode="External"/><Relationship Id="rId88" Type="http://schemas.openxmlformats.org/officeDocument/2006/relationships/hyperlink" Target="https://drive.google.com/file/d/14S--Kd5Vl3YSMCHzwwYt_kQIgxGm_Zbg/view?usp=drive_link" TargetMode="External"/><Relationship Id="rId87" Type="http://schemas.openxmlformats.org/officeDocument/2006/relationships/hyperlink" Target="https://drive.google.com/file/d/1_wspiI7N_dRs_vE3p2pH0rc8yAcF-pg4/view?usp=drive_link" TargetMode="External"/><Relationship Id="rId86" Type="http://schemas.openxmlformats.org/officeDocument/2006/relationships/hyperlink" Target="https://drive.google.com/file/d/1WXt01Z5DyEaibfcb9yjRvC37GnJBijOf/view?usp=drive_link" TargetMode="External"/><Relationship Id="rId85" Type="http://schemas.openxmlformats.org/officeDocument/2006/relationships/hyperlink" Target="https://drive.google.com/file/d/1imOf8cO4LrDK_1VGlnSJPrR4OAx8Sd2B/view?usp=drive_link" TargetMode="External"/><Relationship Id="rId84" Type="http://schemas.openxmlformats.org/officeDocument/2006/relationships/hyperlink" Target="https://drive.google.com/file/d/15MHSo23sHhYQuvGI6Rdc88aGx1MXVhlF/view?usp=drive_link" TargetMode="External"/><Relationship Id="rId83" Type="http://schemas.openxmlformats.org/officeDocument/2006/relationships/hyperlink" Target="https://drive.google.com/file/d/1FaxovTw_MikjtDN76wy-HVlOvyps3J4O/view?usp=sharing" TargetMode="External"/><Relationship Id="rId82" Type="http://schemas.openxmlformats.org/officeDocument/2006/relationships/hyperlink" Target="https://drive.google.com/file/d/1UAcenGbozIWBTX6Ug5C-jTX5Rej6dvRV/view?usp=sharing" TargetMode="External"/><Relationship Id="rId81" Type="http://schemas.openxmlformats.org/officeDocument/2006/relationships/hyperlink" Target="https://drive.google.com/file/d/1hGEJGlxpk7SMNUPA-p6mRE1XsDFMY61y/view?usp=sharing" TargetMode="External"/><Relationship Id="rId80" Type="http://schemas.openxmlformats.org/officeDocument/2006/relationships/hyperlink" Target="https://drive.google.com/file/d/1xYCXW-TfFY-ONKgnn2I_ZrFjvBTs75nl/view?usp=sharing" TargetMode="External"/><Relationship Id="rId8" Type="http://schemas.openxmlformats.org/officeDocument/2006/relationships/hyperlink" Target="https://drive.google.com/file/d/1g_NCEmpgXGAv6Wf51xoA6Lhpz__Zkopy/view?usp=drive_link" TargetMode="External"/><Relationship Id="rId79" Type="http://schemas.openxmlformats.org/officeDocument/2006/relationships/hyperlink" Target="https://drive.google.com/file/d/1-PFYkltufLhSXJg_K-Qcusl_iGwdZjRe/view?usp=sharing" TargetMode="External"/><Relationship Id="rId78" Type="http://schemas.openxmlformats.org/officeDocument/2006/relationships/hyperlink" Target="https://drive.google.com/file/d/14eyHoZaDozg44G17jWZimDgatS8tvuEA/view?usp=sharing" TargetMode="External"/><Relationship Id="rId77" Type="http://schemas.openxmlformats.org/officeDocument/2006/relationships/hyperlink" Target="https://drive.google.com/file/d/14hEff2OshT8hsGqTcQSCFX23i1_EJDDO/view?usp=drive_link" TargetMode="External"/><Relationship Id="rId76" Type="http://schemas.openxmlformats.org/officeDocument/2006/relationships/hyperlink" Target="https://drive.google.com/file/d/1I1EAaBmUarbKB2GJENhajqTJ4Ne8U6Kw/view?usp=sharing" TargetMode="External"/><Relationship Id="rId75" Type="http://schemas.openxmlformats.org/officeDocument/2006/relationships/hyperlink" Target="https://drive.google.com/file/d/1IOZnd2COP8xNxjmii_vqVk01JvR0Xwy4/view?usp=sharing" TargetMode="External"/><Relationship Id="rId74" Type="http://schemas.openxmlformats.org/officeDocument/2006/relationships/hyperlink" Target="https://drive.google.com/file/d/1Y_CL_vYziasrTWglgcjoGPZUvgTPpsEv/view?usp=sharing" TargetMode="External"/><Relationship Id="rId73" Type="http://schemas.openxmlformats.org/officeDocument/2006/relationships/hyperlink" Target="https://drive.google.com/file/d/1veotl6XP3TyAPOi4EAKyJNIwui-eGPq8/view?usp=sharing" TargetMode="External"/><Relationship Id="rId72" Type="http://schemas.openxmlformats.org/officeDocument/2006/relationships/hyperlink" Target="https://drive.google.com/file/d/12qZJe9JW6jNeNTNy4gI4z3b_K6BJGDiw/view?usp=sharing" TargetMode="External"/><Relationship Id="rId71" Type="http://schemas.openxmlformats.org/officeDocument/2006/relationships/hyperlink" Target="https://drive.google.com/file/d/1L4TXpZJRlMKtRm9CqfXz2FQiY3yFl8Gv/view?usp=sharing" TargetMode="External"/><Relationship Id="rId70" Type="http://schemas.openxmlformats.org/officeDocument/2006/relationships/hyperlink" Target="https://drive.google.com/file/d/1l83GDUA5umbOoftKzct0EyIC_Eg7aGtr/view?usp=sharing" TargetMode="External"/><Relationship Id="rId7" Type="http://schemas.openxmlformats.org/officeDocument/2006/relationships/hyperlink" Target="https://drive.google.com/file/d/1DWHRNJ3pMF_sCvA1Cgrp7Nq-QjVOrmtQ/view?usp=drive_link" TargetMode="External"/><Relationship Id="rId69" Type="http://schemas.openxmlformats.org/officeDocument/2006/relationships/hyperlink" Target="https://drive.google.com/file/d/1sjK-3om6rFzR8BNodMEhsc2hkuRgz5HJ/view?usp=sharing" TargetMode="External"/><Relationship Id="rId68" Type="http://schemas.openxmlformats.org/officeDocument/2006/relationships/hyperlink" Target="https://drive.google.com/file/d/1np2bO2k2lN-TK7QfsbqLXJQCfRU3ApCi/view?usp=sharing" TargetMode="External"/><Relationship Id="rId67" Type="http://schemas.openxmlformats.org/officeDocument/2006/relationships/hyperlink" Target="https://drive.google.com/file/d/1rheNCmEYoBj2wibsoa3SBTsChLVb_ejj/view?usp=sharing" TargetMode="External"/><Relationship Id="rId66" Type="http://schemas.openxmlformats.org/officeDocument/2006/relationships/hyperlink" Target="https://drive.google.com/file/d/1zzITj5PEm96bdtb-r787Eomt4f-cNQCL/view?usp=sharing" TargetMode="External"/><Relationship Id="rId65" Type="http://schemas.openxmlformats.org/officeDocument/2006/relationships/hyperlink" Target="https://drive.google.com/file/d/1KhWVtauZ19RwW2ZhKCaddulRWj8wcrgu/view?usp=drive_link" TargetMode="External"/><Relationship Id="rId64" Type="http://schemas.openxmlformats.org/officeDocument/2006/relationships/hyperlink" Target="https://drive.google.com/file/d/1tRI0ReaApUDivHmieNuxXNdaM15kdC94/view?usp=sharing" TargetMode="External"/><Relationship Id="rId63" Type="http://schemas.openxmlformats.org/officeDocument/2006/relationships/hyperlink" Target="https://drive.google.com/file/d/1D59kVkTlDVuBIAG8IbW5GFSeDG5bsnD9/view?usp=sharing" TargetMode="External"/><Relationship Id="rId62" Type="http://schemas.openxmlformats.org/officeDocument/2006/relationships/hyperlink" Target="https://drive.google.com/file/d/1J_qYGaruJKwtW5V-DssbcJsciSNNNM72/view?usp=sharing" TargetMode="External"/><Relationship Id="rId61" Type="http://schemas.openxmlformats.org/officeDocument/2006/relationships/hyperlink" Target="https://drive.google.com/file/d/1KXh9L0juqbzifcS0-FXPPZELGR9cKfCN/view?usp=sharing" TargetMode="External"/><Relationship Id="rId60" Type="http://schemas.openxmlformats.org/officeDocument/2006/relationships/hyperlink" Target="https://drive.google.com/file/d/1d-2E5Rk0dOB-hNidOEN2sXzl_AZa7z8r/view?usp=sharing" TargetMode="External"/><Relationship Id="rId6" Type="http://schemas.openxmlformats.org/officeDocument/2006/relationships/hyperlink" Target="https://drive.google.com/file/d/1TtxJeWuVc20ePVik4bdjwKeBWspDdqMP/view?usp=drive_link" TargetMode="External"/><Relationship Id="rId59" Type="http://schemas.openxmlformats.org/officeDocument/2006/relationships/hyperlink" Target="https://drive.google.com/file/d/1aUsRpfZOZPyMnHho4Fg4hoIHQtT49jJo/view?usp=sharing" TargetMode="External"/><Relationship Id="rId58" Type="http://schemas.openxmlformats.org/officeDocument/2006/relationships/hyperlink" Target="https://drive.google.com/file/d/1H_smTc56MX_SYRdRXgLl1ym-wS7jV4fO/view?usp=sharing" TargetMode="External"/><Relationship Id="rId57" Type="http://schemas.openxmlformats.org/officeDocument/2006/relationships/hyperlink" Target="https://drive.google.com/file/d/1l5Jj1uhZhul9yilWw332YmSfit1wM3i7/view?usp=drive_link" TargetMode="External"/><Relationship Id="rId56" Type="http://schemas.openxmlformats.org/officeDocument/2006/relationships/hyperlink" Target="https://drive.google.com/file/d/1GXKhtfskO7bpJ_BIH1R6sWD9CZhuvc-_/view?usp=sharing" TargetMode="External"/><Relationship Id="rId55" Type="http://schemas.openxmlformats.org/officeDocument/2006/relationships/hyperlink" Target="https://drive.google.com/file/d/1ImmCTdqicneH9GXwKEaxTnqHwQv4zQ9J/view?usp=sharing" TargetMode="External"/><Relationship Id="rId54" Type="http://schemas.openxmlformats.org/officeDocument/2006/relationships/hyperlink" Target="https://drive.google.com/file/d/17b2NjZeeKCU6x8lN_qvL-d450-vcDOgS/view?usp=sharing" TargetMode="External"/><Relationship Id="rId53" Type="http://schemas.openxmlformats.org/officeDocument/2006/relationships/hyperlink" Target="https://drive.google.com/file/d/11NHRk2ZGqKeu9h-zMhNGd3EKQVqyZ_vr/view?usp=sharing" TargetMode="External"/><Relationship Id="rId52" Type="http://schemas.openxmlformats.org/officeDocument/2006/relationships/hyperlink" Target="https://drive.google.com/file/d/1pjCsgLjwJcjuZJT3B5FRsMrakPjAuStk/view?usp=drive_link" TargetMode="External"/><Relationship Id="rId51" Type="http://schemas.openxmlformats.org/officeDocument/2006/relationships/hyperlink" Target="https://drive.google.com/file/d/1-a2038BQibO0BD7heLVmArG39OZoKrhq/view?usp=sharing" TargetMode="External"/><Relationship Id="rId50" Type="http://schemas.openxmlformats.org/officeDocument/2006/relationships/hyperlink" Target="https://drive.google.com/file/d/1uXa5_zeoqwd0SfRxQj_yzzspG9vHIcxu/view?usp=sharing" TargetMode="External"/><Relationship Id="rId5" Type="http://schemas.openxmlformats.org/officeDocument/2006/relationships/hyperlink" Target="https://drive.google.com/file/d/14cGRh_2GVwGIhwcirub7JRZGMV1dZAmt/view?usp=drive_link" TargetMode="External"/><Relationship Id="rId49" Type="http://schemas.openxmlformats.org/officeDocument/2006/relationships/hyperlink" Target="https://drive.google.com/file/d/13GQN_OWOshugkpDsP-JggIydd5aVxcVb/view?usp=sharing" TargetMode="External"/><Relationship Id="rId48" Type="http://schemas.openxmlformats.org/officeDocument/2006/relationships/hyperlink" Target="https://drive.google.com/file/d/1sJLu6IxyQGzJe1MvrQ1O1mlO6Y-2PMgR/view?usp=sharing" TargetMode="External"/><Relationship Id="rId47" Type="http://schemas.openxmlformats.org/officeDocument/2006/relationships/hyperlink" Target="https://drive.google.com/file/d/1uYE0IW9hb3NqVxnR6Gn-Dhl97EB97Oag/view?usp=sharing" TargetMode="External"/><Relationship Id="rId46" Type="http://schemas.openxmlformats.org/officeDocument/2006/relationships/hyperlink" Target="https://drive.google.com/file/d/1FUD43zu9dK51OLUlpdHX4SPkFjrk6o2e/view?usp=sharing" TargetMode="External"/><Relationship Id="rId45" Type="http://schemas.openxmlformats.org/officeDocument/2006/relationships/hyperlink" Target="https://drive.google.com/file/d/11mSvkYF-1S2DX9oQr3gOy2Op6xQgl7dE/view?usp=sharing" TargetMode="External"/><Relationship Id="rId44" Type="http://schemas.openxmlformats.org/officeDocument/2006/relationships/hyperlink" Target="https://drive.google.com/file/d/121jtWSSMNsdiiLJ8rvgn_pkkKuWF7tq7/view?usp=sharing" TargetMode="External"/><Relationship Id="rId43" Type="http://schemas.openxmlformats.org/officeDocument/2006/relationships/hyperlink" Target="https://drive.google.com/file/d/1fiutfD5Xc_Hz34Z3fICJztcqbwCDzpFj/view?usp=sharing" TargetMode="External"/><Relationship Id="rId42" Type="http://schemas.openxmlformats.org/officeDocument/2006/relationships/hyperlink" Target="https://drive.google.com/file/d/1tKS9UIxaZ9XsxiENv55aJmJf2gQ0M93w/view?usp=sharing" TargetMode="External"/><Relationship Id="rId41" Type="http://schemas.openxmlformats.org/officeDocument/2006/relationships/hyperlink" Target="https://drive.google.com/file/d/1ppxr4yzVigstmuT2ODQE5uvaQ51RthOE/view?usp=sharing" TargetMode="External"/><Relationship Id="rId40" Type="http://schemas.openxmlformats.org/officeDocument/2006/relationships/hyperlink" Target="https://drive.google.com/file/d/1r20TWETWFqlY18ij4kQkqWkpRxgBBcf-/view?usp=sharing" TargetMode="External"/><Relationship Id="rId4" Type="http://schemas.openxmlformats.org/officeDocument/2006/relationships/hyperlink" Target="https://drive.google.com/file/d/1vAilJIwOsp4XAuK_CHrcMGeHYpph1rEL/view?usp=drive_link" TargetMode="External"/><Relationship Id="rId39" Type="http://schemas.openxmlformats.org/officeDocument/2006/relationships/hyperlink" Target="https://drive.google.com/file/d/1zq_P7NXQe4XGz-YNWRN7oyfe-UZw0b93/view?usp=sharing" TargetMode="External"/><Relationship Id="rId38" Type="http://schemas.openxmlformats.org/officeDocument/2006/relationships/hyperlink" Target="https://drive.google.com/file/d/1lZMYh6ZgfDZ8Ld7V9omRIhYh4w9Fo1Il/view?usp=sharing" TargetMode="External"/><Relationship Id="rId37" Type="http://schemas.openxmlformats.org/officeDocument/2006/relationships/hyperlink" Target="https://drive.google.com/file/d/1WToAdo0nF-D_OlzCz8q0iHGTVfnL0GL1/view?usp=drive_link" TargetMode="External"/><Relationship Id="rId36" Type="http://schemas.openxmlformats.org/officeDocument/2006/relationships/hyperlink" Target="https://drive.google.com/file/d/1l0CarlJRdXeKckzjv5vdH8ZMNbVSDSFn/view?usp=drivesdk" TargetMode="External"/><Relationship Id="rId35" Type="http://schemas.openxmlformats.org/officeDocument/2006/relationships/hyperlink" Target="https://drive.google.com/file/d/1FqCuRlzqw0E9EX5-HSxlNvHEHo-3qEnl/view?usp=sharing" TargetMode="External"/><Relationship Id="rId34" Type="http://schemas.openxmlformats.org/officeDocument/2006/relationships/hyperlink" Target="https://drive.google.com/file/d/1Grw_Wng84nGU2FKbQvYZV3I3KQGho1Lz/view?usp=sharing" TargetMode="External"/><Relationship Id="rId33" Type="http://schemas.openxmlformats.org/officeDocument/2006/relationships/hyperlink" Target="https://drive.google.com/file/d/1Y5h4k1TY95zyc_Yjlz-TjWEYssW0Jok5/view?usp=drive_link" TargetMode="External"/><Relationship Id="rId32" Type="http://schemas.openxmlformats.org/officeDocument/2006/relationships/hyperlink" Target="https://drive.google.com/file/d/1kqQvxGFdt4nAAzek5c0IKtYri4detwrx/view?usp=sharing" TargetMode="External"/><Relationship Id="rId31" Type="http://schemas.openxmlformats.org/officeDocument/2006/relationships/hyperlink" Target="https://drive.google.com/file/d/1BBX3NAoKYIMY7TObyJe3nzEiO6QFHt1X/view?usp=sharing" TargetMode="External"/><Relationship Id="rId30" Type="http://schemas.openxmlformats.org/officeDocument/2006/relationships/hyperlink" Target="https://drive.google.com/file/d/18nxrS8QITuRBNH5wkJCYG1Z7Foj3w_MH/view?usp=sharing" TargetMode="External"/><Relationship Id="rId3" Type="http://schemas.openxmlformats.org/officeDocument/2006/relationships/hyperlink" Target="https://drive.google.com/file/d/12qjm2u6d4HXZoeZuaefjGZ0LMXzOfKZV/view?usp=drive_link" TargetMode="External"/><Relationship Id="rId29" Type="http://schemas.openxmlformats.org/officeDocument/2006/relationships/hyperlink" Target="https://drive.google.com/file/d/1Gg10lE2p8gU47DbSdBRE9psXT2bvOEDX/view?usp=drive_link" TargetMode="External"/><Relationship Id="rId28" Type="http://schemas.openxmlformats.org/officeDocument/2006/relationships/hyperlink" Target="https://drive.google.com/file/d/1jVcfOMHHHDXSmtdi0cWNHA9_GmFU91n3/view?usp=sharing" TargetMode="External"/><Relationship Id="rId27" Type="http://schemas.openxmlformats.org/officeDocument/2006/relationships/hyperlink" Target="https://drive.google.com/file/d/1posP0kqhFsyYlOBms5J247jRyP6h6cKw/view?usp=sharing" TargetMode="External"/><Relationship Id="rId26" Type="http://schemas.openxmlformats.org/officeDocument/2006/relationships/hyperlink" Target="https://drive.google.com/file/d/17r7fhJr-CMKrAk-8xuo4Grgr6pGSWA1V/view?usp=drive_link" TargetMode="External"/><Relationship Id="rId25" Type="http://schemas.openxmlformats.org/officeDocument/2006/relationships/hyperlink" Target="https://drive.google.com/file/d/1hyTW0QmlBRIEd2X67aSoyoks4PhV96Qt/view?usp=sharing" TargetMode="External"/><Relationship Id="rId24" Type="http://schemas.openxmlformats.org/officeDocument/2006/relationships/hyperlink" Target="https://drive.google.com/file/d/1Bl0GYdNZ5KL3He2CUZV3F-YSE7u8Lt_2/view?usp=sharing" TargetMode="External"/><Relationship Id="rId23" Type="http://schemas.openxmlformats.org/officeDocument/2006/relationships/hyperlink" Target="https://drive.google.com/file/d/1mSWdr_ydirwOGz_JqsS-HGcHDXFdglFI/view?usp=sharing" TargetMode="External"/><Relationship Id="rId22" Type="http://schemas.openxmlformats.org/officeDocument/2006/relationships/hyperlink" Target="https://drive.google.com/file/d/1Hdgfo1XWdxIyUU3nbx3l5EQGNkrBXxzO/view" TargetMode="External"/><Relationship Id="rId21" Type="http://schemas.openxmlformats.org/officeDocument/2006/relationships/hyperlink" Target="https://drive.google.com/file/d/1k24OTCtlo5t9IkLbNUc0uOryHTpgmkUJ/view" TargetMode="External"/><Relationship Id="rId20" Type="http://schemas.openxmlformats.org/officeDocument/2006/relationships/hyperlink" Target="https://drive.google.com/file/d/18lfjdmyNayCVWFz_fPUxgxzNjUerXt8Y/view?usp=drive_link" TargetMode="External"/><Relationship Id="rId2" Type="http://schemas.openxmlformats.org/officeDocument/2006/relationships/hyperlink" Target="https://drive.google.com/file/d/1zEiu25y2WIqSnGOH7bEnPCHaURkPxRj3/view?usp=drive_link" TargetMode="External"/><Relationship Id="rId19" Type="http://schemas.openxmlformats.org/officeDocument/2006/relationships/hyperlink" Target="https://drive.google.com/file/d/1S-kqTAdxlbNYlxITI0lQxNoC2E9kNYci/view?usp=sharing" TargetMode="External"/><Relationship Id="rId18" Type="http://schemas.openxmlformats.org/officeDocument/2006/relationships/hyperlink" Target="https://drive.google.com/file/d/1uxBVNs9szs9cQag2-s5knnZan9OXdAwM/view?usp=sharing" TargetMode="External"/><Relationship Id="rId17" Type="http://schemas.openxmlformats.org/officeDocument/2006/relationships/hyperlink" Target="https://drive.google.com/file/d/1g5oe0YSR8JgjFTYtpfB_Ix4g7gTpzeQ6/view?usp=sharing" TargetMode="External"/><Relationship Id="rId16" Type="http://schemas.openxmlformats.org/officeDocument/2006/relationships/hyperlink" Target="https://drive.google.com/file/d/14PJBKiM2FLprFkXzhY_lu7iLXqs10Raf/view?usp=sharing" TargetMode="External"/><Relationship Id="rId15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14" Type="http://schemas.openxmlformats.org/officeDocument/2006/relationships/hyperlink" Target="https://drive.google.com/file/d/1OCCCwrKUlTy4NqUDZsCGAqlMUuEalLTg/view?usp=drivesdk" TargetMode="External"/><Relationship Id="rId13" Type="http://schemas.openxmlformats.org/officeDocument/2006/relationships/hyperlink" Target="https://drive.google.com/file/d/1bFQ-jFNCIUJB-bQEArAitac2SVGjk5KO/view?usp=drive_link" TargetMode="External"/><Relationship Id="rId12" Type="http://schemas.openxmlformats.org/officeDocument/2006/relationships/hyperlink" Target="https://drive.google.com/file/d/1og7D4CUtWG2P7QadaRq9rTznPo-kjNX4/view?usp=drive_link" TargetMode="External"/><Relationship Id="rId11" Type="http://schemas.openxmlformats.org/officeDocument/2006/relationships/hyperlink" Target="https://drive.google.com/file/d/1JWXlDVFxUBOkOgq1scqUlSgSgCKPiLm9/view?usp=drive_link" TargetMode="External"/><Relationship Id="rId10" Type="http://schemas.openxmlformats.org/officeDocument/2006/relationships/hyperlink" Target="https://drive.google.com/file/d/1oLNUgD_az6Owhshep-Lgso-VcL6GMB2t/view?usp=drive_link" TargetMode="External"/><Relationship Id="rId1" Type="http://schemas.openxmlformats.org/officeDocument/2006/relationships/hyperlink" Target="http://s.no/" TargetMode="External"/></Relationships>
</file>

<file path=xl/worksheets/_rels/sheet17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vL98rafw5EdMw0g-Gukusup3IuiOeWDb/view?usp=drive_link" TargetMode="External"/><Relationship Id="rId98" Type="http://schemas.openxmlformats.org/officeDocument/2006/relationships/hyperlink" Target="https://drive.google.com/file/d/1yqbx43PnfXE8U_6g27LrPngfH4Nim4l-/view?usp=drivesdk" TargetMode="External"/><Relationship Id="rId97" Type="http://schemas.openxmlformats.org/officeDocument/2006/relationships/hyperlink" Target="https://drive.google.com/file/d/1WQjpqTJkN2CL63dizWOLH-FHbxYPuwVs/view?usp=drivesdk" TargetMode="External"/><Relationship Id="rId96" Type="http://schemas.openxmlformats.org/officeDocument/2006/relationships/hyperlink" Target="https://drive.google.com/file/d/1KfWKJxh2VrKitJEr0szRBuEALYNYKYBC/view?usp=drivesdk" TargetMode="External"/><Relationship Id="rId95" Type="http://schemas.openxmlformats.org/officeDocument/2006/relationships/hyperlink" Target="https://drive.google.com/file/d/11rwp4t8FCYeorWBqowC3lt4oxoiMZXGD/view?usp=drivesdk" TargetMode="External"/><Relationship Id="rId94" Type="http://schemas.openxmlformats.org/officeDocument/2006/relationships/hyperlink" Target="https://drive.google.com/file/d/1EoQqe_wzL5E6hm9JFrG8aErbmcHafa8C/view?usp=drivesdk" TargetMode="External"/><Relationship Id="rId93" Type="http://schemas.openxmlformats.org/officeDocument/2006/relationships/hyperlink" Target="https://drive.google.com/file/d/1PHv5SowWdHLPDwAmdCWH5ARL1Z38hfYO/view?usp=drivesdk" TargetMode="External"/><Relationship Id="rId92" Type="http://schemas.openxmlformats.org/officeDocument/2006/relationships/hyperlink" Target="https://drive.google.com/file/d/18HTrtI8KIzcwPDrXi0nqp6RPtcqsk4FA/view?usp=drivesdk" TargetMode="External"/><Relationship Id="rId91" Type="http://schemas.openxmlformats.org/officeDocument/2006/relationships/hyperlink" Target="https://drive.google.com/file/d/17pRvmaCFzqLMQRC7wnvA4L82a4VoqSNb/view?usp=drivesdk" TargetMode="External"/><Relationship Id="rId90" Type="http://schemas.openxmlformats.org/officeDocument/2006/relationships/hyperlink" Target="https://drive.google.com/file/d/14NjXiJxdPZj-jsyU8TwKzoZcgHH2Kikm/view?usp=drivesdk" TargetMode="External"/><Relationship Id="rId9" Type="http://schemas.openxmlformats.org/officeDocument/2006/relationships/hyperlink" Target="https://drive.google.com/file/d/1g_NCEmpgXGAv6Wf51xoA6Lhpz__Zkopy/view?usp=drive_link" TargetMode="External"/><Relationship Id="rId89" Type="http://schemas.openxmlformats.org/officeDocument/2006/relationships/hyperlink" Target="https://drive.google.com/file/d/1GrGA4TyYwG1MhtL3_f1BynYYPOQUPYfI/view?usp=drivesdk" TargetMode="External"/><Relationship Id="rId88" Type="http://schemas.openxmlformats.org/officeDocument/2006/relationships/hyperlink" Target="https://drive.google.com/file/d/1exXucVZqcE3RkfVT9eWgvz1GrwgUcOGs/view?usp=drivesdk" TargetMode="External"/><Relationship Id="rId87" Type="http://schemas.openxmlformats.org/officeDocument/2006/relationships/hyperlink" Target="https://drive.google.com/file/d/1G_2h17dEDSJ0sJVLA7KEA3Wy18Qic-lD/view?usp=drivesdk" TargetMode="External"/><Relationship Id="rId86" Type="http://schemas.openxmlformats.org/officeDocument/2006/relationships/hyperlink" Target="https://drive.google.com/file/d/1d7EFuXhUJIVdNfyP-VvbEov7OxOUhnjX/view?usp=drivesdk" TargetMode="External"/><Relationship Id="rId85" Type="http://schemas.openxmlformats.org/officeDocument/2006/relationships/hyperlink" Target="https://drive.google.com/file/d/1V4kAOaTdr-GtYhnXv7gzQBE3ZR7ZPlKK/view?usp=drive_link" TargetMode="External"/><Relationship Id="rId84" Type="http://schemas.openxmlformats.org/officeDocument/2006/relationships/hyperlink" Target="https://drive.google.com/file/d/1Q3MLsC3HPDUwIk0LuSHUtLVSOuBH_O4N/view?usp=drivesdk" TargetMode="External"/><Relationship Id="rId83" Type="http://schemas.openxmlformats.org/officeDocument/2006/relationships/hyperlink" Target="https://drive.google.com/file/d/1HZnPMnXtZ0QO_7Mg1rBnqh1WGOP3akH4/view?usp=drivesdk" TargetMode="External"/><Relationship Id="rId82" Type="http://schemas.openxmlformats.org/officeDocument/2006/relationships/hyperlink" Target="https://drive.google.com/file/d/1LWD7yTNI0RJDRsb9uJmf_DlCrtRgUKyY/view?usp=drivesdk" TargetMode="External"/><Relationship Id="rId81" Type="http://schemas.openxmlformats.org/officeDocument/2006/relationships/hyperlink" Target="https://drive.google.com/file/d/1ugQovbHhHiatqYgFZRiOkMLioEJ1sY9o/view?usp=drivesdk" TargetMode="External"/><Relationship Id="rId80" Type="http://schemas.openxmlformats.org/officeDocument/2006/relationships/hyperlink" Target="https://drive.google.com/file/d/1VO8wG6RTf64Yu5WlHt4RNVEAlHxdXRIv/view?usp=drivesdk" TargetMode="External"/><Relationship Id="rId8" Type="http://schemas.openxmlformats.org/officeDocument/2006/relationships/hyperlink" Target="https://drive.google.com/file/d/1TtxJeWuVc20ePVik4bdjwKeBWspDdqMP/view?usp=drive_link" TargetMode="External"/><Relationship Id="rId79" Type="http://schemas.openxmlformats.org/officeDocument/2006/relationships/hyperlink" Target="https://drive.google.com/file/d/1QLtgZLOi46VR-Umszotzw09fP7Prc0Sq/view?usp=drivesdk" TargetMode="External"/><Relationship Id="rId78" Type="http://schemas.openxmlformats.org/officeDocument/2006/relationships/hyperlink" Target="https://drive.google.com/file/d/14wIqiKajOELWiaI-p64Cs1Xs3kxBqO4v/view?usp=drivesdk" TargetMode="External"/><Relationship Id="rId77" Type="http://schemas.openxmlformats.org/officeDocument/2006/relationships/hyperlink" Target="https://drive.google.com/file/d/1hLGDUrXqBvHMOAiLQE0q9BoTCTu2K7ao/view?usp=drivesdk" TargetMode="External"/><Relationship Id="rId76" Type="http://schemas.openxmlformats.org/officeDocument/2006/relationships/hyperlink" Target="https://drive.google.com/file/d/18HoCA9YDoJiZI1ICrjO5DtziAZZqqASw/view?usp=drivesdk" TargetMode="External"/><Relationship Id="rId75" Type="http://schemas.openxmlformats.org/officeDocument/2006/relationships/hyperlink" Target="https://drive.google.com/file/d/1-sH-k7diCS-WDKeXQScayM3HAWW1q7sM/view?usp=drivesdk" TargetMode="External"/><Relationship Id="rId74" Type="http://schemas.openxmlformats.org/officeDocument/2006/relationships/hyperlink" Target="https://drive.google.com/file/d/1YI54nUQ9qGl4HCxnSZ9MgIOfdUXpAveO/view?usp=drivesdk" TargetMode="External"/><Relationship Id="rId73" Type="http://schemas.openxmlformats.org/officeDocument/2006/relationships/hyperlink" Target="https://drive.google.com/file/d/1yhSE8e9oSoZ1XITSkXcml25c5-I7E8OK/view?usp=drivesdk" TargetMode="External"/><Relationship Id="rId72" Type="http://schemas.openxmlformats.org/officeDocument/2006/relationships/hyperlink" Target="https://drive.google.com/file/d/11itxCKs7_1wrdjNgkLJy60XgxMCdImZ8/view?usp=drivesdk" TargetMode="External"/><Relationship Id="rId71" Type="http://schemas.openxmlformats.org/officeDocument/2006/relationships/hyperlink" Target="https://drive.google.com/file/d/1Yy8fpURlINeYfCy7rrZmDKFYHuyxD4iQ/view?usp=drivesdk" TargetMode="External"/><Relationship Id="rId70" Type="http://schemas.openxmlformats.org/officeDocument/2006/relationships/hyperlink" Target="https://drive.google.com/file/d/1FtIA5xRRdfg0DMeFhk4cK9fSTdReYxn_/view?usp=drivesdk" TargetMode="External"/><Relationship Id="rId7" Type="http://schemas.openxmlformats.org/officeDocument/2006/relationships/hyperlink" Target="https://drive.google.com/file/d/14cGRh_2GVwGIhwcirub7JRZGMV1dZAmt/view?usp=drive_link" TargetMode="External"/><Relationship Id="rId69" Type="http://schemas.openxmlformats.org/officeDocument/2006/relationships/hyperlink" Target="https://drive.google.com/file/d/1v38ptVE_U4sgNuUAuiiQTJuuhlHb7jFl/view?usp=drive_link" TargetMode="External"/><Relationship Id="rId68" Type="http://schemas.openxmlformats.org/officeDocument/2006/relationships/hyperlink" Target="https://drive.google.com/file/d/1UL3NuZgOCt4s4K1Lmw0E4054Vvcygtkf/view?usp=drivesdk" TargetMode="External"/><Relationship Id="rId67" Type="http://schemas.openxmlformats.org/officeDocument/2006/relationships/hyperlink" Target="https://drive.google.com/file/d/1HXZTAZQL0VArZ_9hBhMjaP1mlNRqP8T5/view?usp=drive_link" TargetMode="External"/><Relationship Id="rId66" Type="http://schemas.openxmlformats.org/officeDocument/2006/relationships/hyperlink" Target="https://drive.google.com/file/d/1KLs3uxdiaRJWETPsO6CmyTUanKwokaZa/view?usp=drive_link" TargetMode="External"/><Relationship Id="rId65" Type="http://schemas.openxmlformats.org/officeDocument/2006/relationships/hyperlink" Target="https://drive.google.com/file/d/1ULg6wSSFgz4hxLake3pNnzRocvpPmZYZ/view?usp=drivesdk" TargetMode="External"/><Relationship Id="rId64" Type="http://schemas.openxmlformats.org/officeDocument/2006/relationships/hyperlink" Target="https://drive.google.com/file/d/1-aGhYs7ao10VRy2guue-uTg4Xq65DWCb/view?usp=drivesdk" TargetMode="External"/><Relationship Id="rId63" Type="http://schemas.openxmlformats.org/officeDocument/2006/relationships/hyperlink" Target="https://drive.google.com/file/d/1gdaUpwcvEEPj3F4ukVHIDBTYWmdw2MMT/view?usp=drivesdk" TargetMode="External"/><Relationship Id="rId62" Type="http://schemas.openxmlformats.org/officeDocument/2006/relationships/hyperlink" Target="https://drive.google.com/file/d/1LQkh8x3zwwOEGBzYg73i26Jpewo6cs3D/view?usp=drivesdk" TargetMode="External"/><Relationship Id="rId61" Type="http://schemas.openxmlformats.org/officeDocument/2006/relationships/hyperlink" Target="https://drive.google.com/file/d/1wGPC1ILzmoS_NSdfsBEMDa6PUvmHiITQ/view?usp=drivesdk" TargetMode="External"/><Relationship Id="rId60" Type="http://schemas.openxmlformats.org/officeDocument/2006/relationships/hyperlink" Target="https://drive.google.com/file/d/11pMXP9LzQDSOCFcGyZ30h0N4_459t-8T/view?usp=drivesdk" TargetMode="External"/><Relationship Id="rId6" Type="http://schemas.openxmlformats.org/officeDocument/2006/relationships/hyperlink" Target="https://drive.google.com/file/d/1pt4hQm5fLz69qYBX4AuxqIO2H-RvGtQx/view?usp=drive_link" TargetMode="External"/><Relationship Id="rId59" Type="http://schemas.openxmlformats.org/officeDocument/2006/relationships/hyperlink" Target="https://drive.google.com/file/d/1WFj0LyCScVrmb41N-RuRU2HZGx5A4QUM/view?usp=drivesdk" TargetMode="External"/><Relationship Id="rId58" Type="http://schemas.openxmlformats.org/officeDocument/2006/relationships/hyperlink" Target="https://drive.google.com/file/d/18_RD9xZabwO2JP75PawLVIgZiRHanJ7r/view?usp=drivesdk" TargetMode="External"/><Relationship Id="rId57" Type="http://schemas.openxmlformats.org/officeDocument/2006/relationships/hyperlink" Target="https://drive.google.com/file/d/1Ak6smEd55cnbU6cgiHWyy16Q1-XSYz02/view?usp=drivesdk" TargetMode="External"/><Relationship Id="rId56" Type="http://schemas.openxmlformats.org/officeDocument/2006/relationships/hyperlink" Target="https://drive.google.com/file/d/1KHPev2Kq3qVrGscAO2uuo7yScy8y8Sup/view?usp=drivesdk" TargetMode="External"/><Relationship Id="rId55" Type="http://schemas.openxmlformats.org/officeDocument/2006/relationships/hyperlink" Target="https://drive.google.com/file/d/16VUgmeIgOqD2kCbL2vOnNnCK5A21jtS6/view?usp=drivesdk" TargetMode="External"/><Relationship Id="rId54" Type="http://schemas.openxmlformats.org/officeDocument/2006/relationships/hyperlink" Target="https://drive.google.com/file/d/1MUFzAJo5LSzmpdhI889kEhDZ0xKqImSg/view?usp=drivesdk" TargetMode="External"/><Relationship Id="rId53" Type="http://schemas.openxmlformats.org/officeDocument/2006/relationships/hyperlink" Target="https://drive.google.com/file/d/16C9A5O_2LU1qouTuL7juJbsj3tyaD1Qt/view?usp=drivesdk" TargetMode="External"/><Relationship Id="rId52" Type="http://schemas.openxmlformats.org/officeDocument/2006/relationships/hyperlink" Target="https://drive.google.com/file/d/1xZZ5XWFzSXvXAjvdoqHHi1FHnk0heuYs/view?usp=drivesdk" TargetMode="External"/><Relationship Id="rId51" Type="http://schemas.openxmlformats.org/officeDocument/2006/relationships/hyperlink" Target="https://drive.google.com/file/d/1JpfRw7AKi5vyFGzJYU8Gt0AbdcnM-XIR/view?usp=drivesdk" TargetMode="External"/><Relationship Id="rId50" Type="http://schemas.openxmlformats.org/officeDocument/2006/relationships/hyperlink" Target="https://drive.google.com/file/d/13BQ_wJdpDsvZ4ExNu5_MiUuptLzyEkOt/view?usp=drivesdk" TargetMode="External"/><Relationship Id="rId5" Type="http://schemas.openxmlformats.org/officeDocument/2006/relationships/hyperlink" Target="https://drive.google.com/file/d/1NbjsWNBnt8yAOYgw8256z5xMLAnE9saL/view?usp=drive_link" TargetMode="External"/><Relationship Id="rId49" Type="http://schemas.openxmlformats.org/officeDocument/2006/relationships/hyperlink" Target="https://drive.google.com/file/d/1ODbvUqRQqa0vgDKn1aCSa1ExOjI5eU6s/view?usp=drivesdk" TargetMode="External"/><Relationship Id="rId48" Type="http://schemas.openxmlformats.org/officeDocument/2006/relationships/hyperlink" Target="https://drive.google.com/file/d/1l0CarlJRdXeKckzjv5vdH8ZMNbVSDSFn/view?usp=drivesdk" TargetMode="External"/><Relationship Id="rId47" Type="http://schemas.openxmlformats.org/officeDocument/2006/relationships/hyperlink" Target="https://drive.google.com/file/d/16-Aw559LRobGzObL2CIZzbedS2huPzfM/view?usp=drivesdk" TargetMode="External"/><Relationship Id="rId46" Type="http://schemas.openxmlformats.org/officeDocument/2006/relationships/hyperlink" Target="https://drive.google.com/file/d/18ueBKNiLx_qMQGWWAwsMx3AwCOr1zXzs/view?usp=drivesdk" TargetMode="External"/><Relationship Id="rId45" Type="http://schemas.openxmlformats.org/officeDocument/2006/relationships/hyperlink" Target="https://drive.google.com/file/d/1l9qfxWgKh-kHCOlLJw3rYD8TsqzZQ0Vg/view?usp=drivesdk" TargetMode="External"/><Relationship Id="rId44" Type="http://schemas.openxmlformats.org/officeDocument/2006/relationships/hyperlink" Target="https://drive.google.com/file/d/1YhQfmy0rQa_3l9AQYACCpU7Fqq-FOQEI/view?usp=drivesdk" TargetMode="External"/><Relationship Id="rId43" Type="http://schemas.openxmlformats.org/officeDocument/2006/relationships/hyperlink" Target="https://drive.google.com/file/d/1050KPyHqjlRunLX-RfleyqLFilvJdS5r/view?usp=drivesdk" TargetMode="External"/><Relationship Id="rId42" Type="http://schemas.openxmlformats.org/officeDocument/2006/relationships/hyperlink" Target="https://drive.google.com/file/d/1sFDM_grDHNQoFssiRNDRYHiZ-v5Cz_mM/view?usp=drivesdk" TargetMode="External"/><Relationship Id="rId41" Type="http://schemas.openxmlformats.org/officeDocument/2006/relationships/hyperlink" Target="https://drive.google.com/file/d/1MqKqLyL1Szw5dZPMXxT46Rrs2pbCGBzG/view?usp=drivesdk" TargetMode="External"/><Relationship Id="rId40" Type="http://schemas.openxmlformats.org/officeDocument/2006/relationships/hyperlink" Target="https://drive.google.com/file/d/15Bc88hS6nxrWXF0LYcVoTUmlRCZ-EtKv/view?usp=drivesdk" TargetMode="External"/><Relationship Id="rId4" Type="http://schemas.openxmlformats.org/officeDocument/2006/relationships/hyperlink" Target="https://drive.google.com/file/d/1cdISt4tJ-87zLD7jrCab0AApFCkT0B4_/view?usp=drive_link" TargetMode="External"/><Relationship Id="rId39" Type="http://schemas.openxmlformats.org/officeDocument/2006/relationships/hyperlink" Target="https://drive.google.com/file/d/1yWVp7VadbJPV7lVw6qXUvgdFhWnF0tip/view?usp=drive_link" TargetMode="External"/><Relationship Id="rId38" Type="http://schemas.openxmlformats.org/officeDocument/2006/relationships/hyperlink" Target="https://drive.google.com/file/d/1reC79Z5VobvIwm_G13WWcxZsoT6HfJfi/view?usp=drive_link" TargetMode="External"/><Relationship Id="rId37" Type="http://schemas.openxmlformats.org/officeDocument/2006/relationships/hyperlink" Target="https://drive.google.com/file/d/1ctSd5_QiLFiSL9HusTPGh-jont9jUp5L/view?usp=drivesdk" TargetMode="External"/><Relationship Id="rId36" Type="http://schemas.openxmlformats.org/officeDocument/2006/relationships/hyperlink" Target="https://drive.google.com/file/d/1jFwwE4khA3m09oC8S5PokKW-fS3zkGV6/view?usp=drivesdk" TargetMode="External"/><Relationship Id="rId35" Type="http://schemas.openxmlformats.org/officeDocument/2006/relationships/hyperlink" Target="https://drive.google.com/file/d/1gL9HTgiVwg1lLQMCXvFIxto7Q7jAmX3t/view?usp=drivesdk" TargetMode="External"/><Relationship Id="rId34" Type="http://schemas.openxmlformats.org/officeDocument/2006/relationships/hyperlink" Target="https://drive.google.com/file/d/1wYVnj5xHuiqQU2FLKpl5j3MbxNgNSDWL/view?usp=drivesdk" TargetMode="External"/><Relationship Id="rId33" Type="http://schemas.openxmlformats.org/officeDocument/2006/relationships/hyperlink" Target="https://drive.google.com/file/d/1o0OLsExMHFILiIbYa1DQUK1cQas1fE5f/view?usp=drive_link" TargetMode="External"/><Relationship Id="rId32" Type="http://schemas.openxmlformats.org/officeDocument/2006/relationships/hyperlink" Target="https://drive.google.com/file/d/1GAOKW88G1x3QZaSmVsHqAYI--KPr9e8V/view?usp=drive_link" TargetMode="External"/><Relationship Id="rId31" Type="http://schemas.openxmlformats.org/officeDocument/2006/relationships/hyperlink" Target="https://drive.google.com/file/d/1hkKub4bh8GdGbmgTcs1evjim0RxAVQoz/view?usp=drive_link" TargetMode="External"/><Relationship Id="rId30" Type="http://schemas.openxmlformats.org/officeDocument/2006/relationships/hyperlink" Target="https://drive.google.com/file/d/1rpjbS-bDB20v4so-ORafAkM7plMXgvVt/view?usp=drivesdk" TargetMode="External"/><Relationship Id="rId3" Type="http://schemas.openxmlformats.org/officeDocument/2006/relationships/hyperlink" Target="https://drive.google.com/file/d/1cg69iAQNc9uOtWuqUJGFIHJbW9g8lvCb/view?usp=drive_link" TargetMode="External"/><Relationship Id="rId29" Type="http://schemas.openxmlformats.org/officeDocument/2006/relationships/hyperlink" Target="https://drive.google.com/file/d/1Jd1pNOhKfow7rDb2cXcXuMaKkq3scBym/view?usp=drivesdk" TargetMode="External"/><Relationship Id="rId28" Type="http://schemas.openxmlformats.org/officeDocument/2006/relationships/hyperlink" Target="https://drive.google.com/file/d/14GkYuSFockovOVePXY3kQGt-QIydDele/view?usp=drive_link" TargetMode="External"/><Relationship Id="rId27" Type="http://schemas.openxmlformats.org/officeDocument/2006/relationships/hyperlink" Target="https://drive.google.com/file/d/1hO6981dWlr7a4rY7wKkphIA6DUHyv1ca/view?usp=drivesdk" TargetMode="External"/><Relationship Id="rId26" Type="http://schemas.openxmlformats.org/officeDocument/2006/relationships/hyperlink" Target="https://drive.google.com/file/d/1GgU8otZVWYUtpfGoGJVaWq9OiwS6VyWR/view?usp=drivesdk" TargetMode="External"/><Relationship Id="rId25" Type="http://schemas.openxmlformats.org/officeDocument/2006/relationships/hyperlink" Target="https://drive.google.com/file/d/1_zXzreSeSg3T8OGxR3-9v1X3VUpHTPc3/view?usp=drivesdk" TargetMode="External"/><Relationship Id="rId24" Type="http://schemas.openxmlformats.org/officeDocument/2006/relationships/hyperlink" Target="https://drive.google.com/file/d/1vLkz92jSiAjbZoz-m5Jqje9B1tsB1rmq/view?usp=drivesdk" TargetMode="External"/><Relationship Id="rId23" Type="http://schemas.openxmlformats.org/officeDocument/2006/relationships/hyperlink" Target="https://drive.google.com/file/d/1ZpM61LlNe-bBtPRymoN2qXZ6YGP26bFH/view?usp=drivesdk" TargetMode="External"/><Relationship Id="rId225" Type="http://schemas.openxmlformats.org/officeDocument/2006/relationships/hyperlink" Target="https://drive.google.com/file/d/1z6DqqghGz5_1wHnScD8k48HgKfz0Zk9I/view?usp=sharing" TargetMode="External"/><Relationship Id="rId224" Type="http://schemas.openxmlformats.org/officeDocument/2006/relationships/hyperlink" Target="https://drive.google.com/file/d/1HvfXkFjLiHRPwmnYl-3JLNG2OHocGWGJ/view?usp=drive_link" TargetMode="External"/><Relationship Id="rId223" Type="http://schemas.openxmlformats.org/officeDocument/2006/relationships/hyperlink" Target="https://drive.google.com/file/d/1O8IFerN_b1OVb1CN9mQGTjYZpOKGoITY/view?usp=drive_link" TargetMode="External"/><Relationship Id="rId222" Type="http://schemas.openxmlformats.org/officeDocument/2006/relationships/hyperlink" Target="https://drive.google.com/file/d/1g_9nh_hqVHEgyFmCYgVlJFmL1Aj6XSjP/view?usp=drive_link" TargetMode="External"/><Relationship Id="rId221" Type="http://schemas.openxmlformats.org/officeDocument/2006/relationships/hyperlink" Target="https://drive.google.com/file/d/1pO45KJ2Anjf1wjhdMDATmYcrXCytLB3y/view?usp=sharing" TargetMode="External"/><Relationship Id="rId220" Type="http://schemas.openxmlformats.org/officeDocument/2006/relationships/hyperlink" Target="https://drive.google.com/file/d/1ayKyx-7T7TwOte_gGFgfgCxWiVa8Cg8m/view?usp=drive_link" TargetMode="External"/><Relationship Id="rId22" Type="http://schemas.openxmlformats.org/officeDocument/2006/relationships/hyperlink" Target="https://drive.google.com/file/d/1ohjC0u0QM9dwleJp6BUydV1-T0sVYTjs/view?usp=drive_link" TargetMode="External"/><Relationship Id="rId219" Type="http://schemas.openxmlformats.org/officeDocument/2006/relationships/hyperlink" Target="https://drive.google.com/file/d/1VXVL_r3DoAz3I_u0DD1X5QX9FVNRikkd/view?usp=drive_link" TargetMode="External"/><Relationship Id="rId218" Type="http://schemas.openxmlformats.org/officeDocument/2006/relationships/hyperlink" Target="https://drive.google.com/file/d/14S--Kd5Vl3YSMCHzwwYt_kQIgxGm_Zbg/view?usp=drive_link" TargetMode="External"/><Relationship Id="rId217" Type="http://schemas.openxmlformats.org/officeDocument/2006/relationships/hyperlink" Target="https://drive.google.com/file/d/1n-OVjxMOvOjL1phlSkz8eviOukA2jLci/view?usp=drive_link" TargetMode="External"/><Relationship Id="rId216" Type="http://schemas.openxmlformats.org/officeDocument/2006/relationships/hyperlink" Target="https://drive.google.com/file/d/1_wspiI7N_dRs_vE3p2pH0rc8yAcF-pg4/view?usp=drive_link" TargetMode="External"/><Relationship Id="rId215" Type="http://schemas.openxmlformats.org/officeDocument/2006/relationships/hyperlink" Target="https://drive.google.com/file/d/1WXt01Z5DyEaibfcb9yjRvC37GnJBijOf/view?usp=drive_link" TargetMode="External"/><Relationship Id="rId214" Type="http://schemas.openxmlformats.org/officeDocument/2006/relationships/hyperlink" Target="https://drive.google.com/file/d/12CBiVkqByJdiB_fExvTvqpU9ylB2Sy3W/view?usp=drive_link" TargetMode="External"/><Relationship Id="rId213" Type="http://schemas.openxmlformats.org/officeDocument/2006/relationships/hyperlink" Target="https://drive.google.com/file/d/1rjwl5CZZjBCqyIHHwyVOtiklXu_rVxIO/view?usp=drive_link" TargetMode="External"/><Relationship Id="rId212" Type="http://schemas.openxmlformats.org/officeDocument/2006/relationships/hyperlink" Target="https://drive.google.com/file/d/1imOf8cO4LrDK_1VGlnSJPrR4OAx8Sd2B/view?usp=drive_link" TargetMode="External"/><Relationship Id="rId211" Type="http://schemas.openxmlformats.org/officeDocument/2006/relationships/hyperlink" Target="https://drive.google.com/file/d/10aHD4D4de3IMNUlj2mTv1iugbhs7vm95/view?usp=drive_link" TargetMode="External"/><Relationship Id="rId210" Type="http://schemas.openxmlformats.org/officeDocument/2006/relationships/hyperlink" Target="https://drive.google.com/file/d/15MHSo23sHhYQuvGI6Rdc88aGx1MXVhlF/view?usp=drive_link" TargetMode="External"/><Relationship Id="rId21" Type="http://schemas.openxmlformats.org/officeDocument/2006/relationships/hyperlink" Target="https://drive.google.com/file/d/1fSvGTS8bB6HuiPaZYdDiOhcl5coBTyn6/view?usp=drivesdk" TargetMode="External"/><Relationship Id="rId209" Type="http://schemas.openxmlformats.org/officeDocument/2006/relationships/hyperlink" Target="https://drive.google.com/file/d/1z2yIzp0ZbgM-WXwFf0MlJEXezfRG53OZ/view?usp=drive_link" TargetMode="External"/><Relationship Id="rId208" Type="http://schemas.openxmlformats.org/officeDocument/2006/relationships/hyperlink" Target="https://drive.google.com/file/d/1DcpP4LOQNc8RwrLINVuQGgWXm-u_a-sA/view?usp=drive_link" TargetMode="External"/><Relationship Id="rId207" Type="http://schemas.openxmlformats.org/officeDocument/2006/relationships/hyperlink" Target="https://drive.google.com/file/d/1iDuc7gvHFRshb5E8TcJ7Ilr725UDYtYT/view?usp=drive_link" TargetMode="External"/><Relationship Id="rId206" Type="http://schemas.openxmlformats.org/officeDocument/2006/relationships/hyperlink" Target="https://drive.google.com/file/d/1BYzvA60nhOIgB0lqA_h_gUgzzn4g3BE1/view?usp=drive_link" TargetMode="External"/><Relationship Id="rId205" Type="http://schemas.openxmlformats.org/officeDocument/2006/relationships/hyperlink" Target="https://drive.google.com/file/d/1h1YpL-TqyEbEky1f-D_FA37WkazYPh6C/view?usp=drivesdk" TargetMode="External"/><Relationship Id="rId204" Type="http://schemas.openxmlformats.org/officeDocument/2006/relationships/hyperlink" Target="https://drive.google.com/file/d/1DLXMiPTJtaj-cV4BMCQfSpkJVR1A3rDB/view?usp=drivesdk" TargetMode="External"/><Relationship Id="rId203" Type="http://schemas.openxmlformats.org/officeDocument/2006/relationships/hyperlink" Target="https://drive.google.com/file/d/1b0tG7LlxP2I7zhWbYZaWxkh28HgqHz0s/view?usp=drivesdk" TargetMode="External"/><Relationship Id="rId202" Type="http://schemas.openxmlformats.org/officeDocument/2006/relationships/hyperlink" Target="https://drive.google.com/file/d/1iuScMGNcz3weEMoQVa1T_JuSW_9DH1pO/view?usp=drivesdk" TargetMode="External"/><Relationship Id="rId201" Type="http://schemas.openxmlformats.org/officeDocument/2006/relationships/hyperlink" Target="https://drive.google.com/file/d/1kw2VWoQAq_GLZWh8CMRcXuwxf4-mQw_3/view?usp=drivesdk" TargetMode="External"/><Relationship Id="rId200" Type="http://schemas.openxmlformats.org/officeDocument/2006/relationships/hyperlink" Target="https://drive.google.com/file/d/1Abd8DwLweMv1FfMWCYJdSkK3a-re0q0L/view?usp=drivesdk" TargetMode="External"/><Relationship Id="rId20" Type="http://schemas.openxmlformats.org/officeDocument/2006/relationships/hyperlink" Target="https://drive.google.com/file/d/1n6kgQYiFSfRmzvqNvEMMpvoSSKW9tNLl/view?usp=drivesdk" TargetMode="External"/><Relationship Id="rId2" Type="http://schemas.openxmlformats.org/officeDocument/2006/relationships/hyperlink" Target="https://drive.google.com/file/d/1O_oCQwgVirp_-8d3UhY1cPDaNy9b7iKJ/view?usp=drive_link" TargetMode="External"/><Relationship Id="rId199" Type="http://schemas.openxmlformats.org/officeDocument/2006/relationships/hyperlink" Target="https://drive.google.com/file/d/1pJ8fD1Ok-zcawXCMQ_cRWt6M5YN8RMtR/view?usp=drivesdk" TargetMode="External"/><Relationship Id="rId198" Type="http://schemas.openxmlformats.org/officeDocument/2006/relationships/hyperlink" Target="https://drive.google.com/file/d/1aHQQRjcXI6yHCt_UP6yKuQeMFKCUgGvc/view?usp=drivesdk" TargetMode="External"/><Relationship Id="rId197" Type="http://schemas.openxmlformats.org/officeDocument/2006/relationships/hyperlink" Target="https://drive.google.com/file/d/1pRyxVlOB9oeuk3O5IIACA530apjx3-Be/view?usp=drivesdk" TargetMode="External"/><Relationship Id="rId196" Type="http://schemas.openxmlformats.org/officeDocument/2006/relationships/hyperlink" Target="https://drive.google.com/file/d/1uYLeaulkVSSo9JfLTOyoKNdPZriZ7gfN/view?usp=drivesdk" TargetMode="External"/><Relationship Id="rId195" Type="http://schemas.openxmlformats.org/officeDocument/2006/relationships/hyperlink" Target="https://drive.google.com/file/d/1qoLoPyTtfy5SLtbkTcwZ5hfG7zyYvOjI/view?usp=drivesdk" TargetMode="External"/><Relationship Id="rId194" Type="http://schemas.openxmlformats.org/officeDocument/2006/relationships/hyperlink" Target="https://drive.google.com/file/d/1uouhgNSfb35tVgSNAT8SBXbH8HW7m3t7/view?usp=drivesdk" TargetMode="External"/><Relationship Id="rId193" Type="http://schemas.openxmlformats.org/officeDocument/2006/relationships/hyperlink" Target="https://drive.google.com/file/d/1bxIZJ6A0SyevCXCLRJJQsKicLHyUSel3/view?usp=drivesdk" TargetMode="External"/><Relationship Id="rId192" Type="http://schemas.openxmlformats.org/officeDocument/2006/relationships/hyperlink" Target="https://drive.google.com/file/d/1dkDs0IKNusqI0BPpiDMA33TS3N20uRcH/view?usp=drivesdk" TargetMode="External"/><Relationship Id="rId191" Type="http://schemas.openxmlformats.org/officeDocument/2006/relationships/hyperlink" Target="https://drive.google.com/file/d/13SbKXAWRec3kpm0GqTA736J4r8YLM3mP/view?usp=drivesdk" TargetMode="External"/><Relationship Id="rId190" Type="http://schemas.openxmlformats.org/officeDocument/2006/relationships/hyperlink" Target="https://drive.google.com/file/d/1IFXyXVWNPCHVMWZK264ltJrxyR8MoCNf/view?usp=drivesdk" TargetMode="External"/><Relationship Id="rId19" Type="http://schemas.openxmlformats.org/officeDocument/2006/relationships/hyperlink" Target="https://drive.google.com/file/d/1KSMbzrz3X3oZco_1VRLWlNF8b1Ct_y1e/view?usp=drive_link" TargetMode="External"/><Relationship Id="rId189" Type="http://schemas.openxmlformats.org/officeDocument/2006/relationships/hyperlink" Target="https://drive.google.com/file/d/1mkpgqVyWWqPHnVWFxR2j-_iHjXSrikm-/view?usp=drivesdk" TargetMode="External"/><Relationship Id="rId188" Type="http://schemas.openxmlformats.org/officeDocument/2006/relationships/hyperlink" Target="https://drive.google.com/file/d/1q6JC0ZSVeRyfzcyPXnR1oa_gZeq5Adsf/view?usp=drivesdk" TargetMode="External"/><Relationship Id="rId187" Type="http://schemas.openxmlformats.org/officeDocument/2006/relationships/hyperlink" Target="https://drive.google.com/file/d/1dTzdKzik3-5OtusMNjySYtSa9USPzG-r/view?usp=drivesdk" TargetMode="External"/><Relationship Id="rId186" Type="http://schemas.openxmlformats.org/officeDocument/2006/relationships/hyperlink" Target="https://drive.google.com/file/d/1flqvwxcZ1eir6abRUnyvAOwW4dzbgGVN/view?usp=drivesdk" TargetMode="External"/><Relationship Id="rId185" Type="http://schemas.openxmlformats.org/officeDocument/2006/relationships/hyperlink" Target="https://drive.google.com/file/d/1w4UTxyqtJUxMIQ3h2SuY5vbDKfKYHC29/view?usp=drivesdk" TargetMode="External"/><Relationship Id="rId184" Type="http://schemas.openxmlformats.org/officeDocument/2006/relationships/hyperlink" Target="https://drive.google.com/file/d/1FnlIWyliZjBpKGWlrZWC0ZLvdC1mSeRT/view?usp=drive_link" TargetMode="External"/><Relationship Id="rId183" Type="http://schemas.openxmlformats.org/officeDocument/2006/relationships/hyperlink" Target="https://drive.google.com/file/d/1TvB9GBclhW4rhP04DhbIb_b9Hdo5pqQV/view?usp=drive_link" TargetMode="External"/><Relationship Id="rId182" Type="http://schemas.openxmlformats.org/officeDocument/2006/relationships/hyperlink" Target="https://drive.google.com/file/d/1XHlRE9CIptYuWOI5CvCuk5N1M4maCZxU/view?usp=drive_link" TargetMode="External"/><Relationship Id="rId181" Type="http://schemas.openxmlformats.org/officeDocument/2006/relationships/hyperlink" Target="https://drive.google.com/file/d/1TlMcYAuNXaqhxEmWpXQUqvfAQAk46AGx/view?usp=drive_link" TargetMode="External"/><Relationship Id="rId180" Type="http://schemas.openxmlformats.org/officeDocument/2006/relationships/hyperlink" Target="https://drive.google.com/file/d/12Q3__owZ4sfSEGBknxHctOTH4xrGVWD7/view?usp=drive_link" TargetMode="External"/><Relationship Id="rId18" Type="http://schemas.openxmlformats.org/officeDocument/2006/relationships/hyperlink" Target="https://drive.google.com/file/d/1y9h8s5VAhGnrjSTRX_kpZAvQxcoDZYlF/view?usp=drive_link" TargetMode="External"/><Relationship Id="rId179" Type="http://schemas.openxmlformats.org/officeDocument/2006/relationships/hyperlink" Target="https://drive.google.com/file/d/1zJWXGJfINS9BzTK821055S7z4kP2wE92/view?usp=drive_link" TargetMode="External"/><Relationship Id="rId178" Type="http://schemas.openxmlformats.org/officeDocument/2006/relationships/hyperlink" Target="https://drive.google.com/file/d/1AX6OYh4cyvOHoTjUpWLiCag24x3ib1as/view?usp=drive_link" TargetMode="External"/><Relationship Id="rId177" Type="http://schemas.openxmlformats.org/officeDocument/2006/relationships/hyperlink" Target="https://drive.google.com/file/d/13amFNwY1TDp12ju5coJ_4t8OY3mdTqvo/view?usp=drive_link" TargetMode="External"/><Relationship Id="rId176" Type="http://schemas.openxmlformats.org/officeDocument/2006/relationships/hyperlink" Target="https://drive.google.com/file/d/1QNJAFIS3AcDcCYyHYBdcGhSfgl7p_oNi/view?usp=drive_link" TargetMode="External"/><Relationship Id="rId175" Type="http://schemas.openxmlformats.org/officeDocument/2006/relationships/hyperlink" Target="https://drive.google.com/file/d/1XYwMDVzh4fwDVhFcKzavALPhzJhymcTA/view?usp=drive_link" TargetMode="External"/><Relationship Id="rId174" Type="http://schemas.openxmlformats.org/officeDocument/2006/relationships/hyperlink" Target="https://drive.google.com/file/d/1XiG02UYQFZnEtTHy_-6O0J-OD0O2cJDG/view?usp=drive_link" TargetMode="External"/><Relationship Id="rId173" Type="http://schemas.openxmlformats.org/officeDocument/2006/relationships/hyperlink" Target="https://drive.google.com/file/d/1dA6BJnXLbpi0Zz_mRBTRHp76jTd3vpal/view?usp=drivesdk" TargetMode="External"/><Relationship Id="rId172" Type="http://schemas.openxmlformats.org/officeDocument/2006/relationships/hyperlink" Target="https://drive.google.com/file/d/1iQ_Q4HCJ-zDnMd1F94DucUYz7wOmhNTy/view?usp=drivesdk" TargetMode="External"/><Relationship Id="rId171" Type="http://schemas.openxmlformats.org/officeDocument/2006/relationships/hyperlink" Target="https://drive.google.com/file/d/1z9vz2r3HtntpLAZXfmgg61ZPtNs3JwGj/view?usp=drive_link" TargetMode="External"/><Relationship Id="rId170" Type="http://schemas.openxmlformats.org/officeDocument/2006/relationships/hyperlink" Target="https://drive.google.com/file/d/13UKyayGuA94wgag2vP608BSJm28F9SjK/view?usp=drivesdk" TargetMode="External"/><Relationship Id="rId17" Type="http://schemas.openxmlformats.org/officeDocument/2006/relationships/hyperlink" Target="https://drive.google.com/file/d/1aULi1pNwQdGVpTKDuog0P9Xh1IcPJhYJ/view?usp=drive_link" TargetMode="External"/><Relationship Id="rId169" Type="http://schemas.openxmlformats.org/officeDocument/2006/relationships/hyperlink" Target="https://drive.google.com/file/d/1zb-v3OBPe1uEGA2pfUeJYKn607Q23-VX/view?usp=drive_link" TargetMode="External"/><Relationship Id="rId168" Type="http://schemas.openxmlformats.org/officeDocument/2006/relationships/hyperlink" Target="https://drive.google.com/file/d/1vm26hGolfmIt_00AwhxaInYBeHzy-o-M/view?usp=drive_link" TargetMode="External"/><Relationship Id="rId167" Type="http://schemas.openxmlformats.org/officeDocument/2006/relationships/hyperlink" Target="https://drive.google.com/file/d/1YbHVvlbyekEd3SxwhAnFtXa_ZYZV9hC9/view?usp=drivesdk" TargetMode="External"/><Relationship Id="rId166" Type="http://schemas.openxmlformats.org/officeDocument/2006/relationships/hyperlink" Target="https://drive.google.com/file/d/1QwVsrlCn-vJKPmMmbOEuyVZPenw3zLAi/view?usp=drivesdk" TargetMode="External"/><Relationship Id="rId165" Type="http://schemas.openxmlformats.org/officeDocument/2006/relationships/hyperlink" Target="https://drive.google.com/file/d/1dEXWzbjvlXlAtXnVegOKsP-FK2X8icyG/view?usp=drivesdk" TargetMode="External"/><Relationship Id="rId164" Type="http://schemas.openxmlformats.org/officeDocument/2006/relationships/hyperlink" Target="https://drive.google.com/file/d/12Rz9Bst1qc788H8Zh8yXBmnHPzzrN93P/view?usp=drivesdk" TargetMode="External"/><Relationship Id="rId163" Type="http://schemas.openxmlformats.org/officeDocument/2006/relationships/hyperlink" Target="https://drive.google.com/file/d/1T7BS5aUu1suc6oUZAUJSkrbr1ggrqk4F/view?usp=drivesdk" TargetMode="External"/><Relationship Id="rId162" Type="http://schemas.openxmlformats.org/officeDocument/2006/relationships/hyperlink" Target="https://drive.google.com/file/d/1SVzgo7K5HA2eBNvCm9cHE5Jjj19OQ_Yi/view?usp=drivesdk" TargetMode="External"/><Relationship Id="rId161" Type="http://schemas.openxmlformats.org/officeDocument/2006/relationships/hyperlink" Target="https://drive.google.com/file/d/1VBcUYGGVBC1eFzghNmCL6gYt5uTrB1En/view?usp=drivesdk" TargetMode="External"/><Relationship Id="rId160" Type="http://schemas.openxmlformats.org/officeDocument/2006/relationships/hyperlink" Target="https://drive.google.com/file/d/1AvwfvxAigPmn2HwcxP2r_HE5XQNTVfio/view?usp=drivesdk" TargetMode="External"/><Relationship Id="rId16" Type="http://schemas.openxmlformats.org/officeDocument/2006/relationships/hyperlink" Target="https://drive.google.com/file/d/1Sye9_tfW3vCUCuzfO04RicfVtkkhBLUa/view" TargetMode="External"/><Relationship Id="rId159" Type="http://schemas.openxmlformats.org/officeDocument/2006/relationships/hyperlink" Target="https://drive.google.com/file/d/1YHGtCN76a8nF57aGzHjkfYUeeOB51E2i/view?usp=drive_link" TargetMode="External"/><Relationship Id="rId158" Type="http://schemas.openxmlformats.org/officeDocument/2006/relationships/hyperlink" Target="https://drive.google.com/file/d/1WOEQum9D_NKi3goLKqtY1VRtvIRb4Onc/view?usp=drivesdk" TargetMode="External"/><Relationship Id="rId157" Type="http://schemas.openxmlformats.org/officeDocument/2006/relationships/hyperlink" Target="https://drive.google.com/file/d/1tYp3kf2YZfVDWXP_ppXiSk-8uC3iLHGP/view?usp=drivesdk" TargetMode="External"/><Relationship Id="rId156" Type="http://schemas.openxmlformats.org/officeDocument/2006/relationships/hyperlink" Target="https://drive.google.com/file/d/1j5G0xlpPZoN_-SJWXfCmHSvy5_f5ElVb/view?usp=drive_link" TargetMode="External"/><Relationship Id="rId155" Type="http://schemas.openxmlformats.org/officeDocument/2006/relationships/hyperlink" Target="https://drive.google.com/file/d/18R5-hqH5rhdTFHQ_-9FelFaTNFFzJh_T/view?usp=drive_link" TargetMode="External"/><Relationship Id="rId154" Type="http://schemas.openxmlformats.org/officeDocument/2006/relationships/hyperlink" Target="https://drive.google.com/file/d/10GW4FACg3bdcBCeLjSYcb833mvK73Nsk/view?usp=drive_link" TargetMode="External"/><Relationship Id="rId153" Type="http://schemas.openxmlformats.org/officeDocument/2006/relationships/hyperlink" Target="https://drive.google.com/file/d/1wph9zlC06HPR6sLyJB2CA14nwySD_6ES/view?usp=drive_link" TargetMode="External"/><Relationship Id="rId152" Type="http://schemas.openxmlformats.org/officeDocument/2006/relationships/hyperlink" Target="https://drive.google.com/file/d/17SJTGdOIPyZoBVvb3OcOJmQ_95JfuaZ5/view?usp=drivesdk" TargetMode="External"/><Relationship Id="rId151" Type="http://schemas.openxmlformats.org/officeDocument/2006/relationships/hyperlink" Target="https://drive.google.com/file/d/1JJxXXDiBnkpOvq2wjJstoqS76vydmnah/view?usp=drivesdk" TargetMode="External"/><Relationship Id="rId150" Type="http://schemas.openxmlformats.org/officeDocument/2006/relationships/hyperlink" Target="https://drive.google.com/file/d/1lDxJBcuIu3TFbYeDrmoCWNkC3Q7oRWtQ/view?usp=drivesdk" TargetMode="External"/><Relationship Id="rId15" Type="http://schemas.openxmlformats.org/officeDocument/2006/relationships/hyperlink" Target="https://drive.google.com/file/d/1f9YvrEEU4Hx-Gov_l-mxoXT9fJwHvlGX/view?usp=drivesdk" TargetMode="External"/><Relationship Id="rId149" Type="http://schemas.openxmlformats.org/officeDocument/2006/relationships/hyperlink" Target="https://drive.google.com/file/d/1BNuTqZYxqx1yeGa2TrCYkK9pzeYN8dIj/view?usp=drivesdk" TargetMode="External"/><Relationship Id="rId148" Type="http://schemas.openxmlformats.org/officeDocument/2006/relationships/hyperlink" Target="https://drive.google.com/file/d/1G6kH8R6hjEGmJmuU2Q1QejweKqjRW6DP/view?usp=drivesdk" TargetMode="External"/><Relationship Id="rId147" Type="http://schemas.openxmlformats.org/officeDocument/2006/relationships/hyperlink" Target="https://drive.google.com/file/d/1poK13YhNucktf9lLXnQDFWoerWIEizJG/view?usp=drivesdk" TargetMode="External"/><Relationship Id="rId146" Type="http://schemas.openxmlformats.org/officeDocument/2006/relationships/hyperlink" Target="https://drive.google.com/file/d/1b0bKnztL_wIvXb9cJiIcJtiqEhuOSFFO/view?usp=drivesdk" TargetMode="External"/><Relationship Id="rId145" Type="http://schemas.openxmlformats.org/officeDocument/2006/relationships/hyperlink" Target="https://drive.google.com/file/d/1p4jNVbor9SWt0QSpK-huF8RwzNZztNBs/view?usp=drive_link" TargetMode="External"/><Relationship Id="rId144" Type="http://schemas.openxmlformats.org/officeDocument/2006/relationships/hyperlink" Target="https://drive.google.com/file/d/1-ViehUGCoK-95HMz0jT4bisUTtKswxf_/view?usp=sharing" TargetMode="External"/><Relationship Id="rId143" Type="http://schemas.openxmlformats.org/officeDocument/2006/relationships/hyperlink" Target="https://drive.google.com/file/d/1ctDgbYciQzWvUHJfho5-NJ-Nj4A7_znS/view?usp=drive_link" TargetMode="External"/><Relationship Id="rId142" Type="http://schemas.openxmlformats.org/officeDocument/2006/relationships/hyperlink" Target="https://drive.google.com/file/d/1pSBWMwByQ3bS1TS6p1JDl_bfYDZPEKhO/view?usp=drivesdk" TargetMode="External"/><Relationship Id="rId141" Type="http://schemas.openxmlformats.org/officeDocument/2006/relationships/hyperlink" Target="https://drive.google.com/file/d/15783VE4mpd_oLtq6eJkrhYXIz-t2msIl/view?usp=drivesdk" TargetMode="External"/><Relationship Id="rId140" Type="http://schemas.openxmlformats.org/officeDocument/2006/relationships/hyperlink" Target="https://drive.google.com/file/d/1s5ZFWy4lgKTWx1VTywtJJzs4tASXleI9/view?usp=drivesdk" TargetMode="External"/><Relationship Id="rId14" Type="http://schemas.openxmlformats.org/officeDocument/2006/relationships/hyperlink" Target="https://drive.google.com/file/d/1IUS8d_QOkrc_3Yf1jLvL5afjwyI3ICZg/view?usp=drive_link" TargetMode="External"/><Relationship Id="rId139" Type="http://schemas.openxmlformats.org/officeDocument/2006/relationships/hyperlink" Target="https://drive.google.com/file/d/1y28oNcvflHApb5YBGVUOpaKsxzLbeTTp/view?usp=drivesdk" TargetMode="External"/><Relationship Id="rId138" Type="http://schemas.openxmlformats.org/officeDocument/2006/relationships/hyperlink" Target="https://drive.google.com/file/d/1aY6-wolra3d4A0ttvVkD6luYdeaD4l7c/view?usp=drivesdk" TargetMode="External"/><Relationship Id="rId137" Type="http://schemas.openxmlformats.org/officeDocument/2006/relationships/hyperlink" Target="https://drive.google.com/file/d/1zPVx8tfZi1fGYG4_sqtBbEMJWOun4f__/view?usp=drivesdk" TargetMode="External"/><Relationship Id="rId136" Type="http://schemas.openxmlformats.org/officeDocument/2006/relationships/hyperlink" Target="https://drive.google.com/file/d/1PJHtx1YRK-EbFEpyWgpLYNBcIr4WAcV5/view?usp=drivesdk" TargetMode="External"/><Relationship Id="rId135" Type="http://schemas.openxmlformats.org/officeDocument/2006/relationships/hyperlink" Target="https://drive.google.com/file/d/1pxEdrWivFmVVLOXe4-sX3lGJsCPyorvy/view?usp=drivesdk" TargetMode="External"/><Relationship Id="rId134" Type="http://schemas.openxmlformats.org/officeDocument/2006/relationships/hyperlink" Target="https://drive.google.com/file/d/1cDws5m82y0QLaMQjQn4nPhQjGbKZTTHM/view?usp=drive_link" TargetMode="External"/><Relationship Id="rId133" Type="http://schemas.openxmlformats.org/officeDocument/2006/relationships/hyperlink" Target="https://drive.google.com/file/d/16by67tCJFVKHKykzeCeia17gpwlOfXpO/view?usp=drivesdk" TargetMode="External"/><Relationship Id="rId132" Type="http://schemas.openxmlformats.org/officeDocument/2006/relationships/hyperlink" Target="https://drive.google.com/file/d/1k0xycatCDTk2g7PX8zM_R7RcEkY0FkSg/view?usp=drivesdk" TargetMode="External"/><Relationship Id="rId131" Type="http://schemas.openxmlformats.org/officeDocument/2006/relationships/hyperlink" Target="https://drive.google.com/file/d/14umXqhwx7Hk32DAHiMx_-VPdZofNm0z2/view?usp=drivesdk" TargetMode="External"/><Relationship Id="rId130" Type="http://schemas.openxmlformats.org/officeDocument/2006/relationships/hyperlink" Target="https://drive.google.com/file/d/1rN0f_MUrpuskqnfi6ifO3-IpFakYzlfv/view?usp=drive_link" TargetMode="External"/><Relationship Id="rId13" Type="http://schemas.openxmlformats.org/officeDocument/2006/relationships/hyperlink" Target="https://drive.google.com/file/d/1fXOiqAnxdoHpyev1mo2L2hCmYJXmk1jX/view?usp=drive_link" TargetMode="External"/><Relationship Id="rId129" Type="http://schemas.openxmlformats.org/officeDocument/2006/relationships/hyperlink" Target="https://drive.google.com/file/d/1LqAuW6_cg5jiH0WxSu4CpSCLTZwbRFZD/view?usp=drivesdk" TargetMode="External"/><Relationship Id="rId128" Type="http://schemas.openxmlformats.org/officeDocument/2006/relationships/hyperlink" Target="https://drive.google.com/file/d/1hTsJOAVmbTuXMkIXdD-biQuiBl5NUjvu/view?usp=drivesdk" TargetMode="External"/><Relationship Id="rId127" Type="http://schemas.openxmlformats.org/officeDocument/2006/relationships/hyperlink" Target="https://drive.google.com/file/d/1_fZwJu7dWxIyD6tKr_vhH0lazrhaO0-3/view?usp=drivesdk" TargetMode="External"/><Relationship Id="rId126" Type="http://schemas.openxmlformats.org/officeDocument/2006/relationships/hyperlink" Target="https://drive.google.com/file/d/1qjtejJbPZhaEoDtH1SzjRPkoAIfcWO6P/view?usp=drive_link" TargetMode="External"/><Relationship Id="rId125" Type="http://schemas.openxmlformats.org/officeDocument/2006/relationships/hyperlink" Target="https://drive.google.com/file/d/1B7wFLY5XROOEnCBo5MvraJCHGZSlvN2F/view?usp=drivesdk" TargetMode="External"/><Relationship Id="rId124" Type="http://schemas.openxmlformats.org/officeDocument/2006/relationships/hyperlink" Target="https://drive.google.com/file/d/13NRRwV6xx66cW1eLQgLlIoT0apkFdG3H/view?usp=drivesdk" TargetMode="External"/><Relationship Id="rId123" Type="http://schemas.openxmlformats.org/officeDocument/2006/relationships/hyperlink" Target="https://drive.google.com/file/d/1QHgzzBJNnFVv7Q4ZFvEihpGjk4Z1zaPp/view?usp=drivesdk" TargetMode="External"/><Relationship Id="rId122" Type="http://schemas.openxmlformats.org/officeDocument/2006/relationships/hyperlink" Target="https://drive.google.com/file/d/1FUdhhfUN-luAroAa_KyyLtQAPWNYruGx/view?usp=drive_link" TargetMode="External"/><Relationship Id="rId121" Type="http://schemas.openxmlformats.org/officeDocument/2006/relationships/hyperlink" Target="https://drive.google.com/file/d/16suSyeaCwhnYVKgszyf2w4ssKbufdRBf/view?usp=drivesdk" TargetMode="External"/><Relationship Id="rId120" Type="http://schemas.openxmlformats.org/officeDocument/2006/relationships/hyperlink" Target="https://drive.google.com/file/d/1waraBZBCOsJq0_rFPrXInBkspp7KcD0g/view?usp=drivesdk" TargetMode="External"/><Relationship Id="rId12" Type="http://schemas.openxmlformats.org/officeDocument/2006/relationships/hyperlink" Target="https://drive.google.com/file/d/1ZR8Ok0o8NUgcmRt1qjqcGmvnbmjwMOJ3/view?usp=drive_link" TargetMode="External"/><Relationship Id="rId119" Type="http://schemas.openxmlformats.org/officeDocument/2006/relationships/hyperlink" Target="https://drive.google.com/file/d/1kIJWy8Qyq1_tG4qEOkxoUeJSPRJfp6E1/view?usp=drivesdk" TargetMode="External"/><Relationship Id="rId118" Type="http://schemas.openxmlformats.org/officeDocument/2006/relationships/hyperlink" Target="https://docs.google.com/document/d/1Tbe0PVfzxCAfIsIxEjjd_PjY7DVCyvpPmoPb7jYq7uI/edit?usp=drive_link" TargetMode="External"/><Relationship Id="rId117" Type="http://schemas.openxmlformats.org/officeDocument/2006/relationships/hyperlink" Target="https://docs.google.com/document/d/11yo-N3jNXz73ot3FxtZEk7KIb7VCSJE6li2eBSuKDs4/edit?usp=drive_link" TargetMode="External"/><Relationship Id="rId116" Type="http://schemas.openxmlformats.org/officeDocument/2006/relationships/hyperlink" Target="https://docs.google.com/document/d/1KojeKbYm7_sMv6uvoWwL_UjDXkWgWfXXFipki9-a_1M/edit?usp=drive_link" TargetMode="External"/><Relationship Id="rId115" Type="http://schemas.openxmlformats.org/officeDocument/2006/relationships/hyperlink" Target="https://docs.google.com/document/d/1TCT74CQpfIc1e7CnSVSy4TKajIafLyegfq-cMsMhWKg/edit?usp=drive_link" TargetMode="External"/><Relationship Id="rId114" Type="http://schemas.openxmlformats.org/officeDocument/2006/relationships/hyperlink" Target="https://drive.google.com/file/d/1UMaC0dmkJLAfLNI_13AnsMMyV4D1WgRJ/view?usp=drivesdk" TargetMode="External"/><Relationship Id="rId113" Type="http://schemas.openxmlformats.org/officeDocument/2006/relationships/hyperlink" Target="https://drive.google.com/file/d/1U9ayAdpHb6nhlOC0nb79f6BxuPlwfQ9K/view?usp=drivesdk" TargetMode="External"/><Relationship Id="rId112" Type="http://schemas.openxmlformats.org/officeDocument/2006/relationships/hyperlink" Target="https://drive.google.com/file/d/1bNgpZa_CUI7KauO5S_wo1U7tssBuDbSN/view?usp=drivesdk" TargetMode="External"/><Relationship Id="rId111" Type="http://schemas.openxmlformats.org/officeDocument/2006/relationships/hyperlink" Target="https://drive.google.com/file/d/1sT0NJsD21pgepjH7tLuJCBFtIZQax2Wl/view?usp=drivesdk" TargetMode="External"/><Relationship Id="rId110" Type="http://schemas.openxmlformats.org/officeDocument/2006/relationships/hyperlink" Target="https://drive.google.com/file/d/1Rrq1AHOdjR2ShWbqNq2RzzfKxCAwSRZj/view?usp=drivesdk" TargetMode="External"/><Relationship Id="rId11" Type="http://schemas.openxmlformats.org/officeDocument/2006/relationships/hyperlink" Target="https://drive.google.com/file/d/1KSVlG8ggn_l2f-vaOdiJ4ew0PqS7szcU/view?usp=drive_link" TargetMode="External"/><Relationship Id="rId109" Type="http://schemas.openxmlformats.org/officeDocument/2006/relationships/hyperlink" Target="https://drive.google.com/file/d/16KKmcdo6AzhCKj5Fp9W20GMNYdo_wKML/view?usp=drivesdk" TargetMode="External"/><Relationship Id="rId108" Type="http://schemas.openxmlformats.org/officeDocument/2006/relationships/hyperlink" Target="https://drive.google.com/file/d/13JiJlWYw1IWnWLN_tS9c9yqU95lY_OiF/view?usp=drivesdk" TargetMode="External"/><Relationship Id="rId107" Type="http://schemas.openxmlformats.org/officeDocument/2006/relationships/hyperlink" Target="https://drive.google.com/file/d/1Vx0j5Nj4g4HBZmQou69RA8ki6wE3Lahh/view?usp=drivesdk" TargetMode="External"/><Relationship Id="rId106" Type="http://schemas.openxmlformats.org/officeDocument/2006/relationships/hyperlink" Target="https://drive.google.com/file/d/1P_BCu_2QVtE153XaJwwFH2qOnbtfw2vU/view?usp=drivesdk" TargetMode="External"/><Relationship Id="rId105" Type="http://schemas.openxmlformats.org/officeDocument/2006/relationships/hyperlink" Target="https://drive.google.com/file/d/1KiLSQnjJ2psEDDxubsd4qAIGYURZhEgV/view?usp=share_link" TargetMode="External"/><Relationship Id="rId104" Type="http://schemas.openxmlformats.org/officeDocument/2006/relationships/hyperlink" Target="https://drive.google.com/file/d/1m9dPnqms1RkHwlmaoq6HNpVdrxXKMc4e/view?usp=sharing" TargetMode="External"/><Relationship Id="rId103" Type="http://schemas.openxmlformats.org/officeDocument/2006/relationships/hyperlink" Target="https://drive.google.com/file/d/1lWP6IvNBiSgSE8NUcRY6MtyFZvzryUVW/view?usp=sharing" TargetMode="External"/><Relationship Id="rId102" Type="http://schemas.openxmlformats.org/officeDocument/2006/relationships/hyperlink" Target="https://drive.google.com/file/d/1Y9flt534_FhOqa8NP_vpNuG3r3VfhlQm/view?usp=sharing" TargetMode="External"/><Relationship Id="rId101" Type="http://schemas.openxmlformats.org/officeDocument/2006/relationships/hyperlink" Target="https://drive.google.com/file/d/19I4c0_5oVLw-4BiB8pjI1bptf-OdunLg/view?usp=drivesdk" TargetMode="External"/><Relationship Id="rId100" Type="http://schemas.openxmlformats.org/officeDocument/2006/relationships/hyperlink" Target="https://drive.google.com/file/d/16IRc55EQPnwJwz1MBgv_Y1W7eI0TnC6F/view?usp=drivesdk" TargetMode="External"/><Relationship Id="rId10" Type="http://schemas.openxmlformats.org/officeDocument/2006/relationships/hyperlink" Target="https://drive.google.com/file/d/1GoH4RSP1ZzNZmI4VzWWWyfn0Nk7ktj5p/view?usp=drive_link" TargetMode="External"/><Relationship Id="rId1" Type="http://schemas.openxmlformats.org/officeDocument/2006/relationships/hyperlink" Target="http://s.no/" TargetMode="External"/></Relationships>
</file>

<file path=xl/worksheets/_rels/sheet18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mwomjH1QGF2g853ThBERIEl_lqprdVCV/view?usp=drive_link" TargetMode="External"/><Relationship Id="rId98" Type="http://schemas.openxmlformats.org/officeDocument/2006/relationships/hyperlink" Target="https://drive.google.com/file/d/10LKj431l5xtZZdGiXpGZC66AJpr0hYj0/view?usp=drivesdk" TargetMode="External"/><Relationship Id="rId97" Type="http://schemas.openxmlformats.org/officeDocument/2006/relationships/hyperlink" Target="https://drive.google.com/file/d/1KA6FdgYga4tpmUzHFKs8nZfj6I10Dsnc/view?usp=drive_link" TargetMode="External"/><Relationship Id="rId96" Type="http://schemas.openxmlformats.org/officeDocument/2006/relationships/hyperlink" Target="https://drive.google.com/file/d/1vL98rafw5EdMw0g-Gukusup3IuiOeWDb/view?usp=drive_link" TargetMode="External"/><Relationship Id="rId95" Type="http://schemas.openxmlformats.org/officeDocument/2006/relationships/hyperlink" Target="https://drive.google.com/file/d/1yqbx43PnfXE8U_6g27LrPngfH4Nim4l-/view?usp=drivesdk" TargetMode="External"/><Relationship Id="rId94" Type="http://schemas.openxmlformats.org/officeDocument/2006/relationships/hyperlink" Target="https://drive.google.com/file/d/1WQjpqTJkN2CL63dizWOLH-FHbxYPuwVs/view?usp=drivesdk" TargetMode="External"/><Relationship Id="rId93" Type="http://schemas.openxmlformats.org/officeDocument/2006/relationships/hyperlink" Target="https://drive.google.com/file/d/1KfWKJxh2VrKitJEr0szRBuEALYNYKYBC/view?usp=drivesdk" TargetMode="External"/><Relationship Id="rId92" Type="http://schemas.openxmlformats.org/officeDocument/2006/relationships/hyperlink" Target="https://drive.google.com/file/d/11rwp4t8FCYeorWBqowC3lt4oxoiMZXGD/view?usp=drivesdk" TargetMode="External"/><Relationship Id="rId91" Type="http://schemas.openxmlformats.org/officeDocument/2006/relationships/hyperlink" Target="https://drive.google.com/file/d/1EoQqe_wzL5E6hm9JFrG8aErbmcHafa8C/view?usp=drivesdk" TargetMode="External"/><Relationship Id="rId90" Type="http://schemas.openxmlformats.org/officeDocument/2006/relationships/hyperlink" Target="https://drive.google.com/file/d/17pRvmaCFzqLMQRC7wnvA4L82a4VoqSNb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4NjXiJxdPZj-jsyU8TwKzoZcgHH2Kikm/view?usp=drivesdk" TargetMode="External"/><Relationship Id="rId88" Type="http://schemas.openxmlformats.org/officeDocument/2006/relationships/hyperlink" Target="https://drive.google.com/file/d/1GrGA4TyYwG1MhtL3_f1BynYYPOQUPYfI/view?usp=drivesdk" TargetMode="External"/><Relationship Id="rId87" Type="http://schemas.openxmlformats.org/officeDocument/2006/relationships/hyperlink" Target="https://drive.google.com/file/d/1G_2h17dEDSJ0sJVLA7KEA3Wy18Qic-lD/view?usp=drivesdk" TargetMode="External"/><Relationship Id="rId86" Type="http://schemas.openxmlformats.org/officeDocument/2006/relationships/hyperlink" Target="https://drive.google.com/file/d/1d7EFuXhUJIVdNfyP-VvbEov7OxOUhnjX/view?usp=drivesdk" TargetMode="External"/><Relationship Id="rId85" Type="http://schemas.openxmlformats.org/officeDocument/2006/relationships/hyperlink" Target="https://drive.google.com/file/d/1V4kAOaTdr-GtYhnXv7gzQBE3ZR7ZPlKK/view?usp=drive_link" TargetMode="External"/><Relationship Id="rId84" Type="http://schemas.openxmlformats.org/officeDocument/2006/relationships/hyperlink" Target="https://drive.google.com/file/d/1Q3MLsC3HPDUwIk0LuSHUtLVSOuBH_O4N/view?usp=drivesdk" TargetMode="External"/><Relationship Id="rId83" Type="http://schemas.openxmlformats.org/officeDocument/2006/relationships/hyperlink" Target="https://drive.google.com/file/d/1HZnPMnXtZ0QO_7Mg1rBnqh1WGOP3akH4/view?usp=drivesdk" TargetMode="External"/><Relationship Id="rId82" Type="http://schemas.openxmlformats.org/officeDocument/2006/relationships/hyperlink" Target="https://drive.google.com/file/d/1LWD7yTNI0RJDRsb9uJmf_DlCrtRgUKyY/view?usp=drivesdk" TargetMode="External"/><Relationship Id="rId81" Type="http://schemas.openxmlformats.org/officeDocument/2006/relationships/hyperlink" Target="https://drive.google.com/file/d/1ugQovbHhHiatqYgFZRiOkMLioEJ1sY9o/view?usp=drivesdk" TargetMode="External"/><Relationship Id="rId80" Type="http://schemas.openxmlformats.org/officeDocument/2006/relationships/hyperlink" Target="https://drive.google.com/file/d/1VO8wG6RTf64Yu5WlHt4RNVEAlHxdXRIv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QLtgZLOi46VR-Umszotzw09fP7Prc0Sq/view?usp=drivesdk" TargetMode="External"/><Relationship Id="rId78" Type="http://schemas.openxmlformats.org/officeDocument/2006/relationships/hyperlink" Target="https://drive.google.com/file/d/14wIqiKajOELWiaI-p64Cs1Xs3kxBqO4v/view?usp=drivesdk" TargetMode="External"/><Relationship Id="rId77" Type="http://schemas.openxmlformats.org/officeDocument/2006/relationships/hyperlink" Target="https://drive.google.com/file/d/1hLGDUrXqBvHMOAiLQE0q9BoTCTu2K7ao/view?usp=drivesdk" TargetMode="External"/><Relationship Id="rId76" Type="http://schemas.openxmlformats.org/officeDocument/2006/relationships/hyperlink" Target="https://drive.google.com/file/d/18HoCA9YDoJiZI1ICrjO5DtziAZZqqASw/view?usp=drivesdk" TargetMode="External"/><Relationship Id="rId75" Type="http://schemas.openxmlformats.org/officeDocument/2006/relationships/hyperlink" Target="https://drive.google.com/file/d/1-sH-k7diCS-WDKeXQScayM3HAWW1q7sM/view?usp=drivesdk" TargetMode="External"/><Relationship Id="rId74" Type="http://schemas.openxmlformats.org/officeDocument/2006/relationships/hyperlink" Target="https://drive.google.com/file/d/1YI54nUQ9qGl4HCxnSZ9MgIOfdUXpAveO/view?usp=drivesdk" TargetMode="External"/><Relationship Id="rId73" Type="http://schemas.openxmlformats.org/officeDocument/2006/relationships/hyperlink" Target="https://drive.google.com/file/d/1yhSE8e9oSoZ1XITSkXcml25c5-I7E8OK/view?usp=drivesdk" TargetMode="External"/><Relationship Id="rId72" Type="http://schemas.openxmlformats.org/officeDocument/2006/relationships/hyperlink" Target="https://drive.google.com/file/d/11itxCKs7_1wrdjNgkLJy60XgxMCdImZ8/view?usp=drivesdk" TargetMode="External"/><Relationship Id="rId71" Type="http://schemas.openxmlformats.org/officeDocument/2006/relationships/hyperlink" Target="https://drive.google.com/file/d/1Yy8fpURlINeYfCy7rrZmDKFYHuyxD4iQ/view?usp=drivesdk" TargetMode="External"/><Relationship Id="rId70" Type="http://schemas.openxmlformats.org/officeDocument/2006/relationships/hyperlink" Target="https://drive.google.com/file/d/1FtIA5xRRdfg0DMeFhk4cK9fSTdReYxn_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v38ptVE_U4sgNuUAuiiQTJuuhlHb7jFl/view?usp=drive_link" TargetMode="External"/><Relationship Id="rId68" Type="http://schemas.openxmlformats.org/officeDocument/2006/relationships/hyperlink" Target="https://drive.google.com/file/d/1UL3NuZgOCt4s4K1Lmw0E4054Vvcygtkf/view?usp=drivesdk" TargetMode="External"/><Relationship Id="rId67" Type="http://schemas.openxmlformats.org/officeDocument/2006/relationships/hyperlink" Target="https://drive.google.com/file/d/1b0bKnztL_wIvXb9cJiIcJtiqEhuOSFFO/view?usp=drivesdk" TargetMode="External"/><Relationship Id="rId66" Type="http://schemas.openxmlformats.org/officeDocument/2006/relationships/hyperlink" Target="https://drive.google.com/file/d/1KLs3uxdiaRJWETPsO6CmyTUanKwokaZa/view?usp=drive_link" TargetMode="External"/><Relationship Id="rId65" Type="http://schemas.openxmlformats.org/officeDocument/2006/relationships/hyperlink" Target="https://drive.google.com/file/d/1ULg6wSSFgz4hxLake3pNnzRocvpPmZYZ/view?usp=drivesdk" TargetMode="External"/><Relationship Id="rId64" Type="http://schemas.openxmlformats.org/officeDocument/2006/relationships/hyperlink" Target="https://drive.google.com/file/d/1-aGhYs7ao10VRy2guue-uTg4Xq65DWCb/view?usp=drivesdk" TargetMode="External"/><Relationship Id="rId63" Type="http://schemas.openxmlformats.org/officeDocument/2006/relationships/hyperlink" Target="https://drive.google.com/file/d/1p4jNVbor9SWt0QSpK-huF8RwzNZztNBs/view?usp=drive_link" TargetMode="External"/><Relationship Id="rId62" Type="http://schemas.openxmlformats.org/officeDocument/2006/relationships/hyperlink" Target="https://drive.google.com/file/d/1LQkh8x3zwwOEGBzYg73i26Jpewo6cs3D/view?usp=drivesdk" TargetMode="External"/><Relationship Id="rId61" Type="http://schemas.openxmlformats.org/officeDocument/2006/relationships/hyperlink" Target="https://drive.google.com/file/d/1wGPC1ILzmoS_NSdfsBEMDa6PUvmHiITQ/view?usp=drivesdk" TargetMode="External"/><Relationship Id="rId60" Type="http://schemas.openxmlformats.org/officeDocument/2006/relationships/hyperlink" Target="https://drive.google.com/file/d/11pMXP9LzQDSOCFcGyZ30h0N4_459t-8T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WFj0LyCScVrmb41N-RuRU2HZGx5A4QUM/view?usp=drivesdk" TargetMode="External"/><Relationship Id="rId58" Type="http://schemas.openxmlformats.org/officeDocument/2006/relationships/hyperlink" Target="https://drive.google.com/file/d/18_RD9xZabwO2JP75PawLVIgZiRHanJ7r/view?usp=drivesdk" TargetMode="External"/><Relationship Id="rId57" Type="http://schemas.openxmlformats.org/officeDocument/2006/relationships/hyperlink" Target="https://drive.google.com/file/d/1Ak6smEd55cnbU6cgiHWyy16Q1-XSYz02/view?usp=drivesdk" TargetMode="External"/><Relationship Id="rId56" Type="http://schemas.openxmlformats.org/officeDocument/2006/relationships/hyperlink" Target="https://drive.google.com/file/d/1KHPev2Kq3qVrGscAO2uuo7yScy8y8Sup/view?usp=drivesdk" TargetMode="External"/><Relationship Id="rId55" Type="http://schemas.openxmlformats.org/officeDocument/2006/relationships/hyperlink" Target="https://drive.google.com/file/d/16VUgmeIgOqD2kCbL2vOnNnCK5A21jtS6/view?usp=drivesdk" TargetMode="External"/><Relationship Id="rId54" Type="http://schemas.openxmlformats.org/officeDocument/2006/relationships/hyperlink" Target="https://drive.google.com/file/d/1MUFzAJo5LSzmpdhI889kEhDZ0xKqImSg/view?usp=drivesdk" TargetMode="External"/><Relationship Id="rId53" Type="http://schemas.openxmlformats.org/officeDocument/2006/relationships/hyperlink" Target="https://drive.google.com/file/d/16C9A5O_2LU1qouTuL7juJbsj3tyaD1Qt/view?usp=drivesdk" TargetMode="External"/><Relationship Id="rId52" Type="http://schemas.openxmlformats.org/officeDocument/2006/relationships/hyperlink" Target="https://drive.google.com/file/d/1xZZ5XWFzSXvXAjvdoqHHi1FHnk0heuYs/view?usp=drivesdk" TargetMode="External"/><Relationship Id="rId51" Type="http://schemas.openxmlformats.org/officeDocument/2006/relationships/hyperlink" Target="https://drive.google.com/file/d/1JpfRw7AKi5vyFGzJYU8Gt0AbdcnM-XIR/view?usp=drivesdk" TargetMode="External"/><Relationship Id="rId50" Type="http://schemas.openxmlformats.org/officeDocument/2006/relationships/hyperlink" Target="https://drive.google.com/file/d/13BQ_wJdpDsvZ4ExNu5_MiUuptLzyEkOt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ODbvUqRQqa0vgDKn1aCSa1ExOjI5eU6s/view?usp=drivesdk" TargetMode="External"/><Relationship Id="rId48" Type="http://schemas.openxmlformats.org/officeDocument/2006/relationships/hyperlink" Target="https://drive.google.com/file/d/16-Aw559LRobGzObL2CIZzbedS2huPzfM/view?usp=drivesdk" TargetMode="External"/><Relationship Id="rId47" Type="http://schemas.openxmlformats.org/officeDocument/2006/relationships/hyperlink" Target="https://drive.google.com/file/d/18ueBKNiLx_qMQGWWAwsMx3AwCOr1zXzs/view?usp=drivesdk" TargetMode="External"/><Relationship Id="rId46" Type="http://schemas.openxmlformats.org/officeDocument/2006/relationships/hyperlink" Target="https://drive.google.com/file/d/1l9qfxWgKh-kHCOlLJw3rYD8TsqzZQ0Vg/view?usp=drivesdk" TargetMode="External"/><Relationship Id="rId45" Type="http://schemas.openxmlformats.org/officeDocument/2006/relationships/hyperlink" Target="https://drive.google.com/file/d/1050KPyHqjlRunLX-RfleyqLFilvJdS5r/view?usp=drivesdk" TargetMode="External"/><Relationship Id="rId44" Type="http://schemas.openxmlformats.org/officeDocument/2006/relationships/hyperlink" Target="https://drive.google.com/file/d/1sFDM_grDHNQoFssiRNDRYHiZ-v5Cz_mM/view?usp=drivesdk" TargetMode="External"/><Relationship Id="rId43" Type="http://schemas.openxmlformats.org/officeDocument/2006/relationships/hyperlink" Target="https://drive.google.com/file/d/1MqKqLyL1Szw5dZPMXxT46Rrs2pbCGBzG/view?usp=drivesdk" TargetMode="External"/><Relationship Id="rId42" Type="http://schemas.openxmlformats.org/officeDocument/2006/relationships/hyperlink" Target="https://drive.google.com/file/d/15Bc88hS6nxrWXF0LYcVoTUmlRCZ-EtKv/view?usp=drivesdk" TargetMode="External"/><Relationship Id="rId41" Type="http://schemas.openxmlformats.org/officeDocument/2006/relationships/hyperlink" Target="https://drive.google.com/file/d/1FUdhhfUN-luAroAa_KyyLtQAPWNYruGx/view?usp=drive_link" TargetMode="External"/><Relationship Id="rId40" Type="http://schemas.openxmlformats.org/officeDocument/2006/relationships/hyperlink" Target="https://drive.google.com/file/d/1rpjbS-bDB20v4so-ORafAkM7plMXgvVt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Jd1pNOhKfow7rDb2cXcXuMaKkq3scBym/view?usp=drivesdk" TargetMode="External"/><Relationship Id="rId38" Type="http://schemas.openxmlformats.org/officeDocument/2006/relationships/hyperlink" Target="https://drive.google.com/file/d/14GkYuSFockovOVePXY3kQGt-QIydDele/view?usp=drive_link" TargetMode="External"/><Relationship Id="rId37" Type="http://schemas.openxmlformats.org/officeDocument/2006/relationships/hyperlink" Target="https://drive.google.com/file/d/1hO6981dWlr7a4rY7wKkphIA6DUHyv1ca/view?usp=drivesdk" TargetMode="External"/><Relationship Id="rId36" Type="http://schemas.openxmlformats.org/officeDocument/2006/relationships/hyperlink" Target="https://drive.google.com/file/d/1GgU8otZVWYUtpfGoGJVaWq9OiwS6VyWR/view?usp=drivesdk" TargetMode="External"/><Relationship Id="rId35" Type="http://schemas.openxmlformats.org/officeDocument/2006/relationships/hyperlink" Target="https://drive.google.com/file/d/1KiLSQnjJ2psEDDxubsd4qAIGYURZhEgV/view?usp=share_link" TargetMode="External"/><Relationship Id="rId34" Type="http://schemas.openxmlformats.org/officeDocument/2006/relationships/hyperlink" Target="https://drive.google.com/file/d/1PHv5SowWdHLPDwAmdCWH5ARL1Z38hfYO/view?usp=drivesdk" TargetMode="External"/><Relationship Id="rId33" Type="http://schemas.openxmlformats.org/officeDocument/2006/relationships/hyperlink" Target="https://drive.google.com/file/d/18HTrtI8KIzcwPDrXi0nqp6RPtcqsk4FA/view?usp=drivesdk" TargetMode="External"/><Relationship Id="rId32" Type="http://schemas.openxmlformats.org/officeDocument/2006/relationships/hyperlink" Target="https://drive.google.com/file/d/1PJMlwsarfJsjDOH9BR13ZC5WuNsCbsUs/view?usp=drive_link" TargetMode="External"/><Relationship Id="rId31" Type="http://schemas.openxmlformats.org/officeDocument/2006/relationships/hyperlink" Target="https://drive.google.com/file/d/1ovJmNjOlfEf62x4Im3HNRvI9DtrFZ9Sr/view?usp=drivesdk" TargetMode="External"/><Relationship Id="rId30" Type="http://schemas.openxmlformats.org/officeDocument/2006/relationships/hyperlink" Target="https://drive.google.com/file/d/1exXucVZqcE3RkfVT9eWgvz1GrwgUcOGs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wYVnj5xHuiqQU2FLKpl5j3MbxNgNSDWL/view?usp=drivesdk" TargetMode="External"/><Relationship Id="rId28" Type="http://schemas.openxmlformats.org/officeDocument/2006/relationships/hyperlink" Target="https://drive.google.com/file/d/1l0CarlJRdXeKckzjv5vdH8ZMNbVSDSFn/view?usp=drivesdk" TargetMode="External"/><Relationship Id="rId27" Type="http://schemas.openxmlformats.org/officeDocument/2006/relationships/hyperlink" Target="https://drive.google.com/file/d/1WAIV9EzRLNkmkzUDIIR1DMXykSJnRqNQ/view?usp=drivesdk" TargetMode="External"/><Relationship Id="rId26" Type="http://schemas.openxmlformats.org/officeDocument/2006/relationships/hyperlink" Target="https://drive.google.com/file/d/1YhQfmy0rQa_3l9AQYACCpU7Fqq-FOQEI/view?usp=drivesdk" TargetMode="External"/><Relationship Id="rId25" Type="http://schemas.openxmlformats.org/officeDocument/2006/relationships/hyperlink" Target="https://drive.google.com/file/d/1SyqKT5bF5AaGYQgD2j5JSrpmJiBMLybn/view?usp=drivesdk" TargetMode="External"/><Relationship Id="rId24" Type="http://schemas.openxmlformats.org/officeDocument/2006/relationships/hyperlink" Target="https://drive.google.com/file/d/1zVz0DVls0T0q0Nw8a9sVgmfrBBnx7VDU/view?usp=drivesdk" TargetMode="External"/><Relationship Id="rId23" Type="http://schemas.openxmlformats.org/officeDocument/2006/relationships/hyperlink" Target="https://drive.google.com/file/d/1fSvGTS8bB6HuiPaZYdDiOhcl5coBTyn6/view?usp=drivesdk" TargetMode="External"/><Relationship Id="rId227" Type="http://schemas.openxmlformats.org/officeDocument/2006/relationships/hyperlink" Target="https://drive.google.com/file/d/1jTCXH33gTrZDnqPAyOS9Jo4Vsl0cg49j/view?usp=sharing" TargetMode="External"/><Relationship Id="rId226" Type="http://schemas.openxmlformats.org/officeDocument/2006/relationships/hyperlink" Target="https://drive.google.com/file/d/1HvfXkFjLiHRPwmnYl-3JLNG2OHocGWGJ/view?usp=drive_link" TargetMode="External"/><Relationship Id="rId225" Type="http://schemas.openxmlformats.org/officeDocument/2006/relationships/hyperlink" Target="https://drive.google.com/file/d/1pO45KJ2Anjf1wjhdMDATmYcrXCytLB3y/view?usp=sharing" TargetMode="External"/><Relationship Id="rId224" Type="http://schemas.openxmlformats.org/officeDocument/2006/relationships/hyperlink" Target="https://drive.google.com/file/d/1ayKyx-7T7TwOte_gGFgfgCxWiVa8Cg8m/view?usp=drive_link" TargetMode="External"/><Relationship Id="rId223" Type="http://schemas.openxmlformats.org/officeDocument/2006/relationships/hyperlink" Target="https://drive.google.com/file/d/1VXVL_r3DoAz3I_u0DD1X5QX9FVNRikkd/view?usp=drive_link" TargetMode="External"/><Relationship Id="rId222" Type="http://schemas.openxmlformats.org/officeDocument/2006/relationships/hyperlink" Target="https://drive.google.com/file/d/14S--Kd5Vl3YSMCHzwwYt_kQIgxGm_Zbg/view?usp=drive_link" TargetMode="External"/><Relationship Id="rId221" Type="http://schemas.openxmlformats.org/officeDocument/2006/relationships/hyperlink" Target="https://drive.google.com/file/d/1n-OVjxMOvOjL1phlSkz8eviOukA2jLci/view?usp=drive_link" TargetMode="External"/><Relationship Id="rId220" Type="http://schemas.openxmlformats.org/officeDocument/2006/relationships/hyperlink" Target="https://drive.google.com/file/d/1_wspiI7N_dRs_vE3p2pH0rc8yAcF-pg4/view?usp=drive_link" TargetMode="External"/><Relationship Id="rId22" Type="http://schemas.openxmlformats.org/officeDocument/2006/relationships/hyperlink" Target="https://drive.google.com/file/d/1JmOAm4079UzechP2QZhlcGLcKATeh1NC/view?usp=drivesdk" TargetMode="External"/><Relationship Id="rId219" Type="http://schemas.openxmlformats.org/officeDocument/2006/relationships/hyperlink" Target="https://drive.google.com/file/d/1WXt01Z5DyEaibfcb9yjRvC37GnJBijOf/view?usp=drive_link" TargetMode="External"/><Relationship Id="rId218" Type="http://schemas.openxmlformats.org/officeDocument/2006/relationships/hyperlink" Target="https://drive.google.com/file/d/12CBiVkqByJdiB_fExvTvqpU9ylB2Sy3W/view?usp=drive_link" TargetMode="External"/><Relationship Id="rId217" Type="http://schemas.openxmlformats.org/officeDocument/2006/relationships/hyperlink" Target="https://drive.google.com/file/d/1rjwl5CZZjBCqyIHHwyVOtiklXu_rVxIO/view?usp=drive_link" TargetMode="External"/><Relationship Id="rId216" Type="http://schemas.openxmlformats.org/officeDocument/2006/relationships/hyperlink" Target="https://drive.google.com/file/d/1imOf8cO4LrDK_1VGlnSJPrR4OAx8Sd2B/view?usp=drive_link" TargetMode="External"/><Relationship Id="rId215" Type="http://schemas.openxmlformats.org/officeDocument/2006/relationships/hyperlink" Target="https://drive.google.com/file/d/10aHD4D4de3IMNUlj2mTv1iugbhs7vm95/view?usp=drive_link" TargetMode="External"/><Relationship Id="rId214" Type="http://schemas.openxmlformats.org/officeDocument/2006/relationships/hyperlink" Target="https://drive.google.com/file/d/15MHSo23sHhYQuvGI6Rdc88aGx1MXVhlF/view?usp=drive_link" TargetMode="External"/><Relationship Id="rId213" Type="http://schemas.openxmlformats.org/officeDocument/2006/relationships/hyperlink" Target="https://drive.google.com/file/d/1z2yIzp0ZbgM-WXwFf0MlJEXezfRG53OZ/view?usp=drive_link" TargetMode="External"/><Relationship Id="rId212" Type="http://schemas.openxmlformats.org/officeDocument/2006/relationships/hyperlink" Target="https://drive.google.com/file/d/1DcpP4LOQNc8RwrLINVuQGgWXm-u_a-sA/view?usp=drive_link" TargetMode="External"/><Relationship Id="rId211" Type="http://schemas.openxmlformats.org/officeDocument/2006/relationships/hyperlink" Target="https://drive.google.com/file/d/1iDuc7gvHFRshb5E8TcJ7Ilr725UDYtYT/view?usp=drive_link" TargetMode="External"/><Relationship Id="rId210" Type="http://schemas.openxmlformats.org/officeDocument/2006/relationships/hyperlink" Target="https://drive.google.com/file/d/1BYzvA60nhOIgB0lqA_h_gUgzzn4g3BE1/view?usp=drive_link" TargetMode="External"/><Relationship Id="rId21" Type="http://schemas.openxmlformats.org/officeDocument/2006/relationships/hyperlink" Target="https://drive.google.com/file/d/1LKMYyqlNdTpBAJHzScOqSYbwoX-Sj7CT/view?usp=drivesdk" TargetMode="External"/><Relationship Id="rId209" Type="http://schemas.openxmlformats.org/officeDocument/2006/relationships/hyperlink" Target="https://drive.google.com/file/d/1EA90Utk1ns7TCVkyeIJ5iW7Hdqq2_Zha/view?usp=drive_link" TargetMode="External"/><Relationship Id="rId208" Type="http://schemas.openxmlformats.org/officeDocument/2006/relationships/hyperlink" Target="https://drive.google.com/file/d/1tBQj4KBkGIcQo30fyHrHkQTaQkbdqCVJ/view?usp=drive_link" TargetMode="External"/><Relationship Id="rId207" Type="http://schemas.openxmlformats.org/officeDocument/2006/relationships/hyperlink" Target="https://drive.google.com/file/d/1h1YpL-TqyEbEky1f-D_FA37WkazYPh6C/view?usp=drivesdk" TargetMode="External"/><Relationship Id="rId206" Type="http://schemas.openxmlformats.org/officeDocument/2006/relationships/hyperlink" Target="https://drive.google.com/file/d/1DLXMiPTJtaj-cV4BMCQfSpkJVR1A3rDB/view?usp=drivesdk" TargetMode="External"/><Relationship Id="rId205" Type="http://schemas.openxmlformats.org/officeDocument/2006/relationships/hyperlink" Target="https://drive.google.com/file/d/1b0tG7LlxP2I7zhWbYZaWxkh28HgqHz0s/view?usp=drivesdk" TargetMode="External"/><Relationship Id="rId204" Type="http://schemas.openxmlformats.org/officeDocument/2006/relationships/hyperlink" Target="https://drive.google.com/file/d/1iuScMGNcz3weEMoQVa1T_JuSW_9DH1pO/view?usp=drivesdk" TargetMode="External"/><Relationship Id="rId203" Type="http://schemas.openxmlformats.org/officeDocument/2006/relationships/hyperlink" Target="https://drive.google.com/file/d/1kw2VWoQAq_GLZWh8CMRcXuwxf4-mQw_3/view?usp=drivesdk" TargetMode="External"/><Relationship Id="rId202" Type="http://schemas.openxmlformats.org/officeDocument/2006/relationships/hyperlink" Target="https://drive.google.com/file/d/1Abd8DwLweMv1FfMWCYJdSkK3a-re0q0L/view?usp=drivesdk" TargetMode="External"/><Relationship Id="rId201" Type="http://schemas.openxmlformats.org/officeDocument/2006/relationships/hyperlink" Target="https://drive.google.com/file/d/1pJ8fD1Ok-zcawXCMQ_cRWt6M5YN8RMtR/view?usp=drivesdk" TargetMode="External"/><Relationship Id="rId200" Type="http://schemas.openxmlformats.org/officeDocument/2006/relationships/hyperlink" Target="https://drive.google.com/file/d/1aHQQRjcXI6yHCt_UP6yKuQeMFKCUgGvc/view?usp=drivesdk" TargetMode="External"/><Relationship Id="rId20" Type="http://schemas.openxmlformats.org/officeDocument/2006/relationships/hyperlink" Target="https://drive.google.com/file/d/1-OL0ijLcO4oCmNnZTW_Y7BHwMB4uUQVK/view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pRyxVlOB9oeuk3O5IIACA530apjx3-Be/view?usp=drivesdk" TargetMode="External"/><Relationship Id="rId198" Type="http://schemas.openxmlformats.org/officeDocument/2006/relationships/hyperlink" Target="https://drive.google.com/file/d/1uYLeaulkVSSo9JfLTOyoKNdPZriZ7gfN/view?usp=drivesdk" TargetMode="External"/><Relationship Id="rId197" Type="http://schemas.openxmlformats.org/officeDocument/2006/relationships/hyperlink" Target="https://drive.google.com/file/d/1qoLoPyTtfy5SLtbkTcwZ5hfG7zyYvOjI/view?usp=drivesdk" TargetMode="External"/><Relationship Id="rId196" Type="http://schemas.openxmlformats.org/officeDocument/2006/relationships/hyperlink" Target="https://drive.google.com/file/d/1uouhgNSfb35tVgSNAT8SBXbH8HW7m3t7/view?usp=drivesdk" TargetMode="External"/><Relationship Id="rId195" Type="http://schemas.openxmlformats.org/officeDocument/2006/relationships/hyperlink" Target="https://drive.google.com/file/d/1bxIZJ6A0SyevCXCLRJJQsKicLHyUSel3/view?usp=drivesdk" TargetMode="External"/><Relationship Id="rId194" Type="http://schemas.openxmlformats.org/officeDocument/2006/relationships/hyperlink" Target="https://drive.google.com/file/d/1dkDs0IKNusqI0BPpiDMA33TS3N20uRcH/view?usp=drivesdk" TargetMode="External"/><Relationship Id="rId193" Type="http://schemas.openxmlformats.org/officeDocument/2006/relationships/hyperlink" Target="https://drive.google.com/file/d/13SbKXAWRec3kpm0GqTA736J4r8YLM3mP/view?usp=drivesdk" TargetMode="External"/><Relationship Id="rId192" Type="http://schemas.openxmlformats.org/officeDocument/2006/relationships/hyperlink" Target="https://drive.google.com/file/d/1IFXyXVWNPCHVMWZK264ltJrxyR8MoCNf/view?usp=drivesdk" TargetMode="External"/><Relationship Id="rId191" Type="http://schemas.openxmlformats.org/officeDocument/2006/relationships/hyperlink" Target="https://drive.google.com/file/d/1mkpgqVyWWqPHnVWFxR2j-_iHjXSrikm-/view?usp=drivesdk" TargetMode="External"/><Relationship Id="rId190" Type="http://schemas.openxmlformats.org/officeDocument/2006/relationships/hyperlink" Target="https://drive.google.com/file/d/1q6JC0ZSVeRyfzcyPXnR1oa_gZeq5Adsf/view?usp=drivesdk" TargetMode="External"/><Relationship Id="rId19" Type="http://schemas.openxmlformats.org/officeDocument/2006/relationships/hyperlink" Target="https://drive.google.com/file/d/1Sye9_tfW3vCUCuzfO04RicfVtkkhBLUa/view" TargetMode="External"/><Relationship Id="rId189" Type="http://schemas.openxmlformats.org/officeDocument/2006/relationships/hyperlink" Target="https://drive.google.com/file/d/1flqvwxcZ1eir6abRUnyvAOwW4dzbgGVN/view?usp=drivesdk" TargetMode="External"/><Relationship Id="rId188" Type="http://schemas.openxmlformats.org/officeDocument/2006/relationships/hyperlink" Target="https://drive.google.com/file/d/1w4UTxyqtJUxMIQ3h2SuY5vbDKfKYHC29/view?usp=drivesdk" TargetMode="External"/><Relationship Id="rId187" Type="http://schemas.openxmlformats.org/officeDocument/2006/relationships/hyperlink" Target="https://drive.google.com/file/d/1FnlIWyliZjBpKGWlrZWC0ZLvdC1mSeRT/view?usp=drive_link" TargetMode="External"/><Relationship Id="rId186" Type="http://schemas.openxmlformats.org/officeDocument/2006/relationships/hyperlink" Target="https://drive.google.com/file/d/1TvB9GBclhW4rhP04DhbIb_b9Hdo5pqQV/view?usp=drive_link" TargetMode="External"/><Relationship Id="rId185" Type="http://schemas.openxmlformats.org/officeDocument/2006/relationships/hyperlink" Target="https://drive.google.com/file/d/1XHlRE9CIptYuWOI5CvCuk5N1M4maCZxU/view?usp=drive_link" TargetMode="External"/><Relationship Id="rId184" Type="http://schemas.openxmlformats.org/officeDocument/2006/relationships/hyperlink" Target="https://drive.google.com/file/d/1TlMcYAuNXaqhxEmWpXQUqvfAQAk46AGx/view?usp=drive_link" TargetMode="External"/><Relationship Id="rId183" Type="http://schemas.openxmlformats.org/officeDocument/2006/relationships/hyperlink" Target="https://drive.google.com/file/d/12Q3__owZ4sfSEGBknxHctOTH4xrGVWD7/view?usp=drive_link" TargetMode="External"/><Relationship Id="rId182" Type="http://schemas.openxmlformats.org/officeDocument/2006/relationships/hyperlink" Target="https://drive.google.com/file/d/1zJWXGJfINS9BzTK821055S7z4kP2wE92/view?usp=drive_link" TargetMode="External"/><Relationship Id="rId181" Type="http://schemas.openxmlformats.org/officeDocument/2006/relationships/hyperlink" Target="https://drive.google.com/file/d/1AX6OYh4cyvOHoTjUpWLiCag24x3ib1as/view?usp=drive_link" TargetMode="External"/><Relationship Id="rId180" Type="http://schemas.openxmlformats.org/officeDocument/2006/relationships/hyperlink" Target="https://drive.google.com/file/d/13amFNwY1TDp12ju5coJ_4t8OY3mdTqvo/view?usp=drive_link" TargetMode="External"/><Relationship Id="rId18" Type="http://schemas.openxmlformats.org/officeDocument/2006/relationships/hyperlink" Target="https://drive.google.com/file/d/1j6z_L7F1ez8ItqPnrQsPNGg2j38KtlgG/view" TargetMode="External"/><Relationship Id="rId179" Type="http://schemas.openxmlformats.org/officeDocument/2006/relationships/hyperlink" Target="https://drive.google.com/file/d/1QNJAFIS3AcDcCYyHYBdcGhSfgl7p_oNi/view?usp=drive_link" TargetMode="External"/><Relationship Id="rId178" Type="http://schemas.openxmlformats.org/officeDocument/2006/relationships/hyperlink" Target="https://drive.google.com/file/d/1XYwMDVzh4fwDVhFcKzavALPhzJhymcTA/view?usp=drive_link" TargetMode="External"/><Relationship Id="rId177" Type="http://schemas.openxmlformats.org/officeDocument/2006/relationships/hyperlink" Target="https://drive.google.com/file/d/1XiG02UYQFZnEtTHy_-6O0J-OD0O2cJDG/view?usp=drive_link" TargetMode="External"/><Relationship Id="rId176" Type="http://schemas.openxmlformats.org/officeDocument/2006/relationships/hyperlink" Target="https://drive.google.com/file/d/1dA6BJnXLbpi0Zz_mRBTRHp76jTd3vpal/view?usp=drivesdk" TargetMode="External"/><Relationship Id="rId175" Type="http://schemas.openxmlformats.org/officeDocument/2006/relationships/hyperlink" Target="https://drive.google.com/file/d/1iQ_Q4HCJ-zDnMd1F94DucUYz7wOmhNTy/view?usp=drivesdk" TargetMode="External"/><Relationship Id="rId174" Type="http://schemas.openxmlformats.org/officeDocument/2006/relationships/hyperlink" Target="https://drive.google.com/file/d/1z9vz2r3HtntpLAZXfmgg61ZPtNs3JwGj/view?usp=drive_link" TargetMode="External"/><Relationship Id="rId173" Type="http://schemas.openxmlformats.org/officeDocument/2006/relationships/hyperlink" Target="https://drive.google.com/file/d/13UKyayGuA94wgag2vP608BSJm28F9SjK/view?usp=drivesdk" TargetMode="External"/><Relationship Id="rId172" Type="http://schemas.openxmlformats.org/officeDocument/2006/relationships/hyperlink" Target="https://drive.google.com/file/d/1zb-v3OBPe1uEGA2pfUeJYKn607Q23-VX/view?usp=drive_link" TargetMode="External"/><Relationship Id="rId171" Type="http://schemas.openxmlformats.org/officeDocument/2006/relationships/hyperlink" Target="https://drive.google.com/file/d/1vm26hGolfmIt_00AwhxaInYBeHzy-o-M/view?usp=drive_link" TargetMode="External"/><Relationship Id="rId170" Type="http://schemas.openxmlformats.org/officeDocument/2006/relationships/hyperlink" Target="https://drive.google.com/file/d/1mMz4HtEoeAbpd0fSV0nrAAVWE_NwNd0K/view?usp=drivesdk" TargetMode="External"/><Relationship Id="rId17" Type="http://schemas.openxmlformats.org/officeDocument/2006/relationships/hyperlink" Target="https://drive.google.com/file/d/1MMrYNdFIDXAIq6LtHwU6gyJ4tgXw7G-u/view?usp=drivesdk" TargetMode="External"/><Relationship Id="rId169" Type="http://schemas.openxmlformats.org/officeDocument/2006/relationships/hyperlink" Target="https://drive.google.com/file/d/15bp-unBGi_6QJ7i8dobY3ZYeP2skiV38/view?usp=drive_link" TargetMode="External"/><Relationship Id="rId168" Type="http://schemas.openxmlformats.org/officeDocument/2006/relationships/hyperlink" Target="https://drive.google.com/file/d/151_nNpwiYjOoHw0NaGjhK8_JSex8_d3C/view?usp=drivesdk" TargetMode="External"/><Relationship Id="rId167" Type="http://schemas.openxmlformats.org/officeDocument/2006/relationships/hyperlink" Target="https://drive.google.com/file/d/1p9MlHvCBRNAJYexFIWsNT3b--t4fR3Rf/view?usp=drive_link" TargetMode="External"/><Relationship Id="rId166" Type="http://schemas.openxmlformats.org/officeDocument/2006/relationships/hyperlink" Target="https://drive.google.com/file/d/1asgl5SpirppgggoKXR1X8BTP0IMSs_Hq/view?usp=drivesdk" TargetMode="External"/><Relationship Id="rId165" Type="http://schemas.openxmlformats.org/officeDocument/2006/relationships/hyperlink" Target="https://drive.google.com/file/d/11AMehloheiTnLm05AokwexaOSkInZ7gu/view?usp=drivesdk" TargetMode="External"/><Relationship Id="rId164" Type="http://schemas.openxmlformats.org/officeDocument/2006/relationships/hyperlink" Target="https://drive.google.com/file/d/1YbHVvlbyekEd3SxwhAnFtXa_ZYZV9hC9/view?usp=drivesdk" TargetMode="External"/><Relationship Id="rId163" Type="http://schemas.openxmlformats.org/officeDocument/2006/relationships/hyperlink" Target="https://drive.google.com/file/d/1QwVsrlCn-vJKPmMmbOEuyVZPenw3zLAi/view?usp=drivesdk" TargetMode="External"/><Relationship Id="rId162" Type="http://schemas.openxmlformats.org/officeDocument/2006/relationships/hyperlink" Target="https://drive.google.com/file/d/1dEXWzbjvlXlAtXnVegOKsP-FK2X8icyG/view?usp=drivesdk" TargetMode="External"/><Relationship Id="rId161" Type="http://schemas.openxmlformats.org/officeDocument/2006/relationships/hyperlink" Target="https://drive.google.com/file/d/12Rz9Bst1qc788H8Zh8yXBmnHPzzrN93P/view?usp=drivesdk" TargetMode="External"/><Relationship Id="rId160" Type="http://schemas.openxmlformats.org/officeDocument/2006/relationships/hyperlink" Target="https://drive.google.com/file/d/1T7BS5aUu1suc6oUZAUJSkrbr1ggrqk4F/view?usp=drivesdk" TargetMode="External"/><Relationship Id="rId16" Type="http://schemas.openxmlformats.org/officeDocument/2006/relationships/hyperlink" Target="https://drive.google.com/file/d/1OCCCwrKUlTy4NqUDZsCGAqlMUuEalLTg/view?usp=drivesdk" TargetMode="External"/><Relationship Id="rId159" Type="http://schemas.openxmlformats.org/officeDocument/2006/relationships/hyperlink" Target="https://drive.google.com/file/d/1SVzgo7K5HA2eBNvCm9cHE5Jjj19OQ_Yi/view?usp=drivesdk" TargetMode="External"/><Relationship Id="rId158" Type="http://schemas.openxmlformats.org/officeDocument/2006/relationships/hyperlink" Target="https://drive.google.com/file/d/1VBcUYGGVBC1eFzghNmCL6gYt5uTrB1En/view?usp=drivesdk" TargetMode="External"/><Relationship Id="rId157" Type="http://schemas.openxmlformats.org/officeDocument/2006/relationships/hyperlink" Target="https://drive.google.com/file/d/1AvwfvxAigPmn2HwcxP2r_HE5XQNTVfio/view?usp=drivesdk" TargetMode="External"/><Relationship Id="rId156" Type="http://schemas.openxmlformats.org/officeDocument/2006/relationships/hyperlink" Target="https://drive.google.com/file/d/1YHGtCN76a8nF57aGzHjkfYUeeOB51E2i/view?usp=drive_link" TargetMode="External"/><Relationship Id="rId155" Type="http://schemas.openxmlformats.org/officeDocument/2006/relationships/hyperlink" Target="https://drive.google.com/file/d/1WOEQum9D_NKi3goLKqtY1VRtvIRb4Onc/view?usp=drivesdk" TargetMode="External"/><Relationship Id="rId154" Type="http://schemas.openxmlformats.org/officeDocument/2006/relationships/hyperlink" Target="https://drive.google.com/file/d/1tYp3kf2YZfVDWXP_ppXiSk-8uC3iLHGP/view?usp=drivesdk" TargetMode="External"/><Relationship Id="rId153" Type="http://schemas.openxmlformats.org/officeDocument/2006/relationships/hyperlink" Target="https://drive.google.com/file/d/1j5G0xlpPZoN_-SJWXfCmHSvy5_f5ElVb/view?usp=drive_link" TargetMode="External"/><Relationship Id="rId152" Type="http://schemas.openxmlformats.org/officeDocument/2006/relationships/hyperlink" Target="https://drive.google.com/file/d/18R5-hqH5rhdTFHQ_-9FelFaTNFFzJh_T/view?usp=drive_link" TargetMode="External"/><Relationship Id="rId151" Type="http://schemas.openxmlformats.org/officeDocument/2006/relationships/hyperlink" Target="https://drive.google.com/file/d/10GW4FACg3bdcBCeLjSYcb833mvK73Nsk/view?usp=drive_link" TargetMode="External"/><Relationship Id="rId150" Type="http://schemas.openxmlformats.org/officeDocument/2006/relationships/hyperlink" Target="https://drive.google.com/file/d/1wph9zlC06HPR6sLyJB2CA14nwySD_6ES/view?usp=drive_link" TargetMode="External"/><Relationship Id="rId15" Type="http://schemas.openxmlformats.org/officeDocument/2006/relationships/hyperlink" Target="https://drive.google.com/file/d/1IUS8d_QOkrc_3Yf1jLvL5afjwyI3ICZg/view?usp=drive_link" TargetMode="External"/><Relationship Id="rId149" Type="http://schemas.openxmlformats.org/officeDocument/2006/relationships/hyperlink" Target="https://drive.google.com/file/d/17SJTGdOIPyZoBVvb3OcOJmQ_95JfuaZ5/view?usp=drivesdk" TargetMode="External"/><Relationship Id="rId148" Type="http://schemas.openxmlformats.org/officeDocument/2006/relationships/hyperlink" Target="https://drive.google.com/file/d/1JJxXXDiBnkpOvq2wjJstoqS76vydmnah/view?usp=drivesdk" TargetMode="External"/><Relationship Id="rId147" Type="http://schemas.openxmlformats.org/officeDocument/2006/relationships/hyperlink" Target="https://drive.google.com/file/d/1lDxJBcuIu3TFbYeDrmoCWNkC3Q7oRWtQ/view?usp=drivesdk" TargetMode="External"/><Relationship Id="rId146" Type="http://schemas.openxmlformats.org/officeDocument/2006/relationships/hyperlink" Target="https://drive.google.com/file/d/1BNuTqZYxqx1yeGa2TrCYkK9pzeYN8dIj/view?usp=drivesdk" TargetMode="External"/><Relationship Id="rId145" Type="http://schemas.openxmlformats.org/officeDocument/2006/relationships/hyperlink" Target="https://drive.google.com/file/d/1G6kH8R6hjEGmJmuU2Q1QejweKqjRW6DP/view?usp=drivesdk" TargetMode="External"/><Relationship Id="rId144" Type="http://schemas.openxmlformats.org/officeDocument/2006/relationships/hyperlink" Target="https://drive.google.com/file/d/1poK13YhNucktf9lLXnQDFWoerWIEizJG/view?usp=drivesdk" TargetMode="External"/><Relationship Id="rId143" Type="http://schemas.openxmlformats.org/officeDocument/2006/relationships/hyperlink" Target="https://drive.google.com/file/d/1ctDgbYciQzWvUHJfho5-NJ-Nj4A7_znS/view?usp=drive_link" TargetMode="External"/><Relationship Id="rId142" Type="http://schemas.openxmlformats.org/officeDocument/2006/relationships/hyperlink" Target="https://drive.google.com/file/d/1pSBWMwByQ3bS1TS6p1JDl_bfYDZPEKhO/view?usp=drivesdk" TargetMode="External"/><Relationship Id="rId141" Type="http://schemas.openxmlformats.org/officeDocument/2006/relationships/hyperlink" Target="https://drive.google.com/file/d/15783VE4mpd_oLtq6eJkrhYXIz-t2msIl/view?usp=drivesdk" TargetMode="External"/><Relationship Id="rId140" Type="http://schemas.openxmlformats.org/officeDocument/2006/relationships/hyperlink" Target="https://drive.google.com/file/d/1s5ZFWy4lgKTWx1VTywtJJzs4tASXleI9/view?usp=drivesdk" TargetMode="External"/><Relationship Id="rId14" Type="http://schemas.openxmlformats.org/officeDocument/2006/relationships/hyperlink" Target="https://drive.google.com/file/d/1PNvkKAdYOWhB1flJ3E_PTltwmnkgSYJA/view?usp=drive_link" TargetMode="External"/><Relationship Id="rId139" Type="http://schemas.openxmlformats.org/officeDocument/2006/relationships/hyperlink" Target="https://drive.google.com/file/d/1y28oNcvflHApb5YBGVUOpaKsxzLbeTTp/view?usp=drivesdk" TargetMode="External"/><Relationship Id="rId138" Type="http://schemas.openxmlformats.org/officeDocument/2006/relationships/hyperlink" Target="https://drive.google.com/file/d/1aY6-wolra3d4A0ttvVkD6luYdeaD4l7c/view?usp=drivesdk" TargetMode="External"/><Relationship Id="rId137" Type="http://schemas.openxmlformats.org/officeDocument/2006/relationships/hyperlink" Target="https://drive.google.com/file/d/1zPVx8tfZi1fGYG4_sqtBbEMJWOun4f__/view?usp=drivesdk" TargetMode="External"/><Relationship Id="rId136" Type="http://schemas.openxmlformats.org/officeDocument/2006/relationships/hyperlink" Target="https://drive.google.com/file/d/1PJHtx1YRK-EbFEpyWgpLYNBcIr4WAcV5/view?usp=drivesdk" TargetMode="External"/><Relationship Id="rId135" Type="http://schemas.openxmlformats.org/officeDocument/2006/relationships/hyperlink" Target="https://drive.google.com/file/d/1pxEdrWivFmVVLOXe4-sX3lGJsCPyorvy/view?usp=drivesdk" TargetMode="External"/><Relationship Id="rId134" Type="http://schemas.openxmlformats.org/officeDocument/2006/relationships/hyperlink" Target="https://drive.google.com/file/d/1cDws5m82y0QLaMQjQn4nPhQjGbKZTTHM/view?usp=drive_link" TargetMode="External"/><Relationship Id="rId133" Type="http://schemas.openxmlformats.org/officeDocument/2006/relationships/hyperlink" Target="https://drive.google.com/file/d/16by67tCJFVKHKykzeCeia17gpwlOfXpO/view?usp=drivesdk" TargetMode="External"/><Relationship Id="rId132" Type="http://schemas.openxmlformats.org/officeDocument/2006/relationships/hyperlink" Target="https://drive.google.com/file/d/1k0xycatCDTk2g7PX8zM_R7RcEkY0FkSg/view?usp=drivesdk" TargetMode="External"/><Relationship Id="rId131" Type="http://schemas.openxmlformats.org/officeDocument/2006/relationships/hyperlink" Target="https://drive.google.com/file/d/14umXqhwx7Hk32DAHiMx_-VPdZofNm0z2/view?usp=drivesdk" TargetMode="External"/><Relationship Id="rId130" Type="http://schemas.openxmlformats.org/officeDocument/2006/relationships/hyperlink" Target="https://drive.google.com/file/d/1rN0f_MUrpuskqnfi6ifO3-IpFakYzlfv/view?usp=drive_link" TargetMode="External"/><Relationship Id="rId13" Type="http://schemas.openxmlformats.org/officeDocument/2006/relationships/hyperlink" Target="https://drive.google.com/file/d/1n_sxnq85b2lKGL26GnirBYDfp3Laq_a-/view?usp=drive_link" TargetMode="External"/><Relationship Id="rId129" Type="http://schemas.openxmlformats.org/officeDocument/2006/relationships/hyperlink" Target="https://drive.google.com/file/d/1LqAuW6_cg5jiH0WxSu4CpSCLTZwbRFZD/view?usp=drivesdk" TargetMode="External"/><Relationship Id="rId128" Type="http://schemas.openxmlformats.org/officeDocument/2006/relationships/hyperlink" Target="https://drive.google.com/file/d/1hTsJOAVmbTuXMkIXdD-biQuiBl5NUjvu/view?usp=drivesdk" TargetMode="External"/><Relationship Id="rId127" Type="http://schemas.openxmlformats.org/officeDocument/2006/relationships/hyperlink" Target="https://drive.google.com/file/d/1_fZwJu7dWxIyD6tKr_vhH0lazrhaO0-3/view?usp=drivesdk" TargetMode="External"/><Relationship Id="rId126" Type="http://schemas.openxmlformats.org/officeDocument/2006/relationships/hyperlink" Target="https://drive.google.com/file/d/1B7wFLY5XROOEnCBo5MvraJCHGZSlvN2F/view?usp=drivesdk" TargetMode="External"/><Relationship Id="rId125" Type="http://schemas.openxmlformats.org/officeDocument/2006/relationships/hyperlink" Target="https://drive.google.com/file/d/13NRRwV6xx66cW1eLQgLlIoT0apkFdG3H/view?usp=drivesdk" TargetMode="External"/><Relationship Id="rId124" Type="http://schemas.openxmlformats.org/officeDocument/2006/relationships/hyperlink" Target="https://drive.google.com/file/d/1QHgzzBJNnFVv7Q4ZFvEihpGjk4Z1zaPp/view?usp=drivesdk" TargetMode="External"/><Relationship Id="rId123" Type="http://schemas.openxmlformats.org/officeDocument/2006/relationships/hyperlink" Target="https://drive.google.com/file/d/16suSyeaCwhnYVKgszyf2w4ssKbufdRBf/view?usp=drivesdk" TargetMode="External"/><Relationship Id="rId122" Type="http://schemas.openxmlformats.org/officeDocument/2006/relationships/hyperlink" Target="https://drive.google.com/file/d/1waraBZBCOsJq0_rFPrXInBkspp7KcD0g/view?usp=drivesdk" TargetMode="External"/><Relationship Id="rId121" Type="http://schemas.openxmlformats.org/officeDocument/2006/relationships/hyperlink" Target="https://drive.google.com/file/d/1kIJWy8Qyq1_tG4qEOkxoUeJSPRJfp6E1/view?usp=drivesdk" TargetMode="External"/><Relationship Id="rId120" Type="http://schemas.openxmlformats.org/officeDocument/2006/relationships/hyperlink" Target="https://docs.google.com/document/d/1Tbe0PVfzxCAfIsIxEjjd_PjY7DVCyvpPmoPb7jYq7uI/edit?usp=drive_link" TargetMode="External"/><Relationship Id="rId12" Type="http://schemas.openxmlformats.org/officeDocument/2006/relationships/hyperlink" Target="https://drive.google.com/file/d/1KSVlG8ggn_l2f-vaOdiJ4ew0PqS7szcU/view?usp=drive_link" TargetMode="External"/><Relationship Id="rId119" Type="http://schemas.openxmlformats.org/officeDocument/2006/relationships/hyperlink" Target="https://docs.google.com/document/d/11yo-N3jNXz73ot3FxtZEk7KIb7VCSJE6li2eBSuKDs4/edit?usp=drive_link" TargetMode="External"/><Relationship Id="rId118" Type="http://schemas.openxmlformats.org/officeDocument/2006/relationships/hyperlink" Target="https://docs.google.com/document/d/1KojeKbYm7_sMv6uvoWwL_UjDXkWgWfXXFipki9-a_1M/edit?usp=drive_link" TargetMode="External"/><Relationship Id="rId117" Type="http://schemas.openxmlformats.org/officeDocument/2006/relationships/hyperlink" Target="https://docs.google.com/document/d/1TCT74CQpfIc1e7CnSVSy4TKajIafLyegfq-cMsMhWKg/edit?usp=drive_link" TargetMode="External"/><Relationship Id="rId116" Type="http://schemas.openxmlformats.org/officeDocument/2006/relationships/hyperlink" Target="https://drive.google.com/file/d/1UMaC0dmkJLAfLNI_13AnsMMyV4D1WgRJ/view?usp=drivesdk" TargetMode="External"/><Relationship Id="rId115" Type="http://schemas.openxmlformats.org/officeDocument/2006/relationships/hyperlink" Target="https://drive.google.com/file/d/1U9ayAdpHb6nhlOC0nb79f6BxuPlwfQ9K/view?usp=drivesdk" TargetMode="External"/><Relationship Id="rId114" Type="http://schemas.openxmlformats.org/officeDocument/2006/relationships/hyperlink" Target="https://drive.google.com/file/d/1bNgpZa_CUI7KauO5S_wo1U7tssBuDbSN/view?usp=drivesdk" TargetMode="External"/><Relationship Id="rId113" Type="http://schemas.openxmlformats.org/officeDocument/2006/relationships/hyperlink" Target="https://drive.google.com/file/d/1sT0NJsD21pgepjH7tLuJCBFtIZQax2Wl/view?usp=drivesdk" TargetMode="External"/><Relationship Id="rId112" Type="http://schemas.openxmlformats.org/officeDocument/2006/relationships/hyperlink" Target="https://drive.google.com/file/d/1Rrq1AHOdjR2ShWbqNq2RzzfKxCAwSRZj/view?usp=drivesdk" TargetMode="External"/><Relationship Id="rId111" Type="http://schemas.openxmlformats.org/officeDocument/2006/relationships/hyperlink" Target="https://drive.google.com/file/d/16KKmcdo6AzhCKj5Fp9W20GMNYdo_wKML/view?usp=drivesdk" TargetMode="External"/><Relationship Id="rId110" Type="http://schemas.openxmlformats.org/officeDocument/2006/relationships/hyperlink" Target="https://drive.google.com/file/d/13JiJlWYw1IWnWLN_tS9c9yqU95lY_OiF/view?usp=drivesdk" TargetMode="External"/><Relationship Id="rId11" Type="http://schemas.openxmlformats.org/officeDocument/2006/relationships/hyperlink" Target="https://drive.google.com/file/d/1GoH4RSP1ZzNZmI4VzWWWyfn0Nk7ktj5p/view?usp=drive_link" TargetMode="External"/><Relationship Id="rId109" Type="http://schemas.openxmlformats.org/officeDocument/2006/relationships/hyperlink" Target="https://drive.google.com/file/d/1Vx0j5Nj4g4HBZmQou69RA8ki6wE3Lahh/view?usp=drivesdk" TargetMode="External"/><Relationship Id="rId108" Type="http://schemas.openxmlformats.org/officeDocument/2006/relationships/hyperlink" Target="https://drive.google.com/file/d/1P_BCu_2QVtE153XaJwwFH2qOnbtfw2vU/view?usp=drivesdk" TargetMode="External"/><Relationship Id="rId107" Type="http://schemas.openxmlformats.org/officeDocument/2006/relationships/hyperlink" Target="https://drive.google.com/file/d/1m9dPnqms1RkHwlmaoq6HNpVdrxXKMc4e/view?usp=sharing" TargetMode="External"/><Relationship Id="rId106" Type="http://schemas.openxmlformats.org/officeDocument/2006/relationships/hyperlink" Target="https://drive.google.com/file/d/1lWP6IvNBiSgSE8NUcRY6MtyFZvzryUVW/view?usp=sharing" TargetMode="External"/><Relationship Id="rId105" Type="http://schemas.openxmlformats.org/officeDocument/2006/relationships/hyperlink" Target="https://drive.google.com/file/d/1Y9flt534_FhOqa8NP_vpNuG3r3VfhlQm/view?usp=sharing" TargetMode="External"/><Relationship Id="rId104" Type="http://schemas.openxmlformats.org/officeDocument/2006/relationships/hyperlink" Target="https://drive.google.com/file/d/19I4c0_5oVLw-4BiB8pjI1bptf-OdunLg/view?usp=drivesdk" TargetMode="External"/><Relationship Id="rId103" Type="http://schemas.openxmlformats.org/officeDocument/2006/relationships/hyperlink" Target="https://drive.google.com/file/d/16IRc55EQPnwJwz1MBgv_Y1W7eI0TnC6F/view?usp=drivesdk" TargetMode="External"/><Relationship Id="rId102" Type="http://schemas.openxmlformats.org/officeDocument/2006/relationships/hyperlink" Target="https://drive.google.com/file/d/1jB0U0EhE5xwrMoxyjyFZrlDez1qXmX50/view?usp=drive_link" TargetMode="External"/><Relationship Id="rId101" Type="http://schemas.openxmlformats.org/officeDocument/2006/relationships/hyperlink" Target="https://drive.google.com/file/d/1RdAXjTxyqbfqMqUkwTxTZ16CD1Z3vhZv/view?usp=drive_link" TargetMode="External"/><Relationship Id="rId100" Type="http://schemas.openxmlformats.org/officeDocument/2006/relationships/hyperlink" Target="https://drive.google.com/file/d/135u3tNC1zdA9J5PceHfhUccKOAjoZVtj/view?usp=drive_link" TargetMode="External"/><Relationship Id="rId10" Type="http://schemas.openxmlformats.org/officeDocument/2006/relationships/hyperlink" Target="https://drive.google.com/file/d/1g_NCEmpgXGAv6Wf51xoA6Lhpz__Zkopy/view?usp=drive_link" TargetMode="External"/><Relationship Id="rId1" Type="http://schemas.openxmlformats.org/officeDocument/2006/relationships/hyperlink" Target="http://s.no/" TargetMode="External"/></Relationships>
</file>

<file path=xl/worksheets/_rels/sheet19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KA6FdgYga4tpmUzHFKs8nZfj6I10Dsnc/view?usp=drive_link" TargetMode="External"/><Relationship Id="rId98" Type="http://schemas.openxmlformats.org/officeDocument/2006/relationships/hyperlink" Target="https://drive.google.com/file/d/1vL98rafw5EdMw0g-Gukusup3IuiOeWDb/view?usp=drive_link" TargetMode="External"/><Relationship Id="rId97" Type="http://schemas.openxmlformats.org/officeDocument/2006/relationships/hyperlink" Target="https://drive.google.com/file/d/1yqbx43PnfXE8U_6g27LrPngfH4Nim4l-/view?usp=drivesdk" TargetMode="External"/><Relationship Id="rId96" Type="http://schemas.openxmlformats.org/officeDocument/2006/relationships/hyperlink" Target="https://drive.google.com/file/d/1WQjpqTJkN2CL63dizWOLH-FHbxYPuwVs/view?usp=drivesdk" TargetMode="External"/><Relationship Id="rId95" Type="http://schemas.openxmlformats.org/officeDocument/2006/relationships/hyperlink" Target="https://drive.google.com/file/d/1KfWKJxh2VrKitJEr0szRBuEALYNYKYBC/view?usp=drivesdk" TargetMode="External"/><Relationship Id="rId94" Type="http://schemas.openxmlformats.org/officeDocument/2006/relationships/hyperlink" Target="https://drive.google.com/file/d/11rwp4t8FCYeorWBqowC3lt4oxoiMZXGD/view?usp=drivesdk" TargetMode="External"/><Relationship Id="rId93" Type="http://schemas.openxmlformats.org/officeDocument/2006/relationships/hyperlink" Target="https://drive.google.com/file/d/1EoQqe_wzL5E6hm9JFrG8aErbmcHafa8C/view?usp=drivesdk" TargetMode="External"/><Relationship Id="rId92" Type="http://schemas.openxmlformats.org/officeDocument/2006/relationships/hyperlink" Target="https://drive.google.com/file/d/17pRvmaCFzqLMQRC7wnvA4L82a4VoqSNb/view?usp=drivesdk" TargetMode="External"/><Relationship Id="rId91" Type="http://schemas.openxmlformats.org/officeDocument/2006/relationships/hyperlink" Target="https://drive.google.com/file/d/14NjXiJxdPZj-jsyU8TwKzoZcgHH2Kikm/view?usp=drivesdk" TargetMode="External"/><Relationship Id="rId90" Type="http://schemas.openxmlformats.org/officeDocument/2006/relationships/hyperlink" Target="https://drive.google.com/file/d/1GrGA4TyYwG1MhtL3_f1BynYYPOQUPYfI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G_2h17dEDSJ0sJVLA7KEA3Wy18Qic-lD/view?usp=drivesdk" TargetMode="External"/><Relationship Id="rId88" Type="http://schemas.openxmlformats.org/officeDocument/2006/relationships/hyperlink" Target="https://drive.google.com/file/d/1d7EFuXhUJIVdNfyP-VvbEov7OxOUhnjX/view?usp=drivesdk" TargetMode="External"/><Relationship Id="rId87" Type="http://schemas.openxmlformats.org/officeDocument/2006/relationships/hyperlink" Target="https://drive.google.com/file/d/1V4kAOaTdr-GtYhnXv7gzQBE3ZR7ZPlKK/view?usp=drive_link" TargetMode="External"/><Relationship Id="rId86" Type="http://schemas.openxmlformats.org/officeDocument/2006/relationships/hyperlink" Target="https://drive.google.com/file/d/1Q3MLsC3HPDUwIk0LuSHUtLVSOuBH_O4N/view?usp=drivesdk" TargetMode="External"/><Relationship Id="rId85" Type="http://schemas.openxmlformats.org/officeDocument/2006/relationships/hyperlink" Target="https://drive.google.com/file/d/1HZnPMnXtZ0QO_7Mg1rBnqh1WGOP3akH4/view?usp=drivesdk" TargetMode="External"/><Relationship Id="rId84" Type="http://schemas.openxmlformats.org/officeDocument/2006/relationships/hyperlink" Target="https://drive.google.com/file/d/1LWD7yTNI0RJDRsb9uJmf_DlCrtRgUKyY/view?usp=drivesdk" TargetMode="External"/><Relationship Id="rId83" Type="http://schemas.openxmlformats.org/officeDocument/2006/relationships/hyperlink" Target="https://drive.google.com/file/d/1ugQovbHhHiatqYgFZRiOkMLioEJ1sY9o/view?usp=drivesdk" TargetMode="External"/><Relationship Id="rId82" Type="http://schemas.openxmlformats.org/officeDocument/2006/relationships/hyperlink" Target="https://drive.google.com/file/d/1VO8wG6RTf64Yu5WlHt4RNVEAlHxdXRIv/view?usp=drivesdk" TargetMode="External"/><Relationship Id="rId81" Type="http://schemas.openxmlformats.org/officeDocument/2006/relationships/hyperlink" Target="https://drive.google.com/file/d/1QLtgZLOi46VR-Umszotzw09fP7Prc0Sq/view?usp=drivesdk" TargetMode="External"/><Relationship Id="rId80" Type="http://schemas.openxmlformats.org/officeDocument/2006/relationships/hyperlink" Target="https://drive.google.com/file/d/14wIqiKajOELWiaI-p64Cs1Xs3kxBqO4v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hLGDUrXqBvHMOAiLQE0q9BoTCTu2K7ao/view?usp=drivesdk" TargetMode="External"/><Relationship Id="rId78" Type="http://schemas.openxmlformats.org/officeDocument/2006/relationships/hyperlink" Target="https://drive.google.com/file/d/18HoCA9YDoJiZI1ICrjO5DtziAZZqqASw/view?usp=drivesdk" TargetMode="External"/><Relationship Id="rId77" Type="http://schemas.openxmlformats.org/officeDocument/2006/relationships/hyperlink" Target="https://drive.google.com/file/d/1-sH-k7diCS-WDKeXQScayM3HAWW1q7sM/view?usp=drivesdk" TargetMode="External"/><Relationship Id="rId76" Type="http://schemas.openxmlformats.org/officeDocument/2006/relationships/hyperlink" Target="https://drive.google.com/file/d/1YI54nUQ9qGl4HCxnSZ9MgIOfdUXpAveO/view?usp=drivesdk" TargetMode="External"/><Relationship Id="rId75" Type="http://schemas.openxmlformats.org/officeDocument/2006/relationships/hyperlink" Target="https://drive.google.com/file/d/1yhSE8e9oSoZ1XITSkXcml25c5-I7E8OK/view?usp=drivesdk" TargetMode="External"/><Relationship Id="rId74" Type="http://schemas.openxmlformats.org/officeDocument/2006/relationships/hyperlink" Target="https://drive.google.com/file/d/11itxCKs7_1wrdjNgkLJy60XgxMCdImZ8/view?usp=drivesdk" TargetMode="External"/><Relationship Id="rId73" Type="http://schemas.openxmlformats.org/officeDocument/2006/relationships/hyperlink" Target="https://drive.google.com/file/d/1Yy8fpURlINeYfCy7rrZmDKFYHuyxD4iQ/view?usp=drivesdk" TargetMode="External"/><Relationship Id="rId72" Type="http://schemas.openxmlformats.org/officeDocument/2006/relationships/hyperlink" Target="https://drive.google.com/file/d/1FtIA5xRRdfg0DMeFhk4cK9fSTdReYxn_/view?usp=drivesdk" TargetMode="External"/><Relationship Id="rId71" Type="http://schemas.openxmlformats.org/officeDocument/2006/relationships/hyperlink" Target="https://drive.google.com/file/d/1v38ptVE_U4sgNuUAuiiQTJuuhlHb7jFl/view?usp=drive_link" TargetMode="External"/><Relationship Id="rId70" Type="http://schemas.openxmlformats.org/officeDocument/2006/relationships/hyperlink" Target="https://drive.google.com/file/d/1UL3NuZgOCt4s4K1Lmw0E4054Vvcygtkf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b0bKnztL_wIvXb9cJiIcJtiqEhuOSFFO/view?usp=drivesdk" TargetMode="External"/><Relationship Id="rId68" Type="http://schemas.openxmlformats.org/officeDocument/2006/relationships/hyperlink" Target="https://drive.google.com/file/d/1KLs3uxdiaRJWETPsO6CmyTUanKwokaZa/view?usp=drive_link" TargetMode="External"/><Relationship Id="rId67" Type="http://schemas.openxmlformats.org/officeDocument/2006/relationships/hyperlink" Target="https://drive.google.com/file/d/1ULg6wSSFgz4hxLake3pNnzRocvpPmZYZ/view?usp=drivesdk" TargetMode="External"/><Relationship Id="rId66" Type="http://schemas.openxmlformats.org/officeDocument/2006/relationships/hyperlink" Target="https://drive.google.com/file/d/1-aGhYs7ao10VRy2guue-uTg4Xq65DWCb/view?usp=drivesdk" TargetMode="External"/><Relationship Id="rId65" Type="http://schemas.openxmlformats.org/officeDocument/2006/relationships/hyperlink" Target="https://drive.google.com/file/d/1p4jNVbor9SWt0QSpK-huF8RwzNZztNBs/view?usp=drive_link" TargetMode="External"/><Relationship Id="rId64" Type="http://schemas.openxmlformats.org/officeDocument/2006/relationships/hyperlink" Target="https://drive.google.com/file/d/1LQkh8x3zwwOEGBzYg73i26Jpewo6cs3D/view?usp=drivesdk" TargetMode="External"/><Relationship Id="rId63" Type="http://schemas.openxmlformats.org/officeDocument/2006/relationships/hyperlink" Target="https://drive.google.com/file/d/1wGPC1ILzmoS_NSdfsBEMDa6PUvmHiITQ/view?usp=drivesdk" TargetMode="External"/><Relationship Id="rId62" Type="http://schemas.openxmlformats.org/officeDocument/2006/relationships/hyperlink" Target="https://drive.google.com/file/d/11pMXP9LzQDSOCFcGyZ30h0N4_459t-8T/view?usp=drivesdk" TargetMode="External"/><Relationship Id="rId61" Type="http://schemas.openxmlformats.org/officeDocument/2006/relationships/hyperlink" Target="https://drive.google.com/file/d/1WFj0LyCScVrmb41N-RuRU2HZGx5A4QUM/view?usp=drivesdk" TargetMode="External"/><Relationship Id="rId60" Type="http://schemas.openxmlformats.org/officeDocument/2006/relationships/hyperlink" Target="https://drive.google.com/file/d/18_RD9xZabwO2JP75PawLVIgZiRHanJ7r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Ak6smEd55cnbU6cgiHWyy16Q1-XSYz02/view?usp=drivesdk" TargetMode="External"/><Relationship Id="rId58" Type="http://schemas.openxmlformats.org/officeDocument/2006/relationships/hyperlink" Target="https://drive.google.com/file/d/1KHPev2Kq3qVrGscAO2uuo7yScy8y8Sup/view?usp=drivesdk" TargetMode="External"/><Relationship Id="rId57" Type="http://schemas.openxmlformats.org/officeDocument/2006/relationships/hyperlink" Target="https://drive.google.com/file/d/16VUgmeIgOqD2kCbL2vOnNnCK5A21jtS6/view?usp=drivesdk" TargetMode="External"/><Relationship Id="rId56" Type="http://schemas.openxmlformats.org/officeDocument/2006/relationships/hyperlink" Target="https://drive.google.com/file/d/1MUFzAJo5LSzmpdhI889kEhDZ0xKqImSg/view?usp=drivesdk" TargetMode="External"/><Relationship Id="rId55" Type="http://schemas.openxmlformats.org/officeDocument/2006/relationships/hyperlink" Target="https://drive.google.com/file/d/16C9A5O_2LU1qouTuL7juJbsj3tyaD1Qt/view?usp=drivesdk" TargetMode="External"/><Relationship Id="rId54" Type="http://schemas.openxmlformats.org/officeDocument/2006/relationships/hyperlink" Target="https://drive.google.com/file/d/1xZZ5XWFzSXvXAjvdoqHHi1FHnk0heuYs/view?usp=drivesdk" TargetMode="External"/><Relationship Id="rId53" Type="http://schemas.openxmlformats.org/officeDocument/2006/relationships/hyperlink" Target="https://drive.google.com/file/d/1JpfRw7AKi5vyFGzJYU8Gt0AbdcnM-XIR/view?usp=drivesdk" TargetMode="External"/><Relationship Id="rId52" Type="http://schemas.openxmlformats.org/officeDocument/2006/relationships/hyperlink" Target="https://drive.google.com/file/d/13BQ_wJdpDsvZ4ExNu5_MiUuptLzyEkOt/view?usp=drivesdk" TargetMode="External"/><Relationship Id="rId51" Type="http://schemas.openxmlformats.org/officeDocument/2006/relationships/hyperlink" Target="https://drive.google.com/file/d/1ODbvUqRQqa0vgDKn1aCSa1ExOjI5eU6s/view?usp=drivesdk" TargetMode="External"/><Relationship Id="rId50" Type="http://schemas.openxmlformats.org/officeDocument/2006/relationships/hyperlink" Target="https://drive.google.com/file/d/16-Aw559LRobGzObL2CIZzbedS2huPzfM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8ueBKNiLx_qMQGWWAwsMx3AwCOr1zXzs/view?usp=drivesdk" TargetMode="External"/><Relationship Id="rId48" Type="http://schemas.openxmlformats.org/officeDocument/2006/relationships/hyperlink" Target="https://drive.google.com/file/d/1l9qfxWgKh-kHCOlLJw3rYD8TsqzZQ0Vg/view?usp=drivesdk" TargetMode="External"/><Relationship Id="rId47" Type="http://schemas.openxmlformats.org/officeDocument/2006/relationships/hyperlink" Target="https://drive.google.com/file/d/1050KPyHqjlRunLX-RfleyqLFilvJdS5r/view?usp=drivesdk" TargetMode="External"/><Relationship Id="rId46" Type="http://schemas.openxmlformats.org/officeDocument/2006/relationships/hyperlink" Target="https://drive.google.com/file/d/1sFDM_grDHNQoFssiRNDRYHiZ-v5Cz_mM/view?usp=drivesdk" TargetMode="External"/><Relationship Id="rId45" Type="http://schemas.openxmlformats.org/officeDocument/2006/relationships/hyperlink" Target="https://drive.google.com/file/d/1MqKqLyL1Szw5dZPMXxT46Rrs2pbCGBzG/view?usp=drivesdk" TargetMode="External"/><Relationship Id="rId44" Type="http://schemas.openxmlformats.org/officeDocument/2006/relationships/hyperlink" Target="https://drive.google.com/file/d/15Bc88hS6nxrWXF0LYcVoTUmlRCZ-EtKv/view?usp=drivesdk" TargetMode="External"/><Relationship Id="rId43" Type="http://schemas.openxmlformats.org/officeDocument/2006/relationships/hyperlink" Target="https://drive.google.com/file/d/1FUdhhfUN-luAroAa_KyyLtQAPWNYruGx/view?usp=drive_link" TargetMode="External"/><Relationship Id="rId42" Type="http://schemas.openxmlformats.org/officeDocument/2006/relationships/hyperlink" Target="https://drive.google.com/file/d/1rpjbS-bDB20v4so-ORafAkM7plMXgvVt/view?usp=drivesdk" TargetMode="External"/><Relationship Id="rId41" Type="http://schemas.openxmlformats.org/officeDocument/2006/relationships/hyperlink" Target="https://drive.google.com/file/d/1Jd1pNOhKfow7rDb2cXcXuMaKkq3scBym/view?usp=drivesdk" TargetMode="External"/><Relationship Id="rId40" Type="http://schemas.openxmlformats.org/officeDocument/2006/relationships/hyperlink" Target="https://drive.google.com/file/d/14GkYuSFockovOVePXY3kQGt-QIydDele/view?usp=drive_lin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hO6981dWlr7a4rY7wKkphIA6DUHyv1ca/view?usp=drivesdk" TargetMode="External"/><Relationship Id="rId38" Type="http://schemas.openxmlformats.org/officeDocument/2006/relationships/hyperlink" Target="https://drive.google.com/file/d/1GgU8otZVWYUtpfGoGJVaWq9OiwS6VyWR/view?usp=drivesdk" TargetMode="External"/><Relationship Id="rId37" Type="http://schemas.openxmlformats.org/officeDocument/2006/relationships/hyperlink" Target="https://drive.google.com/file/d/1KiLSQnjJ2psEDDxubsd4qAIGYURZhEgV/view?usp=share_link" TargetMode="External"/><Relationship Id="rId36" Type="http://schemas.openxmlformats.org/officeDocument/2006/relationships/hyperlink" Target="https://drive.google.com/file/d/1PHv5SowWdHLPDwAmdCWH5ARL1Z38hfYO/view?usp=drivesdk" TargetMode="External"/><Relationship Id="rId35" Type="http://schemas.openxmlformats.org/officeDocument/2006/relationships/hyperlink" Target="https://drive.google.com/file/d/18HTrtI8KIzcwPDrXi0nqp6RPtcqsk4FA/view?usp=drivesdk" TargetMode="External"/><Relationship Id="rId34" Type="http://schemas.openxmlformats.org/officeDocument/2006/relationships/hyperlink" Target="https://drive.google.com/file/d/1PJMlwsarfJsjDOH9BR13ZC5WuNsCbsUs/view?usp=drive_link" TargetMode="External"/><Relationship Id="rId33" Type="http://schemas.openxmlformats.org/officeDocument/2006/relationships/hyperlink" Target="https://drive.google.com/file/d/1ovJmNjOlfEf62x4Im3HNRvI9DtrFZ9Sr/view?usp=drivesdk" TargetMode="External"/><Relationship Id="rId32" Type="http://schemas.openxmlformats.org/officeDocument/2006/relationships/hyperlink" Target="https://drive.google.com/file/d/1exXucVZqcE3RkfVT9eWgvz1GrwgUcOGs/view?usp=drivesdk" TargetMode="External"/><Relationship Id="rId31" Type="http://schemas.openxmlformats.org/officeDocument/2006/relationships/hyperlink" Target="https://drive.google.com/file/d/1wYVnj5xHuiqQU2FLKpl5j3MbxNgNSDWL/view?usp=drivesdk" TargetMode="External"/><Relationship Id="rId30" Type="http://schemas.openxmlformats.org/officeDocument/2006/relationships/hyperlink" Target="https://drive.google.com/file/d/1l0CarlJRdXeKckzjv5vdH8ZMNbVSDSFn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WAIV9EzRLNkmkzUDIIR1DMXykSJnRqNQ/view?usp=drivesdk" TargetMode="External"/><Relationship Id="rId28" Type="http://schemas.openxmlformats.org/officeDocument/2006/relationships/hyperlink" Target="https://drive.google.com/file/d/1YhQfmy0rQa_3l9AQYACCpU7Fqq-FOQEI/view?usp=drivesdk" TargetMode="External"/><Relationship Id="rId27" Type="http://schemas.openxmlformats.org/officeDocument/2006/relationships/hyperlink" Target="https://drive.google.com/file/d/1SyqKT5bF5AaGYQgD2j5JSrpmJiBMLybn/view?usp=drivesdk" TargetMode="External"/><Relationship Id="rId26" Type="http://schemas.openxmlformats.org/officeDocument/2006/relationships/hyperlink" Target="https://drive.google.com/file/d/1zVz0DVls0T0q0Nw8a9sVgmfrBBnx7VDU/view?usp=drivesdk" TargetMode="External"/><Relationship Id="rId25" Type="http://schemas.openxmlformats.org/officeDocument/2006/relationships/hyperlink" Target="https://drive.google.com/file/d/1fSvGTS8bB6HuiPaZYdDiOhcl5coBTyn6/view?usp=drivesdk" TargetMode="External"/><Relationship Id="rId24" Type="http://schemas.openxmlformats.org/officeDocument/2006/relationships/hyperlink" Target="https://drive.google.com/file/d/1JmOAm4079UzechP2QZhlcGLcKATeh1NC/view?usp=drivesdk" TargetMode="External"/><Relationship Id="rId23" Type="http://schemas.openxmlformats.org/officeDocument/2006/relationships/hyperlink" Target="https://drive.google.com/file/d/1LKMYyqlNdTpBAJHzScOqSYbwoX-Sj7CT/view?usp=drivesdk" TargetMode="External"/><Relationship Id="rId224" Type="http://schemas.openxmlformats.org/officeDocument/2006/relationships/hyperlink" Target="https://drive.google.com/file/d/1jTCXH33gTrZDnqPAyOS9Jo4Vsl0cg49j/view?usp=sharing" TargetMode="External"/><Relationship Id="rId223" Type="http://schemas.openxmlformats.org/officeDocument/2006/relationships/hyperlink" Target="https://drive.google.com/file/d/1-LMn2RMdekpDhktxd6uNjQQdatMKF8yZ/view?usp=drive_link" TargetMode="External"/><Relationship Id="rId222" Type="http://schemas.openxmlformats.org/officeDocument/2006/relationships/hyperlink" Target="https://drive.google.com/file/d/1pO45KJ2Anjf1wjhdMDATmYcrXCytLB3y/view?usp=sharing" TargetMode="External"/><Relationship Id="rId221" Type="http://schemas.openxmlformats.org/officeDocument/2006/relationships/hyperlink" Target="https://drive.google.com/file/d/1ayKyx-7T7TwOte_gGFgfgCxWiVa8Cg8m/view?usp=drive_link" TargetMode="External"/><Relationship Id="rId220" Type="http://schemas.openxmlformats.org/officeDocument/2006/relationships/hyperlink" Target="https://drive.google.com/file/d/1VXVL_r3DoAz3I_u0DD1X5QX9FVNRikkd/view?usp=drive_link" TargetMode="External"/><Relationship Id="rId22" Type="http://schemas.openxmlformats.org/officeDocument/2006/relationships/hyperlink" Target="https://drive.google.com/file/d/1-OL0ijLcO4oCmNnZTW_Y7BHwMB4uUQVK/view" TargetMode="External"/><Relationship Id="rId219" Type="http://schemas.openxmlformats.org/officeDocument/2006/relationships/hyperlink" Target="https://drive.google.com/file/d/14S--Kd5Vl3YSMCHzwwYt_kQIgxGm_Zbg/view?usp=drive_link" TargetMode="External"/><Relationship Id="rId218" Type="http://schemas.openxmlformats.org/officeDocument/2006/relationships/hyperlink" Target="https://drive.google.com/file/d/1_wspiI7N_dRs_vE3p2pH0rc8yAcF-pg4/view?usp=drive_link" TargetMode="External"/><Relationship Id="rId217" Type="http://schemas.openxmlformats.org/officeDocument/2006/relationships/hyperlink" Target="https://drive.google.com/file/d/1WXt01Z5DyEaibfcb9yjRvC37GnJBijOf/view?usp=drive_link" TargetMode="External"/><Relationship Id="rId216" Type="http://schemas.openxmlformats.org/officeDocument/2006/relationships/hyperlink" Target="https://drive.google.com/file/d/1imOf8cO4LrDK_1VGlnSJPrR4OAx8Sd2B/view?usp=drive_link" TargetMode="External"/><Relationship Id="rId215" Type="http://schemas.openxmlformats.org/officeDocument/2006/relationships/hyperlink" Target="https://drive.google.com/file/d/15MHSo23sHhYQuvGI6Rdc88aGx1MXVhlF/view?usp=drive_link" TargetMode="External"/><Relationship Id="rId214" Type="http://schemas.openxmlformats.org/officeDocument/2006/relationships/hyperlink" Target="https://drive.google.com/file/d/1DcpP4LOQNc8RwrLINVuQGgWXm-u_a-sA/view?usp=drive_link" TargetMode="External"/><Relationship Id="rId213" Type="http://schemas.openxmlformats.org/officeDocument/2006/relationships/hyperlink" Target="https://drive.google.com/file/d/1iDuc7gvHFRshb5E8TcJ7Ilr725UDYtYT/view?usp=drive_link" TargetMode="External"/><Relationship Id="rId212" Type="http://schemas.openxmlformats.org/officeDocument/2006/relationships/hyperlink" Target="https://drive.google.com/file/d/1BYzvA60nhOIgB0lqA_h_gUgzzn4g3BE1/view?usp=drive_link" TargetMode="External"/><Relationship Id="rId211" Type="http://schemas.openxmlformats.org/officeDocument/2006/relationships/hyperlink" Target="https://drive.google.com/file/d/1EA90Utk1ns7TCVkyeIJ5iW7Hdqq2_Zha/view?usp=drive_link" TargetMode="External"/><Relationship Id="rId210" Type="http://schemas.openxmlformats.org/officeDocument/2006/relationships/hyperlink" Target="https://drive.google.com/file/d/1tBQj4KBkGIcQo30fyHrHkQTaQkbdqCVJ/view?usp=drive_link" TargetMode="External"/><Relationship Id="rId21" Type="http://schemas.openxmlformats.org/officeDocument/2006/relationships/hyperlink" Target="https://drive.google.com/file/d/1Sye9_tfW3vCUCuzfO04RicfVtkkhBLUa/view" TargetMode="External"/><Relationship Id="rId209" Type="http://schemas.openxmlformats.org/officeDocument/2006/relationships/hyperlink" Target="https://drive.google.com/file/d/1h1YpL-TqyEbEky1f-D_FA37WkazYPh6C/view?usp=drivesdk" TargetMode="External"/><Relationship Id="rId208" Type="http://schemas.openxmlformats.org/officeDocument/2006/relationships/hyperlink" Target="https://drive.google.com/file/d/1DLXMiPTJtaj-cV4BMCQfSpkJVR1A3rDB/view?usp=drivesdk" TargetMode="External"/><Relationship Id="rId207" Type="http://schemas.openxmlformats.org/officeDocument/2006/relationships/hyperlink" Target="https://drive.google.com/file/d/1b0tG7LlxP2I7zhWbYZaWxkh28HgqHz0s/view?usp=drivesdk" TargetMode="External"/><Relationship Id="rId206" Type="http://schemas.openxmlformats.org/officeDocument/2006/relationships/hyperlink" Target="https://drive.google.com/file/d/1iuScMGNcz3weEMoQVa1T_JuSW_9DH1pO/view?usp=drivesdk" TargetMode="External"/><Relationship Id="rId205" Type="http://schemas.openxmlformats.org/officeDocument/2006/relationships/hyperlink" Target="https://drive.google.com/file/d/1kw2VWoQAq_GLZWh8CMRcXuwxf4-mQw_3/view?usp=drivesdk" TargetMode="External"/><Relationship Id="rId204" Type="http://schemas.openxmlformats.org/officeDocument/2006/relationships/hyperlink" Target="https://drive.google.com/file/d/1Abd8DwLweMv1FfMWCYJdSkK3a-re0q0L/view?usp=drivesdk" TargetMode="External"/><Relationship Id="rId203" Type="http://schemas.openxmlformats.org/officeDocument/2006/relationships/hyperlink" Target="https://drive.google.com/file/d/1pJ8fD1Ok-zcawXCMQ_cRWt6M5YN8RMtR/view?usp=drivesdk" TargetMode="External"/><Relationship Id="rId202" Type="http://schemas.openxmlformats.org/officeDocument/2006/relationships/hyperlink" Target="https://drive.google.com/file/d/1aHQQRjcXI6yHCt_UP6yKuQeMFKCUgGvc/view?usp=drivesdk" TargetMode="External"/><Relationship Id="rId201" Type="http://schemas.openxmlformats.org/officeDocument/2006/relationships/hyperlink" Target="https://drive.google.com/file/d/1pRyxVlOB9oeuk3O5IIACA530apjx3-Be/view?usp=drivesdk" TargetMode="External"/><Relationship Id="rId200" Type="http://schemas.openxmlformats.org/officeDocument/2006/relationships/hyperlink" Target="https://drive.google.com/file/d/1uYLeaulkVSSo9JfLTOyoKNdPZriZ7gfN/view?usp=drivesdk" TargetMode="External"/><Relationship Id="rId20" Type="http://schemas.openxmlformats.org/officeDocument/2006/relationships/hyperlink" Target="https://drive.google.com/file/d/1j6z_L7F1ez8ItqPnrQsPNGg2j38KtlgG/view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qoLoPyTtfy5SLtbkTcwZ5hfG7zyYvOjI/view?usp=drivesdk" TargetMode="External"/><Relationship Id="rId198" Type="http://schemas.openxmlformats.org/officeDocument/2006/relationships/hyperlink" Target="https://drive.google.com/file/d/1uouhgNSfb35tVgSNAT8SBXbH8HW7m3t7/view?usp=drivesdk" TargetMode="External"/><Relationship Id="rId197" Type="http://schemas.openxmlformats.org/officeDocument/2006/relationships/hyperlink" Target="https://drive.google.com/file/d/1bxIZJ6A0SyevCXCLRJJQsKicLHyUSel3/view?usp=drivesdk" TargetMode="External"/><Relationship Id="rId196" Type="http://schemas.openxmlformats.org/officeDocument/2006/relationships/hyperlink" Target="https://drive.google.com/file/d/1dkDs0IKNusqI0BPpiDMA33TS3N20uRcH/view?usp=drivesdk" TargetMode="External"/><Relationship Id="rId195" Type="http://schemas.openxmlformats.org/officeDocument/2006/relationships/hyperlink" Target="https://drive.google.com/file/d/13SbKXAWRec3kpm0GqTA736J4r8YLM3mP/view?usp=drivesdk" TargetMode="External"/><Relationship Id="rId194" Type="http://schemas.openxmlformats.org/officeDocument/2006/relationships/hyperlink" Target="https://drive.google.com/file/d/1IFXyXVWNPCHVMWZK264ltJrxyR8MoCNf/view?usp=drivesdk" TargetMode="External"/><Relationship Id="rId193" Type="http://schemas.openxmlformats.org/officeDocument/2006/relationships/hyperlink" Target="https://drive.google.com/file/d/1mkpgqVyWWqPHnVWFxR2j-_iHjXSrikm-/view?usp=drivesdk" TargetMode="External"/><Relationship Id="rId192" Type="http://schemas.openxmlformats.org/officeDocument/2006/relationships/hyperlink" Target="https://drive.google.com/file/d/1q6JC0ZSVeRyfzcyPXnR1oa_gZeq5Adsf/view?usp=drivesdk" TargetMode="External"/><Relationship Id="rId191" Type="http://schemas.openxmlformats.org/officeDocument/2006/relationships/hyperlink" Target="https://drive.google.com/file/d/1flqvwxcZ1eir6abRUnyvAOwW4dzbgGVN/view?usp=drivesdk" TargetMode="External"/><Relationship Id="rId190" Type="http://schemas.openxmlformats.org/officeDocument/2006/relationships/hyperlink" Target="https://drive.google.com/file/d/1w4UTxyqtJUxMIQ3h2SuY5vbDKfKYHC29/view?usp=drivesdk" TargetMode="External"/><Relationship Id="rId19" Type="http://schemas.openxmlformats.org/officeDocument/2006/relationships/hyperlink" Target="https://drive.google.com/file/d/1MMrYNdFIDXAIq6LtHwU6gyJ4tgXw7G-u/view?usp=drivesdk" TargetMode="External"/><Relationship Id="rId189" Type="http://schemas.openxmlformats.org/officeDocument/2006/relationships/hyperlink" Target="https://drive.google.com/file/d/1FnlIWyliZjBpKGWlrZWC0ZLvdC1mSeRT/view?usp=drive_link" TargetMode="External"/><Relationship Id="rId188" Type="http://schemas.openxmlformats.org/officeDocument/2006/relationships/hyperlink" Target="https://drive.google.com/file/d/1TvB9GBclhW4rhP04DhbIb_b9Hdo5pqQV/view?usp=drive_link" TargetMode="External"/><Relationship Id="rId187" Type="http://schemas.openxmlformats.org/officeDocument/2006/relationships/hyperlink" Target="https://drive.google.com/file/d/1XHlRE9CIptYuWOI5CvCuk5N1M4maCZxU/view?usp=drive_link" TargetMode="External"/><Relationship Id="rId186" Type="http://schemas.openxmlformats.org/officeDocument/2006/relationships/hyperlink" Target="https://drive.google.com/file/d/1TlMcYAuNXaqhxEmWpXQUqvfAQAk46AGx/view?usp=drive_link" TargetMode="External"/><Relationship Id="rId185" Type="http://schemas.openxmlformats.org/officeDocument/2006/relationships/hyperlink" Target="https://drive.google.com/file/d/12Q3__owZ4sfSEGBknxHctOTH4xrGVWD7/view?usp=drive_link" TargetMode="External"/><Relationship Id="rId184" Type="http://schemas.openxmlformats.org/officeDocument/2006/relationships/hyperlink" Target="https://drive.google.com/file/d/1zJWXGJfINS9BzTK821055S7z4kP2wE92/view?usp=drive_link" TargetMode="External"/><Relationship Id="rId183" Type="http://schemas.openxmlformats.org/officeDocument/2006/relationships/hyperlink" Target="https://drive.google.com/file/d/1AX6OYh4cyvOHoTjUpWLiCag24x3ib1as/view?usp=drive_link" TargetMode="External"/><Relationship Id="rId182" Type="http://schemas.openxmlformats.org/officeDocument/2006/relationships/hyperlink" Target="https://drive.google.com/file/d/13amFNwY1TDp12ju5coJ_4t8OY3mdTqvo/view?usp=drive_link" TargetMode="External"/><Relationship Id="rId181" Type="http://schemas.openxmlformats.org/officeDocument/2006/relationships/hyperlink" Target="https://drive.google.com/file/d/1QNJAFIS3AcDcCYyHYBdcGhSfgl7p_oNi/view?usp=drive_link" TargetMode="External"/><Relationship Id="rId180" Type="http://schemas.openxmlformats.org/officeDocument/2006/relationships/hyperlink" Target="https://drive.google.com/file/d/1XYwMDVzh4fwDVhFcKzavALPhzJhymcTA/view?usp=drive_link" TargetMode="External"/><Relationship Id="rId18" Type="http://schemas.openxmlformats.org/officeDocument/2006/relationships/hyperlink" Target="https://drive.google.com/file/d/1OCCCwrKUlTy4NqUDZsCGAqlMUuEalLTg/view?usp=drivesdk" TargetMode="External"/><Relationship Id="rId179" Type="http://schemas.openxmlformats.org/officeDocument/2006/relationships/hyperlink" Target="https://drive.google.com/file/d/1XiG02UYQFZnEtTHy_-6O0J-OD0O2cJDG/view?usp=drive_link" TargetMode="External"/><Relationship Id="rId178" Type="http://schemas.openxmlformats.org/officeDocument/2006/relationships/hyperlink" Target="https://drive.google.com/file/d/1dA6BJnXLbpi0Zz_mRBTRHp76jTd3vpal/view?usp=drivesdk" TargetMode="External"/><Relationship Id="rId177" Type="http://schemas.openxmlformats.org/officeDocument/2006/relationships/hyperlink" Target="https://drive.google.com/file/d/1iQ_Q4HCJ-zDnMd1F94DucUYz7wOmhNTy/view?usp=drivesdk" TargetMode="External"/><Relationship Id="rId176" Type="http://schemas.openxmlformats.org/officeDocument/2006/relationships/hyperlink" Target="https://drive.google.com/file/d/1z9vz2r3HtntpLAZXfmgg61ZPtNs3JwGj/view?usp=drive_link" TargetMode="External"/><Relationship Id="rId175" Type="http://schemas.openxmlformats.org/officeDocument/2006/relationships/hyperlink" Target="https://drive.google.com/file/d/13UKyayGuA94wgag2vP608BSJm28F9SjK/view?usp=drivesdk" TargetMode="External"/><Relationship Id="rId174" Type="http://schemas.openxmlformats.org/officeDocument/2006/relationships/hyperlink" Target="https://drive.google.com/file/d/1zb-v3OBPe1uEGA2pfUeJYKn607Q23-VX/view?usp=drive_link" TargetMode="External"/><Relationship Id="rId173" Type="http://schemas.openxmlformats.org/officeDocument/2006/relationships/hyperlink" Target="https://drive.google.com/file/d/1vm26hGolfmIt_00AwhxaInYBeHzy-o-M/view?usp=drive_link" TargetMode="External"/><Relationship Id="rId172" Type="http://schemas.openxmlformats.org/officeDocument/2006/relationships/hyperlink" Target="https://drive.google.com/file/d/1mMz4HtEoeAbpd0fSV0nrAAVWE_NwNd0K/view?usp=drivesdk" TargetMode="External"/><Relationship Id="rId171" Type="http://schemas.openxmlformats.org/officeDocument/2006/relationships/hyperlink" Target="https://drive.google.com/file/d/15bp-unBGi_6QJ7i8dobY3ZYeP2skiV38/view?usp=drive_link" TargetMode="External"/><Relationship Id="rId170" Type="http://schemas.openxmlformats.org/officeDocument/2006/relationships/hyperlink" Target="https://drive.google.com/file/d/151_nNpwiYjOoHw0NaGjhK8_JSex8_d3C/view?usp=drivesdk" TargetMode="External"/><Relationship Id="rId17" Type="http://schemas.openxmlformats.org/officeDocument/2006/relationships/hyperlink" Target="https://drive.google.com/file/d/1DWHRNJ3pMF_sCvA1Cgrp7Nq-QjVOrmtQ/view?usp=drive_link" TargetMode="External"/><Relationship Id="rId169" Type="http://schemas.openxmlformats.org/officeDocument/2006/relationships/hyperlink" Target="https://drive.google.com/file/d/1p9MlHvCBRNAJYexFIWsNT3b--t4fR3Rf/view?usp=drive_link" TargetMode="External"/><Relationship Id="rId168" Type="http://schemas.openxmlformats.org/officeDocument/2006/relationships/hyperlink" Target="https://drive.google.com/file/d/1asgl5SpirppgggoKXR1X8BTP0IMSs_Hq/view?usp=drivesdk" TargetMode="External"/><Relationship Id="rId167" Type="http://schemas.openxmlformats.org/officeDocument/2006/relationships/hyperlink" Target="https://drive.google.com/file/d/11AMehloheiTnLm05AokwexaOSkInZ7gu/view?usp=drivesdk" TargetMode="External"/><Relationship Id="rId166" Type="http://schemas.openxmlformats.org/officeDocument/2006/relationships/hyperlink" Target="https://drive.google.com/file/d/1YbHVvlbyekEd3SxwhAnFtXa_ZYZV9hC9/view?usp=drivesdk" TargetMode="External"/><Relationship Id="rId165" Type="http://schemas.openxmlformats.org/officeDocument/2006/relationships/hyperlink" Target="https://drive.google.com/file/d/1QwVsrlCn-vJKPmMmbOEuyVZPenw3zLAi/view?usp=drivesdk" TargetMode="External"/><Relationship Id="rId164" Type="http://schemas.openxmlformats.org/officeDocument/2006/relationships/hyperlink" Target="https://drive.google.com/file/d/1dEXWzbjvlXlAtXnVegOKsP-FK2X8icyG/view?usp=drivesdk" TargetMode="External"/><Relationship Id="rId163" Type="http://schemas.openxmlformats.org/officeDocument/2006/relationships/hyperlink" Target="https://drive.google.com/file/d/12Rz9Bst1qc788H8Zh8yXBmnHPzzrN93P/view?usp=drivesdk" TargetMode="External"/><Relationship Id="rId162" Type="http://schemas.openxmlformats.org/officeDocument/2006/relationships/hyperlink" Target="https://drive.google.com/file/d/1T7BS5aUu1suc6oUZAUJSkrbr1ggrqk4F/view?usp=drivesdk" TargetMode="External"/><Relationship Id="rId161" Type="http://schemas.openxmlformats.org/officeDocument/2006/relationships/hyperlink" Target="https://drive.google.com/file/d/1SVzgo7K5HA2eBNvCm9cHE5Jjj19OQ_Yi/view?usp=drivesdk" TargetMode="External"/><Relationship Id="rId160" Type="http://schemas.openxmlformats.org/officeDocument/2006/relationships/hyperlink" Target="https://drive.google.com/file/d/1VBcUYGGVBC1eFzghNmCL6gYt5uTrB1En/view?usp=drivesdk" TargetMode="External"/><Relationship Id="rId16" Type="http://schemas.openxmlformats.org/officeDocument/2006/relationships/hyperlink" Target="https://drive.google.com/file/d/1IUS8d_QOkrc_3Yf1jLvL5afjwyI3ICZg/view?usp=drive_link" TargetMode="External"/><Relationship Id="rId159" Type="http://schemas.openxmlformats.org/officeDocument/2006/relationships/hyperlink" Target="https://drive.google.com/file/d/1AvwfvxAigPmn2HwcxP2r_HE5XQNTVfio/view?usp=drivesdk" TargetMode="External"/><Relationship Id="rId158" Type="http://schemas.openxmlformats.org/officeDocument/2006/relationships/hyperlink" Target="https://drive.google.com/file/d/1YHGtCN76a8nF57aGzHjkfYUeeOB51E2i/view?usp=drive_link" TargetMode="External"/><Relationship Id="rId157" Type="http://schemas.openxmlformats.org/officeDocument/2006/relationships/hyperlink" Target="https://drive.google.com/file/d/1WOEQum9D_NKi3goLKqtY1VRtvIRb4Onc/view?usp=drivesdk" TargetMode="External"/><Relationship Id="rId156" Type="http://schemas.openxmlformats.org/officeDocument/2006/relationships/hyperlink" Target="https://drive.google.com/file/d/1tYp3kf2YZfVDWXP_ppXiSk-8uC3iLHGP/view?usp=drivesdk" TargetMode="External"/><Relationship Id="rId155" Type="http://schemas.openxmlformats.org/officeDocument/2006/relationships/hyperlink" Target="https://drive.google.com/file/d/1j5G0xlpPZoN_-SJWXfCmHSvy5_f5ElVb/view?usp=drive_link" TargetMode="External"/><Relationship Id="rId154" Type="http://schemas.openxmlformats.org/officeDocument/2006/relationships/hyperlink" Target="https://drive.google.com/file/d/18R5-hqH5rhdTFHQ_-9FelFaTNFFzJh_T/view?usp=drive_link" TargetMode="External"/><Relationship Id="rId153" Type="http://schemas.openxmlformats.org/officeDocument/2006/relationships/hyperlink" Target="https://drive.google.com/file/d/10GW4FACg3bdcBCeLjSYcb833mvK73Nsk/view?usp=drive_link" TargetMode="External"/><Relationship Id="rId152" Type="http://schemas.openxmlformats.org/officeDocument/2006/relationships/hyperlink" Target="https://drive.google.com/file/d/1wph9zlC06HPR6sLyJB2CA14nwySD_6ES/view?usp=drive_link" TargetMode="External"/><Relationship Id="rId151" Type="http://schemas.openxmlformats.org/officeDocument/2006/relationships/hyperlink" Target="https://drive.google.com/file/d/17SJTGdOIPyZoBVvb3OcOJmQ_95JfuaZ5/view?usp=drivesdk" TargetMode="External"/><Relationship Id="rId150" Type="http://schemas.openxmlformats.org/officeDocument/2006/relationships/hyperlink" Target="https://drive.google.com/file/d/1JJxXXDiBnkpOvq2wjJstoqS76vydmnah/view?usp=drivesdk" TargetMode="External"/><Relationship Id="rId15" Type="http://schemas.openxmlformats.org/officeDocument/2006/relationships/hyperlink" Target="https://drive.google.com/file/d/1gEAixXS_3N31vdhaFBuI34_Zwxtr4-Av/view?usp=drive_link" TargetMode="External"/><Relationship Id="rId149" Type="http://schemas.openxmlformats.org/officeDocument/2006/relationships/hyperlink" Target="https://drive.google.com/file/d/1lDxJBcuIu3TFbYeDrmoCWNkC3Q7oRWtQ/view?usp=drivesdk" TargetMode="External"/><Relationship Id="rId148" Type="http://schemas.openxmlformats.org/officeDocument/2006/relationships/hyperlink" Target="https://drive.google.com/file/d/1BNuTqZYxqx1yeGa2TrCYkK9pzeYN8dIj/view?usp=drivesdk" TargetMode="External"/><Relationship Id="rId147" Type="http://schemas.openxmlformats.org/officeDocument/2006/relationships/hyperlink" Target="https://drive.google.com/file/d/1G6kH8R6hjEGmJmuU2Q1QejweKqjRW6DP/view?usp=drivesdk" TargetMode="External"/><Relationship Id="rId146" Type="http://schemas.openxmlformats.org/officeDocument/2006/relationships/hyperlink" Target="https://drive.google.com/file/d/1poK13YhNucktf9lLXnQDFWoerWIEizJG/view?usp=drivesdk" TargetMode="External"/><Relationship Id="rId145" Type="http://schemas.openxmlformats.org/officeDocument/2006/relationships/hyperlink" Target="https://drive.google.com/file/d/1ctDgbYciQzWvUHJfho5-NJ-Nj4A7_znS/view?usp=drive_link" TargetMode="External"/><Relationship Id="rId144" Type="http://schemas.openxmlformats.org/officeDocument/2006/relationships/hyperlink" Target="https://drive.google.com/file/d/1pSBWMwByQ3bS1TS6p1JDl_bfYDZPEKhO/view?usp=drivesdk" TargetMode="External"/><Relationship Id="rId143" Type="http://schemas.openxmlformats.org/officeDocument/2006/relationships/hyperlink" Target="https://drive.google.com/file/d/15783VE4mpd_oLtq6eJkrhYXIz-t2msIl/view?usp=drivesdk" TargetMode="External"/><Relationship Id="rId142" Type="http://schemas.openxmlformats.org/officeDocument/2006/relationships/hyperlink" Target="https://drive.google.com/file/d/1s5ZFWy4lgKTWx1VTywtJJzs4tASXleI9/view?usp=drivesdk" TargetMode="External"/><Relationship Id="rId141" Type="http://schemas.openxmlformats.org/officeDocument/2006/relationships/hyperlink" Target="https://drive.google.com/file/d/1y28oNcvflHApb5YBGVUOpaKsxzLbeTTp/view?usp=drivesdk" TargetMode="External"/><Relationship Id="rId140" Type="http://schemas.openxmlformats.org/officeDocument/2006/relationships/hyperlink" Target="https://drive.google.com/file/d/1aY6-wolra3d4A0ttvVkD6luYdeaD4l7c/view?usp=drivesdk" TargetMode="External"/><Relationship Id="rId14" Type="http://schemas.openxmlformats.org/officeDocument/2006/relationships/hyperlink" Target="https://drive.google.com/file/d/1n_sxnq85b2lKGL26GnirBYDfp3Laq_a-/view?usp=drive_link" TargetMode="External"/><Relationship Id="rId139" Type="http://schemas.openxmlformats.org/officeDocument/2006/relationships/hyperlink" Target="https://drive.google.com/file/d/1zPVx8tfZi1fGYG4_sqtBbEMJWOun4f__/view?usp=drivesdk" TargetMode="External"/><Relationship Id="rId138" Type="http://schemas.openxmlformats.org/officeDocument/2006/relationships/hyperlink" Target="https://drive.google.com/file/d/1PJHtx1YRK-EbFEpyWgpLYNBcIr4WAcV5/view?usp=drivesdk" TargetMode="External"/><Relationship Id="rId137" Type="http://schemas.openxmlformats.org/officeDocument/2006/relationships/hyperlink" Target="https://drive.google.com/file/d/1pxEdrWivFmVVLOXe4-sX3lGJsCPyorvy/view?usp=drivesdk" TargetMode="External"/><Relationship Id="rId136" Type="http://schemas.openxmlformats.org/officeDocument/2006/relationships/hyperlink" Target="https://drive.google.com/file/d/1cDws5m82y0QLaMQjQn4nPhQjGbKZTTHM/view?usp=drive_link" TargetMode="External"/><Relationship Id="rId135" Type="http://schemas.openxmlformats.org/officeDocument/2006/relationships/hyperlink" Target="https://drive.google.com/file/d/16by67tCJFVKHKykzeCeia17gpwlOfXpO/view?usp=drivesdk" TargetMode="External"/><Relationship Id="rId134" Type="http://schemas.openxmlformats.org/officeDocument/2006/relationships/hyperlink" Target="https://drive.google.com/file/d/1k0xycatCDTk2g7PX8zM_R7RcEkY0FkSg/view?usp=drivesdk" TargetMode="External"/><Relationship Id="rId133" Type="http://schemas.openxmlformats.org/officeDocument/2006/relationships/hyperlink" Target="https://drive.google.com/file/d/14umXqhwx7Hk32DAHiMx_-VPdZofNm0z2/view?usp=drivesdk" TargetMode="External"/><Relationship Id="rId132" Type="http://schemas.openxmlformats.org/officeDocument/2006/relationships/hyperlink" Target="https://drive.google.com/file/d/1rN0f_MUrpuskqnfi6ifO3-IpFakYzlfv/view?usp=drive_link" TargetMode="External"/><Relationship Id="rId131" Type="http://schemas.openxmlformats.org/officeDocument/2006/relationships/hyperlink" Target="https://drive.google.com/file/d/1LqAuW6_cg5jiH0WxSu4CpSCLTZwbRFZD/view?usp=drivesdk" TargetMode="External"/><Relationship Id="rId130" Type="http://schemas.openxmlformats.org/officeDocument/2006/relationships/hyperlink" Target="https://drive.google.com/file/d/1hTsJOAVmbTuXMkIXdD-biQuiBl5NUjvu/view?usp=drivesdk" TargetMode="External"/><Relationship Id="rId13" Type="http://schemas.openxmlformats.org/officeDocument/2006/relationships/hyperlink" Target="https://drive.google.com/file/d/1KSVlG8ggn_l2f-vaOdiJ4ew0PqS7szcU/view?usp=drive_link" TargetMode="External"/><Relationship Id="rId129" Type="http://schemas.openxmlformats.org/officeDocument/2006/relationships/hyperlink" Target="https://drive.google.com/file/d/1_fZwJu7dWxIyD6tKr_vhH0lazrhaO0-3/view?usp=drivesdk" TargetMode="External"/><Relationship Id="rId128" Type="http://schemas.openxmlformats.org/officeDocument/2006/relationships/hyperlink" Target="https://drive.google.com/file/d/1B7wFLY5XROOEnCBo5MvraJCHGZSlvN2F/view?usp=drivesdk" TargetMode="External"/><Relationship Id="rId127" Type="http://schemas.openxmlformats.org/officeDocument/2006/relationships/hyperlink" Target="https://drive.google.com/file/d/13NRRwV6xx66cW1eLQgLlIoT0apkFdG3H/view?usp=drivesdk" TargetMode="External"/><Relationship Id="rId126" Type="http://schemas.openxmlformats.org/officeDocument/2006/relationships/hyperlink" Target="https://drive.google.com/file/d/1QHgzzBJNnFVv7Q4ZFvEihpGjk4Z1zaPp/view?usp=drivesdk" TargetMode="External"/><Relationship Id="rId125" Type="http://schemas.openxmlformats.org/officeDocument/2006/relationships/hyperlink" Target="https://drive.google.com/file/d/16suSyeaCwhnYVKgszyf2w4ssKbufdRBf/view?usp=drivesdk" TargetMode="External"/><Relationship Id="rId124" Type="http://schemas.openxmlformats.org/officeDocument/2006/relationships/hyperlink" Target="https://drive.google.com/file/d/1waraBZBCOsJq0_rFPrXInBkspp7KcD0g/view?usp=drivesdk" TargetMode="External"/><Relationship Id="rId123" Type="http://schemas.openxmlformats.org/officeDocument/2006/relationships/hyperlink" Target="https://drive.google.com/file/d/1kIJWy8Qyq1_tG4qEOkxoUeJSPRJfp6E1/view?usp=drivesdk" TargetMode="External"/><Relationship Id="rId122" Type="http://schemas.openxmlformats.org/officeDocument/2006/relationships/hyperlink" Target="https://docs.google.com/document/d/1Tbe0PVfzxCAfIsIxEjjd_PjY7DVCyvpPmoPb7jYq7uI/edit?usp=drive_link" TargetMode="External"/><Relationship Id="rId121" Type="http://schemas.openxmlformats.org/officeDocument/2006/relationships/hyperlink" Target="https://docs.google.com/document/d/11yo-N3jNXz73ot3FxtZEk7KIb7VCSJE6li2eBSuKDs4/edit?usp=drive_link" TargetMode="External"/><Relationship Id="rId120" Type="http://schemas.openxmlformats.org/officeDocument/2006/relationships/hyperlink" Target="https://docs.google.com/document/d/1KojeKbYm7_sMv6uvoWwL_UjDXkWgWfXXFipki9-a_1M/edit?usp=drive_link" TargetMode="External"/><Relationship Id="rId12" Type="http://schemas.openxmlformats.org/officeDocument/2006/relationships/hyperlink" Target="https://drive.google.com/file/d/1GoH4RSP1ZzNZmI4VzWWWyfn0Nk7ktj5p/view?usp=drive_link" TargetMode="External"/><Relationship Id="rId119" Type="http://schemas.openxmlformats.org/officeDocument/2006/relationships/hyperlink" Target="https://docs.google.com/document/d/1TCT74CQpfIc1e7CnSVSy4TKajIafLyegfq-cMsMhWKg/edit?usp=drive_link" TargetMode="External"/><Relationship Id="rId118" Type="http://schemas.openxmlformats.org/officeDocument/2006/relationships/hyperlink" Target="https://drive.google.com/file/d/1UMaC0dmkJLAfLNI_13AnsMMyV4D1WgRJ/view?usp=drivesdk" TargetMode="External"/><Relationship Id="rId117" Type="http://schemas.openxmlformats.org/officeDocument/2006/relationships/hyperlink" Target="https://drive.google.com/file/d/1U9ayAdpHb6nhlOC0nb79f6BxuPlwfQ9K/view?usp=drivesdk" TargetMode="External"/><Relationship Id="rId116" Type="http://schemas.openxmlformats.org/officeDocument/2006/relationships/hyperlink" Target="https://drive.google.com/file/d/1bNgpZa_CUI7KauO5S_wo1U7tssBuDbSN/view?usp=drivesdk" TargetMode="External"/><Relationship Id="rId115" Type="http://schemas.openxmlformats.org/officeDocument/2006/relationships/hyperlink" Target="https://drive.google.com/file/d/1sT0NJsD21pgepjH7tLuJCBFtIZQax2Wl/view?usp=drivesdk" TargetMode="External"/><Relationship Id="rId114" Type="http://schemas.openxmlformats.org/officeDocument/2006/relationships/hyperlink" Target="https://drive.google.com/file/d/1Rrq1AHOdjR2ShWbqNq2RzzfKxCAwSRZj/view?usp=drivesdk" TargetMode="External"/><Relationship Id="rId113" Type="http://schemas.openxmlformats.org/officeDocument/2006/relationships/hyperlink" Target="https://drive.google.com/file/d/16KKmcdo6AzhCKj5Fp9W20GMNYdo_wKML/view?usp=drivesdk" TargetMode="External"/><Relationship Id="rId112" Type="http://schemas.openxmlformats.org/officeDocument/2006/relationships/hyperlink" Target="https://drive.google.com/file/d/13JiJlWYw1IWnWLN_tS9c9yqU95lY_OiF/view?usp=drivesdk" TargetMode="External"/><Relationship Id="rId111" Type="http://schemas.openxmlformats.org/officeDocument/2006/relationships/hyperlink" Target="https://drive.google.com/file/d/1Vx0j5Nj4g4HBZmQou69RA8ki6wE3Lahh/view?usp=drivesdk" TargetMode="External"/><Relationship Id="rId110" Type="http://schemas.openxmlformats.org/officeDocument/2006/relationships/hyperlink" Target="https://drive.google.com/file/d/1P_BCu_2QVtE153XaJwwFH2qOnbtfw2vU/view?usp=drivesdk" TargetMode="External"/><Relationship Id="rId11" Type="http://schemas.openxmlformats.org/officeDocument/2006/relationships/hyperlink" Target="https://drive.google.com/file/d/1g_NCEmpgXGAv6Wf51xoA6Lhpz__Zkopy/view?usp=drive_link" TargetMode="External"/><Relationship Id="rId109" Type="http://schemas.openxmlformats.org/officeDocument/2006/relationships/hyperlink" Target="https://drive.google.com/file/d/1m9dPnqms1RkHwlmaoq6HNpVdrxXKMc4e/view?usp=sharing" TargetMode="External"/><Relationship Id="rId108" Type="http://schemas.openxmlformats.org/officeDocument/2006/relationships/hyperlink" Target="https://drive.google.com/file/d/1lWP6IvNBiSgSE8NUcRY6MtyFZvzryUVW/view?usp=sharing" TargetMode="External"/><Relationship Id="rId107" Type="http://schemas.openxmlformats.org/officeDocument/2006/relationships/hyperlink" Target="https://drive.google.com/file/d/1Y9flt534_FhOqa8NP_vpNuG3r3VfhlQm/view?usp=sharing" TargetMode="External"/><Relationship Id="rId106" Type="http://schemas.openxmlformats.org/officeDocument/2006/relationships/hyperlink" Target="https://drive.google.com/file/d/19I4c0_5oVLw-4BiB8pjI1bptf-OdunLg/view?usp=drivesdk" TargetMode="External"/><Relationship Id="rId105" Type="http://schemas.openxmlformats.org/officeDocument/2006/relationships/hyperlink" Target="https://drive.google.com/file/d/16IRc55EQPnwJwz1MBgv_Y1W7eI0TnC6F/view?usp=drivesdk" TargetMode="External"/><Relationship Id="rId104" Type="http://schemas.openxmlformats.org/officeDocument/2006/relationships/hyperlink" Target="https://drive.google.com/file/d/1jB0U0EhE5xwrMoxyjyFZrlDez1qXmX50/view?usp=drive_link" TargetMode="External"/><Relationship Id="rId103" Type="http://schemas.openxmlformats.org/officeDocument/2006/relationships/hyperlink" Target="https://drive.google.com/file/d/1RdAXjTxyqbfqMqUkwTxTZ16CD1Z3vhZv/view?usp=drive_link" TargetMode="External"/><Relationship Id="rId102" Type="http://schemas.openxmlformats.org/officeDocument/2006/relationships/hyperlink" Target="https://drive.google.com/file/d/135u3tNC1zdA9J5PceHfhUccKOAjoZVtj/view?usp=drive_link" TargetMode="External"/><Relationship Id="rId101" Type="http://schemas.openxmlformats.org/officeDocument/2006/relationships/hyperlink" Target="https://drive.google.com/file/d/1mwomjH1QGF2g853ThBERIEl_lqprdVCV/view?usp=drive_link" TargetMode="External"/><Relationship Id="rId100" Type="http://schemas.openxmlformats.org/officeDocument/2006/relationships/hyperlink" Target="https://drive.google.com/file/d/10LKj431l5xtZZdGiXpGZC66AJpr0hYj0/view?usp=drivesdk" TargetMode="External"/><Relationship Id="rId10" Type="http://schemas.openxmlformats.org/officeDocument/2006/relationships/hyperlink" Target="https://drive.google.com/file/d/1vAilJIwOsp4XAuK_CHrcMGeHYpph1rEL/view?usp=drive_link" TargetMode="External"/><Relationship Id="rId1" Type="http://schemas.openxmlformats.org/officeDocument/2006/relationships/hyperlink" Target="http://s.no/" TargetMode="External"/></Relationships>
</file>

<file path=xl/worksheets/_rels/sheet20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yqbx43PnfXE8U_6g27LrPngfH4Nim4l-/view?usp=drivesdk" TargetMode="External"/><Relationship Id="rId98" Type="http://schemas.openxmlformats.org/officeDocument/2006/relationships/hyperlink" Target="https://drive.google.com/file/d/1WQjpqTJkN2CL63dizWOLH-FHbxYPuwVs/view?usp=drivesdk" TargetMode="External"/><Relationship Id="rId97" Type="http://schemas.openxmlformats.org/officeDocument/2006/relationships/hyperlink" Target="https://drive.google.com/file/d/1KfWKJxh2VrKitJEr0szRBuEALYNYKYBC/view?usp=drivesdk" TargetMode="External"/><Relationship Id="rId96" Type="http://schemas.openxmlformats.org/officeDocument/2006/relationships/hyperlink" Target="https://drive.google.com/file/d/11rwp4t8FCYeorWBqowC3lt4oxoiMZXGD/view?usp=drivesdk" TargetMode="External"/><Relationship Id="rId95" Type="http://schemas.openxmlformats.org/officeDocument/2006/relationships/hyperlink" Target="https://drive.google.com/file/d/1EoQqe_wzL5E6hm9JFrG8aErbmcHafa8C/view?usp=drivesdk" TargetMode="External"/><Relationship Id="rId94" Type="http://schemas.openxmlformats.org/officeDocument/2006/relationships/hyperlink" Target="https://drive.google.com/file/d/17pRvmaCFzqLMQRC7wnvA4L82a4VoqSNb/view?usp=drivesdk" TargetMode="External"/><Relationship Id="rId93" Type="http://schemas.openxmlformats.org/officeDocument/2006/relationships/hyperlink" Target="https://drive.google.com/file/d/14NjXiJxdPZj-jsyU8TwKzoZcgHH2Kikm/view?usp=drivesdk" TargetMode="External"/><Relationship Id="rId92" Type="http://schemas.openxmlformats.org/officeDocument/2006/relationships/hyperlink" Target="https://drive.google.com/file/d/1GrGA4TyYwG1MhtL3_f1BynYYPOQUPYfI/view?usp=drivesdk" TargetMode="External"/><Relationship Id="rId91" Type="http://schemas.openxmlformats.org/officeDocument/2006/relationships/hyperlink" Target="https://drive.google.com/file/d/1exXucVZqcE3RkfVT9eWgvz1GrwgUcOGs/view?usp=drivesdk" TargetMode="External"/><Relationship Id="rId90" Type="http://schemas.openxmlformats.org/officeDocument/2006/relationships/hyperlink" Target="https://drive.google.com/file/d/1V4kAOaTdr-GtYhnXv7gzQBE3ZR7ZPlKK/view?usp=drive_link" TargetMode="External"/><Relationship Id="rId9" Type="http://schemas.openxmlformats.org/officeDocument/2006/relationships/hyperlink" Target="https://drive.google.com/file/d/1g_NCEmpgXGAv6Wf51xoA6Lhpz__Zkopy/view?usp=drive_link" TargetMode="External"/><Relationship Id="rId89" Type="http://schemas.openxmlformats.org/officeDocument/2006/relationships/hyperlink" Target="https://drive.google.com/file/d/1Q3MLsC3HPDUwIk0LuSHUtLVSOuBH_O4N/view?usp=drivesdk" TargetMode="External"/><Relationship Id="rId88" Type="http://schemas.openxmlformats.org/officeDocument/2006/relationships/hyperlink" Target="https://drive.google.com/file/d/1HZnPMnXtZ0QO_7Mg1rBnqh1WGOP3akH4/view?usp=drivesdk" TargetMode="External"/><Relationship Id="rId87" Type="http://schemas.openxmlformats.org/officeDocument/2006/relationships/hyperlink" Target="https://drive.google.com/file/d/1LWD7yTNI0RJDRsb9uJmf_DlCrtRgUKyY/view?usp=drivesdk" TargetMode="External"/><Relationship Id="rId86" Type="http://schemas.openxmlformats.org/officeDocument/2006/relationships/hyperlink" Target="https://drive.google.com/file/d/1ugQovbHhHiatqYgFZRiOkMLioEJ1sY9o/view?usp=drivesdk" TargetMode="External"/><Relationship Id="rId85" Type="http://schemas.openxmlformats.org/officeDocument/2006/relationships/hyperlink" Target="https://drive.google.com/file/d/1VO8wG6RTf64Yu5WlHt4RNVEAlHxdXRIv/view?usp=drivesdk" TargetMode="External"/><Relationship Id="rId84" Type="http://schemas.openxmlformats.org/officeDocument/2006/relationships/hyperlink" Target="https://drive.google.com/file/d/1QLtgZLOi46VR-Umszotzw09fP7Prc0Sq/view?usp=drivesdk" TargetMode="External"/><Relationship Id="rId83" Type="http://schemas.openxmlformats.org/officeDocument/2006/relationships/hyperlink" Target="https://drive.google.com/file/d/14wIqiKajOELWiaI-p64Cs1Xs3kxBqO4v/view?usp=drivesdk" TargetMode="External"/><Relationship Id="rId82" Type="http://schemas.openxmlformats.org/officeDocument/2006/relationships/hyperlink" Target="https://drive.google.com/file/d/1hLGDUrXqBvHMOAiLQE0q9BoTCTu2K7ao/view?usp=drivesdk" TargetMode="External"/><Relationship Id="rId81" Type="http://schemas.openxmlformats.org/officeDocument/2006/relationships/hyperlink" Target="https://drive.google.com/file/d/18HoCA9YDoJiZI1ICrjO5DtziAZZqqASw/view?usp=drivesdk" TargetMode="External"/><Relationship Id="rId80" Type="http://schemas.openxmlformats.org/officeDocument/2006/relationships/hyperlink" Target="https://drive.google.com/file/d/1-sH-k7diCS-WDKeXQScayM3HAWW1q7sM/view?usp=drivesdk" TargetMode="External"/><Relationship Id="rId8" Type="http://schemas.openxmlformats.org/officeDocument/2006/relationships/hyperlink" Target="https://drive.google.com/file/d/1TtxJeWuVc20ePVik4bdjwKeBWspDdqMP/view?usp=drive_link" TargetMode="External"/><Relationship Id="rId79" Type="http://schemas.openxmlformats.org/officeDocument/2006/relationships/hyperlink" Target="https://drive.google.com/file/d/1YI54nUQ9qGl4HCxnSZ9MgIOfdUXpAveO/view?usp=drivesdk" TargetMode="External"/><Relationship Id="rId78" Type="http://schemas.openxmlformats.org/officeDocument/2006/relationships/hyperlink" Target="https://drive.google.com/file/d/1yhSE8e9oSoZ1XITSkXcml25c5-I7E8OK/view?usp=drivesdk" TargetMode="External"/><Relationship Id="rId77" Type="http://schemas.openxmlformats.org/officeDocument/2006/relationships/hyperlink" Target="https://drive.google.com/file/d/11itxCKs7_1wrdjNgkLJy60XgxMCdImZ8/view?usp=drivesdk" TargetMode="External"/><Relationship Id="rId76" Type="http://schemas.openxmlformats.org/officeDocument/2006/relationships/hyperlink" Target="https://drive.google.com/file/d/1Yy8fpURlINeYfCy7rrZmDKFYHuyxD4iQ/view?usp=drivesdk" TargetMode="External"/><Relationship Id="rId75" Type="http://schemas.openxmlformats.org/officeDocument/2006/relationships/hyperlink" Target="https://drive.google.com/file/d/1FtIA5xRRdfg0DMeFhk4cK9fSTdReYxn_/view?usp=drivesdk" TargetMode="External"/><Relationship Id="rId74" Type="http://schemas.openxmlformats.org/officeDocument/2006/relationships/hyperlink" Target="https://drive.google.com/file/d/1v38ptVE_U4sgNuUAuiiQTJuuhlHb7jFl/view?usp=drive_link" TargetMode="External"/><Relationship Id="rId73" Type="http://schemas.openxmlformats.org/officeDocument/2006/relationships/hyperlink" Target="https://drive.google.com/file/d/1UL3NuZgOCt4s4K1Lmw0E4054Vvcygtkf/view?usp=drivesdk" TargetMode="External"/><Relationship Id="rId72" Type="http://schemas.openxmlformats.org/officeDocument/2006/relationships/hyperlink" Target="https://drive.google.com/file/d/1HXZTAZQL0VArZ_9hBhMjaP1mlNRqP8T5/view?usp=drive_link" TargetMode="External"/><Relationship Id="rId71" Type="http://schemas.openxmlformats.org/officeDocument/2006/relationships/hyperlink" Target="https://drive.google.com/file/d/1KLs3uxdiaRJWETPsO6CmyTUanKwokaZa/view?usp=drive_link" TargetMode="External"/><Relationship Id="rId70" Type="http://schemas.openxmlformats.org/officeDocument/2006/relationships/hyperlink" Target="https://drive.google.com/file/d/1ULg6wSSFgz4hxLake3pNnzRocvpPmZYZ/view?usp=drivesdk" TargetMode="External"/><Relationship Id="rId7" Type="http://schemas.openxmlformats.org/officeDocument/2006/relationships/hyperlink" Target="https://drive.google.com/file/d/14cGRh_2GVwGIhwcirub7JRZGMV1dZAmt/view?usp=drive_link" TargetMode="External"/><Relationship Id="rId69" Type="http://schemas.openxmlformats.org/officeDocument/2006/relationships/hyperlink" Target="https://drive.google.com/file/d/1-aGhYs7ao10VRy2guue-uTg4Xq65DWCb/view?usp=drivesdk" TargetMode="External"/><Relationship Id="rId68" Type="http://schemas.openxmlformats.org/officeDocument/2006/relationships/hyperlink" Target="https://drive.google.com/file/d/1gdaUpwcvEEPj3F4ukVHIDBTYWmdw2MMT/view?usp=drivesdk" TargetMode="External"/><Relationship Id="rId67" Type="http://schemas.openxmlformats.org/officeDocument/2006/relationships/hyperlink" Target="https://drive.google.com/file/d/1LQkh8x3zwwOEGBzYg73i26Jpewo6cs3D/view?usp=drivesdk" TargetMode="External"/><Relationship Id="rId66" Type="http://schemas.openxmlformats.org/officeDocument/2006/relationships/hyperlink" Target="https://drive.google.com/file/d/1wGPC1ILzmoS_NSdfsBEMDa6PUvmHiITQ/view?usp=drivesdk" TargetMode="External"/><Relationship Id="rId65" Type="http://schemas.openxmlformats.org/officeDocument/2006/relationships/hyperlink" Target="https://drive.google.com/file/d/11pMXP9LzQDSOCFcGyZ30h0N4_459t-8T/view?usp=drivesdk" TargetMode="External"/><Relationship Id="rId64" Type="http://schemas.openxmlformats.org/officeDocument/2006/relationships/hyperlink" Target="https://drive.google.com/file/d/1WFj0LyCScVrmb41N-RuRU2HZGx5A4QUM/view?usp=drivesdk" TargetMode="External"/><Relationship Id="rId63" Type="http://schemas.openxmlformats.org/officeDocument/2006/relationships/hyperlink" Target="https://drive.google.com/file/d/18_RD9xZabwO2JP75PawLVIgZiRHanJ7r/view?usp=drivesdk" TargetMode="External"/><Relationship Id="rId62" Type="http://schemas.openxmlformats.org/officeDocument/2006/relationships/hyperlink" Target="https://drive.google.com/file/d/1Ak6smEd55cnbU6cgiHWyy16Q1-XSYz02/view?usp=drivesdk" TargetMode="External"/><Relationship Id="rId61" Type="http://schemas.openxmlformats.org/officeDocument/2006/relationships/hyperlink" Target="https://drive.google.com/file/d/1KHPev2Kq3qVrGscAO2uuo7yScy8y8Sup/view?usp=drivesdk" TargetMode="External"/><Relationship Id="rId60" Type="http://schemas.openxmlformats.org/officeDocument/2006/relationships/hyperlink" Target="https://drive.google.com/file/d/16VUgmeIgOqD2kCbL2vOnNnCK5A21jtS6/view?usp=drivesdk" TargetMode="External"/><Relationship Id="rId6" Type="http://schemas.openxmlformats.org/officeDocument/2006/relationships/hyperlink" Target="https://drive.google.com/file/d/1pt4hQm5fLz69qYBX4AuxqIO2H-RvGtQx/view?usp=drive_link" TargetMode="External"/><Relationship Id="rId59" Type="http://schemas.openxmlformats.org/officeDocument/2006/relationships/hyperlink" Target="https://drive.google.com/file/d/1MUFzAJo5LSzmpdhI889kEhDZ0xKqImSg/view?usp=drivesdk" TargetMode="External"/><Relationship Id="rId58" Type="http://schemas.openxmlformats.org/officeDocument/2006/relationships/hyperlink" Target="https://drive.google.com/file/d/16C9A5O_2LU1qouTuL7juJbsj3tyaD1Qt/view?usp=drivesdk" TargetMode="External"/><Relationship Id="rId57" Type="http://schemas.openxmlformats.org/officeDocument/2006/relationships/hyperlink" Target="https://drive.google.com/file/d/1xZZ5XWFzSXvXAjvdoqHHi1FHnk0heuYs/view?usp=drivesdk" TargetMode="External"/><Relationship Id="rId56" Type="http://schemas.openxmlformats.org/officeDocument/2006/relationships/hyperlink" Target="https://drive.google.com/file/d/1JpfRw7AKi5vyFGzJYU8Gt0AbdcnM-XIR/view?usp=drivesdk" TargetMode="External"/><Relationship Id="rId55" Type="http://schemas.openxmlformats.org/officeDocument/2006/relationships/hyperlink" Target="https://drive.google.com/file/d/13BQ_wJdpDsvZ4ExNu5_MiUuptLzyEkOt/view?usp=drivesdk" TargetMode="External"/><Relationship Id="rId54" Type="http://schemas.openxmlformats.org/officeDocument/2006/relationships/hyperlink" Target="https://drive.google.com/file/d/1ODbvUqRQqa0vgDKn1aCSa1ExOjI5eU6s/view?usp=drivesdk" TargetMode="External"/><Relationship Id="rId53" Type="http://schemas.openxmlformats.org/officeDocument/2006/relationships/hyperlink" Target="https://drive.google.com/file/d/16-Aw559LRobGzObL2CIZzbedS2huPzfM/view?usp=drivesdk" TargetMode="External"/><Relationship Id="rId52" Type="http://schemas.openxmlformats.org/officeDocument/2006/relationships/hyperlink" Target="https://drive.google.com/file/d/18ueBKNiLx_qMQGWWAwsMx3AwCOr1zXzs/view?usp=drivesdk" TargetMode="External"/><Relationship Id="rId51" Type="http://schemas.openxmlformats.org/officeDocument/2006/relationships/hyperlink" Target="https://drive.google.com/file/d/1l9qfxWgKh-kHCOlLJw3rYD8TsqzZQ0Vg/view?usp=drivesdk" TargetMode="External"/><Relationship Id="rId50" Type="http://schemas.openxmlformats.org/officeDocument/2006/relationships/hyperlink" Target="https://drive.google.com/file/d/1050KPyHqjlRunLX-RfleyqLFilvJdS5r/view?usp=drivesdk" TargetMode="External"/><Relationship Id="rId5" Type="http://schemas.openxmlformats.org/officeDocument/2006/relationships/hyperlink" Target="https://drive.google.com/file/d/1NbjsWNBnt8yAOYgw8256z5xMLAnE9saL/view?usp=drive_link" TargetMode="External"/><Relationship Id="rId49" Type="http://schemas.openxmlformats.org/officeDocument/2006/relationships/hyperlink" Target="https://drive.google.com/file/d/1sFDM_grDHNQoFssiRNDRYHiZ-v5Cz_mM/view?usp=drivesdk" TargetMode="External"/><Relationship Id="rId48" Type="http://schemas.openxmlformats.org/officeDocument/2006/relationships/hyperlink" Target="https://drive.google.com/file/d/1MqKqLyL1Szw5dZPMXxT46Rrs2pbCGBzG/view?usp=drivesdk" TargetMode="External"/><Relationship Id="rId47" Type="http://schemas.openxmlformats.org/officeDocument/2006/relationships/hyperlink" Target="https://drive.google.com/file/d/15Bc88hS6nxrWXF0LYcVoTUmlRCZ-EtKv/view?usp=drivesdk" TargetMode="External"/><Relationship Id="rId46" Type="http://schemas.openxmlformats.org/officeDocument/2006/relationships/hyperlink" Target="https://drive.google.com/file/d/1-OL0ijLcO4oCmNnZTW_Y7BHwMB4uUQVK/view" TargetMode="External"/><Relationship Id="rId45" Type="http://schemas.openxmlformats.org/officeDocument/2006/relationships/hyperlink" Target="https://drive.google.com/file/d/18HTrtI8KIzcwPDrXi0nqp6RPtcqsk4FA/view?usp=drivesdk" TargetMode="External"/><Relationship Id="rId44" Type="http://schemas.openxmlformats.org/officeDocument/2006/relationships/hyperlink" Target="https://drive.google.com/file/d/1KiLSQnjJ2psEDDxubsd4qAIGYURZhEgV/view?usp=share_link" TargetMode="External"/><Relationship Id="rId43" Type="http://schemas.openxmlformats.org/officeDocument/2006/relationships/hyperlink" Target="https://drive.google.com/file/d/1PHv5SowWdHLPDwAmdCWH5ARL1Z38hfYO/view?usp=drivesdk" TargetMode="External"/><Relationship Id="rId42" Type="http://schemas.openxmlformats.org/officeDocument/2006/relationships/hyperlink" Target="https://drive.google.com/file/d/1PJMlwsarfJsjDOH9BR13ZC5WuNsCbsUs/view?usp=drive_link" TargetMode="External"/><Relationship Id="rId41" Type="http://schemas.openxmlformats.org/officeDocument/2006/relationships/hyperlink" Target="https://drive.google.com/file/d/1ovJmNjOlfEf62x4Im3HNRvI9DtrFZ9Sr/view?usp=drivesdk" TargetMode="External"/><Relationship Id="rId40" Type="http://schemas.openxmlformats.org/officeDocument/2006/relationships/hyperlink" Target="https://drive.google.com/file/d/1G_2h17dEDSJ0sJVLA7KEA3Wy18Qic-lD/view?usp=drivesdk" TargetMode="External"/><Relationship Id="rId4" Type="http://schemas.openxmlformats.org/officeDocument/2006/relationships/hyperlink" Target="https://drive.google.com/file/d/1cdISt4tJ-87zLD7jrCab0AApFCkT0B4_/view?usp=drive_link" TargetMode="External"/><Relationship Id="rId39" Type="http://schemas.openxmlformats.org/officeDocument/2006/relationships/hyperlink" Target="https://drive.google.com/file/d/1d7EFuXhUJIVdNfyP-VvbEov7OxOUhnjX/view?usp=drivesdk" TargetMode="External"/><Relationship Id="rId38" Type="http://schemas.openxmlformats.org/officeDocument/2006/relationships/hyperlink" Target="https://drive.google.com/file/d/1l0CarlJRdXeKckzjv5vdH8ZMNbVSDSFn/view?usp=drivesdk" TargetMode="External"/><Relationship Id="rId37" Type="http://schemas.openxmlformats.org/officeDocument/2006/relationships/hyperlink" Target="https://drive.google.com/file/d/1reC79Z5VobvIwm_G13WWcxZsoT6HfJfi/view?usp=drive_link" TargetMode="External"/><Relationship Id="rId36" Type="http://schemas.openxmlformats.org/officeDocument/2006/relationships/hyperlink" Target="https://drive.google.com/file/d/1yWVp7VadbJPV7lVw6qXUvgdFhWnF0tip/view?usp=drive_link" TargetMode="External"/><Relationship Id="rId35" Type="http://schemas.openxmlformats.org/officeDocument/2006/relationships/hyperlink" Target="https://drive.google.com/file/d/1ctSd5_QiLFiSL9HusTPGh-jont9jUp5L/view?usp=drivesdk" TargetMode="External"/><Relationship Id="rId34" Type="http://schemas.openxmlformats.org/officeDocument/2006/relationships/hyperlink" Target="https://drive.google.com/file/d/1jFwwE4khA3m09oC8S5PokKW-fS3zkGV6/view?usp=drivesdk" TargetMode="External"/><Relationship Id="rId33" Type="http://schemas.openxmlformats.org/officeDocument/2006/relationships/hyperlink" Target="https://drive.google.com/file/d/1Jd1pNOhKfow7rDb2cXcXuMaKkq3scBym/view?usp=drivesdk" TargetMode="External"/><Relationship Id="rId32" Type="http://schemas.openxmlformats.org/officeDocument/2006/relationships/hyperlink" Target="https://drive.google.com/file/d/1rpjbS-bDB20v4so-ORafAkM7plMXgvVt/view?usp=drivesdk" TargetMode="External"/><Relationship Id="rId31" Type="http://schemas.openxmlformats.org/officeDocument/2006/relationships/hyperlink" Target="https://drive.google.com/file/d/1hO6981dWlr7a4rY7wKkphIA6DUHyv1ca/view?usp=drivesdk" TargetMode="External"/><Relationship Id="rId30" Type="http://schemas.openxmlformats.org/officeDocument/2006/relationships/hyperlink" Target="https://drive.google.com/file/d/1GgU8otZVWYUtpfGoGJVaWq9OiwS6VyWR/view?usp=drivesdk" TargetMode="External"/><Relationship Id="rId3" Type="http://schemas.openxmlformats.org/officeDocument/2006/relationships/hyperlink" Target="https://drive.google.com/file/d/1cg69iAQNc9uOtWuqUJGFIHJbW9g8lvCb/view?usp=drive_link" TargetMode="External"/><Relationship Id="rId29" Type="http://schemas.openxmlformats.org/officeDocument/2006/relationships/hyperlink" Target="https://drive.google.com/file/d/1mkpgqVyWWqPHnVWFxR2j-_iHjXSrikm-/view?usp=drivesdk" TargetMode="External"/><Relationship Id="rId28" Type="http://schemas.openxmlformats.org/officeDocument/2006/relationships/hyperlink" Target="https://drive.google.com/file/d/1flqvwxcZ1eir6abRUnyvAOwW4dzbgGVN/view?usp=drivesdk" TargetMode="External"/><Relationship Id="rId27" Type="http://schemas.openxmlformats.org/officeDocument/2006/relationships/hyperlink" Target="https://drive.google.com/file/d/1wYVnj5xHuiqQU2FLKpl5j3MbxNgNSDWL/view?usp=drivesdk" TargetMode="External"/><Relationship Id="rId26" Type="http://schemas.openxmlformats.org/officeDocument/2006/relationships/hyperlink" Target="https://drive.google.com/file/d/1zVz0DVls0T0q0Nw8a9sVgmfrBBnx7VDU/view?usp=drivesdk" TargetMode="External"/><Relationship Id="rId25" Type="http://schemas.openxmlformats.org/officeDocument/2006/relationships/hyperlink" Target="https://drive.google.com/file/d/1w4UTxyqtJUxMIQ3h2SuY5vbDKfKYHC29/view?usp=drivesdk" TargetMode="External"/><Relationship Id="rId24" Type="http://schemas.openxmlformats.org/officeDocument/2006/relationships/hyperlink" Target="https://drive.google.com/file/d/1dTzdKzik3-5OtusMNjySYtSa9USPzG-r/view?usp=drivesdk" TargetMode="External"/><Relationship Id="rId23" Type="http://schemas.openxmlformats.org/officeDocument/2006/relationships/hyperlink" Target="https://drive.google.com/file/d/1vLkz92jSiAjbZoz-m5Jqje9B1tsB1rmq/view?usp=drivesdk" TargetMode="External"/><Relationship Id="rId221" Type="http://schemas.openxmlformats.org/officeDocument/2006/relationships/hyperlink" Target="https://drive.google.com/file/d/1z6DqqghGz5_1wHnScD8k48HgKfz0Zk9I/view?usp=sharing" TargetMode="External"/><Relationship Id="rId220" Type="http://schemas.openxmlformats.org/officeDocument/2006/relationships/hyperlink" Target="https://drive.google.com/file/d/1HvfXkFjLiHRPwmnYl-3JLNG2OHocGWGJ/view?usp=drive_link" TargetMode="External"/><Relationship Id="rId22" Type="http://schemas.openxmlformats.org/officeDocument/2006/relationships/hyperlink" Target="https://drive.google.com/file/d/1q6JC0ZSVeRyfzcyPXnR1oa_gZeq5Adsf/view?usp=drivesdk" TargetMode="External"/><Relationship Id="rId219" Type="http://schemas.openxmlformats.org/officeDocument/2006/relationships/hyperlink" Target="https://drive.google.com/file/d/1O8IFerN_b1OVb1CN9mQGTjYZpOKGoITY/view?usp=drive_link" TargetMode="External"/><Relationship Id="rId218" Type="http://schemas.openxmlformats.org/officeDocument/2006/relationships/hyperlink" Target="https://drive.google.com/file/d/1g_9nh_hqVHEgyFmCYgVlJFmL1Aj6XSjP/view?usp=drive_link" TargetMode="External"/><Relationship Id="rId217" Type="http://schemas.openxmlformats.org/officeDocument/2006/relationships/hyperlink" Target="https://drive.google.com/file/d/1pO45KJ2Anjf1wjhdMDATmYcrXCytLB3y/view?usp=sharing" TargetMode="External"/><Relationship Id="rId216" Type="http://schemas.openxmlformats.org/officeDocument/2006/relationships/hyperlink" Target="https://drive.google.com/file/d/1ayKyx-7T7TwOte_gGFgfgCxWiVa8Cg8m/view?usp=drive_link" TargetMode="External"/><Relationship Id="rId215" Type="http://schemas.openxmlformats.org/officeDocument/2006/relationships/hyperlink" Target="https://drive.google.com/file/d/1VXVL_r3DoAz3I_u0DD1X5QX9FVNRikkd/view?usp=drive_link" TargetMode="External"/><Relationship Id="rId214" Type="http://schemas.openxmlformats.org/officeDocument/2006/relationships/hyperlink" Target="https://drive.google.com/file/d/14S--Kd5Vl3YSMCHzwwYt_kQIgxGm_Zbg/view?usp=drive_link" TargetMode="External"/><Relationship Id="rId213" Type="http://schemas.openxmlformats.org/officeDocument/2006/relationships/hyperlink" Target="https://drive.google.com/file/d/1n-OVjxMOvOjL1phlSkz8eviOukA2jLci/view?usp=drive_link" TargetMode="External"/><Relationship Id="rId212" Type="http://schemas.openxmlformats.org/officeDocument/2006/relationships/hyperlink" Target="https://drive.google.com/file/d/1_wspiI7N_dRs_vE3p2pH0rc8yAcF-pg4/view?usp=drive_link" TargetMode="External"/><Relationship Id="rId211" Type="http://schemas.openxmlformats.org/officeDocument/2006/relationships/hyperlink" Target="https://drive.google.com/file/d/1WXt01Z5DyEaibfcb9yjRvC37GnJBijOf/view?usp=drive_link" TargetMode="External"/><Relationship Id="rId210" Type="http://schemas.openxmlformats.org/officeDocument/2006/relationships/hyperlink" Target="https://drive.google.com/file/d/12CBiVkqByJdiB_fExvTvqpU9ylB2Sy3W/view?usp=drive_link" TargetMode="External"/><Relationship Id="rId21" Type="http://schemas.openxmlformats.org/officeDocument/2006/relationships/hyperlink" Target="https://drive.google.com/file/d/1fSvGTS8bB6HuiPaZYdDiOhcl5coBTyn6/view?usp=drivesdk" TargetMode="External"/><Relationship Id="rId209" Type="http://schemas.openxmlformats.org/officeDocument/2006/relationships/hyperlink" Target="https://drive.google.com/file/d/1rjwl5CZZjBCqyIHHwyVOtiklXu_rVxIO/view?usp=drive_link" TargetMode="External"/><Relationship Id="rId208" Type="http://schemas.openxmlformats.org/officeDocument/2006/relationships/hyperlink" Target="https://drive.google.com/file/d/1imOf8cO4LrDK_1VGlnSJPrR4OAx8Sd2B/view?usp=drive_link" TargetMode="External"/><Relationship Id="rId207" Type="http://schemas.openxmlformats.org/officeDocument/2006/relationships/hyperlink" Target="https://drive.google.com/file/d/10aHD4D4de3IMNUlj2mTv1iugbhs7vm95/view?usp=drive_link" TargetMode="External"/><Relationship Id="rId206" Type="http://schemas.openxmlformats.org/officeDocument/2006/relationships/hyperlink" Target="https://drive.google.com/file/d/15MHSo23sHhYQuvGI6Rdc88aGx1MXVhlF/view?usp=drive_link" TargetMode="External"/><Relationship Id="rId205" Type="http://schemas.openxmlformats.org/officeDocument/2006/relationships/hyperlink" Target="https://drive.google.com/file/d/1z2yIzp0ZbgM-WXwFf0MlJEXezfRG53OZ/view?usp=drive_link" TargetMode="External"/><Relationship Id="rId204" Type="http://schemas.openxmlformats.org/officeDocument/2006/relationships/hyperlink" Target="https://drive.google.com/file/d/1DcpP4LOQNc8RwrLINVuQGgWXm-u_a-sA/view?usp=drive_link" TargetMode="External"/><Relationship Id="rId203" Type="http://schemas.openxmlformats.org/officeDocument/2006/relationships/hyperlink" Target="https://drive.google.com/file/d/1iDuc7gvHFRshb5E8TcJ7Ilr725UDYtYT/view?usp=drive_link" TargetMode="External"/><Relationship Id="rId202" Type="http://schemas.openxmlformats.org/officeDocument/2006/relationships/hyperlink" Target="https://drive.google.com/file/d/1BYzvA60nhOIgB0lqA_h_gUgzzn4g3BE1/view?usp=drive_link" TargetMode="External"/><Relationship Id="rId201" Type="http://schemas.openxmlformats.org/officeDocument/2006/relationships/hyperlink" Target="https://docs.google.com/document/d/1Tbe0PVfzxCAfIsIxEjjd_PjY7DVCyvpPmoPb7jYq7uI/edit?usp=drive_link" TargetMode="External"/><Relationship Id="rId200" Type="http://schemas.openxmlformats.org/officeDocument/2006/relationships/hyperlink" Target="https://docs.google.com/document/d/11yo-N3jNXz73ot3FxtZEk7KIb7VCSJE6li2eBSuKDs4/edit?usp=drive_link" TargetMode="External"/><Relationship Id="rId20" Type="http://schemas.openxmlformats.org/officeDocument/2006/relationships/hyperlink" Target="https://drive.google.com/file/d/1n6kgQYiFSfRmzvqNvEMMpvoSSKW9tNLl/view?usp=drivesdk" TargetMode="External"/><Relationship Id="rId2" Type="http://schemas.openxmlformats.org/officeDocument/2006/relationships/hyperlink" Target="https://drive.google.com/file/d/1O_oCQwgVirp_-8d3UhY1cPDaNy9b7iKJ/view?usp=drive_link" TargetMode="External"/><Relationship Id="rId199" Type="http://schemas.openxmlformats.org/officeDocument/2006/relationships/hyperlink" Target="https://docs.google.com/document/d/1KojeKbYm7_sMv6uvoWwL_UjDXkWgWfXXFipki9-a_1M/edit?usp=drive_link" TargetMode="External"/><Relationship Id="rId198" Type="http://schemas.openxmlformats.org/officeDocument/2006/relationships/hyperlink" Target="https://docs.google.com/document/d/1TCT74CQpfIc1e7CnSVSy4TKajIafLyegfq-cMsMhWKg/edit?usp=drive_link" TargetMode="External"/><Relationship Id="rId197" Type="http://schemas.openxmlformats.org/officeDocument/2006/relationships/hyperlink" Target="https://drive.google.com/file/d/1UMaC0dmkJLAfLNI_13AnsMMyV4D1WgRJ/view?usp=drivesdk" TargetMode="External"/><Relationship Id="rId196" Type="http://schemas.openxmlformats.org/officeDocument/2006/relationships/hyperlink" Target="https://drive.google.com/file/d/1U9ayAdpHb6nhlOC0nb79f6BxuPlwfQ9K/view?usp=drivesdk" TargetMode="External"/><Relationship Id="rId195" Type="http://schemas.openxmlformats.org/officeDocument/2006/relationships/hyperlink" Target="https://drive.google.com/file/d/1WOEQum9D_NKi3goLKqtY1VRtvIRb4Onc/view?usp=drivesdk" TargetMode="External"/><Relationship Id="rId194" Type="http://schemas.openxmlformats.org/officeDocument/2006/relationships/hyperlink" Target="https://drive.google.com/file/d/1h1YpL-TqyEbEky1f-D_FA37WkazYPh6C/view?usp=drivesdk" TargetMode="External"/><Relationship Id="rId193" Type="http://schemas.openxmlformats.org/officeDocument/2006/relationships/hyperlink" Target="https://drive.google.com/file/d/1DLXMiPTJtaj-cV4BMCQfSpkJVR1A3rDB/view?usp=drivesdk" TargetMode="External"/><Relationship Id="rId192" Type="http://schemas.openxmlformats.org/officeDocument/2006/relationships/hyperlink" Target="https://drive.google.com/file/d/1b0tG7LlxP2I7zhWbYZaWxkh28HgqHz0s/view?usp=drivesdk" TargetMode="External"/><Relationship Id="rId191" Type="http://schemas.openxmlformats.org/officeDocument/2006/relationships/hyperlink" Target="https://drive.google.com/file/d/1iuScMGNcz3weEMoQVa1T_JuSW_9DH1pO/view?usp=drivesdk" TargetMode="External"/><Relationship Id="rId190" Type="http://schemas.openxmlformats.org/officeDocument/2006/relationships/hyperlink" Target="https://drive.google.com/file/d/1kw2VWoQAq_GLZWh8CMRcXuwxf4-mQw_3/view?usp=drivesdk" TargetMode="External"/><Relationship Id="rId19" Type="http://schemas.openxmlformats.org/officeDocument/2006/relationships/hyperlink" Target="https://drive.google.com/file/d/19Tj9nBvW1X86Tl8tQHZvYNuW-cCRXuEr/view?usp=sharing" TargetMode="External"/><Relationship Id="rId189" Type="http://schemas.openxmlformats.org/officeDocument/2006/relationships/hyperlink" Target="https://drive.google.com/file/d/1Abd8DwLweMv1FfMWCYJdSkK3a-re0q0L/view?usp=drivesdk" TargetMode="External"/><Relationship Id="rId188" Type="http://schemas.openxmlformats.org/officeDocument/2006/relationships/hyperlink" Target="https://drive.google.com/file/d/1pJ8fD1Ok-zcawXCMQ_cRWt6M5YN8RMtR/view?usp=drivesdk" TargetMode="External"/><Relationship Id="rId187" Type="http://schemas.openxmlformats.org/officeDocument/2006/relationships/hyperlink" Target="https://drive.google.com/file/d/1aHQQRjcXI6yHCt_UP6yKuQeMFKCUgGvc/view?usp=drivesdk" TargetMode="External"/><Relationship Id="rId186" Type="http://schemas.openxmlformats.org/officeDocument/2006/relationships/hyperlink" Target="https://drive.google.com/file/d/1pRyxVlOB9oeuk3O5IIACA530apjx3-Be/view?usp=drivesdk" TargetMode="External"/><Relationship Id="rId185" Type="http://schemas.openxmlformats.org/officeDocument/2006/relationships/hyperlink" Target="https://drive.google.com/file/d/1uYLeaulkVSSo9JfLTOyoKNdPZriZ7gfN/view?usp=drivesdk" TargetMode="External"/><Relationship Id="rId184" Type="http://schemas.openxmlformats.org/officeDocument/2006/relationships/hyperlink" Target="https://drive.google.com/file/d/1qoLoPyTtfy5SLtbkTcwZ5hfG7zyYvOjI/view?usp=drivesdk" TargetMode="External"/><Relationship Id="rId183" Type="http://schemas.openxmlformats.org/officeDocument/2006/relationships/hyperlink" Target="https://drive.google.com/file/d/1uouhgNSfb35tVgSNAT8SBXbH8HW7m3t7/view?usp=drivesdk" TargetMode="External"/><Relationship Id="rId182" Type="http://schemas.openxmlformats.org/officeDocument/2006/relationships/hyperlink" Target="https://drive.google.com/file/d/1bxIZJ6A0SyevCXCLRJJQsKicLHyUSel3/view?usp=drivesdk" TargetMode="External"/><Relationship Id="rId181" Type="http://schemas.openxmlformats.org/officeDocument/2006/relationships/hyperlink" Target="https://drive.google.com/file/d/1dkDs0IKNusqI0BPpiDMA33TS3N20uRcH/view?usp=drivesdk" TargetMode="External"/><Relationship Id="rId180" Type="http://schemas.openxmlformats.org/officeDocument/2006/relationships/hyperlink" Target="https://drive.google.com/file/d/13SbKXAWRec3kpm0GqTA736J4r8YLM3mP/view?usp=drivesdk" TargetMode="External"/><Relationship Id="rId18" Type="http://schemas.openxmlformats.org/officeDocument/2006/relationships/hyperlink" Target="https://drive.google.com/file/d/1y9h8s5VAhGnrjSTRX_kpZAvQxcoDZYlF/view?usp=drive_link" TargetMode="External"/><Relationship Id="rId179" Type="http://schemas.openxmlformats.org/officeDocument/2006/relationships/hyperlink" Target="https://drive.google.com/file/d/1IFXyXVWNPCHVMWZK264ltJrxyR8MoCNf/view?usp=drivesdk" TargetMode="External"/><Relationship Id="rId178" Type="http://schemas.openxmlformats.org/officeDocument/2006/relationships/hyperlink" Target="https://drive.google.com/file/d/1FnlIWyliZjBpKGWlrZWC0ZLvdC1mSeRT/view?usp=drive_link" TargetMode="External"/><Relationship Id="rId177" Type="http://schemas.openxmlformats.org/officeDocument/2006/relationships/hyperlink" Target="https://drive.google.com/file/d/1TvB9GBclhW4rhP04DhbIb_b9Hdo5pqQV/view?usp=drive_link" TargetMode="External"/><Relationship Id="rId176" Type="http://schemas.openxmlformats.org/officeDocument/2006/relationships/hyperlink" Target="https://drive.google.com/file/d/1XHlRE9CIptYuWOI5CvCuk5N1M4maCZxU/view?usp=drive_link" TargetMode="External"/><Relationship Id="rId175" Type="http://schemas.openxmlformats.org/officeDocument/2006/relationships/hyperlink" Target="https://drive.google.com/file/d/1TlMcYAuNXaqhxEmWpXQUqvfAQAk46AGx/view?usp=drive_link" TargetMode="External"/><Relationship Id="rId174" Type="http://schemas.openxmlformats.org/officeDocument/2006/relationships/hyperlink" Target="https://drive.google.com/file/d/12Q3__owZ4sfSEGBknxHctOTH4xrGVWD7/view?usp=drive_link" TargetMode="External"/><Relationship Id="rId173" Type="http://schemas.openxmlformats.org/officeDocument/2006/relationships/hyperlink" Target="https://drive.google.com/file/d/1zJWXGJfINS9BzTK821055S7z4kP2wE92/view?usp=drive_link" TargetMode="External"/><Relationship Id="rId172" Type="http://schemas.openxmlformats.org/officeDocument/2006/relationships/hyperlink" Target="https://drive.google.com/file/d/1AX6OYh4cyvOHoTjUpWLiCag24x3ib1as/view?usp=drive_link" TargetMode="External"/><Relationship Id="rId171" Type="http://schemas.openxmlformats.org/officeDocument/2006/relationships/hyperlink" Target="https://drive.google.com/file/d/13amFNwY1TDp12ju5coJ_4t8OY3mdTqvo/view?usp=drive_link" TargetMode="External"/><Relationship Id="rId170" Type="http://schemas.openxmlformats.org/officeDocument/2006/relationships/hyperlink" Target="https://drive.google.com/file/d/1QNJAFIS3AcDcCYyHYBdcGhSfgl7p_oNi/view?usp=drive_link" TargetMode="External"/><Relationship Id="rId17" Type="http://schemas.openxmlformats.org/officeDocument/2006/relationships/hyperlink" Target="https://drive.google.com/file/d/1aULi1pNwQdGVpTKDuog0P9Xh1IcPJhYJ/view?usp=drive_link" TargetMode="External"/><Relationship Id="rId169" Type="http://schemas.openxmlformats.org/officeDocument/2006/relationships/hyperlink" Target="https://drive.google.com/file/d/1XYwMDVzh4fwDVhFcKzavALPhzJhymcTA/view?usp=drive_link" TargetMode="External"/><Relationship Id="rId168" Type="http://schemas.openxmlformats.org/officeDocument/2006/relationships/hyperlink" Target="https://drive.google.com/file/d/1XiG02UYQFZnEtTHy_-6O0J-OD0O2cJDG/view?usp=drive_link" TargetMode="External"/><Relationship Id="rId167" Type="http://schemas.openxmlformats.org/officeDocument/2006/relationships/hyperlink" Target="https://drive.google.com/file/d/1dA6BJnXLbpi0Zz_mRBTRHp76jTd3vpal/view?usp=drivesdk" TargetMode="External"/><Relationship Id="rId166" Type="http://schemas.openxmlformats.org/officeDocument/2006/relationships/hyperlink" Target="https://drive.google.com/file/d/1iQ_Q4HCJ-zDnMd1F94DucUYz7wOmhNTy/view?usp=drivesdk" TargetMode="External"/><Relationship Id="rId165" Type="http://schemas.openxmlformats.org/officeDocument/2006/relationships/hyperlink" Target="https://drive.google.com/file/d/1z9vz2r3HtntpLAZXfmgg61ZPtNs3JwGj/view?usp=drive_link" TargetMode="External"/><Relationship Id="rId164" Type="http://schemas.openxmlformats.org/officeDocument/2006/relationships/hyperlink" Target="https://drive.google.com/file/d/13UKyayGuA94wgag2vP608BSJm28F9SjK/view?usp=drivesdk" TargetMode="External"/><Relationship Id="rId163" Type="http://schemas.openxmlformats.org/officeDocument/2006/relationships/hyperlink" Target="https://drive.google.com/file/d/1zb-v3OBPe1uEGA2pfUeJYKn607Q23-VX/view?usp=drive_link" TargetMode="External"/><Relationship Id="rId162" Type="http://schemas.openxmlformats.org/officeDocument/2006/relationships/hyperlink" Target="https://drive.google.com/file/d/1vm26hGolfmIt_00AwhxaInYBeHzy-o-M/view?usp=drive_link" TargetMode="External"/><Relationship Id="rId161" Type="http://schemas.openxmlformats.org/officeDocument/2006/relationships/hyperlink" Target="https://drive.google.com/file/d/1YbHVvlbyekEd3SxwhAnFtXa_ZYZV9hC9/view?usp=drivesdk" TargetMode="External"/><Relationship Id="rId160" Type="http://schemas.openxmlformats.org/officeDocument/2006/relationships/hyperlink" Target="https://drive.google.com/file/d/1QwVsrlCn-vJKPmMmbOEuyVZPenw3zLAi/view?usp=drivesdk" TargetMode="External"/><Relationship Id="rId16" Type="http://schemas.openxmlformats.org/officeDocument/2006/relationships/hyperlink" Target="https://drive.google.com/file/d/1Sye9_tfW3vCUCuzfO04RicfVtkkhBLUa/view" TargetMode="External"/><Relationship Id="rId159" Type="http://schemas.openxmlformats.org/officeDocument/2006/relationships/hyperlink" Target="https://drive.google.com/file/d/1dEXWzbjvlXlAtXnVegOKsP-FK2X8icyG/view?usp=drivesdk" TargetMode="External"/><Relationship Id="rId158" Type="http://schemas.openxmlformats.org/officeDocument/2006/relationships/hyperlink" Target="https://drive.google.com/file/d/12Rz9Bst1qc788H8Zh8yXBmnHPzzrN93P/view?usp=drivesdk" TargetMode="External"/><Relationship Id="rId157" Type="http://schemas.openxmlformats.org/officeDocument/2006/relationships/hyperlink" Target="https://drive.google.com/file/d/1T7BS5aUu1suc6oUZAUJSkrbr1ggrqk4F/view?usp=drivesdk" TargetMode="External"/><Relationship Id="rId156" Type="http://schemas.openxmlformats.org/officeDocument/2006/relationships/hyperlink" Target="https://drive.google.com/file/d/1SVzgo7K5HA2eBNvCm9cHE5Jjj19OQ_Yi/view?usp=drivesdk" TargetMode="External"/><Relationship Id="rId155" Type="http://schemas.openxmlformats.org/officeDocument/2006/relationships/hyperlink" Target="https://drive.google.com/file/d/1VBcUYGGVBC1eFzghNmCL6gYt5uTrB1En/view?usp=drivesdk" TargetMode="External"/><Relationship Id="rId154" Type="http://schemas.openxmlformats.org/officeDocument/2006/relationships/hyperlink" Target="https://drive.google.com/file/d/1AvwfvxAigPmn2HwcxP2r_HE5XQNTVfio/view?usp=drivesdk" TargetMode="External"/><Relationship Id="rId153" Type="http://schemas.openxmlformats.org/officeDocument/2006/relationships/hyperlink" Target="https://drive.google.com/file/d/1YHGtCN76a8nF57aGzHjkfYUeeOB51E2i/view?usp=drive_link" TargetMode="External"/><Relationship Id="rId152" Type="http://schemas.openxmlformats.org/officeDocument/2006/relationships/hyperlink" Target="https://drive.google.com/file/d/1tYp3kf2YZfVDWXP_ppXiSk-8uC3iLHGP/view?usp=drivesdk" TargetMode="External"/><Relationship Id="rId151" Type="http://schemas.openxmlformats.org/officeDocument/2006/relationships/hyperlink" Target="https://drive.google.com/file/d/1j5G0xlpPZoN_-SJWXfCmHSvy5_f5ElVb/view?usp=drive_link" TargetMode="External"/><Relationship Id="rId150" Type="http://schemas.openxmlformats.org/officeDocument/2006/relationships/hyperlink" Target="https://drive.google.com/file/d/18R5-hqH5rhdTFHQ_-9FelFaTNFFzJh_T/view?usp=drive_link" TargetMode="External"/><Relationship Id="rId15" Type="http://schemas.openxmlformats.org/officeDocument/2006/relationships/hyperlink" Target="https://drive.google.com/file/d/1f9YvrEEU4Hx-Gov_l-mxoXT9fJwHvlGX/view?usp=drivesdk" TargetMode="External"/><Relationship Id="rId149" Type="http://schemas.openxmlformats.org/officeDocument/2006/relationships/hyperlink" Target="https://drive.google.com/file/d/10GW4FACg3bdcBCeLjSYcb833mvK73Nsk/view?usp=drive_link" TargetMode="External"/><Relationship Id="rId148" Type="http://schemas.openxmlformats.org/officeDocument/2006/relationships/hyperlink" Target="https://drive.google.com/file/d/1wph9zlC06HPR6sLyJB2CA14nwySD_6ES/view?usp=drive_link" TargetMode="External"/><Relationship Id="rId147" Type="http://schemas.openxmlformats.org/officeDocument/2006/relationships/hyperlink" Target="https://drive.google.com/file/d/17SJTGdOIPyZoBVvb3OcOJmQ_95JfuaZ5/view?usp=drivesdk" TargetMode="External"/><Relationship Id="rId146" Type="http://schemas.openxmlformats.org/officeDocument/2006/relationships/hyperlink" Target="https://drive.google.com/file/d/1JJxXXDiBnkpOvq2wjJstoqS76vydmnah/view?usp=drivesdk" TargetMode="External"/><Relationship Id="rId145" Type="http://schemas.openxmlformats.org/officeDocument/2006/relationships/hyperlink" Target="https://drive.google.com/file/d/1lDxJBcuIu3TFbYeDrmoCWNkC3Q7oRWtQ/view?usp=drivesdk" TargetMode="External"/><Relationship Id="rId144" Type="http://schemas.openxmlformats.org/officeDocument/2006/relationships/hyperlink" Target="https://drive.google.com/file/d/1BNuTqZYxqx1yeGa2TrCYkK9pzeYN8dIj/view?usp=drivesdk" TargetMode="External"/><Relationship Id="rId143" Type="http://schemas.openxmlformats.org/officeDocument/2006/relationships/hyperlink" Target="https://drive.google.com/file/d/1G6kH8R6hjEGmJmuU2Q1QejweKqjRW6DP/view?usp=drivesdk" TargetMode="External"/><Relationship Id="rId142" Type="http://schemas.openxmlformats.org/officeDocument/2006/relationships/hyperlink" Target="https://drive.google.com/file/d/1poK13YhNucktf9lLXnQDFWoerWIEizJG/view?usp=drivesdk" TargetMode="External"/><Relationship Id="rId141" Type="http://schemas.openxmlformats.org/officeDocument/2006/relationships/hyperlink" Target="https://drive.google.com/file/d/1b0bKnztL_wIvXb9cJiIcJtiqEhuOSFFO/view?usp=drivesdk" TargetMode="External"/><Relationship Id="rId140" Type="http://schemas.openxmlformats.org/officeDocument/2006/relationships/hyperlink" Target="https://drive.google.com/file/d/1p4jNVbor9SWt0QSpK-huF8RwzNZztNBs/view?usp=drive_link" TargetMode="External"/><Relationship Id="rId14" Type="http://schemas.openxmlformats.org/officeDocument/2006/relationships/hyperlink" Target="https://drive.google.com/file/d/1IUS8d_QOkrc_3Yf1jLvL5afjwyI3ICZg/view?usp=drive_link" TargetMode="External"/><Relationship Id="rId139" Type="http://schemas.openxmlformats.org/officeDocument/2006/relationships/hyperlink" Target="https://drive.google.com/file/d/1-ViehUGCoK-95HMz0jT4bisUTtKswxf_/view?usp=sharing" TargetMode="External"/><Relationship Id="rId138" Type="http://schemas.openxmlformats.org/officeDocument/2006/relationships/hyperlink" Target="https://drive.google.com/file/d/1ctDgbYciQzWvUHJfho5-NJ-Nj4A7_znS/view?usp=drive_link" TargetMode="External"/><Relationship Id="rId137" Type="http://schemas.openxmlformats.org/officeDocument/2006/relationships/hyperlink" Target="https://drive.google.com/file/d/1pSBWMwByQ3bS1TS6p1JDl_bfYDZPEKhO/view?usp=drivesdk" TargetMode="External"/><Relationship Id="rId136" Type="http://schemas.openxmlformats.org/officeDocument/2006/relationships/hyperlink" Target="https://drive.google.com/file/d/15783VE4mpd_oLtq6eJkrhYXIz-t2msIl/view?usp=drivesdk" TargetMode="External"/><Relationship Id="rId135" Type="http://schemas.openxmlformats.org/officeDocument/2006/relationships/hyperlink" Target="https://drive.google.com/file/d/1s5ZFWy4lgKTWx1VTywtJJzs4tASXleI9/view?usp=drivesdk" TargetMode="External"/><Relationship Id="rId134" Type="http://schemas.openxmlformats.org/officeDocument/2006/relationships/hyperlink" Target="https://drive.google.com/file/d/1y28oNcvflHApb5YBGVUOpaKsxzLbeTTp/view?usp=drivesdk" TargetMode="External"/><Relationship Id="rId133" Type="http://schemas.openxmlformats.org/officeDocument/2006/relationships/hyperlink" Target="https://drive.google.com/file/d/1aY6-wolra3d4A0ttvVkD6luYdeaD4l7c/view?usp=drivesdk" TargetMode="External"/><Relationship Id="rId132" Type="http://schemas.openxmlformats.org/officeDocument/2006/relationships/hyperlink" Target="https://drive.google.com/file/d/1zPVx8tfZi1fGYG4_sqtBbEMJWOun4f__/view?usp=drivesdk" TargetMode="External"/><Relationship Id="rId131" Type="http://schemas.openxmlformats.org/officeDocument/2006/relationships/hyperlink" Target="https://drive.google.com/file/d/1PJHtx1YRK-EbFEpyWgpLYNBcIr4WAcV5/view?usp=drivesdk" TargetMode="External"/><Relationship Id="rId130" Type="http://schemas.openxmlformats.org/officeDocument/2006/relationships/hyperlink" Target="https://drive.google.com/file/d/1pxEdrWivFmVVLOXe4-sX3lGJsCPyorvy/view?usp=drivesdk" TargetMode="External"/><Relationship Id="rId13" Type="http://schemas.openxmlformats.org/officeDocument/2006/relationships/hyperlink" Target="https://drive.google.com/file/d/1lBeam3QQzJOZzhV7Y279v12esqg8o6a1/view?usp=drive_link" TargetMode="External"/><Relationship Id="rId129" Type="http://schemas.openxmlformats.org/officeDocument/2006/relationships/hyperlink" Target="https://drive.google.com/file/d/1cDws5m82y0QLaMQjQn4nPhQjGbKZTTHM/view?usp=drive_link" TargetMode="External"/><Relationship Id="rId128" Type="http://schemas.openxmlformats.org/officeDocument/2006/relationships/hyperlink" Target="https://drive.google.com/file/d/16by67tCJFVKHKykzeCeia17gpwlOfXpO/view?usp=drivesdk" TargetMode="External"/><Relationship Id="rId127" Type="http://schemas.openxmlformats.org/officeDocument/2006/relationships/hyperlink" Target="https://drive.google.com/file/d/1k0xycatCDTk2g7PX8zM_R7RcEkY0FkSg/view?usp=drivesdk" TargetMode="External"/><Relationship Id="rId126" Type="http://schemas.openxmlformats.org/officeDocument/2006/relationships/hyperlink" Target="https://drive.google.com/file/d/14umXqhwx7Hk32DAHiMx_-VPdZofNm0z2/view?usp=drivesdk" TargetMode="External"/><Relationship Id="rId125" Type="http://schemas.openxmlformats.org/officeDocument/2006/relationships/hyperlink" Target="https://drive.google.com/file/d/1rN0f_MUrpuskqnfi6ifO3-IpFakYzlfv/view?usp=drive_link" TargetMode="External"/><Relationship Id="rId124" Type="http://schemas.openxmlformats.org/officeDocument/2006/relationships/hyperlink" Target="https://drive.google.com/file/d/1LqAuW6_cg5jiH0WxSu4CpSCLTZwbRFZD/view?usp=drivesdk" TargetMode="External"/><Relationship Id="rId123" Type="http://schemas.openxmlformats.org/officeDocument/2006/relationships/hyperlink" Target="https://drive.google.com/file/d/1hTsJOAVmbTuXMkIXdD-biQuiBl5NUjvu/view?usp=drivesdk" TargetMode="External"/><Relationship Id="rId122" Type="http://schemas.openxmlformats.org/officeDocument/2006/relationships/hyperlink" Target="https://drive.google.com/file/d/1_fZwJu7dWxIyD6tKr_vhH0lazrhaO0-3/view?usp=drivesdk" TargetMode="External"/><Relationship Id="rId121" Type="http://schemas.openxmlformats.org/officeDocument/2006/relationships/hyperlink" Target="https://drive.google.com/file/d/1qjtejJbPZhaEoDtH1SzjRPkoAIfcWO6P/view?usp=drive_link" TargetMode="External"/><Relationship Id="rId120" Type="http://schemas.openxmlformats.org/officeDocument/2006/relationships/hyperlink" Target="https://drive.google.com/file/d/1B7wFLY5XROOEnCBo5MvraJCHGZSlvN2F/view?usp=drivesdk" TargetMode="External"/><Relationship Id="rId12" Type="http://schemas.openxmlformats.org/officeDocument/2006/relationships/hyperlink" Target="https://drive.google.com/file/d/1ZR8Ok0o8NUgcmRt1qjqcGmvnbmjwMOJ3/view?usp=drive_link" TargetMode="External"/><Relationship Id="rId119" Type="http://schemas.openxmlformats.org/officeDocument/2006/relationships/hyperlink" Target="https://drive.google.com/file/d/13NRRwV6xx66cW1eLQgLlIoT0apkFdG3H/view?usp=drivesdk" TargetMode="External"/><Relationship Id="rId118" Type="http://schemas.openxmlformats.org/officeDocument/2006/relationships/hyperlink" Target="https://drive.google.com/file/d/1QHgzzBJNnFVv7Q4ZFvEihpGjk4Z1zaPp/view?usp=drivesdk" TargetMode="External"/><Relationship Id="rId117" Type="http://schemas.openxmlformats.org/officeDocument/2006/relationships/hyperlink" Target="https://drive.google.com/file/d/1FUdhhfUN-luAroAa_KyyLtQAPWNYruGx/view?usp=drive_link" TargetMode="External"/><Relationship Id="rId116" Type="http://schemas.openxmlformats.org/officeDocument/2006/relationships/hyperlink" Target="https://drive.google.com/file/d/16suSyeaCwhnYVKgszyf2w4ssKbufdRBf/view?usp=drivesdk" TargetMode="External"/><Relationship Id="rId115" Type="http://schemas.openxmlformats.org/officeDocument/2006/relationships/hyperlink" Target="https://drive.google.com/file/d/1waraBZBCOsJq0_rFPrXInBkspp7KcD0g/view?usp=drivesdk" TargetMode="External"/><Relationship Id="rId114" Type="http://schemas.openxmlformats.org/officeDocument/2006/relationships/hyperlink" Target="https://drive.google.com/file/d/1kIJWy8Qyq1_tG4qEOkxoUeJSPRJfp6E1/view?usp=drivesdk" TargetMode="External"/><Relationship Id="rId113" Type="http://schemas.openxmlformats.org/officeDocument/2006/relationships/hyperlink" Target="https://drive.google.com/file/d/1_zXzreSeSg3T8OGxR3-9v1X3VUpHTPc3/view?usp=drivesdk" TargetMode="External"/><Relationship Id="rId112" Type="http://schemas.openxmlformats.org/officeDocument/2006/relationships/hyperlink" Target="https://drive.google.com/file/d/1bNgpZa_CUI7KauO5S_wo1U7tssBuDbSN/view?usp=drivesdk" TargetMode="External"/><Relationship Id="rId111" Type="http://schemas.openxmlformats.org/officeDocument/2006/relationships/hyperlink" Target="https://drive.google.com/file/d/1sT0NJsD21pgepjH7tLuJCBFtIZQax2Wl/view?usp=drivesdk" TargetMode="External"/><Relationship Id="rId110" Type="http://schemas.openxmlformats.org/officeDocument/2006/relationships/hyperlink" Target="https://drive.google.com/file/d/1Rrq1AHOdjR2ShWbqNq2RzzfKxCAwSRZj/view?usp=drivesdk" TargetMode="External"/><Relationship Id="rId11" Type="http://schemas.openxmlformats.org/officeDocument/2006/relationships/hyperlink" Target="https://drive.google.com/file/d/1KSVlG8ggn_l2f-vaOdiJ4ew0PqS7szcU/view?usp=drive_link" TargetMode="External"/><Relationship Id="rId109" Type="http://schemas.openxmlformats.org/officeDocument/2006/relationships/hyperlink" Target="https://drive.google.com/file/d/16KKmcdo6AzhCKj5Fp9W20GMNYdo_wKML/view?usp=drivesdk" TargetMode="External"/><Relationship Id="rId108" Type="http://schemas.openxmlformats.org/officeDocument/2006/relationships/hyperlink" Target="https://drive.google.com/file/d/13JiJlWYw1IWnWLN_tS9c9yqU95lY_OiF/view?usp=drivesdk" TargetMode="External"/><Relationship Id="rId107" Type="http://schemas.openxmlformats.org/officeDocument/2006/relationships/hyperlink" Target="https://drive.google.com/file/d/1Vx0j5Nj4g4HBZmQou69RA8ki6wE3Lahh/view?usp=drivesdk" TargetMode="External"/><Relationship Id="rId106" Type="http://schemas.openxmlformats.org/officeDocument/2006/relationships/hyperlink" Target="https://drive.google.com/file/d/1P_BCu_2QVtE153XaJwwFH2qOnbtfw2vU/view?usp=drivesdk" TargetMode="External"/><Relationship Id="rId105" Type="http://schemas.openxmlformats.org/officeDocument/2006/relationships/hyperlink" Target="https://drive.google.com/file/d/1m9dPnqms1RkHwlmaoq6HNpVdrxXKMc4e/view?usp=sharing" TargetMode="External"/><Relationship Id="rId104" Type="http://schemas.openxmlformats.org/officeDocument/2006/relationships/hyperlink" Target="https://drive.google.com/file/d/1lWP6IvNBiSgSE8NUcRY6MtyFZvzryUVW/view?usp=sharing" TargetMode="External"/><Relationship Id="rId103" Type="http://schemas.openxmlformats.org/officeDocument/2006/relationships/hyperlink" Target="https://drive.google.com/file/d/1Y9flt534_FhOqa8NP_vpNuG3r3VfhlQm/view?usp=sharing" TargetMode="External"/><Relationship Id="rId102" Type="http://schemas.openxmlformats.org/officeDocument/2006/relationships/hyperlink" Target="https://drive.google.com/file/d/19I4c0_5oVLw-4BiB8pjI1bptf-OdunLg/view?usp=drivesdk" TargetMode="External"/><Relationship Id="rId101" Type="http://schemas.openxmlformats.org/officeDocument/2006/relationships/hyperlink" Target="https://drive.google.com/file/d/16IRc55EQPnwJwz1MBgv_Y1W7eI0TnC6F/view?usp=drivesdk" TargetMode="External"/><Relationship Id="rId100" Type="http://schemas.openxmlformats.org/officeDocument/2006/relationships/hyperlink" Target="https://drive.google.com/file/d/1vL98rafw5EdMw0g-Gukusup3IuiOeWDb/view?usp=drive_link" TargetMode="External"/><Relationship Id="rId10" Type="http://schemas.openxmlformats.org/officeDocument/2006/relationships/hyperlink" Target="https://drive.google.com/file/d/1GoH4RSP1ZzNZmI4VzWWWyfn0Nk7ktj5p/view?usp=drive_link" TargetMode="External"/><Relationship Id="rId1" Type="http://schemas.openxmlformats.org/officeDocument/2006/relationships/hyperlink" Target="http://s.no/" TargetMode="External"/></Relationships>
</file>

<file path=xl/worksheets/_rels/sheet21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RdAXjTxyqbfqMqUkwTxTZ16CD1Z3vhZv/view?usp=drive_link" TargetMode="External"/><Relationship Id="rId98" Type="http://schemas.openxmlformats.org/officeDocument/2006/relationships/hyperlink" Target="https://drive.google.com/file/d/135u3tNC1zdA9J5PceHfhUccKOAjoZVtj/view?usp=drive_link" TargetMode="External"/><Relationship Id="rId97" Type="http://schemas.openxmlformats.org/officeDocument/2006/relationships/hyperlink" Target="https://drive.google.com/file/d/1mwomjH1QGF2g853ThBERIEl_lqprdVCV/view?usp=drive_link" TargetMode="External"/><Relationship Id="rId96" Type="http://schemas.openxmlformats.org/officeDocument/2006/relationships/hyperlink" Target="https://drive.google.com/file/d/10LKj431l5xtZZdGiXpGZC66AJpr0hYj0/view?usp=drivesdk" TargetMode="External"/><Relationship Id="rId95" Type="http://schemas.openxmlformats.org/officeDocument/2006/relationships/hyperlink" Target="https://drive.google.com/file/d/1KA6FdgYga4tpmUzHFKs8nZfj6I10Dsnc/view?usp=drive_link" TargetMode="External"/><Relationship Id="rId94" Type="http://schemas.openxmlformats.org/officeDocument/2006/relationships/hyperlink" Target="https://drive.google.com/file/d/1vL98rafw5EdMw0g-Gukusup3IuiOeWDb/view?usp=drive_link" TargetMode="External"/><Relationship Id="rId93" Type="http://schemas.openxmlformats.org/officeDocument/2006/relationships/hyperlink" Target="https://drive.google.com/file/d/1yqbx43PnfXE8U_6g27LrPngfH4Nim4l-/view?usp=drivesdk" TargetMode="External"/><Relationship Id="rId92" Type="http://schemas.openxmlformats.org/officeDocument/2006/relationships/hyperlink" Target="https://drive.google.com/file/d/1WQjpqTJkN2CL63dizWOLH-FHbxYPuwVs/view?usp=drivesdk" TargetMode="External"/><Relationship Id="rId91" Type="http://schemas.openxmlformats.org/officeDocument/2006/relationships/hyperlink" Target="https://drive.google.com/file/d/1KfWKJxh2VrKitJEr0szRBuEALYNYKYBC/view?usp=drivesdk" TargetMode="External"/><Relationship Id="rId90" Type="http://schemas.openxmlformats.org/officeDocument/2006/relationships/hyperlink" Target="https://drive.google.com/file/d/11rwp4t8FCYeorWBqowC3lt4oxoiMZXGD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EoQqe_wzL5E6hm9JFrG8aErbmcHafa8C/view?usp=drivesdk" TargetMode="External"/><Relationship Id="rId88" Type="http://schemas.openxmlformats.org/officeDocument/2006/relationships/hyperlink" Target="https://drive.google.com/file/d/17pRvmaCFzqLMQRC7wnvA4L82a4VoqSNb/view?usp=drivesdk" TargetMode="External"/><Relationship Id="rId87" Type="http://schemas.openxmlformats.org/officeDocument/2006/relationships/hyperlink" Target="https://drive.google.com/file/d/14NjXiJxdPZj-jsyU8TwKzoZcgHH2Kikm/view?usp=drivesdk" TargetMode="External"/><Relationship Id="rId86" Type="http://schemas.openxmlformats.org/officeDocument/2006/relationships/hyperlink" Target="https://drive.google.com/file/d/1GrGA4TyYwG1MhtL3_f1BynYYPOQUPYfI/view?usp=drivesdk" TargetMode="External"/><Relationship Id="rId85" Type="http://schemas.openxmlformats.org/officeDocument/2006/relationships/hyperlink" Target="https://drive.google.com/file/d/1V4kAOaTdr-GtYhnXv7gzQBE3ZR7ZPlKK/view?usp=drive_link" TargetMode="External"/><Relationship Id="rId84" Type="http://schemas.openxmlformats.org/officeDocument/2006/relationships/hyperlink" Target="https://drive.google.com/file/d/1Q3MLsC3HPDUwIk0LuSHUtLVSOuBH_O4N/view?usp=drivesdk" TargetMode="External"/><Relationship Id="rId83" Type="http://schemas.openxmlformats.org/officeDocument/2006/relationships/hyperlink" Target="https://drive.google.com/file/d/1HZnPMnXtZ0QO_7Mg1rBnqh1WGOP3akH4/view?usp=drivesdk" TargetMode="External"/><Relationship Id="rId82" Type="http://schemas.openxmlformats.org/officeDocument/2006/relationships/hyperlink" Target="https://drive.google.com/file/d/1LWD7yTNI0RJDRsb9uJmf_DlCrtRgUKyY/view?usp=drivesdk" TargetMode="External"/><Relationship Id="rId81" Type="http://schemas.openxmlformats.org/officeDocument/2006/relationships/hyperlink" Target="https://drive.google.com/file/d/1ugQovbHhHiatqYgFZRiOkMLioEJ1sY9o/view?usp=drivesdk" TargetMode="External"/><Relationship Id="rId80" Type="http://schemas.openxmlformats.org/officeDocument/2006/relationships/hyperlink" Target="https://drive.google.com/file/d/1VO8wG6RTf64Yu5WlHt4RNVEAlHxdXRIv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QLtgZLOi46VR-Umszotzw09fP7Prc0Sq/view?usp=drivesdk" TargetMode="External"/><Relationship Id="rId78" Type="http://schemas.openxmlformats.org/officeDocument/2006/relationships/hyperlink" Target="https://drive.google.com/file/d/14wIqiKajOELWiaI-p64Cs1Xs3kxBqO4v/view?usp=drivesdk" TargetMode="External"/><Relationship Id="rId77" Type="http://schemas.openxmlformats.org/officeDocument/2006/relationships/hyperlink" Target="https://drive.google.com/file/d/1hLGDUrXqBvHMOAiLQE0q9BoTCTu2K7ao/view?usp=drivesdk" TargetMode="External"/><Relationship Id="rId76" Type="http://schemas.openxmlformats.org/officeDocument/2006/relationships/hyperlink" Target="https://drive.google.com/file/d/18HoCA9YDoJiZI1ICrjO5DtziAZZqqASw/view?usp=drivesdk" TargetMode="External"/><Relationship Id="rId75" Type="http://schemas.openxmlformats.org/officeDocument/2006/relationships/hyperlink" Target="https://drive.google.com/file/d/1-sH-k7diCS-WDKeXQScayM3HAWW1q7sM/view?usp=drivesdk" TargetMode="External"/><Relationship Id="rId74" Type="http://schemas.openxmlformats.org/officeDocument/2006/relationships/hyperlink" Target="https://drive.google.com/file/d/1YI54nUQ9qGl4HCxnSZ9MgIOfdUXpAveO/view?usp=drivesdk" TargetMode="External"/><Relationship Id="rId73" Type="http://schemas.openxmlformats.org/officeDocument/2006/relationships/hyperlink" Target="https://drive.google.com/file/d/1yhSE8e9oSoZ1XITSkXcml25c5-I7E8OK/view?usp=drivesdk" TargetMode="External"/><Relationship Id="rId72" Type="http://schemas.openxmlformats.org/officeDocument/2006/relationships/hyperlink" Target="https://drive.google.com/file/d/11itxCKs7_1wrdjNgkLJy60XgxMCdImZ8/view?usp=drivesdk" TargetMode="External"/><Relationship Id="rId71" Type="http://schemas.openxmlformats.org/officeDocument/2006/relationships/hyperlink" Target="https://drive.google.com/file/d/1Yy8fpURlINeYfCy7rrZmDKFYHuyxD4iQ/view?usp=drivesdk" TargetMode="External"/><Relationship Id="rId70" Type="http://schemas.openxmlformats.org/officeDocument/2006/relationships/hyperlink" Target="https://drive.google.com/file/d/1FtIA5xRRdfg0DMeFhk4cK9fSTdReYxn_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v38ptVE_U4sgNuUAuiiQTJuuhlHb7jFl/view?usp=drive_link" TargetMode="External"/><Relationship Id="rId68" Type="http://schemas.openxmlformats.org/officeDocument/2006/relationships/hyperlink" Target="https://drive.google.com/file/d/1UL3NuZgOCt4s4K1Lmw0E4054Vvcygtkf/view?usp=drivesdk" TargetMode="External"/><Relationship Id="rId67" Type="http://schemas.openxmlformats.org/officeDocument/2006/relationships/hyperlink" Target="https://drive.google.com/file/d/1HXZTAZQL0VArZ_9hBhMjaP1mlNRqP8T5/view?usp=drive_link" TargetMode="External"/><Relationship Id="rId66" Type="http://schemas.openxmlformats.org/officeDocument/2006/relationships/hyperlink" Target="https://drive.google.com/file/d/1KLs3uxdiaRJWETPsO6CmyTUanKwokaZa/view?usp=drive_link" TargetMode="External"/><Relationship Id="rId65" Type="http://schemas.openxmlformats.org/officeDocument/2006/relationships/hyperlink" Target="https://drive.google.com/file/d/1ULg6wSSFgz4hxLake3pNnzRocvpPmZYZ/view?usp=drivesdk" TargetMode="External"/><Relationship Id="rId64" Type="http://schemas.openxmlformats.org/officeDocument/2006/relationships/hyperlink" Target="https://drive.google.com/file/d/1-aGhYs7ao10VRy2guue-uTg4Xq65DWCb/view?usp=drivesdk" TargetMode="External"/><Relationship Id="rId63" Type="http://schemas.openxmlformats.org/officeDocument/2006/relationships/hyperlink" Target="https://drive.google.com/file/d/1p4jNVbor9SWt0QSpK-huF8RwzNZztNBs/view?usp=drive_link" TargetMode="External"/><Relationship Id="rId62" Type="http://schemas.openxmlformats.org/officeDocument/2006/relationships/hyperlink" Target="https://drive.google.com/file/d/1LQkh8x3zwwOEGBzYg73i26Jpewo6cs3D/view?usp=drivesdk" TargetMode="External"/><Relationship Id="rId61" Type="http://schemas.openxmlformats.org/officeDocument/2006/relationships/hyperlink" Target="https://drive.google.com/file/d/1wGPC1ILzmoS_NSdfsBEMDa6PUvmHiITQ/view?usp=drivesdk" TargetMode="External"/><Relationship Id="rId60" Type="http://schemas.openxmlformats.org/officeDocument/2006/relationships/hyperlink" Target="https://drive.google.com/file/d/11pMXP9LzQDSOCFcGyZ30h0N4_459t-8T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WFj0LyCScVrmb41N-RuRU2HZGx5A4QUM/view?usp=drivesdk" TargetMode="External"/><Relationship Id="rId58" Type="http://schemas.openxmlformats.org/officeDocument/2006/relationships/hyperlink" Target="https://drive.google.com/file/d/18_RD9xZabwO2JP75PawLVIgZiRHanJ7r/view?usp=drivesdk" TargetMode="External"/><Relationship Id="rId57" Type="http://schemas.openxmlformats.org/officeDocument/2006/relationships/hyperlink" Target="https://drive.google.com/file/d/1Ak6smEd55cnbU6cgiHWyy16Q1-XSYz02/view?usp=drivesdk" TargetMode="External"/><Relationship Id="rId56" Type="http://schemas.openxmlformats.org/officeDocument/2006/relationships/hyperlink" Target="https://drive.google.com/file/d/1KHPev2Kq3qVrGscAO2uuo7yScy8y8Sup/view?usp=drivesdk" TargetMode="External"/><Relationship Id="rId55" Type="http://schemas.openxmlformats.org/officeDocument/2006/relationships/hyperlink" Target="https://drive.google.com/file/d/16VUgmeIgOqD2kCbL2vOnNnCK5A21jtS6/view?usp=drivesdk" TargetMode="External"/><Relationship Id="rId54" Type="http://schemas.openxmlformats.org/officeDocument/2006/relationships/hyperlink" Target="https://drive.google.com/file/d/1MUFzAJo5LSzmpdhI889kEhDZ0xKqImSg/view?usp=drivesdk" TargetMode="External"/><Relationship Id="rId53" Type="http://schemas.openxmlformats.org/officeDocument/2006/relationships/hyperlink" Target="https://drive.google.com/file/d/16C9A5O_2LU1qouTuL7juJbsj3tyaD1Qt/view?usp=drivesdk" TargetMode="External"/><Relationship Id="rId52" Type="http://schemas.openxmlformats.org/officeDocument/2006/relationships/hyperlink" Target="https://drive.google.com/file/d/1xZZ5XWFzSXvXAjvdoqHHi1FHnk0heuYs/view?usp=drivesdk" TargetMode="External"/><Relationship Id="rId51" Type="http://schemas.openxmlformats.org/officeDocument/2006/relationships/hyperlink" Target="https://drive.google.com/file/d/1JpfRw7AKi5vyFGzJYU8Gt0AbdcnM-XIR/view?usp=drivesdk" TargetMode="External"/><Relationship Id="rId50" Type="http://schemas.openxmlformats.org/officeDocument/2006/relationships/hyperlink" Target="https://drive.google.com/file/d/13BQ_wJdpDsvZ4ExNu5_MiUuptLzyEkOt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ODbvUqRQqa0vgDKn1aCSa1ExOjI5eU6s/view?usp=drivesdk" TargetMode="External"/><Relationship Id="rId48" Type="http://schemas.openxmlformats.org/officeDocument/2006/relationships/hyperlink" Target="https://drive.google.com/file/d/16-Aw559LRobGzObL2CIZzbedS2huPzfM/view?usp=drivesdk" TargetMode="External"/><Relationship Id="rId47" Type="http://schemas.openxmlformats.org/officeDocument/2006/relationships/hyperlink" Target="https://drive.google.com/file/d/18ueBKNiLx_qMQGWWAwsMx3AwCOr1zXzs/view?usp=drivesdk" TargetMode="External"/><Relationship Id="rId46" Type="http://schemas.openxmlformats.org/officeDocument/2006/relationships/hyperlink" Target="https://drive.google.com/file/d/1l9qfxWgKh-kHCOlLJw3rYD8TsqzZQ0Vg/view?usp=drivesdk" TargetMode="External"/><Relationship Id="rId45" Type="http://schemas.openxmlformats.org/officeDocument/2006/relationships/hyperlink" Target="https://drive.google.com/file/d/1050KPyHqjlRunLX-RfleyqLFilvJdS5r/view?usp=drivesdk" TargetMode="External"/><Relationship Id="rId44" Type="http://schemas.openxmlformats.org/officeDocument/2006/relationships/hyperlink" Target="https://drive.google.com/file/d/1sFDM_grDHNQoFssiRNDRYHiZ-v5Cz_mM/view?usp=drivesdk" TargetMode="External"/><Relationship Id="rId43" Type="http://schemas.openxmlformats.org/officeDocument/2006/relationships/hyperlink" Target="https://drive.google.com/file/d/1MqKqLyL1Szw5dZPMXxT46Rrs2pbCGBzG/view?usp=drivesdk" TargetMode="External"/><Relationship Id="rId42" Type="http://schemas.openxmlformats.org/officeDocument/2006/relationships/hyperlink" Target="https://drive.google.com/file/d/15Bc88hS6nxrWXF0LYcVoTUmlRCZ-EtKv/view?usp=drivesdk" TargetMode="External"/><Relationship Id="rId41" Type="http://schemas.openxmlformats.org/officeDocument/2006/relationships/hyperlink" Target="https://drive.google.com/file/d/1FUdhhfUN-luAroAa_KyyLtQAPWNYruGx/view?usp=drive_link" TargetMode="External"/><Relationship Id="rId40" Type="http://schemas.openxmlformats.org/officeDocument/2006/relationships/hyperlink" Target="https://drive.google.com/file/d/1Jd1pNOhKfow7rDb2cXcXuMaKkq3scBym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4GkYuSFockovOVePXY3kQGt-QIydDele/view?usp=drive_link" TargetMode="External"/><Relationship Id="rId38" Type="http://schemas.openxmlformats.org/officeDocument/2006/relationships/hyperlink" Target="https://drive.google.com/file/d/1hO6981dWlr7a4rY7wKkphIA6DUHyv1ca/view?usp=drivesdk" TargetMode="External"/><Relationship Id="rId37" Type="http://schemas.openxmlformats.org/officeDocument/2006/relationships/hyperlink" Target="https://drive.google.com/file/d/1GgU8otZVWYUtpfGoGJVaWq9OiwS6VyWR/view?usp=drivesdk" TargetMode="External"/><Relationship Id="rId36" Type="http://schemas.openxmlformats.org/officeDocument/2006/relationships/hyperlink" Target="https://drive.google.com/file/d/1KiLSQnjJ2psEDDxubsd4qAIGYURZhEgV/view?usp=share_link" TargetMode="External"/><Relationship Id="rId35" Type="http://schemas.openxmlformats.org/officeDocument/2006/relationships/hyperlink" Target="https://drive.google.com/file/d/18HTrtI8KIzcwPDrXi0nqp6RPtcqsk4FA/view?usp=drivesdk" TargetMode="External"/><Relationship Id="rId34" Type="http://schemas.openxmlformats.org/officeDocument/2006/relationships/hyperlink" Target="https://drive.google.com/file/d/1PJMlwsarfJsjDOH9BR13ZC5WuNsCbsUs/view?usp=drive_link" TargetMode="External"/><Relationship Id="rId33" Type="http://schemas.openxmlformats.org/officeDocument/2006/relationships/hyperlink" Target="https://drive.google.com/file/d/1ovJmNjOlfEf62x4Im3HNRvI9DtrFZ9Sr/view?usp=drivesdk" TargetMode="External"/><Relationship Id="rId32" Type="http://schemas.openxmlformats.org/officeDocument/2006/relationships/hyperlink" Target="https://drive.google.com/file/d/1PHv5SowWdHLPDwAmdCWH5ARL1Z38hfYO/view?usp=drivesdk" TargetMode="External"/><Relationship Id="rId31" Type="http://schemas.openxmlformats.org/officeDocument/2006/relationships/hyperlink" Target="https://drive.google.com/file/d/1exXucVZqcE3RkfVT9eWgvz1GrwgUcOGs/view?usp=drivesdk" TargetMode="External"/><Relationship Id="rId30" Type="http://schemas.openxmlformats.org/officeDocument/2006/relationships/hyperlink" Target="https://drive.google.com/file/d/1G_2h17dEDSJ0sJVLA7KEA3Wy18Qic-lD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d7EFuXhUJIVdNfyP-VvbEov7OxOUhnjX/view?usp=drivesdk" TargetMode="External"/><Relationship Id="rId28" Type="http://schemas.openxmlformats.org/officeDocument/2006/relationships/hyperlink" Target="https://drive.google.com/file/d/1wYVnj5xHuiqQU2FLKpl5j3MbxNgNSDWL/view?usp=drivesdk" TargetMode="External"/><Relationship Id="rId27" Type="http://schemas.openxmlformats.org/officeDocument/2006/relationships/hyperlink" Target="https://drive.google.com/file/d/1l0CarlJRdXeKckzjv5vdH8ZMNbVSDSFn/view?usp=drivesdk" TargetMode="External"/><Relationship Id="rId26" Type="http://schemas.openxmlformats.org/officeDocument/2006/relationships/hyperlink" Target="https://drive.google.com/file/d/1WAIV9EzRLNkmkzUDIIR1DMXykSJnRqNQ/view?usp=drivesdk" TargetMode="External"/><Relationship Id="rId25" Type="http://schemas.openxmlformats.org/officeDocument/2006/relationships/hyperlink" Target="https://drive.google.com/file/d/1YhQfmy0rQa_3l9AQYACCpU7Fqq-FOQEI/view?usp=drivesdk" TargetMode="External"/><Relationship Id="rId24" Type="http://schemas.openxmlformats.org/officeDocument/2006/relationships/hyperlink" Target="https://drive.google.com/file/d/1SyqKT5bF5AaGYQgD2j5JSrpmJiBMLybn/view?usp=drivesdk" TargetMode="External"/><Relationship Id="rId23" Type="http://schemas.openxmlformats.org/officeDocument/2006/relationships/hyperlink" Target="https://drive.google.com/file/d/1fSvGTS8bB6HuiPaZYdDiOhcl5coBTyn6/view?usp=drivesdk" TargetMode="External"/><Relationship Id="rId222" Type="http://schemas.openxmlformats.org/officeDocument/2006/relationships/hyperlink" Target="https://drive.google.com/file/d/1jTCXH33gTrZDnqPAyOS9Jo4Vsl0cg49j/view?usp=sharing" TargetMode="External"/><Relationship Id="rId221" Type="http://schemas.openxmlformats.org/officeDocument/2006/relationships/hyperlink" Target="https://drive.google.com/file/d/1HvfXkFjLiHRPwmnYl-3JLNG2OHocGWGJ/view?usp=drive_link" TargetMode="External"/><Relationship Id="rId220" Type="http://schemas.openxmlformats.org/officeDocument/2006/relationships/hyperlink" Target="https://drive.google.com/file/d/1pO45KJ2Anjf1wjhdMDATmYcrXCytLB3y/view?usp=sharing" TargetMode="External"/><Relationship Id="rId22" Type="http://schemas.openxmlformats.org/officeDocument/2006/relationships/hyperlink" Target="https://drive.google.com/file/d/1JmOAm4079UzechP2QZhlcGLcKATeh1NC/view?usp=drivesdk" TargetMode="External"/><Relationship Id="rId219" Type="http://schemas.openxmlformats.org/officeDocument/2006/relationships/hyperlink" Target="https://drive.google.com/file/d/1ayKyx-7T7TwOte_gGFgfgCxWiVa8Cg8m/view?usp=drive_link" TargetMode="External"/><Relationship Id="rId218" Type="http://schemas.openxmlformats.org/officeDocument/2006/relationships/hyperlink" Target="https://drive.google.com/file/d/1VXVL_r3DoAz3I_u0DD1X5QX9FVNRikkd/view?usp=drive_link" TargetMode="External"/><Relationship Id="rId217" Type="http://schemas.openxmlformats.org/officeDocument/2006/relationships/hyperlink" Target="https://drive.google.com/file/d/14S--Kd5Vl3YSMCHzwwYt_kQIgxGm_Zbg/view?usp=drive_link" TargetMode="External"/><Relationship Id="rId216" Type="http://schemas.openxmlformats.org/officeDocument/2006/relationships/hyperlink" Target="https://drive.google.com/file/d/1n-OVjxMOvOjL1phlSkz8eviOukA2jLci/view?usp=drive_link" TargetMode="External"/><Relationship Id="rId215" Type="http://schemas.openxmlformats.org/officeDocument/2006/relationships/hyperlink" Target="https://drive.google.com/file/d/1_wspiI7N_dRs_vE3p2pH0rc8yAcF-pg4/view?usp=drive_link" TargetMode="External"/><Relationship Id="rId214" Type="http://schemas.openxmlformats.org/officeDocument/2006/relationships/hyperlink" Target="https://drive.google.com/file/d/1WXt01Z5DyEaibfcb9yjRvC37GnJBijOf/view?usp=drive_link" TargetMode="External"/><Relationship Id="rId213" Type="http://schemas.openxmlformats.org/officeDocument/2006/relationships/hyperlink" Target="https://drive.google.com/file/d/12CBiVkqByJdiB_fExvTvqpU9ylB2Sy3W/view?usp=drive_link" TargetMode="External"/><Relationship Id="rId212" Type="http://schemas.openxmlformats.org/officeDocument/2006/relationships/hyperlink" Target="https://drive.google.com/file/d/1rjwl5CZZjBCqyIHHwyVOtiklXu_rVxIO/view?usp=drive_link" TargetMode="External"/><Relationship Id="rId211" Type="http://schemas.openxmlformats.org/officeDocument/2006/relationships/hyperlink" Target="https://drive.google.com/file/d/1imOf8cO4LrDK_1VGlnSJPrR4OAx8Sd2B/view?usp=drive_link" TargetMode="External"/><Relationship Id="rId210" Type="http://schemas.openxmlformats.org/officeDocument/2006/relationships/hyperlink" Target="https://drive.google.com/file/d/10aHD4D4de3IMNUlj2mTv1iugbhs7vm95/view?usp=drive_link" TargetMode="External"/><Relationship Id="rId21" Type="http://schemas.openxmlformats.org/officeDocument/2006/relationships/hyperlink" Target="https://drive.google.com/file/d/1LKMYyqlNdTpBAJHzScOqSYbwoX-Sj7CT/view?usp=drivesdk" TargetMode="External"/><Relationship Id="rId209" Type="http://schemas.openxmlformats.org/officeDocument/2006/relationships/hyperlink" Target="https://drive.google.com/file/d/15MHSo23sHhYQuvGI6Rdc88aGx1MXVhlF/view?usp=drive_link" TargetMode="External"/><Relationship Id="rId208" Type="http://schemas.openxmlformats.org/officeDocument/2006/relationships/hyperlink" Target="https://drive.google.com/file/d/1z2yIzp0ZbgM-WXwFf0MlJEXezfRG53OZ/view?usp=drive_link" TargetMode="External"/><Relationship Id="rId207" Type="http://schemas.openxmlformats.org/officeDocument/2006/relationships/hyperlink" Target="https://drive.google.com/file/d/1DcpP4LOQNc8RwrLINVuQGgWXm-u_a-sA/view?usp=drive_link" TargetMode="External"/><Relationship Id="rId206" Type="http://schemas.openxmlformats.org/officeDocument/2006/relationships/hyperlink" Target="https://drive.google.com/file/d/1iDuc7gvHFRshb5E8TcJ7Ilr725UDYtYT/view?usp=drive_link" TargetMode="External"/><Relationship Id="rId205" Type="http://schemas.openxmlformats.org/officeDocument/2006/relationships/hyperlink" Target="https://drive.google.com/file/d/1BYzvA60nhOIgB0lqA_h_gUgzzn4g3BE1/view?usp=drive_link" TargetMode="External"/><Relationship Id="rId204" Type="http://schemas.openxmlformats.org/officeDocument/2006/relationships/hyperlink" Target="https://drive.google.com/file/d/1-OL0ijLcO4oCmNnZTW_Y7BHwMB4uUQVK/view" TargetMode="External"/><Relationship Id="rId203" Type="http://schemas.openxmlformats.org/officeDocument/2006/relationships/hyperlink" Target="https://drive.google.com/file/d/1EA90Utk1ns7TCVkyeIJ5iW7Hdqq2_Zha/view?usp=drive_link" TargetMode="External"/><Relationship Id="rId202" Type="http://schemas.openxmlformats.org/officeDocument/2006/relationships/hyperlink" Target="https://drive.google.com/file/d/1tBQj4KBkGIcQo30fyHrHkQTaQkbdqCVJ/view?usp=drive_link" TargetMode="External"/><Relationship Id="rId201" Type="http://schemas.openxmlformats.org/officeDocument/2006/relationships/hyperlink" Target="https://drive.google.com/file/d/1h1YpL-TqyEbEky1f-D_FA37WkazYPh6C/view?usp=drivesdk" TargetMode="External"/><Relationship Id="rId200" Type="http://schemas.openxmlformats.org/officeDocument/2006/relationships/hyperlink" Target="https://drive.google.com/file/d/1DLXMiPTJtaj-cV4BMCQfSpkJVR1A3rDB/view?usp=drivesdk" TargetMode="External"/><Relationship Id="rId20" Type="http://schemas.openxmlformats.org/officeDocument/2006/relationships/hyperlink" Target="https://drive.google.com/file/d/1zVz0DVls0T0q0Nw8a9sVgmfrBBnx7VDU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b0tG7LlxP2I7zhWbYZaWxkh28HgqHz0s/view?usp=drivesdk" TargetMode="External"/><Relationship Id="rId198" Type="http://schemas.openxmlformats.org/officeDocument/2006/relationships/hyperlink" Target="https://drive.google.com/file/d/1iuScMGNcz3weEMoQVa1T_JuSW_9DH1pO/view?usp=drivesdk" TargetMode="External"/><Relationship Id="rId197" Type="http://schemas.openxmlformats.org/officeDocument/2006/relationships/hyperlink" Target="https://drive.google.com/file/d/1kw2VWoQAq_GLZWh8CMRcXuwxf4-mQw_3/view?usp=drivesdk" TargetMode="External"/><Relationship Id="rId196" Type="http://schemas.openxmlformats.org/officeDocument/2006/relationships/hyperlink" Target="https://drive.google.com/file/d/1Abd8DwLweMv1FfMWCYJdSkK3a-re0q0L/view?usp=drivesdk" TargetMode="External"/><Relationship Id="rId195" Type="http://schemas.openxmlformats.org/officeDocument/2006/relationships/hyperlink" Target="https://drive.google.com/file/d/1pJ8fD1Ok-zcawXCMQ_cRWt6M5YN8RMtR/view?usp=drivesdk" TargetMode="External"/><Relationship Id="rId194" Type="http://schemas.openxmlformats.org/officeDocument/2006/relationships/hyperlink" Target="https://drive.google.com/file/d/1aHQQRjcXI6yHCt_UP6yKuQeMFKCUgGvc/view?usp=drivesdk" TargetMode="External"/><Relationship Id="rId193" Type="http://schemas.openxmlformats.org/officeDocument/2006/relationships/hyperlink" Target="https://drive.google.com/file/d/1pRyxVlOB9oeuk3O5IIACA530apjx3-Be/view?usp=drivesdk" TargetMode="External"/><Relationship Id="rId192" Type="http://schemas.openxmlformats.org/officeDocument/2006/relationships/hyperlink" Target="https://drive.google.com/file/d/1uYLeaulkVSSo9JfLTOyoKNdPZriZ7gfN/view?usp=drivesdk" TargetMode="External"/><Relationship Id="rId191" Type="http://schemas.openxmlformats.org/officeDocument/2006/relationships/hyperlink" Target="https://drive.google.com/file/d/1qoLoPyTtfy5SLtbkTcwZ5hfG7zyYvOjI/view?usp=drivesdk" TargetMode="External"/><Relationship Id="rId190" Type="http://schemas.openxmlformats.org/officeDocument/2006/relationships/hyperlink" Target="https://drive.google.com/file/d/1uouhgNSfb35tVgSNAT8SBXbH8HW7m3t7/view?usp=drivesdk" TargetMode="External"/><Relationship Id="rId19" Type="http://schemas.openxmlformats.org/officeDocument/2006/relationships/hyperlink" Target="https://drive.google.com/file/d/1Sye9_tfW3vCUCuzfO04RicfVtkkhBLUa/view" TargetMode="External"/><Relationship Id="rId189" Type="http://schemas.openxmlformats.org/officeDocument/2006/relationships/hyperlink" Target="https://drive.google.com/file/d/1bxIZJ6A0SyevCXCLRJJQsKicLHyUSel3/view?usp=drivesdk" TargetMode="External"/><Relationship Id="rId188" Type="http://schemas.openxmlformats.org/officeDocument/2006/relationships/hyperlink" Target="https://drive.google.com/file/d/1dkDs0IKNusqI0BPpiDMA33TS3N20uRcH/view?usp=drivesdk" TargetMode="External"/><Relationship Id="rId187" Type="http://schemas.openxmlformats.org/officeDocument/2006/relationships/hyperlink" Target="https://drive.google.com/file/d/13SbKXAWRec3kpm0GqTA736J4r8YLM3mP/view?usp=drivesdk" TargetMode="External"/><Relationship Id="rId186" Type="http://schemas.openxmlformats.org/officeDocument/2006/relationships/hyperlink" Target="https://drive.google.com/file/d/1IFXyXVWNPCHVMWZK264ltJrxyR8MoCNf/view?usp=drivesdk" TargetMode="External"/><Relationship Id="rId185" Type="http://schemas.openxmlformats.org/officeDocument/2006/relationships/hyperlink" Target="https://drive.google.com/file/d/1mkpgqVyWWqPHnVWFxR2j-_iHjXSrikm-/view?usp=drivesdk" TargetMode="External"/><Relationship Id="rId184" Type="http://schemas.openxmlformats.org/officeDocument/2006/relationships/hyperlink" Target="https://drive.google.com/file/d/12Q3__owZ4sfSEGBknxHctOTH4xrGVWD7/view?usp=drive_link" TargetMode="External"/><Relationship Id="rId183" Type="http://schemas.openxmlformats.org/officeDocument/2006/relationships/hyperlink" Target="https://drive.google.com/file/d/1zJWXGJfINS9BzTK821055S7z4kP2wE92/view?usp=drive_link" TargetMode="External"/><Relationship Id="rId182" Type="http://schemas.openxmlformats.org/officeDocument/2006/relationships/hyperlink" Target="https://drive.google.com/file/d/1AX6OYh4cyvOHoTjUpWLiCag24x3ib1as/view?usp=drive_link" TargetMode="External"/><Relationship Id="rId181" Type="http://schemas.openxmlformats.org/officeDocument/2006/relationships/hyperlink" Target="https://drive.google.com/file/d/13amFNwY1TDp12ju5coJ_4t8OY3mdTqvo/view?usp=drive_link" TargetMode="External"/><Relationship Id="rId180" Type="http://schemas.openxmlformats.org/officeDocument/2006/relationships/hyperlink" Target="https://drive.google.com/file/d/1QNJAFIS3AcDcCYyHYBdcGhSfgl7p_oNi/view?usp=drive_link" TargetMode="External"/><Relationship Id="rId18" Type="http://schemas.openxmlformats.org/officeDocument/2006/relationships/hyperlink" Target="https://drive.google.com/file/d/1j6z_L7F1ez8ItqPnrQsPNGg2j38KtlgG/view" TargetMode="External"/><Relationship Id="rId179" Type="http://schemas.openxmlformats.org/officeDocument/2006/relationships/hyperlink" Target="https://drive.google.com/file/d/1XYwMDVzh4fwDVhFcKzavALPhzJhymcTA/view?usp=drive_link" TargetMode="External"/><Relationship Id="rId178" Type="http://schemas.openxmlformats.org/officeDocument/2006/relationships/hyperlink" Target="https://drive.google.com/file/d/1XiG02UYQFZnEtTHy_-6O0J-OD0O2cJDG/view?usp=drive_link" TargetMode="External"/><Relationship Id="rId177" Type="http://schemas.openxmlformats.org/officeDocument/2006/relationships/hyperlink" Target="https://drive.google.com/file/d/1dA6BJnXLbpi0Zz_mRBTRHp76jTd3vpal/view?usp=drivesdk" TargetMode="External"/><Relationship Id="rId176" Type="http://schemas.openxmlformats.org/officeDocument/2006/relationships/hyperlink" Target="https://drive.google.com/file/d/1iQ_Q4HCJ-zDnMd1F94DucUYz7wOmhNTy/view?usp=drivesdk" TargetMode="External"/><Relationship Id="rId175" Type="http://schemas.openxmlformats.org/officeDocument/2006/relationships/hyperlink" Target="https://drive.google.com/file/d/1z9vz2r3HtntpLAZXfmgg61ZPtNs3JwGj/view?usp=drive_link" TargetMode="External"/><Relationship Id="rId174" Type="http://schemas.openxmlformats.org/officeDocument/2006/relationships/hyperlink" Target="https://drive.google.com/file/d/13UKyayGuA94wgag2vP608BSJm28F9SjK/view?usp=drivesdk" TargetMode="External"/><Relationship Id="rId173" Type="http://schemas.openxmlformats.org/officeDocument/2006/relationships/hyperlink" Target="https://drive.google.com/file/d/1zb-v3OBPe1uEGA2pfUeJYKn607Q23-VX/view?usp=drive_link" TargetMode="External"/><Relationship Id="rId172" Type="http://schemas.openxmlformats.org/officeDocument/2006/relationships/hyperlink" Target="https://drive.google.com/file/d/1vm26hGolfmIt_00AwhxaInYBeHzy-o-M/view?usp=drive_link" TargetMode="External"/><Relationship Id="rId171" Type="http://schemas.openxmlformats.org/officeDocument/2006/relationships/hyperlink" Target="https://drive.google.com/file/d/1mMz4HtEoeAbpd0fSV0nrAAVWE_NwNd0K/view?usp=drivesdk" TargetMode="External"/><Relationship Id="rId170" Type="http://schemas.openxmlformats.org/officeDocument/2006/relationships/hyperlink" Target="https://drive.google.com/file/d/15bp-unBGi_6QJ7i8dobY3ZYeP2skiV38/view?usp=drive_link" TargetMode="External"/><Relationship Id="rId17" Type="http://schemas.openxmlformats.org/officeDocument/2006/relationships/hyperlink" Target="https://drive.google.com/file/d/1MMrYNdFIDXAIq6LtHwU6gyJ4tgXw7G-u/view?usp=drivesdk" TargetMode="External"/><Relationship Id="rId169" Type="http://schemas.openxmlformats.org/officeDocument/2006/relationships/hyperlink" Target="https://drive.google.com/file/d/151_nNpwiYjOoHw0NaGjhK8_JSex8_d3C/view?usp=drivesdk" TargetMode="External"/><Relationship Id="rId168" Type="http://schemas.openxmlformats.org/officeDocument/2006/relationships/hyperlink" Target="https://drive.google.com/file/d/1p9MlHvCBRNAJYexFIWsNT3b--t4fR3Rf/view?usp=drive_link" TargetMode="External"/><Relationship Id="rId167" Type="http://schemas.openxmlformats.org/officeDocument/2006/relationships/hyperlink" Target="https://drive.google.com/file/d/1asgl5SpirppgggoKXR1X8BTP0IMSs_Hq/view?usp=drivesdk" TargetMode="External"/><Relationship Id="rId166" Type="http://schemas.openxmlformats.org/officeDocument/2006/relationships/hyperlink" Target="https://drive.google.com/file/d/11AMehloheiTnLm05AokwexaOSkInZ7gu/view?usp=drivesdk" TargetMode="External"/><Relationship Id="rId165" Type="http://schemas.openxmlformats.org/officeDocument/2006/relationships/hyperlink" Target="https://drive.google.com/file/d/1YbHVvlbyekEd3SxwhAnFtXa_ZYZV9hC9/view?usp=drivesdk" TargetMode="External"/><Relationship Id="rId164" Type="http://schemas.openxmlformats.org/officeDocument/2006/relationships/hyperlink" Target="https://drive.google.com/file/d/1QwVsrlCn-vJKPmMmbOEuyVZPenw3zLAi/view?usp=drivesdk" TargetMode="External"/><Relationship Id="rId163" Type="http://schemas.openxmlformats.org/officeDocument/2006/relationships/hyperlink" Target="https://drive.google.com/file/d/1dEXWzbjvlXlAtXnVegOKsP-FK2X8icyG/view?usp=drivesdk" TargetMode="External"/><Relationship Id="rId162" Type="http://schemas.openxmlformats.org/officeDocument/2006/relationships/hyperlink" Target="https://drive.google.com/file/d/12Rz9Bst1qc788H8Zh8yXBmnHPzzrN93P/view?usp=drivesdk" TargetMode="External"/><Relationship Id="rId161" Type="http://schemas.openxmlformats.org/officeDocument/2006/relationships/hyperlink" Target="https://drive.google.com/file/d/1T7BS5aUu1suc6oUZAUJSkrbr1ggrqk4F/view?usp=drivesdk" TargetMode="External"/><Relationship Id="rId160" Type="http://schemas.openxmlformats.org/officeDocument/2006/relationships/hyperlink" Target="https://drive.google.com/file/d/1SVzgo7K5HA2eBNvCm9cHE5Jjj19OQ_Yi/view?usp=drivesdk" TargetMode="External"/><Relationship Id="rId16" Type="http://schemas.openxmlformats.org/officeDocument/2006/relationships/hyperlink" Target="https://drive.google.com/file/d/1OCCCwrKUlTy4NqUDZsCGAqlMUuEalLTg/view?usp=drivesdk" TargetMode="External"/><Relationship Id="rId159" Type="http://schemas.openxmlformats.org/officeDocument/2006/relationships/hyperlink" Target="https://drive.google.com/file/d/1VBcUYGGVBC1eFzghNmCL6gYt5uTrB1En/view?usp=drivesdk" TargetMode="External"/><Relationship Id="rId158" Type="http://schemas.openxmlformats.org/officeDocument/2006/relationships/hyperlink" Target="https://drive.google.com/file/d/1AvwfvxAigPmn2HwcxP2r_HE5XQNTVfio/view?usp=drivesdk" TargetMode="External"/><Relationship Id="rId157" Type="http://schemas.openxmlformats.org/officeDocument/2006/relationships/hyperlink" Target="https://drive.google.com/file/d/1YHGtCN76a8nF57aGzHjkfYUeeOB51E2i/view?usp=drive_link" TargetMode="External"/><Relationship Id="rId156" Type="http://schemas.openxmlformats.org/officeDocument/2006/relationships/hyperlink" Target="https://drive.google.com/file/d/1WOEQum9D_NKi3goLKqtY1VRtvIRb4Onc/view?usp=drivesdk" TargetMode="External"/><Relationship Id="rId155" Type="http://schemas.openxmlformats.org/officeDocument/2006/relationships/hyperlink" Target="https://drive.google.com/file/d/1tYp3kf2YZfVDWXP_ppXiSk-8uC3iLHGP/view?usp=drivesdk" TargetMode="External"/><Relationship Id="rId154" Type="http://schemas.openxmlformats.org/officeDocument/2006/relationships/hyperlink" Target="https://drive.google.com/file/d/1j5G0xlpPZoN_-SJWXfCmHSvy5_f5ElVb/view?usp=drive_link" TargetMode="External"/><Relationship Id="rId153" Type="http://schemas.openxmlformats.org/officeDocument/2006/relationships/hyperlink" Target="https://drive.google.com/file/d/18R5-hqH5rhdTFHQ_-9FelFaTNFFzJh_T/view?usp=drive_link" TargetMode="External"/><Relationship Id="rId152" Type="http://schemas.openxmlformats.org/officeDocument/2006/relationships/hyperlink" Target="https://drive.google.com/file/d/10GW4FACg3bdcBCeLjSYcb833mvK73Nsk/view?usp=drive_link" TargetMode="External"/><Relationship Id="rId151" Type="http://schemas.openxmlformats.org/officeDocument/2006/relationships/hyperlink" Target="https://drive.google.com/file/d/1wph9zlC06HPR6sLyJB2CA14nwySD_6ES/view?usp=drive_link" TargetMode="External"/><Relationship Id="rId150" Type="http://schemas.openxmlformats.org/officeDocument/2006/relationships/hyperlink" Target="https://drive.google.com/file/d/17SJTGdOIPyZoBVvb3OcOJmQ_95JfuaZ5/view?usp=drivesdk" TargetMode="External"/><Relationship Id="rId15" Type="http://schemas.openxmlformats.org/officeDocument/2006/relationships/hyperlink" Target="https://drive.google.com/file/d/1IUS8d_QOkrc_3Yf1jLvL5afjwyI3ICZg/view?usp=drive_link" TargetMode="External"/><Relationship Id="rId149" Type="http://schemas.openxmlformats.org/officeDocument/2006/relationships/hyperlink" Target="https://drive.google.com/file/d/1JJxXXDiBnkpOvq2wjJstoqS76vydmnah/view?usp=drivesdk" TargetMode="External"/><Relationship Id="rId148" Type="http://schemas.openxmlformats.org/officeDocument/2006/relationships/hyperlink" Target="https://drive.google.com/file/d/1lDxJBcuIu3TFbYeDrmoCWNkC3Q7oRWtQ/view?usp=drivesdk" TargetMode="External"/><Relationship Id="rId147" Type="http://schemas.openxmlformats.org/officeDocument/2006/relationships/hyperlink" Target="https://drive.google.com/file/d/1BNuTqZYxqx1yeGa2TrCYkK9pzeYN8dIj/view?usp=drivesdk" TargetMode="External"/><Relationship Id="rId146" Type="http://schemas.openxmlformats.org/officeDocument/2006/relationships/hyperlink" Target="https://drive.google.com/file/d/1G6kH8R6hjEGmJmuU2Q1QejweKqjRW6DP/view?usp=drivesdk" TargetMode="External"/><Relationship Id="rId145" Type="http://schemas.openxmlformats.org/officeDocument/2006/relationships/hyperlink" Target="https://drive.google.com/file/d/1poK13YhNucktf9lLXnQDFWoerWIEizJG/view?usp=drivesdk" TargetMode="External"/><Relationship Id="rId144" Type="http://schemas.openxmlformats.org/officeDocument/2006/relationships/hyperlink" Target="https://drive.google.com/file/d/1b0bKnztL_wIvXb9cJiIcJtiqEhuOSFFO/view?usp=drivesdk" TargetMode="External"/><Relationship Id="rId143" Type="http://schemas.openxmlformats.org/officeDocument/2006/relationships/hyperlink" Target="https://drive.google.com/file/d/1-ViehUGCoK-95HMz0jT4bisUTtKswxf_/view?usp=sharing" TargetMode="External"/><Relationship Id="rId142" Type="http://schemas.openxmlformats.org/officeDocument/2006/relationships/hyperlink" Target="https://drive.google.com/file/d/1ctDgbYciQzWvUHJfho5-NJ-Nj4A7_znS/view?usp=drive_link" TargetMode="External"/><Relationship Id="rId141" Type="http://schemas.openxmlformats.org/officeDocument/2006/relationships/hyperlink" Target="https://drive.google.com/file/d/1pSBWMwByQ3bS1TS6p1JDl_bfYDZPEKhO/view?usp=drivesdk" TargetMode="External"/><Relationship Id="rId140" Type="http://schemas.openxmlformats.org/officeDocument/2006/relationships/hyperlink" Target="https://drive.google.com/file/d/15783VE4mpd_oLtq6eJkrhYXIz-t2msIl/view?usp=drivesdk" TargetMode="External"/><Relationship Id="rId14" Type="http://schemas.openxmlformats.org/officeDocument/2006/relationships/hyperlink" Target="https://drive.google.com/file/d/1PNvkKAdYOWhB1flJ3E_PTltwmnkgSYJA/view?usp=drive_link" TargetMode="External"/><Relationship Id="rId139" Type="http://schemas.openxmlformats.org/officeDocument/2006/relationships/hyperlink" Target="https://drive.google.com/file/d/1s5ZFWy4lgKTWx1VTywtJJzs4tASXleI9/view?usp=drivesdk" TargetMode="External"/><Relationship Id="rId138" Type="http://schemas.openxmlformats.org/officeDocument/2006/relationships/hyperlink" Target="https://drive.google.com/file/d/1y28oNcvflHApb5YBGVUOpaKsxzLbeTTp/view?usp=drivesdk" TargetMode="External"/><Relationship Id="rId137" Type="http://schemas.openxmlformats.org/officeDocument/2006/relationships/hyperlink" Target="https://drive.google.com/file/d/1aY6-wolra3d4A0ttvVkD6luYdeaD4l7c/view?usp=drivesdk" TargetMode="External"/><Relationship Id="rId136" Type="http://schemas.openxmlformats.org/officeDocument/2006/relationships/hyperlink" Target="https://drive.google.com/file/d/1zPVx8tfZi1fGYG4_sqtBbEMJWOun4f__/view?usp=drivesdk" TargetMode="External"/><Relationship Id="rId135" Type="http://schemas.openxmlformats.org/officeDocument/2006/relationships/hyperlink" Target="https://drive.google.com/file/d/1PJHtx1YRK-EbFEpyWgpLYNBcIr4WAcV5/view?usp=drivesdk" TargetMode="External"/><Relationship Id="rId134" Type="http://schemas.openxmlformats.org/officeDocument/2006/relationships/hyperlink" Target="https://drive.google.com/file/d/1pxEdrWivFmVVLOXe4-sX3lGJsCPyorvy/view?usp=drivesdk" TargetMode="External"/><Relationship Id="rId133" Type="http://schemas.openxmlformats.org/officeDocument/2006/relationships/hyperlink" Target="https://drive.google.com/file/d/1cDws5m82y0QLaMQjQn4nPhQjGbKZTTHM/view?usp=drive_link" TargetMode="External"/><Relationship Id="rId132" Type="http://schemas.openxmlformats.org/officeDocument/2006/relationships/hyperlink" Target="https://drive.google.com/file/d/16by67tCJFVKHKykzeCeia17gpwlOfXpO/view?usp=drivesdk" TargetMode="External"/><Relationship Id="rId131" Type="http://schemas.openxmlformats.org/officeDocument/2006/relationships/hyperlink" Target="https://drive.google.com/file/d/1k0xycatCDTk2g7PX8zM_R7RcEkY0FkSg/view?usp=drivesdk" TargetMode="External"/><Relationship Id="rId130" Type="http://schemas.openxmlformats.org/officeDocument/2006/relationships/hyperlink" Target="https://drive.google.com/file/d/14umXqhwx7Hk32DAHiMx_-VPdZofNm0z2/view?usp=drivesdk" TargetMode="External"/><Relationship Id="rId13" Type="http://schemas.openxmlformats.org/officeDocument/2006/relationships/hyperlink" Target="https://drive.google.com/file/d/1KSVlG8ggn_l2f-vaOdiJ4ew0PqS7szcU/view?usp=drive_link" TargetMode="External"/><Relationship Id="rId129" Type="http://schemas.openxmlformats.org/officeDocument/2006/relationships/hyperlink" Target="https://drive.google.com/file/d/1rN0f_MUrpuskqnfi6ifO3-IpFakYzlfv/view?usp=drive_link" TargetMode="External"/><Relationship Id="rId128" Type="http://schemas.openxmlformats.org/officeDocument/2006/relationships/hyperlink" Target="https://drive.google.com/file/d/1LqAuW6_cg5jiH0WxSu4CpSCLTZwbRFZD/view?usp=drivesdk" TargetMode="External"/><Relationship Id="rId127" Type="http://schemas.openxmlformats.org/officeDocument/2006/relationships/hyperlink" Target="https://drive.google.com/file/d/1hTsJOAVmbTuXMkIXdD-biQuiBl5NUjvu/view?usp=drivesdk" TargetMode="External"/><Relationship Id="rId126" Type="http://schemas.openxmlformats.org/officeDocument/2006/relationships/hyperlink" Target="https://drive.google.com/file/d/1_fZwJu7dWxIyD6tKr_vhH0lazrhaO0-3/view?usp=drivesdk" TargetMode="External"/><Relationship Id="rId125" Type="http://schemas.openxmlformats.org/officeDocument/2006/relationships/hyperlink" Target="https://drive.google.com/file/d/1B7wFLY5XROOEnCBo5MvraJCHGZSlvN2F/view?usp=drivesdk" TargetMode="External"/><Relationship Id="rId124" Type="http://schemas.openxmlformats.org/officeDocument/2006/relationships/hyperlink" Target="https://drive.google.com/file/d/13NRRwV6xx66cW1eLQgLlIoT0apkFdG3H/view?usp=drivesdk" TargetMode="External"/><Relationship Id="rId123" Type="http://schemas.openxmlformats.org/officeDocument/2006/relationships/hyperlink" Target="https://drive.google.com/file/d/1QHgzzBJNnFVv7Q4ZFvEihpGjk4Z1zaPp/view?usp=drivesdk" TargetMode="External"/><Relationship Id="rId122" Type="http://schemas.openxmlformats.org/officeDocument/2006/relationships/hyperlink" Target="https://drive.google.com/file/d/16suSyeaCwhnYVKgszyf2w4ssKbufdRBf/view?usp=drivesdk" TargetMode="External"/><Relationship Id="rId121" Type="http://schemas.openxmlformats.org/officeDocument/2006/relationships/hyperlink" Target="https://drive.google.com/file/d/1waraBZBCOsJq0_rFPrXInBkspp7KcD0g/view?usp=drivesdk" TargetMode="External"/><Relationship Id="rId120" Type="http://schemas.openxmlformats.org/officeDocument/2006/relationships/hyperlink" Target="https://drive.google.com/file/d/1kIJWy8Qyq1_tG4qEOkxoUeJSPRJfp6E1/view?usp=drivesdk" TargetMode="External"/><Relationship Id="rId12" Type="http://schemas.openxmlformats.org/officeDocument/2006/relationships/hyperlink" Target="https://drive.google.com/file/d/1n_sxnq85b2lKGL26GnirBYDfp3Laq_a-/view?usp=drive_link" TargetMode="External"/><Relationship Id="rId119" Type="http://schemas.openxmlformats.org/officeDocument/2006/relationships/hyperlink" Target="https://drive.google.com/file/d/1rpjbS-bDB20v4so-ORafAkM7plMXgvVt/view?usp=drivesdk" TargetMode="External"/><Relationship Id="rId118" Type="http://schemas.openxmlformats.org/officeDocument/2006/relationships/hyperlink" Target="https://docs.google.com/document/d/1Tbe0PVfzxCAfIsIxEjjd_PjY7DVCyvpPmoPb7jYq7uI/edit?usp=drive_link" TargetMode="External"/><Relationship Id="rId117" Type="http://schemas.openxmlformats.org/officeDocument/2006/relationships/hyperlink" Target="https://docs.google.com/document/d/11yo-N3jNXz73ot3FxtZEk7KIb7VCSJE6li2eBSuKDs4/edit?usp=drive_link" TargetMode="External"/><Relationship Id="rId116" Type="http://schemas.openxmlformats.org/officeDocument/2006/relationships/hyperlink" Target="https://docs.google.com/document/d/1KojeKbYm7_sMv6uvoWwL_UjDXkWgWfXXFipki9-a_1M/edit?usp=drive_link" TargetMode="External"/><Relationship Id="rId115" Type="http://schemas.openxmlformats.org/officeDocument/2006/relationships/hyperlink" Target="https://docs.google.com/document/d/1TCT74CQpfIc1e7CnSVSy4TKajIafLyegfq-cMsMhWKg/edit?usp=drive_link" TargetMode="External"/><Relationship Id="rId114" Type="http://schemas.openxmlformats.org/officeDocument/2006/relationships/hyperlink" Target="https://drive.google.com/file/d/1UMaC0dmkJLAfLNI_13AnsMMyV4D1WgRJ/view?usp=drivesdk" TargetMode="External"/><Relationship Id="rId113" Type="http://schemas.openxmlformats.org/officeDocument/2006/relationships/hyperlink" Target="https://drive.google.com/file/d/1U9ayAdpHb6nhlOC0nb79f6BxuPlwfQ9K/view?usp=drivesdk" TargetMode="External"/><Relationship Id="rId112" Type="http://schemas.openxmlformats.org/officeDocument/2006/relationships/hyperlink" Target="https://drive.google.com/file/d/1bNgpZa_CUI7KauO5S_wo1U7tssBuDbSN/view?usp=drivesdk" TargetMode="External"/><Relationship Id="rId111" Type="http://schemas.openxmlformats.org/officeDocument/2006/relationships/hyperlink" Target="https://drive.google.com/file/d/1sT0NJsD21pgepjH7tLuJCBFtIZQax2Wl/view?usp=drivesdk" TargetMode="External"/><Relationship Id="rId110" Type="http://schemas.openxmlformats.org/officeDocument/2006/relationships/hyperlink" Target="https://drive.google.com/file/d/1Rrq1AHOdjR2ShWbqNq2RzzfKxCAwSRZj/view?usp=drivesdk" TargetMode="External"/><Relationship Id="rId11" Type="http://schemas.openxmlformats.org/officeDocument/2006/relationships/hyperlink" Target="https://drive.google.com/file/d/1GoH4RSP1ZzNZmI4VzWWWyfn0Nk7ktj5p/view?usp=drive_link" TargetMode="External"/><Relationship Id="rId109" Type="http://schemas.openxmlformats.org/officeDocument/2006/relationships/hyperlink" Target="https://drive.google.com/file/d/16KKmcdo6AzhCKj5Fp9W20GMNYdo_wKML/view?usp=drivesdk" TargetMode="External"/><Relationship Id="rId108" Type="http://schemas.openxmlformats.org/officeDocument/2006/relationships/hyperlink" Target="https://drive.google.com/file/d/13JiJlWYw1IWnWLN_tS9c9yqU95lY_OiF/view?usp=drivesdk" TargetMode="External"/><Relationship Id="rId107" Type="http://schemas.openxmlformats.org/officeDocument/2006/relationships/hyperlink" Target="https://drive.google.com/file/d/1Vx0j5Nj4g4HBZmQou69RA8ki6wE3Lahh/view?usp=drivesdk" TargetMode="External"/><Relationship Id="rId106" Type="http://schemas.openxmlformats.org/officeDocument/2006/relationships/hyperlink" Target="https://drive.google.com/file/d/1P_BCu_2QVtE153XaJwwFH2qOnbtfw2vU/view?usp=drivesdk" TargetMode="External"/><Relationship Id="rId105" Type="http://schemas.openxmlformats.org/officeDocument/2006/relationships/hyperlink" Target="https://drive.google.com/file/d/1m9dPnqms1RkHwlmaoq6HNpVdrxXKMc4e/view?usp=sharing" TargetMode="External"/><Relationship Id="rId104" Type="http://schemas.openxmlformats.org/officeDocument/2006/relationships/hyperlink" Target="https://drive.google.com/file/d/1lWP6IvNBiSgSE8NUcRY6MtyFZvzryUVW/view?usp=sharing" TargetMode="External"/><Relationship Id="rId103" Type="http://schemas.openxmlformats.org/officeDocument/2006/relationships/hyperlink" Target="https://drive.google.com/file/d/1Y9flt534_FhOqa8NP_vpNuG3r3VfhlQm/view?usp=sharing" TargetMode="External"/><Relationship Id="rId102" Type="http://schemas.openxmlformats.org/officeDocument/2006/relationships/hyperlink" Target="https://drive.google.com/file/d/19I4c0_5oVLw-4BiB8pjI1bptf-OdunLg/view?usp=drivesdk" TargetMode="External"/><Relationship Id="rId101" Type="http://schemas.openxmlformats.org/officeDocument/2006/relationships/hyperlink" Target="https://drive.google.com/file/d/16IRc55EQPnwJwz1MBgv_Y1W7eI0TnC6F/view?usp=drivesdk" TargetMode="External"/><Relationship Id="rId100" Type="http://schemas.openxmlformats.org/officeDocument/2006/relationships/hyperlink" Target="https://drive.google.com/file/d/1jB0U0EhE5xwrMoxyjyFZrlDez1qXmX50/view?usp=drive_link" TargetMode="External"/><Relationship Id="rId10" Type="http://schemas.openxmlformats.org/officeDocument/2006/relationships/hyperlink" Target="https://drive.google.com/file/d/1g_NCEmpgXGAv6Wf51xoA6Lhpz__Zkopy/view?usp=drive_link" TargetMode="External"/><Relationship Id="rId1" Type="http://schemas.openxmlformats.org/officeDocument/2006/relationships/hyperlink" Target="http://s.no/" TargetMode="External"/></Relationships>
</file>

<file path=xl/worksheets/_rels/sheet22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mwomjH1QGF2g853ThBERIEl_lqprdVCV/view?usp=drive_link" TargetMode="External"/><Relationship Id="rId98" Type="http://schemas.openxmlformats.org/officeDocument/2006/relationships/hyperlink" Target="https://drive.google.com/file/d/10LKj431l5xtZZdGiXpGZC66AJpr0hYj0/view?usp=drivesdk" TargetMode="External"/><Relationship Id="rId97" Type="http://schemas.openxmlformats.org/officeDocument/2006/relationships/hyperlink" Target="https://drive.google.com/file/d/1KA6FdgYga4tpmUzHFKs8nZfj6I10Dsnc/view?usp=drive_link" TargetMode="External"/><Relationship Id="rId96" Type="http://schemas.openxmlformats.org/officeDocument/2006/relationships/hyperlink" Target="https://drive.google.com/file/d/1vL98rafw5EdMw0g-Gukusup3IuiOeWDb/view?usp=drive_link" TargetMode="External"/><Relationship Id="rId95" Type="http://schemas.openxmlformats.org/officeDocument/2006/relationships/hyperlink" Target="https://drive.google.com/file/d/1yqbx43PnfXE8U_6g27LrPngfH4Nim4l-/view?usp=drivesdk" TargetMode="External"/><Relationship Id="rId94" Type="http://schemas.openxmlformats.org/officeDocument/2006/relationships/hyperlink" Target="https://drive.google.com/file/d/1WQjpqTJkN2CL63dizWOLH-FHbxYPuwVs/view?usp=drivesdk" TargetMode="External"/><Relationship Id="rId93" Type="http://schemas.openxmlformats.org/officeDocument/2006/relationships/hyperlink" Target="https://drive.google.com/file/d/1KfWKJxh2VrKitJEr0szRBuEALYNYKYBC/view?usp=drivesdk" TargetMode="External"/><Relationship Id="rId92" Type="http://schemas.openxmlformats.org/officeDocument/2006/relationships/hyperlink" Target="https://drive.google.com/file/d/11rwp4t8FCYeorWBqowC3lt4oxoiMZXGD/view?usp=drivesdk" TargetMode="External"/><Relationship Id="rId91" Type="http://schemas.openxmlformats.org/officeDocument/2006/relationships/hyperlink" Target="https://drive.google.com/file/d/1EoQqe_wzL5E6hm9JFrG8aErbmcHafa8C/view?usp=drivesdk" TargetMode="External"/><Relationship Id="rId90" Type="http://schemas.openxmlformats.org/officeDocument/2006/relationships/hyperlink" Target="https://drive.google.com/file/d/17pRvmaCFzqLMQRC7wnvA4L82a4VoqSNb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4NjXiJxdPZj-jsyU8TwKzoZcgHH2Kikm/view?usp=drivesdk" TargetMode="External"/><Relationship Id="rId88" Type="http://schemas.openxmlformats.org/officeDocument/2006/relationships/hyperlink" Target="https://drive.google.com/file/d/1GrGA4TyYwG1MhtL3_f1BynYYPOQUPYfI/view?usp=drivesdk" TargetMode="External"/><Relationship Id="rId87" Type="http://schemas.openxmlformats.org/officeDocument/2006/relationships/hyperlink" Target="https://drive.google.com/file/d/1V4kAOaTdr-GtYhnXv7gzQBE3ZR7ZPlKK/view?usp=drive_link" TargetMode="External"/><Relationship Id="rId86" Type="http://schemas.openxmlformats.org/officeDocument/2006/relationships/hyperlink" Target="https://drive.google.com/file/d/1Q3MLsC3HPDUwIk0LuSHUtLVSOuBH_O4N/view?usp=drivesdk" TargetMode="External"/><Relationship Id="rId85" Type="http://schemas.openxmlformats.org/officeDocument/2006/relationships/hyperlink" Target="https://drive.google.com/file/d/1HZnPMnXtZ0QO_7Mg1rBnqh1WGOP3akH4/view?usp=drivesdk" TargetMode="External"/><Relationship Id="rId84" Type="http://schemas.openxmlformats.org/officeDocument/2006/relationships/hyperlink" Target="https://drive.google.com/file/d/1LWD7yTNI0RJDRsb9uJmf_DlCrtRgUKyY/view?usp=drivesdk" TargetMode="External"/><Relationship Id="rId83" Type="http://schemas.openxmlformats.org/officeDocument/2006/relationships/hyperlink" Target="https://drive.google.com/file/d/1ugQovbHhHiatqYgFZRiOkMLioEJ1sY9o/view?usp=drivesdk" TargetMode="External"/><Relationship Id="rId82" Type="http://schemas.openxmlformats.org/officeDocument/2006/relationships/hyperlink" Target="https://drive.google.com/file/d/1VO8wG6RTf64Yu5WlHt4RNVEAlHxdXRIv/view?usp=drivesdk" TargetMode="External"/><Relationship Id="rId81" Type="http://schemas.openxmlformats.org/officeDocument/2006/relationships/hyperlink" Target="https://drive.google.com/file/d/1QLtgZLOi46VR-Umszotzw09fP7Prc0Sq/view?usp=drivesdk" TargetMode="External"/><Relationship Id="rId80" Type="http://schemas.openxmlformats.org/officeDocument/2006/relationships/hyperlink" Target="https://drive.google.com/file/d/14wIqiKajOELWiaI-p64Cs1Xs3kxBqO4v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hLGDUrXqBvHMOAiLQE0q9BoTCTu2K7ao/view?usp=drivesdk" TargetMode="External"/><Relationship Id="rId78" Type="http://schemas.openxmlformats.org/officeDocument/2006/relationships/hyperlink" Target="https://drive.google.com/file/d/18HoCA9YDoJiZI1ICrjO5DtziAZZqqASw/view?usp=drivesdk" TargetMode="External"/><Relationship Id="rId77" Type="http://schemas.openxmlformats.org/officeDocument/2006/relationships/hyperlink" Target="https://drive.google.com/file/d/1-sH-k7diCS-WDKeXQScayM3HAWW1q7sM/view?usp=drivesdk" TargetMode="External"/><Relationship Id="rId76" Type="http://schemas.openxmlformats.org/officeDocument/2006/relationships/hyperlink" Target="https://drive.google.com/file/d/1YI54nUQ9qGl4HCxnSZ9MgIOfdUXpAveO/view?usp=drivesdk" TargetMode="External"/><Relationship Id="rId75" Type="http://schemas.openxmlformats.org/officeDocument/2006/relationships/hyperlink" Target="https://drive.google.com/file/d/1yhSE8e9oSoZ1XITSkXcml25c5-I7E8OK/view?usp=drivesdk" TargetMode="External"/><Relationship Id="rId74" Type="http://schemas.openxmlformats.org/officeDocument/2006/relationships/hyperlink" Target="https://drive.google.com/file/d/11itxCKs7_1wrdjNgkLJy60XgxMCdImZ8/view?usp=drivesdk" TargetMode="External"/><Relationship Id="rId73" Type="http://schemas.openxmlformats.org/officeDocument/2006/relationships/hyperlink" Target="https://drive.google.com/file/d/1Yy8fpURlINeYfCy7rrZmDKFYHuyxD4iQ/view?usp=drivesdk" TargetMode="External"/><Relationship Id="rId72" Type="http://schemas.openxmlformats.org/officeDocument/2006/relationships/hyperlink" Target="https://drive.google.com/file/d/1FtIA5xRRdfg0DMeFhk4cK9fSTdReYxn_/view?usp=drivesdk" TargetMode="External"/><Relationship Id="rId71" Type="http://schemas.openxmlformats.org/officeDocument/2006/relationships/hyperlink" Target="https://drive.google.com/file/d/1v38ptVE_U4sgNuUAuiiQTJuuhlHb7jFl/view?usp=drive_link" TargetMode="External"/><Relationship Id="rId70" Type="http://schemas.openxmlformats.org/officeDocument/2006/relationships/hyperlink" Target="https://drive.google.com/file/d/1UL3NuZgOCt4s4K1Lmw0E4054Vvcygtkf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HXZTAZQL0VArZ_9hBhMjaP1mlNRqP8T5/view?usp=drive_link" TargetMode="External"/><Relationship Id="rId68" Type="http://schemas.openxmlformats.org/officeDocument/2006/relationships/hyperlink" Target="https://drive.google.com/file/d/1KLs3uxdiaRJWETPsO6CmyTUanKwokaZa/view?usp=drive_link" TargetMode="External"/><Relationship Id="rId67" Type="http://schemas.openxmlformats.org/officeDocument/2006/relationships/hyperlink" Target="https://drive.google.com/file/d/1ULg6wSSFgz4hxLake3pNnzRocvpPmZYZ/view?usp=drivesdk" TargetMode="External"/><Relationship Id="rId66" Type="http://schemas.openxmlformats.org/officeDocument/2006/relationships/hyperlink" Target="https://drive.google.com/file/d/1-aGhYs7ao10VRy2guue-uTg4Xq65DWCb/view?usp=drivesdk" TargetMode="External"/><Relationship Id="rId65" Type="http://schemas.openxmlformats.org/officeDocument/2006/relationships/hyperlink" Target="https://drive.google.com/file/d/1p4jNVbor9SWt0QSpK-huF8RwzNZztNBs/view?usp=drive_link" TargetMode="External"/><Relationship Id="rId64" Type="http://schemas.openxmlformats.org/officeDocument/2006/relationships/hyperlink" Target="https://drive.google.com/file/d/1LQkh8x3zwwOEGBzYg73i26Jpewo6cs3D/view?usp=drivesdk" TargetMode="External"/><Relationship Id="rId63" Type="http://schemas.openxmlformats.org/officeDocument/2006/relationships/hyperlink" Target="https://drive.google.com/file/d/1wGPC1ILzmoS_NSdfsBEMDa6PUvmHiITQ/view?usp=drivesdk" TargetMode="External"/><Relationship Id="rId62" Type="http://schemas.openxmlformats.org/officeDocument/2006/relationships/hyperlink" Target="https://drive.google.com/file/d/11pMXP9LzQDSOCFcGyZ30h0N4_459t-8T/view?usp=drivesdk" TargetMode="External"/><Relationship Id="rId61" Type="http://schemas.openxmlformats.org/officeDocument/2006/relationships/hyperlink" Target="https://drive.google.com/file/d/1WFj0LyCScVrmb41N-RuRU2HZGx5A4QUM/view?usp=drivesdk" TargetMode="External"/><Relationship Id="rId60" Type="http://schemas.openxmlformats.org/officeDocument/2006/relationships/hyperlink" Target="https://drive.google.com/file/d/18_RD9xZabwO2JP75PawLVIgZiRHanJ7r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Ak6smEd55cnbU6cgiHWyy16Q1-XSYz02/view?usp=drivesdk" TargetMode="External"/><Relationship Id="rId58" Type="http://schemas.openxmlformats.org/officeDocument/2006/relationships/hyperlink" Target="https://drive.google.com/file/d/1KHPev2Kq3qVrGscAO2uuo7yScy8y8Sup/view?usp=drivesdk" TargetMode="External"/><Relationship Id="rId57" Type="http://schemas.openxmlformats.org/officeDocument/2006/relationships/hyperlink" Target="https://drive.google.com/file/d/16VUgmeIgOqD2kCbL2vOnNnCK5A21jtS6/view?usp=drivesdk" TargetMode="External"/><Relationship Id="rId56" Type="http://schemas.openxmlformats.org/officeDocument/2006/relationships/hyperlink" Target="https://drive.google.com/file/d/1MUFzAJo5LSzmpdhI889kEhDZ0xKqImSg/view?usp=drivesdk" TargetMode="External"/><Relationship Id="rId55" Type="http://schemas.openxmlformats.org/officeDocument/2006/relationships/hyperlink" Target="https://drive.google.com/file/d/16C9A5O_2LU1qouTuL7juJbsj3tyaD1Qt/view?usp=drivesdk" TargetMode="External"/><Relationship Id="rId54" Type="http://schemas.openxmlformats.org/officeDocument/2006/relationships/hyperlink" Target="https://drive.google.com/file/d/1xZZ5XWFzSXvXAjvdoqHHi1FHnk0heuYs/view?usp=drivesdk" TargetMode="External"/><Relationship Id="rId53" Type="http://schemas.openxmlformats.org/officeDocument/2006/relationships/hyperlink" Target="https://drive.google.com/file/d/1JpfRw7AKi5vyFGzJYU8Gt0AbdcnM-XIR/view?usp=drivesdk" TargetMode="External"/><Relationship Id="rId52" Type="http://schemas.openxmlformats.org/officeDocument/2006/relationships/hyperlink" Target="https://drive.google.com/file/d/13BQ_wJdpDsvZ4ExNu5_MiUuptLzyEkOt/view?usp=drivesdk" TargetMode="External"/><Relationship Id="rId51" Type="http://schemas.openxmlformats.org/officeDocument/2006/relationships/hyperlink" Target="https://drive.google.com/file/d/1ODbvUqRQqa0vgDKn1aCSa1ExOjI5eU6s/view?usp=drivesdk" TargetMode="External"/><Relationship Id="rId50" Type="http://schemas.openxmlformats.org/officeDocument/2006/relationships/hyperlink" Target="https://drive.google.com/file/d/16-Aw559LRobGzObL2CIZzbedS2huPzfM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8ueBKNiLx_qMQGWWAwsMx3AwCOr1zXzs/view?usp=drivesdk" TargetMode="External"/><Relationship Id="rId48" Type="http://schemas.openxmlformats.org/officeDocument/2006/relationships/hyperlink" Target="https://drive.google.com/file/d/1l9qfxWgKh-kHCOlLJw3rYD8TsqzZQ0Vg/view?usp=drivesdk" TargetMode="External"/><Relationship Id="rId47" Type="http://schemas.openxmlformats.org/officeDocument/2006/relationships/hyperlink" Target="https://drive.google.com/file/d/1050KPyHqjlRunLX-RfleyqLFilvJdS5r/view?usp=drivesdk" TargetMode="External"/><Relationship Id="rId46" Type="http://schemas.openxmlformats.org/officeDocument/2006/relationships/hyperlink" Target="https://drive.google.com/file/d/1sFDM_grDHNQoFssiRNDRYHiZ-v5Cz_mM/view?usp=drivesdk" TargetMode="External"/><Relationship Id="rId45" Type="http://schemas.openxmlformats.org/officeDocument/2006/relationships/hyperlink" Target="https://drive.google.com/file/d/1MqKqLyL1Szw5dZPMXxT46Rrs2pbCGBzG/view?usp=drivesdk" TargetMode="External"/><Relationship Id="rId44" Type="http://schemas.openxmlformats.org/officeDocument/2006/relationships/hyperlink" Target="https://drive.google.com/file/d/15Bc88hS6nxrWXF0LYcVoTUmlRCZ-EtKv/view?usp=drivesdk" TargetMode="External"/><Relationship Id="rId43" Type="http://schemas.openxmlformats.org/officeDocument/2006/relationships/hyperlink" Target="https://drive.google.com/file/d/1FUdhhfUN-luAroAa_KyyLtQAPWNYruGx/view?usp=drive_link" TargetMode="External"/><Relationship Id="rId42" Type="http://schemas.openxmlformats.org/officeDocument/2006/relationships/hyperlink" Target="https://drive.google.com/file/d/1Jd1pNOhKfow7rDb2cXcXuMaKkq3scBym/view?usp=drivesdk" TargetMode="External"/><Relationship Id="rId41" Type="http://schemas.openxmlformats.org/officeDocument/2006/relationships/hyperlink" Target="https://drive.google.com/file/d/14GkYuSFockovOVePXY3kQGt-QIydDele/view?usp=drive_link" TargetMode="External"/><Relationship Id="rId40" Type="http://schemas.openxmlformats.org/officeDocument/2006/relationships/hyperlink" Target="https://drive.google.com/file/d/1hO6981dWlr7a4rY7wKkphIA6DUHyv1ca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GgU8otZVWYUtpfGoGJVaWq9OiwS6VyWR/view?usp=drivesdk" TargetMode="External"/><Relationship Id="rId38" Type="http://schemas.openxmlformats.org/officeDocument/2006/relationships/hyperlink" Target="https://drive.google.com/file/d/1KiLSQnjJ2psEDDxubsd4qAIGYURZhEgV/view?usp=share_link" TargetMode="External"/><Relationship Id="rId37" Type="http://schemas.openxmlformats.org/officeDocument/2006/relationships/hyperlink" Target="https://drive.google.com/file/d/18HTrtI8KIzcwPDrXi0nqp6RPtcqsk4FA/view?usp=drivesdk" TargetMode="External"/><Relationship Id="rId36" Type="http://schemas.openxmlformats.org/officeDocument/2006/relationships/hyperlink" Target="https://drive.google.com/file/d/1PJMlwsarfJsjDOH9BR13ZC5WuNsCbsUs/view?usp=drive_link" TargetMode="External"/><Relationship Id="rId35" Type="http://schemas.openxmlformats.org/officeDocument/2006/relationships/hyperlink" Target="https://drive.google.com/file/d/1ovJmNjOlfEf62x4Im3HNRvI9DtrFZ9Sr/view?usp=drivesdk" TargetMode="External"/><Relationship Id="rId34" Type="http://schemas.openxmlformats.org/officeDocument/2006/relationships/hyperlink" Target="https://drive.google.com/file/d/1PHv5SowWdHLPDwAmdCWH5ARL1Z38hfYO/view?usp=drivesdk" TargetMode="External"/><Relationship Id="rId33" Type="http://schemas.openxmlformats.org/officeDocument/2006/relationships/hyperlink" Target="https://drive.google.com/file/d/1exXucVZqcE3RkfVT9eWgvz1GrwgUcOGs/view?usp=drivesdk" TargetMode="External"/><Relationship Id="rId32" Type="http://schemas.openxmlformats.org/officeDocument/2006/relationships/hyperlink" Target="https://drive.google.com/file/d/1G_2h17dEDSJ0sJVLA7KEA3Wy18Qic-lD/view?usp=drivesdk" TargetMode="External"/><Relationship Id="rId31" Type="http://schemas.openxmlformats.org/officeDocument/2006/relationships/hyperlink" Target="https://drive.google.com/file/d/1d7EFuXhUJIVdNfyP-VvbEov7OxOUhnjX/view?usp=drivesdk" TargetMode="External"/><Relationship Id="rId30" Type="http://schemas.openxmlformats.org/officeDocument/2006/relationships/hyperlink" Target="https://drive.google.com/file/d/1wYVnj5xHuiqQU2FLKpl5j3MbxNgNSDWL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l0CarlJRdXeKckzjv5vdH8ZMNbVSDSFn/view?usp=drivesdk" TargetMode="External"/><Relationship Id="rId28" Type="http://schemas.openxmlformats.org/officeDocument/2006/relationships/hyperlink" Target="https://drive.google.com/file/d/1WAIV9EzRLNkmkzUDIIR1DMXykSJnRqNQ/view?usp=drivesdk" TargetMode="External"/><Relationship Id="rId27" Type="http://schemas.openxmlformats.org/officeDocument/2006/relationships/hyperlink" Target="https://drive.google.com/file/d/1YhQfmy0rQa_3l9AQYACCpU7Fqq-FOQEI/view?usp=drivesdk" TargetMode="External"/><Relationship Id="rId26" Type="http://schemas.openxmlformats.org/officeDocument/2006/relationships/hyperlink" Target="https://drive.google.com/file/d/1SyqKT5bF5AaGYQgD2j5JSrpmJiBMLybn/view?usp=drivesdk" TargetMode="External"/><Relationship Id="rId25" Type="http://schemas.openxmlformats.org/officeDocument/2006/relationships/hyperlink" Target="https://drive.google.com/file/d/1fSvGTS8bB6HuiPaZYdDiOhcl5coBTyn6/view?usp=drivesdk" TargetMode="External"/><Relationship Id="rId24" Type="http://schemas.openxmlformats.org/officeDocument/2006/relationships/hyperlink" Target="https://drive.google.com/file/d/1JmOAm4079UzechP2QZhlcGLcKATeh1NC/view?usp=drivesdk" TargetMode="External"/><Relationship Id="rId23" Type="http://schemas.openxmlformats.org/officeDocument/2006/relationships/hyperlink" Target="https://drive.google.com/file/d/1LKMYyqlNdTpBAJHzScOqSYbwoX-Sj7CT/view?usp=drivesdk" TargetMode="External"/><Relationship Id="rId22" Type="http://schemas.openxmlformats.org/officeDocument/2006/relationships/hyperlink" Target="https://drive.google.com/file/d/1zVz0DVls0T0q0Nw8a9sVgmfrBBnx7VDU/view?usp=drivesdk" TargetMode="External"/><Relationship Id="rId219" Type="http://schemas.openxmlformats.org/officeDocument/2006/relationships/hyperlink" Target="https://drive.google.com/file/d/1jTCXH33gTrZDnqPAyOS9Jo4Vsl0cg49j/view?usp=sharing" TargetMode="External"/><Relationship Id="rId218" Type="http://schemas.openxmlformats.org/officeDocument/2006/relationships/hyperlink" Target="https://drive.google.com/file/d/1-LMn2RMdekpDhktxd6uNjQQdatMKF8yZ/view?usp=drive_link" TargetMode="External"/><Relationship Id="rId217" Type="http://schemas.openxmlformats.org/officeDocument/2006/relationships/hyperlink" Target="https://drive.google.com/file/d/1pO45KJ2Anjf1wjhdMDATmYcrXCytLB3y/view?usp=sharing" TargetMode="External"/><Relationship Id="rId216" Type="http://schemas.openxmlformats.org/officeDocument/2006/relationships/hyperlink" Target="https://drive.google.com/file/d/1ayKyx-7T7TwOte_gGFgfgCxWiVa8Cg8m/view?usp=drive_link" TargetMode="External"/><Relationship Id="rId215" Type="http://schemas.openxmlformats.org/officeDocument/2006/relationships/hyperlink" Target="https://drive.google.com/file/d/1VXVL_r3DoAz3I_u0DD1X5QX9FVNRikkd/view?usp=drive_link" TargetMode="External"/><Relationship Id="rId214" Type="http://schemas.openxmlformats.org/officeDocument/2006/relationships/hyperlink" Target="https://drive.google.com/file/d/14S--Kd5Vl3YSMCHzwwYt_kQIgxGm_Zbg/view?usp=drive_link" TargetMode="External"/><Relationship Id="rId213" Type="http://schemas.openxmlformats.org/officeDocument/2006/relationships/hyperlink" Target="https://drive.google.com/file/d/1_wspiI7N_dRs_vE3p2pH0rc8yAcF-pg4/view?usp=drive_link" TargetMode="External"/><Relationship Id="rId212" Type="http://schemas.openxmlformats.org/officeDocument/2006/relationships/hyperlink" Target="https://drive.google.com/file/d/1WXt01Z5DyEaibfcb9yjRvC37GnJBijOf/view?usp=drive_link" TargetMode="External"/><Relationship Id="rId211" Type="http://schemas.openxmlformats.org/officeDocument/2006/relationships/hyperlink" Target="https://drive.google.com/file/d/1imOf8cO4LrDK_1VGlnSJPrR4OAx8Sd2B/view?usp=drive_link" TargetMode="External"/><Relationship Id="rId210" Type="http://schemas.openxmlformats.org/officeDocument/2006/relationships/hyperlink" Target="https://drive.google.com/file/d/15MHSo23sHhYQuvGI6Rdc88aGx1MXVhlF/view?usp=drive_link" TargetMode="External"/><Relationship Id="rId21" Type="http://schemas.openxmlformats.org/officeDocument/2006/relationships/hyperlink" Target="https://drive.google.com/file/d/1Sye9_tfW3vCUCuzfO04RicfVtkkhBLUa/view" TargetMode="External"/><Relationship Id="rId209" Type="http://schemas.openxmlformats.org/officeDocument/2006/relationships/hyperlink" Target="https://drive.google.com/file/d/1DcpP4LOQNc8RwrLINVuQGgWXm-u_a-sA/view?usp=drive_link" TargetMode="External"/><Relationship Id="rId208" Type="http://schemas.openxmlformats.org/officeDocument/2006/relationships/hyperlink" Target="https://drive.google.com/file/d/1iDuc7gvHFRshb5E8TcJ7Ilr725UDYtYT/view?usp=drive_link" TargetMode="External"/><Relationship Id="rId207" Type="http://schemas.openxmlformats.org/officeDocument/2006/relationships/hyperlink" Target="https://drive.google.com/file/d/1BYzvA60nhOIgB0lqA_h_gUgzzn4g3BE1/view?usp=drive_link" TargetMode="External"/><Relationship Id="rId206" Type="http://schemas.openxmlformats.org/officeDocument/2006/relationships/hyperlink" Target="https://drive.google.com/file/d/1-OL0ijLcO4oCmNnZTW_Y7BHwMB4uUQVK/view" TargetMode="External"/><Relationship Id="rId205" Type="http://schemas.openxmlformats.org/officeDocument/2006/relationships/hyperlink" Target="https://drive.google.com/file/d/1EA90Utk1ns7TCVkyeIJ5iW7Hdqq2_Zha/view?usp=drive_link" TargetMode="External"/><Relationship Id="rId204" Type="http://schemas.openxmlformats.org/officeDocument/2006/relationships/hyperlink" Target="https://drive.google.com/file/d/1tBQj4KBkGIcQo30fyHrHkQTaQkbdqCVJ/view?usp=drive_link" TargetMode="External"/><Relationship Id="rId203" Type="http://schemas.openxmlformats.org/officeDocument/2006/relationships/hyperlink" Target="https://drive.google.com/file/d/1h1YpL-TqyEbEky1f-D_FA37WkazYPh6C/view?usp=drivesdk" TargetMode="External"/><Relationship Id="rId202" Type="http://schemas.openxmlformats.org/officeDocument/2006/relationships/hyperlink" Target="https://drive.google.com/file/d/1DLXMiPTJtaj-cV4BMCQfSpkJVR1A3rDB/view?usp=drivesdk" TargetMode="External"/><Relationship Id="rId201" Type="http://schemas.openxmlformats.org/officeDocument/2006/relationships/hyperlink" Target="https://drive.google.com/file/d/1b0tG7LlxP2I7zhWbYZaWxkh28HgqHz0s/view?usp=drivesdk" TargetMode="External"/><Relationship Id="rId200" Type="http://schemas.openxmlformats.org/officeDocument/2006/relationships/hyperlink" Target="https://drive.google.com/file/d/1iuScMGNcz3weEMoQVa1T_JuSW_9DH1pO/view?usp=drivesdk" TargetMode="External"/><Relationship Id="rId20" Type="http://schemas.openxmlformats.org/officeDocument/2006/relationships/hyperlink" Target="https://drive.google.com/file/d/1j6z_L7F1ez8ItqPnrQsPNGg2j38KtlgG/view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kw2VWoQAq_GLZWh8CMRcXuwxf4-mQw_3/view?usp=drivesdk" TargetMode="External"/><Relationship Id="rId198" Type="http://schemas.openxmlformats.org/officeDocument/2006/relationships/hyperlink" Target="https://drive.google.com/file/d/1Abd8DwLweMv1FfMWCYJdSkK3a-re0q0L/view?usp=drivesdk" TargetMode="External"/><Relationship Id="rId197" Type="http://schemas.openxmlformats.org/officeDocument/2006/relationships/hyperlink" Target="https://drive.google.com/file/d/1pJ8fD1Ok-zcawXCMQ_cRWt6M5YN8RMtR/view?usp=drivesdk" TargetMode="External"/><Relationship Id="rId196" Type="http://schemas.openxmlformats.org/officeDocument/2006/relationships/hyperlink" Target="https://drive.google.com/file/d/1aHQQRjcXI6yHCt_UP6yKuQeMFKCUgGvc/view?usp=drivesdk" TargetMode="External"/><Relationship Id="rId195" Type="http://schemas.openxmlformats.org/officeDocument/2006/relationships/hyperlink" Target="https://drive.google.com/file/d/1pRyxVlOB9oeuk3O5IIACA530apjx3-Be/view?usp=drivesdk" TargetMode="External"/><Relationship Id="rId194" Type="http://schemas.openxmlformats.org/officeDocument/2006/relationships/hyperlink" Target="https://drive.google.com/file/d/1uYLeaulkVSSo9JfLTOyoKNdPZriZ7gfN/view?usp=drivesdk" TargetMode="External"/><Relationship Id="rId193" Type="http://schemas.openxmlformats.org/officeDocument/2006/relationships/hyperlink" Target="https://drive.google.com/file/d/1qoLoPyTtfy5SLtbkTcwZ5hfG7zyYvOjI/view?usp=drivesdk" TargetMode="External"/><Relationship Id="rId192" Type="http://schemas.openxmlformats.org/officeDocument/2006/relationships/hyperlink" Target="https://drive.google.com/file/d/1uouhgNSfb35tVgSNAT8SBXbH8HW7m3t7/view?usp=drivesdk" TargetMode="External"/><Relationship Id="rId191" Type="http://schemas.openxmlformats.org/officeDocument/2006/relationships/hyperlink" Target="https://drive.google.com/file/d/1bxIZJ6A0SyevCXCLRJJQsKicLHyUSel3/view?usp=drivesdk" TargetMode="External"/><Relationship Id="rId190" Type="http://schemas.openxmlformats.org/officeDocument/2006/relationships/hyperlink" Target="https://drive.google.com/file/d/1dkDs0IKNusqI0BPpiDMA33TS3N20uRcH/view?usp=drivesdk" TargetMode="External"/><Relationship Id="rId19" Type="http://schemas.openxmlformats.org/officeDocument/2006/relationships/hyperlink" Target="https://drive.google.com/file/d/1MMrYNdFIDXAIq6LtHwU6gyJ4tgXw7G-u/view?usp=drivesdk" TargetMode="External"/><Relationship Id="rId189" Type="http://schemas.openxmlformats.org/officeDocument/2006/relationships/hyperlink" Target="https://drive.google.com/file/d/13SbKXAWRec3kpm0GqTA736J4r8YLM3mP/view?usp=drivesdk" TargetMode="External"/><Relationship Id="rId188" Type="http://schemas.openxmlformats.org/officeDocument/2006/relationships/hyperlink" Target="https://drive.google.com/file/d/1IFXyXVWNPCHVMWZK264ltJrxyR8MoCNf/view?usp=drivesdk" TargetMode="External"/><Relationship Id="rId187" Type="http://schemas.openxmlformats.org/officeDocument/2006/relationships/hyperlink" Target="https://drive.google.com/file/d/1mkpgqVyWWqPHnVWFxR2j-_iHjXSrikm-/view?usp=drivesdk" TargetMode="External"/><Relationship Id="rId186" Type="http://schemas.openxmlformats.org/officeDocument/2006/relationships/hyperlink" Target="https://drive.google.com/file/d/12Q3__owZ4sfSEGBknxHctOTH4xrGVWD7/view?usp=drive_link" TargetMode="External"/><Relationship Id="rId185" Type="http://schemas.openxmlformats.org/officeDocument/2006/relationships/hyperlink" Target="https://drive.google.com/file/d/1zJWXGJfINS9BzTK821055S7z4kP2wE92/view?usp=drive_link" TargetMode="External"/><Relationship Id="rId184" Type="http://schemas.openxmlformats.org/officeDocument/2006/relationships/hyperlink" Target="https://drive.google.com/file/d/1AX6OYh4cyvOHoTjUpWLiCag24x3ib1as/view?usp=drive_link" TargetMode="External"/><Relationship Id="rId183" Type="http://schemas.openxmlformats.org/officeDocument/2006/relationships/hyperlink" Target="https://drive.google.com/file/d/13amFNwY1TDp12ju5coJ_4t8OY3mdTqvo/view?usp=drive_link" TargetMode="External"/><Relationship Id="rId182" Type="http://schemas.openxmlformats.org/officeDocument/2006/relationships/hyperlink" Target="https://drive.google.com/file/d/1QNJAFIS3AcDcCYyHYBdcGhSfgl7p_oNi/view?usp=drive_link" TargetMode="External"/><Relationship Id="rId181" Type="http://schemas.openxmlformats.org/officeDocument/2006/relationships/hyperlink" Target="https://drive.google.com/file/d/1XYwMDVzh4fwDVhFcKzavALPhzJhymcTA/view?usp=drive_link" TargetMode="External"/><Relationship Id="rId180" Type="http://schemas.openxmlformats.org/officeDocument/2006/relationships/hyperlink" Target="https://drive.google.com/file/d/1XiG02UYQFZnEtTHy_-6O0J-OD0O2cJDG/view?usp=drive_link" TargetMode="External"/><Relationship Id="rId18" Type="http://schemas.openxmlformats.org/officeDocument/2006/relationships/hyperlink" Target="https://drive.google.com/file/d/1OCCCwrKUlTy4NqUDZsCGAqlMUuEalLTg/view?usp=drivesdk" TargetMode="External"/><Relationship Id="rId179" Type="http://schemas.openxmlformats.org/officeDocument/2006/relationships/hyperlink" Target="https://drive.google.com/file/d/1dA6BJnXLbpi0Zz_mRBTRHp76jTd3vpal/view?usp=drivesdk" TargetMode="External"/><Relationship Id="rId178" Type="http://schemas.openxmlformats.org/officeDocument/2006/relationships/hyperlink" Target="https://drive.google.com/file/d/1iQ_Q4HCJ-zDnMd1F94DucUYz7wOmhNTy/view?usp=drivesdk" TargetMode="External"/><Relationship Id="rId177" Type="http://schemas.openxmlformats.org/officeDocument/2006/relationships/hyperlink" Target="https://drive.google.com/file/d/1z9vz2r3HtntpLAZXfmgg61ZPtNs3JwGj/view?usp=drive_link" TargetMode="External"/><Relationship Id="rId176" Type="http://schemas.openxmlformats.org/officeDocument/2006/relationships/hyperlink" Target="https://drive.google.com/file/d/13UKyayGuA94wgag2vP608BSJm28F9SjK/view?usp=drivesdk" TargetMode="External"/><Relationship Id="rId175" Type="http://schemas.openxmlformats.org/officeDocument/2006/relationships/hyperlink" Target="https://drive.google.com/file/d/1zb-v3OBPe1uEGA2pfUeJYKn607Q23-VX/view?usp=drive_link" TargetMode="External"/><Relationship Id="rId174" Type="http://schemas.openxmlformats.org/officeDocument/2006/relationships/hyperlink" Target="https://drive.google.com/file/d/1vm26hGolfmIt_00AwhxaInYBeHzy-o-M/view?usp=drive_link" TargetMode="External"/><Relationship Id="rId173" Type="http://schemas.openxmlformats.org/officeDocument/2006/relationships/hyperlink" Target="https://drive.google.com/file/d/1mMz4HtEoeAbpd0fSV0nrAAVWE_NwNd0K/view?usp=drivesdk" TargetMode="External"/><Relationship Id="rId172" Type="http://schemas.openxmlformats.org/officeDocument/2006/relationships/hyperlink" Target="https://drive.google.com/file/d/15bp-unBGi_6QJ7i8dobY3ZYeP2skiV38/view?usp=drive_link" TargetMode="External"/><Relationship Id="rId171" Type="http://schemas.openxmlformats.org/officeDocument/2006/relationships/hyperlink" Target="https://drive.google.com/file/d/151_nNpwiYjOoHw0NaGjhK8_JSex8_d3C/view?usp=drivesdk" TargetMode="External"/><Relationship Id="rId170" Type="http://schemas.openxmlformats.org/officeDocument/2006/relationships/hyperlink" Target="https://drive.google.com/file/d/1p9MlHvCBRNAJYexFIWsNT3b--t4fR3Rf/view?usp=drive_link" TargetMode="External"/><Relationship Id="rId17" Type="http://schemas.openxmlformats.org/officeDocument/2006/relationships/hyperlink" Target="https://drive.google.com/file/d/1DWHRNJ3pMF_sCvA1Cgrp7Nq-QjVOrmtQ/view?usp=drive_link" TargetMode="External"/><Relationship Id="rId169" Type="http://schemas.openxmlformats.org/officeDocument/2006/relationships/hyperlink" Target="https://drive.google.com/file/d/1asgl5SpirppgggoKXR1X8BTP0IMSs_Hq/view?usp=drivesdk" TargetMode="External"/><Relationship Id="rId168" Type="http://schemas.openxmlformats.org/officeDocument/2006/relationships/hyperlink" Target="https://drive.google.com/file/d/11AMehloheiTnLm05AokwexaOSkInZ7gu/view?usp=drivesdk" TargetMode="External"/><Relationship Id="rId167" Type="http://schemas.openxmlformats.org/officeDocument/2006/relationships/hyperlink" Target="https://drive.google.com/file/d/1YbHVvlbyekEd3SxwhAnFtXa_ZYZV9hC9/view?usp=drivesdk" TargetMode="External"/><Relationship Id="rId166" Type="http://schemas.openxmlformats.org/officeDocument/2006/relationships/hyperlink" Target="https://drive.google.com/file/d/1QwVsrlCn-vJKPmMmbOEuyVZPenw3zLAi/view?usp=drivesdk" TargetMode="External"/><Relationship Id="rId165" Type="http://schemas.openxmlformats.org/officeDocument/2006/relationships/hyperlink" Target="https://drive.google.com/file/d/1dEXWzbjvlXlAtXnVegOKsP-FK2X8icyG/view?usp=drivesdk" TargetMode="External"/><Relationship Id="rId164" Type="http://schemas.openxmlformats.org/officeDocument/2006/relationships/hyperlink" Target="https://drive.google.com/file/d/12Rz9Bst1qc788H8Zh8yXBmnHPzzrN93P/view?usp=drivesdk" TargetMode="External"/><Relationship Id="rId163" Type="http://schemas.openxmlformats.org/officeDocument/2006/relationships/hyperlink" Target="https://drive.google.com/file/d/1T7BS5aUu1suc6oUZAUJSkrbr1ggrqk4F/view?usp=drivesdk" TargetMode="External"/><Relationship Id="rId162" Type="http://schemas.openxmlformats.org/officeDocument/2006/relationships/hyperlink" Target="https://drive.google.com/file/d/1SVzgo7K5HA2eBNvCm9cHE5Jjj19OQ_Yi/view?usp=drivesdk" TargetMode="External"/><Relationship Id="rId161" Type="http://schemas.openxmlformats.org/officeDocument/2006/relationships/hyperlink" Target="https://drive.google.com/file/d/1VBcUYGGVBC1eFzghNmCL6gYt5uTrB1En/view?usp=drivesdk" TargetMode="External"/><Relationship Id="rId160" Type="http://schemas.openxmlformats.org/officeDocument/2006/relationships/hyperlink" Target="https://drive.google.com/file/d/1AvwfvxAigPmn2HwcxP2r_HE5XQNTVfio/view?usp=drivesdk" TargetMode="External"/><Relationship Id="rId16" Type="http://schemas.openxmlformats.org/officeDocument/2006/relationships/hyperlink" Target="https://drive.google.com/file/d/1IUS8d_QOkrc_3Yf1jLvL5afjwyI3ICZg/view?usp=drive_link" TargetMode="External"/><Relationship Id="rId159" Type="http://schemas.openxmlformats.org/officeDocument/2006/relationships/hyperlink" Target="https://drive.google.com/file/d/1YHGtCN76a8nF57aGzHjkfYUeeOB51E2i/view?usp=drive_link" TargetMode="External"/><Relationship Id="rId158" Type="http://schemas.openxmlformats.org/officeDocument/2006/relationships/hyperlink" Target="https://drive.google.com/file/d/1WOEQum9D_NKi3goLKqtY1VRtvIRb4Onc/view?usp=drivesdk" TargetMode="External"/><Relationship Id="rId157" Type="http://schemas.openxmlformats.org/officeDocument/2006/relationships/hyperlink" Target="https://drive.google.com/file/d/1tYp3kf2YZfVDWXP_ppXiSk-8uC3iLHGP/view?usp=drivesdk" TargetMode="External"/><Relationship Id="rId156" Type="http://schemas.openxmlformats.org/officeDocument/2006/relationships/hyperlink" Target="https://drive.google.com/file/d/1j5G0xlpPZoN_-SJWXfCmHSvy5_f5ElVb/view?usp=drive_link" TargetMode="External"/><Relationship Id="rId155" Type="http://schemas.openxmlformats.org/officeDocument/2006/relationships/hyperlink" Target="https://drive.google.com/file/d/18R5-hqH5rhdTFHQ_-9FelFaTNFFzJh_T/view?usp=drive_link" TargetMode="External"/><Relationship Id="rId154" Type="http://schemas.openxmlformats.org/officeDocument/2006/relationships/hyperlink" Target="https://drive.google.com/file/d/10GW4FACg3bdcBCeLjSYcb833mvK73Nsk/view?usp=drive_link" TargetMode="External"/><Relationship Id="rId153" Type="http://schemas.openxmlformats.org/officeDocument/2006/relationships/hyperlink" Target="https://drive.google.com/file/d/1wph9zlC06HPR6sLyJB2CA14nwySD_6ES/view?usp=drive_link" TargetMode="External"/><Relationship Id="rId152" Type="http://schemas.openxmlformats.org/officeDocument/2006/relationships/hyperlink" Target="https://drive.google.com/file/d/17SJTGdOIPyZoBVvb3OcOJmQ_95JfuaZ5/view?usp=drivesdk" TargetMode="External"/><Relationship Id="rId151" Type="http://schemas.openxmlformats.org/officeDocument/2006/relationships/hyperlink" Target="https://drive.google.com/file/d/1JJxXXDiBnkpOvq2wjJstoqS76vydmnah/view?usp=drivesdk" TargetMode="External"/><Relationship Id="rId150" Type="http://schemas.openxmlformats.org/officeDocument/2006/relationships/hyperlink" Target="https://drive.google.com/file/d/1lDxJBcuIu3TFbYeDrmoCWNkC3Q7oRWtQ/view?usp=drivesdk" TargetMode="External"/><Relationship Id="rId15" Type="http://schemas.openxmlformats.org/officeDocument/2006/relationships/hyperlink" Target="https://drive.google.com/file/d/1gEAixXS_3N31vdhaFBuI34_Zwxtr4-Av/view?usp=drive_link" TargetMode="External"/><Relationship Id="rId149" Type="http://schemas.openxmlformats.org/officeDocument/2006/relationships/hyperlink" Target="https://drive.google.com/file/d/1BNuTqZYxqx1yeGa2TrCYkK9pzeYN8dIj/view?usp=drivesdk" TargetMode="External"/><Relationship Id="rId148" Type="http://schemas.openxmlformats.org/officeDocument/2006/relationships/hyperlink" Target="https://drive.google.com/file/d/1G6kH8R6hjEGmJmuU2Q1QejweKqjRW6DP/view?usp=drivesdk" TargetMode="External"/><Relationship Id="rId147" Type="http://schemas.openxmlformats.org/officeDocument/2006/relationships/hyperlink" Target="https://drive.google.com/file/d/1poK13YhNucktf9lLXnQDFWoerWIEizJG/view?usp=drivesdk" TargetMode="External"/><Relationship Id="rId146" Type="http://schemas.openxmlformats.org/officeDocument/2006/relationships/hyperlink" Target="https://drive.google.com/file/d/1b0bKnztL_wIvXb9cJiIcJtiqEhuOSFFO/view?usp=drivesdk" TargetMode="External"/><Relationship Id="rId145" Type="http://schemas.openxmlformats.org/officeDocument/2006/relationships/hyperlink" Target="https://drive.google.com/file/d/1-ViehUGCoK-95HMz0jT4bisUTtKswxf_/view?usp=sharing" TargetMode="External"/><Relationship Id="rId144" Type="http://schemas.openxmlformats.org/officeDocument/2006/relationships/hyperlink" Target="https://drive.google.com/file/d/1ctDgbYciQzWvUHJfho5-NJ-Nj4A7_znS/view?usp=drive_link" TargetMode="External"/><Relationship Id="rId143" Type="http://schemas.openxmlformats.org/officeDocument/2006/relationships/hyperlink" Target="https://drive.google.com/file/d/1pSBWMwByQ3bS1TS6p1JDl_bfYDZPEKhO/view?usp=drivesdk" TargetMode="External"/><Relationship Id="rId142" Type="http://schemas.openxmlformats.org/officeDocument/2006/relationships/hyperlink" Target="https://drive.google.com/file/d/15783VE4mpd_oLtq6eJkrhYXIz-t2msIl/view?usp=drivesdk" TargetMode="External"/><Relationship Id="rId141" Type="http://schemas.openxmlformats.org/officeDocument/2006/relationships/hyperlink" Target="https://drive.google.com/file/d/1s5ZFWy4lgKTWx1VTywtJJzs4tASXleI9/view?usp=drivesdk" TargetMode="External"/><Relationship Id="rId140" Type="http://schemas.openxmlformats.org/officeDocument/2006/relationships/hyperlink" Target="https://drive.google.com/file/d/1y28oNcvflHApb5YBGVUOpaKsxzLbeTTp/view?usp=drivesdk" TargetMode="External"/><Relationship Id="rId14" Type="http://schemas.openxmlformats.org/officeDocument/2006/relationships/hyperlink" Target="https://drive.google.com/file/d/1KSVlG8ggn_l2f-vaOdiJ4ew0PqS7szcU/view?usp=drive_link" TargetMode="External"/><Relationship Id="rId139" Type="http://schemas.openxmlformats.org/officeDocument/2006/relationships/hyperlink" Target="https://drive.google.com/file/d/1aY6-wolra3d4A0ttvVkD6luYdeaD4l7c/view?usp=drivesdk" TargetMode="External"/><Relationship Id="rId138" Type="http://schemas.openxmlformats.org/officeDocument/2006/relationships/hyperlink" Target="https://drive.google.com/file/d/1zPVx8tfZi1fGYG4_sqtBbEMJWOun4f__/view?usp=drivesdk" TargetMode="External"/><Relationship Id="rId137" Type="http://schemas.openxmlformats.org/officeDocument/2006/relationships/hyperlink" Target="https://drive.google.com/file/d/1PJHtx1YRK-EbFEpyWgpLYNBcIr4WAcV5/view?usp=drivesdk" TargetMode="External"/><Relationship Id="rId136" Type="http://schemas.openxmlformats.org/officeDocument/2006/relationships/hyperlink" Target="https://drive.google.com/file/d/1pxEdrWivFmVVLOXe4-sX3lGJsCPyorvy/view?usp=drivesdk" TargetMode="External"/><Relationship Id="rId135" Type="http://schemas.openxmlformats.org/officeDocument/2006/relationships/hyperlink" Target="https://drive.google.com/file/d/1cDws5m82y0QLaMQjQn4nPhQjGbKZTTHM/view?usp=drive_link" TargetMode="External"/><Relationship Id="rId134" Type="http://schemas.openxmlformats.org/officeDocument/2006/relationships/hyperlink" Target="https://drive.google.com/file/d/16by67tCJFVKHKykzeCeia17gpwlOfXpO/view?usp=drivesdk" TargetMode="External"/><Relationship Id="rId133" Type="http://schemas.openxmlformats.org/officeDocument/2006/relationships/hyperlink" Target="https://drive.google.com/file/d/1k0xycatCDTk2g7PX8zM_R7RcEkY0FkSg/view?usp=drivesdk" TargetMode="External"/><Relationship Id="rId132" Type="http://schemas.openxmlformats.org/officeDocument/2006/relationships/hyperlink" Target="https://drive.google.com/file/d/14umXqhwx7Hk32DAHiMx_-VPdZofNm0z2/view?usp=drivesdk" TargetMode="External"/><Relationship Id="rId131" Type="http://schemas.openxmlformats.org/officeDocument/2006/relationships/hyperlink" Target="https://drive.google.com/file/d/1rN0f_MUrpuskqnfi6ifO3-IpFakYzlfv/view?usp=drive_link" TargetMode="External"/><Relationship Id="rId130" Type="http://schemas.openxmlformats.org/officeDocument/2006/relationships/hyperlink" Target="https://drive.google.com/file/d/1LqAuW6_cg5jiH0WxSu4CpSCLTZwbRFZD/view?usp=drivesdk" TargetMode="External"/><Relationship Id="rId13" Type="http://schemas.openxmlformats.org/officeDocument/2006/relationships/hyperlink" Target="https://drive.google.com/file/d/1n_sxnq85b2lKGL26GnirBYDfp3Laq_a-/view?usp=drive_link" TargetMode="External"/><Relationship Id="rId129" Type="http://schemas.openxmlformats.org/officeDocument/2006/relationships/hyperlink" Target="https://drive.google.com/file/d/1hTsJOAVmbTuXMkIXdD-biQuiBl5NUjvu/view?usp=drivesdk" TargetMode="External"/><Relationship Id="rId128" Type="http://schemas.openxmlformats.org/officeDocument/2006/relationships/hyperlink" Target="https://drive.google.com/file/d/1_fZwJu7dWxIyD6tKr_vhH0lazrhaO0-3/view?usp=drivesdk" TargetMode="External"/><Relationship Id="rId127" Type="http://schemas.openxmlformats.org/officeDocument/2006/relationships/hyperlink" Target="https://drive.google.com/file/d/1B7wFLY5XROOEnCBo5MvraJCHGZSlvN2F/view?usp=drivesdk" TargetMode="External"/><Relationship Id="rId126" Type="http://schemas.openxmlformats.org/officeDocument/2006/relationships/hyperlink" Target="https://drive.google.com/file/d/13NRRwV6xx66cW1eLQgLlIoT0apkFdG3H/view?usp=drivesdk" TargetMode="External"/><Relationship Id="rId125" Type="http://schemas.openxmlformats.org/officeDocument/2006/relationships/hyperlink" Target="https://drive.google.com/file/d/1QHgzzBJNnFVv7Q4ZFvEihpGjk4Z1zaPp/view?usp=drivesdk" TargetMode="External"/><Relationship Id="rId124" Type="http://schemas.openxmlformats.org/officeDocument/2006/relationships/hyperlink" Target="https://drive.google.com/file/d/16suSyeaCwhnYVKgszyf2w4ssKbufdRBf/view?usp=drivesdk" TargetMode="External"/><Relationship Id="rId123" Type="http://schemas.openxmlformats.org/officeDocument/2006/relationships/hyperlink" Target="https://drive.google.com/file/d/1waraBZBCOsJq0_rFPrXInBkspp7KcD0g/view?usp=drivesdk" TargetMode="External"/><Relationship Id="rId122" Type="http://schemas.openxmlformats.org/officeDocument/2006/relationships/hyperlink" Target="https://drive.google.com/file/d/1kIJWy8Qyq1_tG4qEOkxoUeJSPRJfp6E1/view?usp=drivesdk" TargetMode="External"/><Relationship Id="rId121" Type="http://schemas.openxmlformats.org/officeDocument/2006/relationships/hyperlink" Target="https://drive.google.com/file/d/1rpjbS-bDB20v4so-ORafAkM7plMXgvVt/view?usp=drivesdk" TargetMode="External"/><Relationship Id="rId120" Type="http://schemas.openxmlformats.org/officeDocument/2006/relationships/hyperlink" Target="https://docs.google.com/document/d/1Tbe0PVfzxCAfIsIxEjjd_PjY7DVCyvpPmoPb7jYq7uI/edit?usp=drive_link" TargetMode="External"/><Relationship Id="rId12" Type="http://schemas.openxmlformats.org/officeDocument/2006/relationships/hyperlink" Target="https://drive.google.com/file/d/1GoH4RSP1ZzNZmI4VzWWWyfn0Nk7ktj5p/view?usp=drive_link" TargetMode="External"/><Relationship Id="rId119" Type="http://schemas.openxmlformats.org/officeDocument/2006/relationships/hyperlink" Target="https://docs.google.com/document/d/11yo-N3jNXz73ot3FxtZEk7KIb7VCSJE6li2eBSuKDs4/edit?usp=drive_link" TargetMode="External"/><Relationship Id="rId118" Type="http://schemas.openxmlformats.org/officeDocument/2006/relationships/hyperlink" Target="https://docs.google.com/document/d/1KojeKbYm7_sMv6uvoWwL_UjDXkWgWfXXFipki9-a_1M/edit?usp=drive_link" TargetMode="External"/><Relationship Id="rId117" Type="http://schemas.openxmlformats.org/officeDocument/2006/relationships/hyperlink" Target="https://docs.google.com/document/d/1TCT74CQpfIc1e7CnSVSy4TKajIafLyegfq-cMsMhWKg/edit?usp=drive_link" TargetMode="External"/><Relationship Id="rId116" Type="http://schemas.openxmlformats.org/officeDocument/2006/relationships/hyperlink" Target="https://drive.google.com/file/d/1UMaC0dmkJLAfLNI_13AnsMMyV4D1WgRJ/view?usp=drivesdk" TargetMode="External"/><Relationship Id="rId115" Type="http://schemas.openxmlformats.org/officeDocument/2006/relationships/hyperlink" Target="https://drive.google.com/file/d/1U9ayAdpHb6nhlOC0nb79f6BxuPlwfQ9K/view?usp=drivesdk" TargetMode="External"/><Relationship Id="rId114" Type="http://schemas.openxmlformats.org/officeDocument/2006/relationships/hyperlink" Target="https://drive.google.com/file/d/1bNgpZa_CUI7KauO5S_wo1U7tssBuDbSN/view?usp=drivesdk" TargetMode="External"/><Relationship Id="rId113" Type="http://schemas.openxmlformats.org/officeDocument/2006/relationships/hyperlink" Target="https://drive.google.com/file/d/1sT0NJsD21pgepjH7tLuJCBFtIZQax2Wl/view?usp=drivesdk" TargetMode="External"/><Relationship Id="rId112" Type="http://schemas.openxmlformats.org/officeDocument/2006/relationships/hyperlink" Target="https://drive.google.com/file/d/1Rrq1AHOdjR2ShWbqNq2RzzfKxCAwSRZj/view?usp=drivesdk" TargetMode="External"/><Relationship Id="rId111" Type="http://schemas.openxmlformats.org/officeDocument/2006/relationships/hyperlink" Target="https://drive.google.com/file/d/16KKmcdo6AzhCKj5Fp9W20GMNYdo_wKML/view?usp=drivesdk" TargetMode="External"/><Relationship Id="rId110" Type="http://schemas.openxmlformats.org/officeDocument/2006/relationships/hyperlink" Target="https://drive.google.com/file/d/13JiJlWYw1IWnWLN_tS9c9yqU95lY_OiF/view?usp=drivesdk" TargetMode="External"/><Relationship Id="rId11" Type="http://schemas.openxmlformats.org/officeDocument/2006/relationships/hyperlink" Target="https://drive.google.com/file/d/1g_NCEmpgXGAv6Wf51xoA6Lhpz__Zkopy/view?usp=drive_link" TargetMode="External"/><Relationship Id="rId109" Type="http://schemas.openxmlformats.org/officeDocument/2006/relationships/hyperlink" Target="https://drive.google.com/file/d/1Vx0j5Nj4g4HBZmQou69RA8ki6wE3Lahh/view?usp=drivesdk" TargetMode="External"/><Relationship Id="rId108" Type="http://schemas.openxmlformats.org/officeDocument/2006/relationships/hyperlink" Target="https://drive.google.com/file/d/1P_BCu_2QVtE153XaJwwFH2qOnbtfw2vU/view?usp=drivesdk" TargetMode="External"/><Relationship Id="rId107" Type="http://schemas.openxmlformats.org/officeDocument/2006/relationships/hyperlink" Target="https://drive.google.com/file/d/1m9dPnqms1RkHwlmaoq6HNpVdrxXKMc4e/view?usp=sharing" TargetMode="External"/><Relationship Id="rId106" Type="http://schemas.openxmlformats.org/officeDocument/2006/relationships/hyperlink" Target="https://drive.google.com/file/d/1lWP6IvNBiSgSE8NUcRY6MtyFZvzryUVW/view?usp=sharing" TargetMode="External"/><Relationship Id="rId105" Type="http://schemas.openxmlformats.org/officeDocument/2006/relationships/hyperlink" Target="https://drive.google.com/file/d/1Y9flt534_FhOqa8NP_vpNuG3r3VfhlQm/view?usp=sharing" TargetMode="External"/><Relationship Id="rId104" Type="http://schemas.openxmlformats.org/officeDocument/2006/relationships/hyperlink" Target="https://drive.google.com/file/d/19I4c0_5oVLw-4BiB8pjI1bptf-OdunLg/view?usp=drivesdk" TargetMode="External"/><Relationship Id="rId103" Type="http://schemas.openxmlformats.org/officeDocument/2006/relationships/hyperlink" Target="https://drive.google.com/file/d/16IRc55EQPnwJwz1MBgv_Y1W7eI0TnC6F/view?usp=drivesdk" TargetMode="External"/><Relationship Id="rId102" Type="http://schemas.openxmlformats.org/officeDocument/2006/relationships/hyperlink" Target="https://drive.google.com/file/d/1jB0U0EhE5xwrMoxyjyFZrlDez1qXmX50/view?usp=drive_link" TargetMode="External"/><Relationship Id="rId101" Type="http://schemas.openxmlformats.org/officeDocument/2006/relationships/hyperlink" Target="https://drive.google.com/file/d/1RdAXjTxyqbfqMqUkwTxTZ16CD1Z3vhZv/view?usp=drive_link" TargetMode="External"/><Relationship Id="rId100" Type="http://schemas.openxmlformats.org/officeDocument/2006/relationships/hyperlink" Target="https://drive.google.com/file/d/135u3tNC1zdA9J5PceHfhUccKOAjoZVtj/view?usp=drive_link" TargetMode="External"/><Relationship Id="rId10" Type="http://schemas.openxmlformats.org/officeDocument/2006/relationships/hyperlink" Target="https://drive.google.com/file/d/1vAilJIwOsp4XAuK_CHrcMGeHYpph1rEL/view?usp=drive_link" TargetMode="External"/><Relationship Id="rId1" Type="http://schemas.openxmlformats.org/officeDocument/2006/relationships/hyperlink" Target="http://s.no/" TargetMode="External"/></Relationships>
</file>

<file path=xl/worksheets/_rels/sheet23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LqAuW6_cg5jiH0WxSu4CpSCLTZwbRFZD/view?usp=drivesdk" TargetMode="External"/><Relationship Id="rId98" Type="http://schemas.openxmlformats.org/officeDocument/2006/relationships/hyperlink" Target="https://drive.google.com/file/d/1pxEdrWivFmVVLOXe4-sX3lGJsCPyorvy/view?usp=drivesdk" TargetMode="External"/><Relationship Id="rId97" Type="http://schemas.openxmlformats.org/officeDocument/2006/relationships/hyperlink" Target="https://drive.google.com/file/d/1zPVx8tfZi1fGYG4_sqtBbEMJWOun4f__/view?usp=drivesdk" TargetMode="External"/><Relationship Id="rId96" Type="http://schemas.openxmlformats.org/officeDocument/2006/relationships/hyperlink" Target="https://drive.google.com/file/d/1BNuTqZYxqx1yeGa2TrCYkK9pzeYN8dIj/view?usp=drivesdk" TargetMode="External"/><Relationship Id="rId95" Type="http://schemas.openxmlformats.org/officeDocument/2006/relationships/hyperlink" Target="https://drive.google.com/file/d/1G6kH8R6hjEGmJmuU2Q1QejweKqjRW6DP/view?usp=drivesdk" TargetMode="External"/><Relationship Id="rId94" Type="http://schemas.openxmlformats.org/officeDocument/2006/relationships/hyperlink" Target="https://drive.google.com/file/d/1poK13YhNucktf9lLXnQDFWoerWIEizJG/view?usp=drivesdk" TargetMode="External"/><Relationship Id="rId93" Type="http://schemas.openxmlformats.org/officeDocument/2006/relationships/hyperlink" Target="https://drive.google.com/file/d/1b0bKnztL_wIvXb9cJiIcJtiqEhuOSFFO/view?usp=drivesdk" TargetMode="External"/><Relationship Id="rId92" Type="http://schemas.openxmlformats.org/officeDocument/2006/relationships/hyperlink" Target="https://drive.google.com/file/d/1p4jNVbor9SWt0QSpK-huF8RwzNZztNBs/view?usp=drive_link" TargetMode="External"/><Relationship Id="rId91" Type="http://schemas.openxmlformats.org/officeDocument/2006/relationships/hyperlink" Target="https://drive.google.com/file/d/1-ViehUGCoK-95HMz0jT4bisUTtKswxf_/view?usp=sharing" TargetMode="External"/><Relationship Id="rId90" Type="http://schemas.openxmlformats.org/officeDocument/2006/relationships/hyperlink" Target="https://drive.google.com/file/d/1PJHtx1YRK-EbFEpyWgpLYNBcIr4WAcV5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qjtejJbPZhaEoDtH1SzjRPkoAIfcWO6P/view?usp=drive_link" TargetMode="External"/><Relationship Id="rId88" Type="http://schemas.openxmlformats.org/officeDocument/2006/relationships/hyperlink" Target="https://drive.google.com/file/d/14GkYuSFockovOVePXY3kQGt-QIydDele/view?usp=drive_link" TargetMode="External"/><Relationship Id="rId87" Type="http://schemas.openxmlformats.org/officeDocument/2006/relationships/hyperlink" Target="https://drive.google.com/file/d/1EoQqe_wzL5E6hm9JFrG8aErbmcHafa8C/view?usp=drivesdk" TargetMode="External"/><Relationship Id="rId86" Type="http://schemas.openxmlformats.org/officeDocument/2006/relationships/hyperlink" Target="https://drive.google.com/file/d/11itxCKs7_1wrdjNgkLJy60XgxMCdImZ8/view?usp=drivesdk" TargetMode="External"/><Relationship Id="rId85" Type="http://schemas.openxmlformats.org/officeDocument/2006/relationships/hyperlink" Target="https://drive.google.com/file/d/1Yy8fpURlINeYfCy7rrZmDKFYHuyxD4iQ/view?usp=drivesdk" TargetMode="External"/><Relationship Id="rId84" Type="http://schemas.openxmlformats.org/officeDocument/2006/relationships/hyperlink" Target="https://drive.google.com/file/d/1FtIA5xRRdfg0DMeFhk4cK9fSTdReYxn_/view?usp=drivesdk" TargetMode="External"/><Relationship Id="rId83" Type="http://schemas.openxmlformats.org/officeDocument/2006/relationships/hyperlink" Target="https://drive.google.com/file/d/1v38ptVE_U4sgNuUAuiiQTJuuhlHb7jFl/view?usp=drive_link" TargetMode="External"/><Relationship Id="rId82" Type="http://schemas.openxmlformats.org/officeDocument/2006/relationships/hyperlink" Target="https://drive.google.com/file/d/1UL3NuZgOCt4s4K1Lmw0E4054Vvcygtkf/view?usp=drivesdk" TargetMode="External"/><Relationship Id="rId81" Type="http://schemas.openxmlformats.org/officeDocument/2006/relationships/hyperlink" Target="https://drive.google.com/file/d/1HXZTAZQL0VArZ_9hBhMjaP1mlNRqP8T5/view?usp=drive_link" TargetMode="External"/><Relationship Id="rId80" Type="http://schemas.openxmlformats.org/officeDocument/2006/relationships/hyperlink" Target="https://drive.google.com/file/d/1KLs3uxdiaRJWETPsO6CmyTUanKwokaZa/view?usp=drive_lin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ULg6wSSFgz4hxLake3pNnzRocvpPmZYZ/view?usp=drivesdk" TargetMode="External"/><Relationship Id="rId78" Type="http://schemas.openxmlformats.org/officeDocument/2006/relationships/hyperlink" Target="https://drive.google.com/file/d/1-aGhYs7ao10VRy2guue-uTg4Xq65DWCb/view?usp=drivesdk" TargetMode="External"/><Relationship Id="rId77" Type="http://schemas.openxmlformats.org/officeDocument/2006/relationships/hyperlink" Target="https://drive.google.com/file/d/1gdaUpwcvEEPj3F4ukVHIDBTYWmdw2MMT/view?usp=drivesdk" TargetMode="External"/><Relationship Id="rId76" Type="http://schemas.openxmlformats.org/officeDocument/2006/relationships/hyperlink" Target="https://drive.google.com/file/d/1LQkh8x3zwwOEGBzYg73i26Jpewo6cs3D/view?usp=drivesdk" TargetMode="External"/><Relationship Id="rId75" Type="http://schemas.openxmlformats.org/officeDocument/2006/relationships/hyperlink" Target="https://drive.google.com/file/d/1wGPC1ILzmoS_NSdfsBEMDa6PUvmHiITQ/view?usp=drivesdk" TargetMode="External"/><Relationship Id="rId74" Type="http://schemas.openxmlformats.org/officeDocument/2006/relationships/hyperlink" Target="https://drive.google.com/file/d/1PHv5SowWdHLPDwAmdCWH5ARL1Z38hfYO/view?usp=drivesdk" TargetMode="External"/><Relationship Id="rId73" Type="http://schemas.openxmlformats.org/officeDocument/2006/relationships/hyperlink" Target="https://drive.google.com/file/d/18HTrtI8KIzcwPDrXi0nqp6RPtcqsk4FA/view?usp=drivesdk" TargetMode="External"/><Relationship Id="rId72" Type="http://schemas.openxmlformats.org/officeDocument/2006/relationships/hyperlink" Target="https://drive.google.com/file/d/11pMXP9LzQDSOCFcGyZ30h0N4_459t-8T/view?usp=drivesdk" TargetMode="External"/><Relationship Id="rId71" Type="http://schemas.openxmlformats.org/officeDocument/2006/relationships/hyperlink" Target="https://drive.google.com/file/d/17pRvmaCFzqLMQRC7wnvA4L82a4VoqSNb/view?usp=drivesdk" TargetMode="External"/><Relationship Id="rId70" Type="http://schemas.openxmlformats.org/officeDocument/2006/relationships/hyperlink" Target="https://drive.google.com/file/d/1WFj0LyCScVrmb41N-RuRU2HZGx5A4QUM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GrGA4TyYwG1MhtL3_f1BynYYPOQUPYfI/view?usp=drivesdk" TargetMode="External"/><Relationship Id="rId68" Type="http://schemas.openxmlformats.org/officeDocument/2006/relationships/hyperlink" Target="https://drive.google.com/file/d/1exXucVZqcE3RkfVT9eWgvz1GrwgUcOGs/view?usp=drivesdk" TargetMode="External"/><Relationship Id="rId67" Type="http://schemas.openxmlformats.org/officeDocument/2006/relationships/hyperlink" Target="https://drive.google.com/file/d/1G_2h17dEDSJ0sJVLA7KEA3Wy18Qic-lD/view?usp=drivesdk" TargetMode="External"/><Relationship Id="rId66" Type="http://schemas.openxmlformats.org/officeDocument/2006/relationships/hyperlink" Target="https://drive.google.com/file/d/1d7EFuXhUJIVdNfyP-VvbEov7OxOUhnjX/view?usp=drivesdk" TargetMode="External"/><Relationship Id="rId65" Type="http://schemas.openxmlformats.org/officeDocument/2006/relationships/hyperlink" Target="https://drive.google.com/file/d/18_RD9xZabwO2JP75PawLVIgZiRHanJ7r/view?usp=drivesdk" TargetMode="External"/><Relationship Id="rId64" Type="http://schemas.openxmlformats.org/officeDocument/2006/relationships/hyperlink" Target="https://drive.google.com/file/d/1Ak6smEd55cnbU6cgiHWyy16Q1-XSYz02/view?usp=drivesdk" TargetMode="External"/><Relationship Id="rId63" Type="http://schemas.openxmlformats.org/officeDocument/2006/relationships/hyperlink" Target="https://drive.google.com/file/d/1KHPev2Kq3qVrGscAO2uuo7yScy8y8Sup/view?usp=drivesdk" TargetMode="External"/><Relationship Id="rId62" Type="http://schemas.openxmlformats.org/officeDocument/2006/relationships/hyperlink" Target="https://drive.google.com/file/d/1V4kAOaTdr-GtYhnXv7gzQBE3ZR7ZPlKK/view?usp=drive_link" TargetMode="External"/><Relationship Id="rId61" Type="http://schemas.openxmlformats.org/officeDocument/2006/relationships/hyperlink" Target="https://drive.google.com/file/d/1Q3MLsC3HPDUwIk0LuSHUtLVSOuBH_O4N/view?usp=drivesdk" TargetMode="External"/><Relationship Id="rId60" Type="http://schemas.openxmlformats.org/officeDocument/2006/relationships/hyperlink" Target="https://drive.google.com/file/d/16VUgmeIgOqD2kCbL2vOnNnCK5A21jtS6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HZnPMnXtZ0QO_7Mg1rBnqh1WGOP3akH4/view?usp=drivesdk" TargetMode="External"/><Relationship Id="rId58" Type="http://schemas.openxmlformats.org/officeDocument/2006/relationships/hyperlink" Target="https://drive.google.com/file/d/1LWD7yTNI0RJDRsb9uJmf_DlCrtRgUKyY/view?usp=drivesdk" TargetMode="External"/><Relationship Id="rId57" Type="http://schemas.openxmlformats.org/officeDocument/2006/relationships/hyperlink" Target="https://drive.google.com/file/d/1MUFzAJo5LSzmpdhI889kEhDZ0xKqImSg/view?usp=drivesdk" TargetMode="External"/><Relationship Id="rId56" Type="http://schemas.openxmlformats.org/officeDocument/2006/relationships/hyperlink" Target="https://drive.google.com/file/d/1ugQovbHhHiatqYgFZRiOkMLioEJ1sY9o/view?usp=drivesdk" TargetMode="External"/><Relationship Id="rId55" Type="http://schemas.openxmlformats.org/officeDocument/2006/relationships/hyperlink" Target="https://drive.google.com/file/d/1VO8wG6RTf64Yu5WlHt4RNVEAlHxdXRIv/view?usp=drivesdk" TargetMode="External"/><Relationship Id="rId54" Type="http://schemas.openxmlformats.org/officeDocument/2006/relationships/hyperlink" Target="https://drive.google.com/file/d/1QLtgZLOi46VR-Umszotzw09fP7Prc0Sq/view?usp=drivesdk" TargetMode="External"/><Relationship Id="rId53" Type="http://schemas.openxmlformats.org/officeDocument/2006/relationships/hyperlink" Target="https://drive.google.com/file/d/14wIqiKajOELWiaI-p64Cs1Xs3kxBqO4v/view?usp=drivesdk" TargetMode="External"/><Relationship Id="rId52" Type="http://schemas.openxmlformats.org/officeDocument/2006/relationships/hyperlink" Target="https://drive.google.com/file/d/1hLGDUrXqBvHMOAiLQE0q9BoTCTu2K7ao/view?usp=drivesdk" TargetMode="External"/><Relationship Id="rId51" Type="http://schemas.openxmlformats.org/officeDocument/2006/relationships/hyperlink" Target="https://drive.google.com/file/d/16C9A5O_2LU1qouTuL7juJbsj3tyaD1Qt/view?usp=drivesdk" TargetMode="External"/><Relationship Id="rId50" Type="http://schemas.openxmlformats.org/officeDocument/2006/relationships/hyperlink" Target="https://drive.google.com/file/d/1xZZ5XWFzSXvXAjvdoqHHi1FHnk0heuYs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8HoCA9YDoJiZI1ICrjO5DtziAZZqqASw/view?usp=drivesdk" TargetMode="External"/><Relationship Id="rId48" Type="http://schemas.openxmlformats.org/officeDocument/2006/relationships/hyperlink" Target="https://drive.google.com/file/d/1-sH-k7diCS-WDKeXQScayM3HAWW1q7sM/view?usp=drivesdk" TargetMode="External"/><Relationship Id="rId47" Type="http://schemas.openxmlformats.org/officeDocument/2006/relationships/hyperlink" Target="https://drive.google.com/file/d/1YI54nUQ9qGl4HCxnSZ9MgIOfdUXpAveO/view?usp=drivesdk" TargetMode="External"/><Relationship Id="rId46" Type="http://schemas.openxmlformats.org/officeDocument/2006/relationships/hyperlink" Target="https://drive.google.com/file/d/1yhSE8e9oSoZ1XITSkXcml25c5-I7E8OK/view?usp=drivesdk" TargetMode="External"/><Relationship Id="rId45" Type="http://schemas.openxmlformats.org/officeDocument/2006/relationships/hyperlink" Target="https://drive.google.com/file/d/1rpjbS-bDB20v4so-ORafAkM7plMXgvVt/view?usp=drivesdk" TargetMode="External"/><Relationship Id="rId44" Type="http://schemas.openxmlformats.org/officeDocument/2006/relationships/hyperlink" Target="https://drive.google.com/file/d/1Jd1pNOhKfow7rDb2cXcXuMaKkq3scBym/view?usp=drivesdk" TargetMode="External"/><Relationship Id="rId43" Type="http://schemas.openxmlformats.org/officeDocument/2006/relationships/hyperlink" Target="https://drive.google.com/file/d/1JpfRw7AKi5vyFGzJYU8Gt0AbdcnM-XIR/view?usp=drivesdk" TargetMode="External"/><Relationship Id="rId42" Type="http://schemas.openxmlformats.org/officeDocument/2006/relationships/hyperlink" Target="https://drive.google.com/file/d/13BQ_wJdpDsvZ4ExNu5_MiUuptLzyEkOt/view?usp=drivesdk" TargetMode="External"/><Relationship Id="rId41" Type="http://schemas.openxmlformats.org/officeDocument/2006/relationships/hyperlink" Target="https://drive.google.com/file/d/1ODbvUqRQqa0vgDKn1aCSa1ExOjI5eU6s/view?usp=drivesdk" TargetMode="External"/><Relationship Id="rId40" Type="http://schemas.openxmlformats.org/officeDocument/2006/relationships/hyperlink" Target="https://drive.google.com/file/d/1l0CarlJRdXeKckzjv5vdH8ZMNbVSDSFn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8ueBKNiLx_qMQGWWAwsMx3AwCOr1zXzs/view?usp=drivesdk" TargetMode="External"/><Relationship Id="rId38" Type="http://schemas.openxmlformats.org/officeDocument/2006/relationships/hyperlink" Target="https://drive.google.com/file/d/16-Aw559LRobGzObL2CIZzbedS2huPzfM/view?usp=drivesdk" TargetMode="External"/><Relationship Id="rId37" Type="http://schemas.openxmlformats.org/officeDocument/2006/relationships/hyperlink" Target="https://drive.google.com/file/d/1050KPyHqjlRunLX-RfleyqLFilvJdS5r/view?usp=drivesdk" TargetMode="External"/><Relationship Id="rId36" Type="http://schemas.openxmlformats.org/officeDocument/2006/relationships/hyperlink" Target="https://drive.google.com/file/d/1hO6981dWlr7a4rY7wKkphIA6DUHyv1ca/view?usp=drivesdk" TargetMode="External"/><Relationship Id="rId35" Type="http://schemas.openxmlformats.org/officeDocument/2006/relationships/hyperlink" Target="https://drive.google.com/file/d/1GgU8otZVWYUtpfGoGJVaWq9OiwS6VyWR/view?usp=drivesdk" TargetMode="External"/><Relationship Id="rId34" Type="http://schemas.openxmlformats.org/officeDocument/2006/relationships/hyperlink" Target="https://drive.google.com/file/d/1wYVnj5xHuiqQU2FLKpl5j3MbxNgNSDWL/view?usp=drivesdk" TargetMode="External"/><Relationship Id="rId33" Type="http://schemas.openxmlformats.org/officeDocument/2006/relationships/hyperlink" Target="https://drive.google.com/file/d/1o0OLsExMHFILiIbYa1DQUK1cQas1fE5f/view?usp=drive_link" TargetMode="External"/><Relationship Id="rId32" Type="http://schemas.openxmlformats.org/officeDocument/2006/relationships/hyperlink" Target="https://drive.google.com/file/d/1GAOKW88G1x3QZaSmVsHqAYI--KPr9e8V/view?usp=drive_link" TargetMode="External"/><Relationship Id="rId31" Type="http://schemas.openxmlformats.org/officeDocument/2006/relationships/hyperlink" Target="https://drive.google.com/file/d/1l9qfxWgKh-kHCOlLJw3rYD8TsqzZQ0Vg/view?usp=drivesdk" TargetMode="External"/><Relationship Id="rId30" Type="http://schemas.openxmlformats.org/officeDocument/2006/relationships/hyperlink" Target="https://drive.google.com/file/d/1YhQfmy0rQa_3l9AQYACCpU7Fqq-FOQEI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SyqKT5bF5AaGYQgD2j5JSrpmJiBMLybn/view?usp=drivesdk" TargetMode="External"/><Relationship Id="rId28" Type="http://schemas.openxmlformats.org/officeDocument/2006/relationships/hyperlink" Target="https://drive.google.com/file/d/1WAIV9EzRLNkmkzUDIIR1DMXykSJnRqNQ/view?usp=drivesdk" TargetMode="External"/><Relationship Id="rId27" Type="http://schemas.openxmlformats.org/officeDocument/2006/relationships/hyperlink" Target="https://drive.google.com/file/d/1EA90Utk1ns7TCVkyeIJ5iW7Hdqq2_Zha/view?usp=drive_link" TargetMode="External"/><Relationship Id="rId26" Type="http://schemas.openxmlformats.org/officeDocument/2006/relationships/hyperlink" Target="https://drive.google.com/file/d/1JmOAm4079UzechP2QZhlcGLcKATeh1NC/view?usp=drivesdk" TargetMode="External"/><Relationship Id="rId25" Type="http://schemas.openxmlformats.org/officeDocument/2006/relationships/hyperlink" Target="https://drive.google.com/file/d/1LKMYyqlNdTpBAJHzScOqSYbwoX-Sj7CT/view?usp=drivesdk" TargetMode="External"/><Relationship Id="rId24" Type="http://schemas.openxmlformats.org/officeDocument/2006/relationships/hyperlink" Target="https://drive.google.com/file/d/1-OL0ijLcO4oCmNnZTW_Y7BHwMB4uUQVK/view" TargetMode="External"/><Relationship Id="rId230" Type="http://schemas.openxmlformats.org/officeDocument/2006/relationships/hyperlink" Target="https://drive.google.com/file/d/1z6DqqghGz5_1wHnScD8k48HgKfz0Zk9I/view?usp=sharing" TargetMode="External"/><Relationship Id="rId23" Type="http://schemas.openxmlformats.org/officeDocument/2006/relationships/hyperlink" Target="https://drive.google.com/file/d/1Sye9_tfW3vCUCuzfO04RicfVtkkhBLUa/view" TargetMode="External"/><Relationship Id="rId229" Type="http://schemas.openxmlformats.org/officeDocument/2006/relationships/hyperlink" Target="https://drive.google.com/file/d/1HvfXkFjLiHRPwmnYl-3JLNG2OHocGWGJ/view?usp=drive_link" TargetMode="External"/><Relationship Id="rId228" Type="http://schemas.openxmlformats.org/officeDocument/2006/relationships/hyperlink" Target="https://drive.google.com/file/d/1O8IFerN_b1OVb1CN9mQGTjYZpOKGoITY/view?usp=drive_link" TargetMode="External"/><Relationship Id="rId227" Type="http://schemas.openxmlformats.org/officeDocument/2006/relationships/hyperlink" Target="https://drive.google.com/file/d/1g_9nh_hqVHEgyFmCYgVlJFmL1Aj6XSjP/view?usp=drive_link" TargetMode="External"/><Relationship Id="rId226" Type="http://schemas.openxmlformats.org/officeDocument/2006/relationships/hyperlink" Target="https://drive.google.com/file/d/1pO45KJ2Anjf1wjhdMDATmYcrXCytLB3y/view?usp=sharing" TargetMode="External"/><Relationship Id="rId225" Type="http://schemas.openxmlformats.org/officeDocument/2006/relationships/hyperlink" Target="https://drive.google.com/file/d/1ayKyx-7T7TwOte_gGFgfgCxWiVa8Cg8m/view?usp=drive_link" TargetMode="External"/><Relationship Id="rId224" Type="http://schemas.openxmlformats.org/officeDocument/2006/relationships/hyperlink" Target="https://drive.google.com/file/d/1VXVL_r3DoAz3I_u0DD1X5QX9FVNRikkd/view?usp=drive_link" TargetMode="External"/><Relationship Id="rId223" Type="http://schemas.openxmlformats.org/officeDocument/2006/relationships/hyperlink" Target="https://drive.google.com/file/d/14S--Kd5Vl3YSMCHzwwYt_kQIgxGm_Zbg/view?usp=drive_link" TargetMode="External"/><Relationship Id="rId222" Type="http://schemas.openxmlformats.org/officeDocument/2006/relationships/hyperlink" Target="https://drive.google.com/file/d/1n-OVjxMOvOjL1phlSkz8eviOukA2jLci/view?usp=drive_link" TargetMode="External"/><Relationship Id="rId221" Type="http://schemas.openxmlformats.org/officeDocument/2006/relationships/hyperlink" Target="https://drive.google.com/file/d/1_wspiI7N_dRs_vE3p2pH0rc8yAcF-pg4/view?usp=drive_link" TargetMode="External"/><Relationship Id="rId220" Type="http://schemas.openxmlformats.org/officeDocument/2006/relationships/hyperlink" Target="https://drive.google.com/file/d/1WXt01Z5DyEaibfcb9yjRvC37GnJBijOf/view?usp=drive_link" TargetMode="External"/><Relationship Id="rId22" Type="http://schemas.openxmlformats.org/officeDocument/2006/relationships/hyperlink" Target="https://drive.google.com/file/d/1j6z_L7F1ez8ItqPnrQsPNGg2j38KtlgG/view" TargetMode="External"/><Relationship Id="rId219" Type="http://schemas.openxmlformats.org/officeDocument/2006/relationships/hyperlink" Target="https://drive.google.com/file/d/12CBiVkqByJdiB_fExvTvqpU9ylB2Sy3W/view?usp=drive_link" TargetMode="External"/><Relationship Id="rId218" Type="http://schemas.openxmlformats.org/officeDocument/2006/relationships/hyperlink" Target="https://drive.google.com/file/d/1rjwl5CZZjBCqyIHHwyVOtiklXu_rVxIO/view?usp=drive_link" TargetMode="External"/><Relationship Id="rId217" Type="http://schemas.openxmlformats.org/officeDocument/2006/relationships/hyperlink" Target="https://drive.google.com/file/d/1imOf8cO4LrDK_1VGlnSJPrR4OAx8Sd2B/view?usp=drive_link" TargetMode="External"/><Relationship Id="rId216" Type="http://schemas.openxmlformats.org/officeDocument/2006/relationships/hyperlink" Target="https://drive.google.com/file/d/10aHD4D4de3IMNUlj2mTv1iugbhs7vm95/view?usp=drive_link" TargetMode="External"/><Relationship Id="rId215" Type="http://schemas.openxmlformats.org/officeDocument/2006/relationships/hyperlink" Target="https://drive.google.com/file/d/15MHSo23sHhYQuvGI6Rdc88aGx1MXVhlF/view?usp=drive_link" TargetMode="External"/><Relationship Id="rId214" Type="http://schemas.openxmlformats.org/officeDocument/2006/relationships/hyperlink" Target="https://drive.google.com/file/d/1z2yIzp0ZbgM-WXwFf0MlJEXezfRG53OZ/view?usp=drive_link" TargetMode="External"/><Relationship Id="rId213" Type="http://schemas.openxmlformats.org/officeDocument/2006/relationships/hyperlink" Target="https://drive.google.com/file/d/1biD_OWP2awFT111gaTpBNNr3AS3NDINn/view?usp=drive_link" TargetMode="External"/><Relationship Id="rId212" Type="http://schemas.openxmlformats.org/officeDocument/2006/relationships/hyperlink" Target="https://drive.google.com/file/d/1wTcRpLfkpOMVY3hw2QTUv6LQcB9cOzat/view?usp=drive_link" TargetMode="External"/><Relationship Id="rId211" Type="http://schemas.openxmlformats.org/officeDocument/2006/relationships/hyperlink" Target="https://drive.google.com/file/d/1yW-_9zBLG_Fn_N-ncjuONsbvuMuwbPmv/view?usp=drive_link" TargetMode="External"/><Relationship Id="rId210" Type="http://schemas.openxmlformats.org/officeDocument/2006/relationships/hyperlink" Target="https://drive.google.com/file/d/1YbHVvlbyekEd3SxwhAnFtXa_ZYZV9hC9/view?usp=drivesdk" TargetMode="External"/><Relationship Id="rId21" Type="http://schemas.openxmlformats.org/officeDocument/2006/relationships/hyperlink" Target="https://drive.google.com/file/d/1sFDM_grDHNQoFssiRNDRYHiZ-v5Cz_mM/view?usp=drivesdk" TargetMode="External"/><Relationship Id="rId209" Type="http://schemas.openxmlformats.org/officeDocument/2006/relationships/hyperlink" Target="https://drive.google.com/file/d/1mMz4HtEoeAbpd0fSV0nrAAVWE_NwNd0K/view?usp=drivesdk" TargetMode="External"/><Relationship Id="rId208" Type="http://schemas.openxmlformats.org/officeDocument/2006/relationships/hyperlink" Target="https://drive.google.com/file/d/1h1YpL-TqyEbEky1f-D_FA37WkazYPh6C/view?usp=drivesdk" TargetMode="External"/><Relationship Id="rId207" Type="http://schemas.openxmlformats.org/officeDocument/2006/relationships/hyperlink" Target="https://drive.google.com/file/d/1DLXMiPTJtaj-cV4BMCQfSpkJVR1A3rDB/view?usp=drivesdk" TargetMode="External"/><Relationship Id="rId206" Type="http://schemas.openxmlformats.org/officeDocument/2006/relationships/hyperlink" Target="https://drive.google.com/file/d/1b0tG7LlxP2I7zhWbYZaWxkh28HgqHz0s/view?usp=drivesdk" TargetMode="External"/><Relationship Id="rId205" Type="http://schemas.openxmlformats.org/officeDocument/2006/relationships/hyperlink" Target="https://drive.google.com/file/d/1iuScMGNcz3weEMoQVa1T_JuSW_9DH1pO/view?usp=drivesdk" TargetMode="External"/><Relationship Id="rId204" Type="http://schemas.openxmlformats.org/officeDocument/2006/relationships/hyperlink" Target="https://drive.google.com/file/d/1kw2VWoQAq_GLZWh8CMRcXuwxf4-mQw_3/view?usp=drivesdk" TargetMode="External"/><Relationship Id="rId203" Type="http://schemas.openxmlformats.org/officeDocument/2006/relationships/hyperlink" Target="https://drive.google.com/file/d/1Abd8DwLweMv1FfMWCYJdSkK3a-re0q0L/view?usp=drivesdk" TargetMode="External"/><Relationship Id="rId202" Type="http://schemas.openxmlformats.org/officeDocument/2006/relationships/hyperlink" Target="https://drive.google.com/file/d/1pJ8fD1Ok-zcawXCMQ_cRWt6M5YN8RMtR/view?usp=drivesdk" TargetMode="External"/><Relationship Id="rId201" Type="http://schemas.openxmlformats.org/officeDocument/2006/relationships/hyperlink" Target="https://drive.google.com/file/d/1aHQQRjcXI6yHCt_UP6yKuQeMFKCUgGvc/view?usp=drivesdk" TargetMode="External"/><Relationship Id="rId200" Type="http://schemas.openxmlformats.org/officeDocument/2006/relationships/hyperlink" Target="https://drive.google.com/file/d/1pRyxVlOB9oeuk3O5IIACA530apjx3-Be/view?usp=drivesdk" TargetMode="External"/><Relationship Id="rId20" Type="http://schemas.openxmlformats.org/officeDocument/2006/relationships/hyperlink" Target="https://drive.google.com/file/d/1zVz0DVls0T0q0Nw8a9sVgmfrBBnx7VDU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uYLeaulkVSSo9JfLTOyoKNdPZriZ7gfN/view?usp=drivesdk" TargetMode="External"/><Relationship Id="rId198" Type="http://schemas.openxmlformats.org/officeDocument/2006/relationships/hyperlink" Target="https://drive.google.com/file/d/1qoLoPyTtfy5SLtbkTcwZ5hfG7zyYvOjI/view?usp=drivesdk" TargetMode="External"/><Relationship Id="rId197" Type="http://schemas.openxmlformats.org/officeDocument/2006/relationships/hyperlink" Target="https://drive.google.com/file/d/1uouhgNSfb35tVgSNAT8SBXbH8HW7m3t7/view?usp=drivesdk" TargetMode="External"/><Relationship Id="rId196" Type="http://schemas.openxmlformats.org/officeDocument/2006/relationships/hyperlink" Target="https://drive.google.com/file/d/1bxIZJ6A0SyevCXCLRJJQsKicLHyUSel3/view?usp=drivesdk" TargetMode="External"/><Relationship Id="rId195" Type="http://schemas.openxmlformats.org/officeDocument/2006/relationships/hyperlink" Target="https://drive.google.com/file/d/1dkDs0IKNusqI0BPpiDMA33TS3N20uRcH/view?usp=drivesdk" TargetMode="External"/><Relationship Id="rId194" Type="http://schemas.openxmlformats.org/officeDocument/2006/relationships/hyperlink" Target="https://drive.google.com/file/d/13SbKXAWRec3kpm0GqTA736J4r8YLM3mP/view?usp=drivesdk" TargetMode="External"/><Relationship Id="rId193" Type="http://schemas.openxmlformats.org/officeDocument/2006/relationships/hyperlink" Target="https://drive.google.com/file/d/1IFXyXVWNPCHVMWZK264ltJrxyR8MoCNf/view?usp=drivesdk" TargetMode="External"/><Relationship Id="rId192" Type="http://schemas.openxmlformats.org/officeDocument/2006/relationships/hyperlink" Target="https://drive.google.com/file/d/1mkpgqVyWWqPHnVWFxR2j-_iHjXSrikm-/view?usp=drivesdk" TargetMode="External"/><Relationship Id="rId191" Type="http://schemas.openxmlformats.org/officeDocument/2006/relationships/hyperlink" Target="https://drive.google.com/file/d/15bp-unBGi_6QJ7i8dobY3ZYeP2skiV38/view?usp=drive_link" TargetMode="External"/><Relationship Id="rId190" Type="http://schemas.openxmlformats.org/officeDocument/2006/relationships/hyperlink" Target="https://drive.google.com/file/d/151_nNpwiYjOoHw0NaGjhK8_JSex8_d3C/view?usp=drivesdk" TargetMode="External"/><Relationship Id="rId19" Type="http://schemas.openxmlformats.org/officeDocument/2006/relationships/hyperlink" Target="https://drive.google.com/file/d/1MqKqLyL1Szw5dZPMXxT46Rrs2pbCGBzG/view?usp=drivesdk" TargetMode="External"/><Relationship Id="rId189" Type="http://schemas.openxmlformats.org/officeDocument/2006/relationships/hyperlink" Target="https://drive.google.com/file/d/1p9MlHvCBRNAJYexFIWsNT3b--t4fR3Rf/view?usp=drive_link" TargetMode="External"/><Relationship Id="rId188" Type="http://schemas.openxmlformats.org/officeDocument/2006/relationships/hyperlink" Target="https://drive.google.com/file/d/1asgl5SpirppgggoKXR1X8BTP0IMSs_Hq/view?usp=drivesdk" TargetMode="External"/><Relationship Id="rId187" Type="http://schemas.openxmlformats.org/officeDocument/2006/relationships/hyperlink" Target="https://drive.google.com/file/d/11AMehloheiTnLm05AokwexaOSkInZ7gu/view?usp=drivesdk" TargetMode="External"/><Relationship Id="rId186" Type="http://schemas.openxmlformats.org/officeDocument/2006/relationships/hyperlink" Target="https://drive.google.com/file/d/1SVzgo7K5HA2eBNvCm9cHE5Jjj19OQ_Yi/view?usp=drivesdk" TargetMode="External"/><Relationship Id="rId185" Type="http://schemas.openxmlformats.org/officeDocument/2006/relationships/hyperlink" Target="https://drive.google.com/file/d/1VBcUYGGVBC1eFzghNmCL6gYt5uTrB1En/view?usp=drivesdk" TargetMode="External"/><Relationship Id="rId184" Type="http://schemas.openxmlformats.org/officeDocument/2006/relationships/hyperlink" Target="https://drive.google.com/file/d/1AvwfvxAigPmn2HwcxP2r_HE5XQNTVfio/view?usp=drivesdk" TargetMode="External"/><Relationship Id="rId183" Type="http://schemas.openxmlformats.org/officeDocument/2006/relationships/hyperlink" Target="https://drive.google.com/file/d/1YHGtCN76a8nF57aGzHjkfYUeeOB51E2i/view?usp=drive_link" TargetMode="External"/><Relationship Id="rId182" Type="http://schemas.openxmlformats.org/officeDocument/2006/relationships/hyperlink" Target="https://drive.google.com/file/d/1WOEQum9D_NKi3goLKqtY1VRtvIRb4Onc/view?usp=drivesdk" TargetMode="External"/><Relationship Id="rId181" Type="http://schemas.openxmlformats.org/officeDocument/2006/relationships/hyperlink" Target="https://drive.google.com/file/d/1tYp3kf2YZfVDWXP_ppXiSk-8uC3iLHGP/view?usp=drivesdk" TargetMode="External"/><Relationship Id="rId180" Type="http://schemas.openxmlformats.org/officeDocument/2006/relationships/hyperlink" Target="https://drive.google.com/file/d/1j5G0xlpPZoN_-SJWXfCmHSvy5_f5ElVb/view?usp=drive_link" TargetMode="External"/><Relationship Id="rId18" Type="http://schemas.openxmlformats.org/officeDocument/2006/relationships/hyperlink" Target="https://drive.google.com/file/d/15Bc88hS6nxrWXF0LYcVoTUmlRCZ-EtKv/view?usp=drivesdk" TargetMode="External"/><Relationship Id="rId179" Type="http://schemas.openxmlformats.org/officeDocument/2006/relationships/hyperlink" Target="https://drive.google.com/file/d/18R5-hqH5rhdTFHQ_-9FelFaTNFFzJh_T/view?usp=drive_link" TargetMode="External"/><Relationship Id="rId178" Type="http://schemas.openxmlformats.org/officeDocument/2006/relationships/hyperlink" Target="https://drive.google.com/file/d/15783VE4mpd_oLtq6eJkrhYXIz-t2msIl/view?usp=drivesdk" TargetMode="External"/><Relationship Id="rId177" Type="http://schemas.openxmlformats.org/officeDocument/2006/relationships/hyperlink" Target="https://drive.google.com/file/d/1B7wFLY5XROOEnCBo5MvraJCHGZSlvN2F/view?usp=drivesdk" TargetMode="External"/><Relationship Id="rId176" Type="http://schemas.openxmlformats.org/officeDocument/2006/relationships/hyperlink" Target="https://drive.google.com/file/d/13NRRwV6xx66cW1eLQgLlIoT0apkFdG3H/view?usp=drivesdk" TargetMode="External"/><Relationship Id="rId175" Type="http://schemas.openxmlformats.org/officeDocument/2006/relationships/hyperlink" Target="https://drive.google.com/file/d/1kIJWy8Qyq1_tG4qEOkxoUeJSPRJfp6E1/view?usp=drivesdk" TargetMode="External"/><Relationship Id="rId174" Type="http://schemas.openxmlformats.org/officeDocument/2006/relationships/hyperlink" Target="https://drive.google.com/file/d/1jFwwE4khA3m09oC8S5PokKW-fS3zkGV6/view?usp=drivesdk" TargetMode="External"/><Relationship Id="rId173" Type="http://schemas.openxmlformats.org/officeDocument/2006/relationships/hyperlink" Target="https://drive.google.com/file/d/1gL9HTgiVwg1lLQMCXvFIxto7Q7jAmX3t/view?usp=drivesdk" TargetMode="External"/><Relationship Id="rId172" Type="http://schemas.openxmlformats.org/officeDocument/2006/relationships/hyperlink" Target="https://drive.google.com/file/d/12Q3__owZ4sfSEGBknxHctOTH4xrGVWD7/view?usp=drive_link" TargetMode="External"/><Relationship Id="rId171" Type="http://schemas.openxmlformats.org/officeDocument/2006/relationships/hyperlink" Target="https://drive.google.com/file/d/1zJWXGJfINS9BzTK821055S7z4kP2wE92/view?usp=drive_link" TargetMode="External"/><Relationship Id="rId170" Type="http://schemas.openxmlformats.org/officeDocument/2006/relationships/hyperlink" Target="https://drive.google.com/file/d/1AX6OYh4cyvOHoTjUpWLiCag24x3ib1as/view?usp=drive_link" TargetMode="External"/><Relationship Id="rId17" Type="http://schemas.openxmlformats.org/officeDocument/2006/relationships/hyperlink" Target="https://drive.google.com/file/d/1MMrYNdFIDXAIq6LtHwU6gyJ4tgXw7G-u/view?usp=drivesdk" TargetMode="External"/><Relationship Id="rId169" Type="http://schemas.openxmlformats.org/officeDocument/2006/relationships/hyperlink" Target="https://drive.google.com/file/d/13amFNwY1TDp12ju5coJ_4t8OY3mdTqvo/view?usp=drive_link" TargetMode="External"/><Relationship Id="rId168" Type="http://schemas.openxmlformats.org/officeDocument/2006/relationships/hyperlink" Target="https://drive.google.com/file/d/1QNJAFIS3AcDcCYyHYBdcGhSfgl7p_oNi/view?usp=drive_link" TargetMode="External"/><Relationship Id="rId167" Type="http://schemas.openxmlformats.org/officeDocument/2006/relationships/hyperlink" Target="https://drive.google.com/file/d/1XYwMDVzh4fwDVhFcKzavALPhzJhymcTA/view?usp=drive_link" TargetMode="External"/><Relationship Id="rId166" Type="http://schemas.openxmlformats.org/officeDocument/2006/relationships/hyperlink" Target="https://drive.google.com/file/d/1XiG02UYQFZnEtTHy_-6O0J-OD0O2cJDG/view?usp=drive_link" TargetMode="External"/><Relationship Id="rId165" Type="http://schemas.openxmlformats.org/officeDocument/2006/relationships/hyperlink" Target="https://drive.google.com/file/d/1dA6BJnXLbpi0Zz_mRBTRHp76jTd3vpal/view?usp=drivesdk" TargetMode="External"/><Relationship Id="rId164" Type="http://schemas.openxmlformats.org/officeDocument/2006/relationships/hyperlink" Target="https://drive.google.com/file/d/1iQ_Q4HCJ-zDnMd1F94DucUYz7wOmhNTy/view?usp=drivesdk" TargetMode="External"/><Relationship Id="rId163" Type="http://schemas.openxmlformats.org/officeDocument/2006/relationships/hyperlink" Target="https://drive.google.com/file/d/1z9vz2r3HtntpLAZXfmgg61ZPtNs3JwGj/view?usp=drive_link" TargetMode="External"/><Relationship Id="rId162" Type="http://schemas.openxmlformats.org/officeDocument/2006/relationships/hyperlink" Target="https://drive.google.com/file/d/13UKyayGuA94wgag2vP608BSJm28F9SjK/view?usp=drivesdk" TargetMode="External"/><Relationship Id="rId161" Type="http://schemas.openxmlformats.org/officeDocument/2006/relationships/hyperlink" Target="https://drive.google.com/file/d/1zb-v3OBPe1uEGA2pfUeJYKn607Q23-VX/view?usp=drive_link" TargetMode="External"/><Relationship Id="rId160" Type="http://schemas.openxmlformats.org/officeDocument/2006/relationships/hyperlink" Target="https://drive.google.com/file/d/1vm26hGolfmIt_00AwhxaInYBeHzy-o-M/view?usp=drive_link" TargetMode="External"/><Relationship Id="rId16" Type="http://schemas.openxmlformats.org/officeDocument/2006/relationships/hyperlink" Target="https://drive.google.com/file/d/1OCCCwrKUlTy4NqUDZsCGAqlMUuEalLTg/view?usp=drivesdk" TargetMode="External"/><Relationship Id="rId159" Type="http://schemas.openxmlformats.org/officeDocument/2006/relationships/hyperlink" Target="https://drive.google.com/file/d/1hkKub4bh8GdGbmgTcs1evjim0RxAVQoz/view?usp=drive_link" TargetMode="External"/><Relationship Id="rId158" Type="http://schemas.openxmlformats.org/officeDocument/2006/relationships/hyperlink" Target="https://drive.google.com/file/d/1_zXzreSeSg3T8OGxR3-9v1X3VUpHTPc3/view?usp=drivesdk" TargetMode="External"/><Relationship Id="rId157" Type="http://schemas.openxmlformats.org/officeDocument/2006/relationships/hyperlink" Target="https://drive.google.com/file/d/1vLkz92jSiAjbZoz-m5Jqje9B1tsB1rmq/view?usp=drivesdk" TargetMode="External"/><Relationship Id="rId156" Type="http://schemas.openxmlformats.org/officeDocument/2006/relationships/hyperlink" Target="https://drive.google.com/file/d/1ohjC0u0QM9dwleJp6BUydV1-T0sVYTjs/view?usp=drive_link" TargetMode="External"/><Relationship Id="rId155" Type="http://schemas.openxmlformats.org/officeDocument/2006/relationships/hyperlink" Target="https://drive.google.com/file/d/1n6kgQYiFSfRmzvqNvEMMpvoSSKW9tNLl/view?usp=drivesdk" TargetMode="External"/><Relationship Id="rId154" Type="http://schemas.openxmlformats.org/officeDocument/2006/relationships/hyperlink" Target="https://drive.google.com/file/d/1f9YvrEEU4Hx-Gov_l-mxoXT9fJwHvlGX/view?usp=drivesdk" TargetMode="External"/><Relationship Id="rId153" Type="http://schemas.openxmlformats.org/officeDocument/2006/relationships/hyperlink" Target="https://drive.google.com/file/d/1FUdhhfUN-luAroAa_KyyLtQAPWNYruGx/view?usp=drive_link" TargetMode="External"/><Relationship Id="rId152" Type="http://schemas.openxmlformats.org/officeDocument/2006/relationships/hyperlink" Target="https://drive.google.com/file/d/1fSvGTS8bB6HuiPaZYdDiOhcl5coBTyn6/view?usp=drivesdk" TargetMode="External"/><Relationship Id="rId151" Type="http://schemas.openxmlformats.org/officeDocument/2006/relationships/hyperlink" Target="https://drive.google.com/file/d/1PJMlwsarfJsjDOH9BR13ZC5WuNsCbsUs/view?usp=drive_link" TargetMode="External"/><Relationship Id="rId150" Type="http://schemas.openxmlformats.org/officeDocument/2006/relationships/hyperlink" Target="https://drive.google.com/file/d/1bNgpZa_CUI7KauO5S_wo1U7tssBuDbSN/view?usp=drivesdk" TargetMode="External"/><Relationship Id="rId15" Type="http://schemas.openxmlformats.org/officeDocument/2006/relationships/hyperlink" Target="https://drive.google.com/file/d/1IUS8d_QOkrc_3Yf1jLvL5afjwyI3ICZg/view?usp=drive_link" TargetMode="External"/><Relationship Id="rId149" Type="http://schemas.openxmlformats.org/officeDocument/2006/relationships/hyperlink" Target="https://drive.google.com/file/d/1sT0NJsD21pgepjH7tLuJCBFtIZQax2Wl/view?usp=drivesdk" TargetMode="External"/><Relationship Id="rId148" Type="http://schemas.openxmlformats.org/officeDocument/2006/relationships/hyperlink" Target="https://drive.google.com/file/d/1Rrq1AHOdjR2ShWbqNq2RzzfKxCAwSRZj/view?usp=drivesdk" TargetMode="External"/><Relationship Id="rId147" Type="http://schemas.openxmlformats.org/officeDocument/2006/relationships/hyperlink" Target="https://drive.google.com/file/d/16KKmcdo6AzhCKj5Fp9W20GMNYdo_wKML/view?usp=drivesdk" TargetMode="External"/><Relationship Id="rId146" Type="http://schemas.openxmlformats.org/officeDocument/2006/relationships/hyperlink" Target="https://drive.google.com/file/d/13JiJlWYw1IWnWLN_tS9c9yqU95lY_OiF/view?usp=drivesdk" TargetMode="External"/><Relationship Id="rId145" Type="http://schemas.openxmlformats.org/officeDocument/2006/relationships/hyperlink" Target="https://drive.google.com/file/d/1Vx0j5Nj4g4HBZmQou69RA8ki6wE3Lahh/view?usp=drivesdk" TargetMode="External"/><Relationship Id="rId144" Type="http://schemas.openxmlformats.org/officeDocument/2006/relationships/hyperlink" Target="https://drive.google.com/file/d/1P_BCu_2QVtE153XaJwwFH2qOnbtfw2vU/view?usp=drivesdk" TargetMode="External"/><Relationship Id="rId143" Type="http://schemas.openxmlformats.org/officeDocument/2006/relationships/hyperlink" Target="https://drive.google.com/file/d/1m9dPnqms1RkHwlmaoq6HNpVdrxXKMc4e/view?usp=sharing" TargetMode="External"/><Relationship Id="rId142" Type="http://schemas.openxmlformats.org/officeDocument/2006/relationships/hyperlink" Target="https://drive.google.com/file/d/1lWP6IvNBiSgSE8NUcRY6MtyFZvzryUVW/view?usp=sharing" TargetMode="External"/><Relationship Id="rId141" Type="http://schemas.openxmlformats.org/officeDocument/2006/relationships/hyperlink" Target="https://drive.google.com/file/d/1Y9flt534_FhOqa8NP_vpNuG3r3VfhlQm/view?usp=sharing" TargetMode="External"/><Relationship Id="rId140" Type="http://schemas.openxmlformats.org/officeDocument/2006/relationships/hyperlink" Target="https://drive.google.com/file/d/19I4c0_5oVLw-4BiB8pjI1bptf-OdunLg/view?usp=drivesdk" TargetMode="External"/><Relationship Id="rId14" Type="http://schemas.openxmlformats.org/officeDocument/2006/relationships/hyperlink" Target="https://drive.google.com/file/d/1PNvkKAdYOWhB1flJ3E_PTltwmnkgSYJA/view?usp=drive_link" TargetMode="External"/><Relationship Id="rId139" Type="http://schemas.openxmlformats.org/officeDocument/2006/relationships/hyperlink" Target="https://drive.google.com/file/d/16IRc55EQPnwJwz1MBgv_Y1W7eI0TnC6F/view?usp=drivesdk" TargetMode="External"/><Relationship Id="rId138" Type="http://schemas.openxmlformats.org/officeDocument/2006/relationships/hyperlink" Target="https://drive.google.com/file/d/1RdAXjTxyqbfqMqUkwTxTZ16CD1Z3vhZv/view?usp=drive_link" TargetMode="External"/><Relationship Id="rId137" Type="http://schemas.openxmlformats.org/officeDocument/2006/relationships/hyperlink" Target="https://drive.google.com/file/d/1mwomjH1QGF2g853ThBERIEl_lqprdVCV/view?usp=drive_link" TargetMode="External"/><Relationship Id="rId136" Type="http://schemas.openxmlformats.org/officeDocument/2006/relationships/hyperlink" Target="https://drive.google.com/file/d/135u3tNC1zdA9J5PceHfhUccKOAjoZVtj/view?usp=drive_link" TargetMode="External"/><Relationship Id="rId135" Type="http://schemas.openxmlformats.org/officeDocument/2006/relationships/hyperlink" Target="https://drive.google.com/file/d/1jB0U0EhE5xwrMoxyjyFZrlDez1qXmX50/view?usp=drive_link" TargetMode="External"/><Relationship Id="rId134" Type="http://schemas.openxmlformats.org/officeDocument/2006/relationships/hyperlink" Target="https://drive.google.com/file/d/10LKj431l5xtZZdGiXpGZC66AJpr0hYj0/view?usp=drivesdk" TargetMode="External"/><Relationship Id="rId133" Type="http://schemas.openxmlformats.org/officeDocument/2006/relationships/hyperlink" Target="https://drive.google.com/file/d/1KA6FdgYga4tpmUzHFKs8nZfj6I10Dsnc/view?usp=drive_link" TargetMode="External"/><Relationship Id="rId132" Type="http://schemas.openxmlformats.org/officeDocument/2006/relationships/hyperlink" Target="https://drive.google.com/file/d/1vL98rafw5EdMw0g-Gukusup3IuiOeWDb/view?usp=drive_link" TargetMode="External"/><Relationship Id="rId131" Type="http://schemas.openxmlformats.org/officeDocument/2006/relationships/hyperlink" Target="https://drive.google.com/file/d/1yqbx43PnfXE8U_6g27LrPngfH4Nim4l-/view?usp=drivesdk" TargetMode="External"/><Relationship Id="rId130" Type="http://schemas.openxmlformats.org/officeDocument/2006/relationships/hyperlink" Target="https://drive.google.com/file/d/1WQjpqTJkN2CL63dizWOLH-FHbxYPuwVs/view?usp=drivesdk" TargetMode="External"/><Relationship Id="rId13" Type="http://schemas.openxmlformats.org/officeDocument/2006/relationships/hyperlink" Target="https://drive.google.com/file/d/1V_KesoUUtqOCox2hPrqsar6MiABiKfbT/view?usp=drive_link" TargetMode="External"/><Relationship Id="rId129" Type="http://schemas.openxmlformats.org/officeDocument/2006/relationships/hyperlink" Target="https://drive.google.com/file/d/1KfWKJxh2VrKitJEr0szRBuEALYNYKYBC/view?usp=drivesdk" TargetMode="External"/><Relationship Id="rId128" Type="http://schemas.openxmlformats.org/officeDocument/2006/relationships/hyperlink" Target="https://drive.google.com/file/d/11rwp4t8FCYeorWBqowC3lt4oxoiMZXGD/view?usp=drivesdk" TargetMode="External"/><Relationship Id="rId127" Type="http://schemas.openxmlformats.org/officeDocument/2006/relationships/hyperlink" Target="https://drive.google.com/file/d/14NjXiJxdPZj-jsyU8TwKzoZcgHH2Kikm/view?usp=drivesdk" TargetMode="External"/><Relationship Id="rId126" Type="http://schemas.openxmlformats.org/officeDocument/2006/relationships/hyperlink" Target="https://drive.google.com/file/d/16suSyeaCwhnYVKgszyf2w4ssKbufdRBf/view?usp=drivesdk" TargetMode="External"/><Relationship Id="rId125" Type="http://schemas.openxmlformats.org/officeDocument/2006/relationships/hyperlink" Target="https://drive.google.com/file/d/1QwVsrlCn-vJKPmMmbOEuyVZPenw3zLAi/view?usp=drivesdk" TargetMode="External"/><Relationship Id="rId124" Type="http://schemas.openxmlformats.org/officeDocument/2006/relationships/hyperlink" Target="https://drive.google.com/file/d/1dEXWzbjvlXlAtXnVegOKsP-FK2X8icyG/view?usp=drivesdk" TargetMode="External"/><Relationship Id="rId123" Type="http://schemas.openxmlformats.org/officeDocument/2006/relationships/hyperlink" Target="https://drive.google.com/file/d/1T7BS5aUu1suc6oUZAUJSkrbr1ggrqk4F/view?usp=drivesdk" TargetMode="External"/><Relationship Id="rId122" Type="http://schemas.openxmlformats.org/officeDocument/2006/relationships/hyperlink" Target="https://drive.google.com/file/d/12Rz9Bst1qc788H8Zh8yXBmnHPzzrN93P/view?usp=drivesdk" TargetMode="External"/><Relationship Id="rId121" Type="http://schemas.openxmlformats.org/officeDocument/2006/relationships/hyperlink" Target="https://drive.google.com/file/d/1KiLSQnjJ2psEDDxubsd4qAIGYURZhEgV/view?usp=share_link" TargetMode="External"/><Relationship Id="rId120" Type="http://schemas.openxmlformats.org/officeDocument/2006/relationships/hyperlink" Target="https://drive.google.com/file/d/1QHgzzBJNnFVv7Q4ZFvEihpGjk4Z1zaPp/view?usp=drivesdk" TargetMode="External"/><Relationship Id="rId12" Type="http://schemas.openxmlformats.org/officeDocument/2006/relationships/hyperlink" Target="https://drive.google.com/file/d/1tBQj4KBkGIcQo30fyHrHkQTaQkbdqCVJ/view?usp=drive_link" TargetMode="External"/><Relationship Id="rId119" Type="http://schemas.openxmlformats.org/officeDocument/2006/relationships/hyperlink" Target="https://drive.google.com/file/d/1ovJmNjOlfEf62x4Im3HNRvI9DtrFZ9Sr/view?usp=drivesdk" TargetMode="External"/><Relationship Id="rId118" Type="http://schemas.openxmlformats.org/officeDocument/2006/relationships/hyperlink" Target="https://drive.google.com/file/d/1waraBZBCOsJq0_rFPrXInBkspp7KcD0g/view?usp=drivesdk" TargetMode="External"/><Relationship Id="rId117" Type="http://schemas.openxmlformats.org/officeDocument/2006/relationships/hyperlink" Target="https://drive.google.com/file/d/10GW4FACg3bdcBCeLjSYcb833mvK73Nsk/view?usp=drive_link" TargetMode="External"/><Relationship Id="rId116" Type="http://schemas.openxmlformats.org/officeDocument/2006/relationships/hyperlink" Target="https://drive.google.com/file/d/1lDxJBcuIu3TFbYeDrmoCWNkC3Q7oRWtQ/view?usp=drivesdk" TargetMode="External"/><Relationship Id="rId115" Type="http://schemas.openxmlformats.org/officeDocument/2006/relationships/hyperlink" Target="https://drive.google.com/file/d/1JJxXXDiBnkpOvq2wjJstoqS76vydmnah/view?usp=drivesdk" TargetMode="External"/><Relationship Id="rId114" Type="http://schemas.openxmlformats.org/officeDocument/2006/relationships/hyperlink" Target="https://drive.google.com/file/d/14umXqhwx7Hk32DAHiMx_-VPdZofNm0z2/view?usp=drivesdk" TargetMode="External"/><Relationship Id="rId113" Type="http://schemas.openxmlformats.org/officeDocument/2006/relationships/hyperlink" Target="https://drive.google.com/file/d/1aY6-wolra3d4A0ttvVkD6luYdeaD4l7c/view?usp=drivesdk" TargetMode="External"/><Relationship Id="rId112" Type="http://schemas.openxmlformats.org/officeDocument/2006/relationships/hyperlink" Target="https://drive.google.com/file/d/1s5ZFWy4lgKTWx1VTywtJJzs4tASXleI9/view?usp=drivesdk" TargetMode="External"/><Relationship Id="rId111" Type="http://schemas.openxmlformats.org/officeDocument/2006/relationships/hyperlink" Target="https://drive.google.com/file/d/1y28oNcvflHApb5YBGVUOpaKsxzLbeTTp/view?usp=drivesdk" TargetMode="External"/><Relationship Id="rId110" Type="http://schemas.openxmlformats.org/officeDocument/2006/relationships/hyperlink" Target="https://drive.google.com/file/d/17SJTGdOIPyZoBVvb3OcOJmQ_95JfuaZ5/view?usp=drivesdk" TargetMode="External"/><Relationship Id="rId11" Type="http://schemas.openxmlformats.org/officeDocument/2006/relationships/hyperlink" Target="https://drive.google.com/file/d/1xBnJaVPqkzMOXYrs7FDEX7fsJh1bBOlL/view?usp=drive_link" TargetMode="External"/><Relationship Id="rId109" Type="http://schemas.openxmlformats.org/officeDocument/2006/relationships/hyperlink" Target="https://drive.google.com/file/d/16by67tCJFVKHKykzeCeia17gpwlOfXpO/view?usp=drivesdk" TargetMode="External"/><Relationship Id="rId108" Type="http://schemas.openxmlformats.org/officeDocument/2006/relationships/hyperlink" Target="https://drive.google.com/file/d/1pSBWMwByQ3bS1TS6p1JDl_bfYDZPEKhO/view?usp=drivesdk" TargetMode="External"/><Relationship Id="rId107" Type="http://schemas.openxmlformats.org/officeDocument/2006/relationships/hyperlink" Target="https://drive.google.com/file/d/1cDws5m82y0QLaMQjQn4nPhQjGbKZTTHM/view?usp=drive_link" TargetMode="External"/><Relationship Id="rId106" Type="http://schemas.openxmlformats.org/officeDocument/2006/relationships/hyperlink" Target="https://drive.google.com/file/d/1wph9zlC06HPR6sLyJB2CA14nwySD_6ES/view?usp=drive_link" TargetMode="External"/><Relationship Id="rId105" Type="http://schemas.openxmlformats.org/officeDocument/2006/relationships/hyperlink" Target="https://drive.google.com/file/d/1TvB9GBclhW4rhP04DhbIb_b9Hdo5pqQV/view?usp=drive_link" TargetMode="External"/><Relationship Id="rId104" Type="http://schemas.openxmlformats.org/officeDocument/2006/relationships/hyperlink" Target="https://drive.google.com/file/d/1ctDgbYciQzWvUHJfho5-NJ-Nj4A7_znS/view?usp=drive_link" TargetMode="External"/><Relationship Id="rId103" Type="http://schemas.openxmlformats.org/officeDocument/2006/relationships/hyperlink" Target="https://drive.google.com/file/d/1_fZwJu7dWxIyD6tKr_vhH0lazrhaO0-3/view?usp=drivesdk" TargetMode="External"/><Relationship Id="rId102" Type="http://schemas.openxmlformats.org/officeDocument/2006/relationships/hyperlink" Target="https://drive.google.com/file/d/1k0xycatCDTk2g7PX8zM_R7RcEkY0FkSg/view?usp=drivesdk" TargetMode="External"/><Relationship Id="rId101" Type="http://schemas.openxmlformats.org/officeDocument/2006/relationships/hyperlink" Target="https://drive.google.com/file/d/1hTsJOAVmbTuXMkIXdD-biQuiBl5NUjvu/view?usp=drivesdk" TargetMode="External"/><Relationship Id="rId100" Type="http://schemas.openxmlformats.org/officeDocument/2006/relationships/hyperlink" Target="https://drive.google.com/file/d/1rN0f_MUrpuskqnfi6ifO3-IpFakYzlfv/view?usp=drive_link" TargetMode="External"/><Relationship Id="rId10" Type="http://schemas.openxmlformats.org/officeDocument/2006/relationships/hyperlink" Target="https://drive.google.com/file/d/1n_sxnq85b2lKGL26GnirBYDfp3Laq_a-/view?usp=drive_link" TargetMode="External"/><Relationship Id="rId1" Type="http://schemas.openxmlformats.org/officeDocument/2006/relationships/hyperlink" Target="http://s.no/" TargetMode="External"/></Relationships>
</file>

<file path=xl/worksheets/_rels/sheet24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_fZwJu7dWxIyD6tKr_vhH0lazrhaO0-3/view?usp=drivesdk" TargetMode="External"/><Relationship Id="rId98" Type="http://schemas.openxmlformats.org/officeDocument/2006/relationships/hyperlink" Target="https://drive.google.com/file/d/1k0xycatCDTk2g7PX8zM_R7RcEkY0FkSg/view?usp=drivesdk" TargetMode="External"/><Relationship Id="rId97" Type="http://schemas.openxmlformats.org/officeDocument/2006/relationships/hyperlink" Target="https://drive.google.com/file/d/1hTsJOAVmbTuXMkIXdD-biQuiBl5NUjvu/view?usp=drivesdk" TargetMode="External"/><Relationship Id="rId96" Type="http://schemas.openxmlformats.org/officeDocument/2006/relationships/hyperlink" Target="https://drive.google.com/file/d/1rN0f_MUrpuskqnfi6ifO3-IpFakYzlfv/view?usp=drive_link" TargetMode="External"/><Relationship Id="rId95" Type="http://schemas.openxmlformats.org/officeDocument/2006/relationships/hyperlink" Target="https://drive.google.com/file/d/1LqAuW6_cg5jiH0WxSu4CpSCLTZwbRFZD/view?usp=drivesdk" TargetMode="External"/><Relationship Id="rId94" Type="http://schemas.openxmlformats.org/officeDocument/2006/relationships/hyperlink" Target="https://drive.google.com/file/d/1pxEdrWivFmVVLOXe4-sX3lGJsCPyorvy/view?usp=drivesdk" TargetMode="External"/><Relationship Id="rId93" Type="http://schemas.openxmlformats.org/officeDocument/2006/relationships/hyperlink" Target="https://drive.google.com/file/d/1zPVx8tfZi1fGYG4_sqtBbEMJWOun4f__/view?usp=drivesdk" TargetMode="External"/><Relationship Id="rId92" Type="http://schemas.openxmlformats.org/officeDocument/2006/relationships/hyperlink" Target="https://drive.google.com/file/d/1BNuTqZYxqx1yeGa2TrCYkK9pzeYN8dIj/view?usp=drivesdk" TargetMode="External"/><Relationship Id="rId91" Type="http://schemas.openxmlformats.org/officeDocument/2006/relationships/hyperlink" Target="https://drive.google.com/file/d/1G6kH8R6hjEGmJmuU2Q1QejweKqjRW6DP/view?usp=drivesdk" TargetMode="External"/><Relationship Id="rId90" Type="http://schemas.openxmlformats.org/officeDocument/2006/relationships/hyperlink" Target="https://drive.google.com/file/d/1poK13YhNucktf9lLXnQDFWoerWIEizJG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b0bKnztL_wIvXb9cJiIcJtiqEhuOSFFO/view?usp=drivesdk" TargetMode="External"/><Relationship Id="rId88" Type="http://schemas.openxmlformats.org/officeDocument/2006/relationships/hyperlink" Target="https://drive.google.com/file/d/1p4jNVbor9SWt0QSpK-huF8RwzNZztNBs/view?usp=drive_link" TargetMode="External"/><Relationship Id="rId87" Type="http://schemas.openxmlformats.org/officeDocument/2006/relationships/hyperlink" Target="https://drive.google.com/file/d/1-ViehUGCoK-95HMz0jT4bisUTtKswxf_/view?usp=sharing" TargetMode="External"/><Relationship Id="rId86" Type="http://schemas.openxmlformats.org/officeDocument/2006/relationships/hyperlink" Target="https://drive.google.com/file/d/1PJHtx1YRK-EbFEpyWgpLYNBcIr4WAcV5/view?usp=drivesdk" TargetMode="External"/><Relationship Id="rId85" Type="http://schemas.openxmlformats.org/officeDocument/2006/relationships/hyperlink" Target="https://drive.google.com/file/d/1qjtejJbPZhaEoDtH1SzjRPkoAIfcWO6P/view?usp=drive_link" TargetMode="External"/><Relationship Id="rId84" Type="http://schemas.openxmlformats.org/officeDocument/2006/relationships/hyperlink" Target="https://drive.google.com/file/d/1EoQqe_wzL5E6hm9JFrG8aErbmcHafa8C/view?usp=drivesdk" TargetMode="External"/><Relationship Id="rId83" Type="http://schemas.openxmlformats.org/officeDocument/2006/relationships/hyperlink" Target="https://drive.google.com/file/d/11itxCKs7_1wrdjNgkLJy60XgxMCdImZ8/view?usp=drivesdk" TargetMode="External"/><Relationship Id="rId82" Type="http://schemas.openxmlformats.org/officeDocument/2006/relationships/hyperlink" Target="https://drive.google.com/file/d/1Yy8fpURlINeYfCy7rrZmDKFYHuyxD4iQ/view?usp=drivesdk" TargetMode="External"/><Relationship Id="rId81" Type="http://schemas.openxmlformats.org/officeDocument/2006/relationships/hyperlink" Target="https://drive.google.com/file/d/1FtIA5xRRdfg0DMeFhk4cK9fSTdReYxn_/view?usp=drivesdk" TargetMode="External"/><Relationship Id="rId80" Type="http://schemas.openxmlformats.org/officeDocument/2006/relationships/hyperlink" Target="https://drive.google.com/file/d/1v38ptVE_U4sgNuUAuiiQTJuuhlHb7jFl/view?usp=drive_lin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UL3NuZgOCt4s4K1Lmw0E4054Vvcygtkf/view?usp=drivesdk" TargetMode="External"/><Relationship Id="rId78" Type="http://schemas.openxmlformats.org/officeDocument/2006/relationships/hyperlink" Target="https://drive.google.com/file/d/1HXZTAZQL0VArZ_9hBhMjaP1mlNRqP8T5/view?usp=drive_link" TargetMode="External"/><Relationship Id="rId77" Type="http://schemas.openxmlformats.org/officeDocument/2006/relationships/hyperlink" Target="https://drive.google.com/file/d/1KLs3uxdiaRJWETPsO6CmyTUanKwokaZa/view?usp=drive_link" TargetMode="External"/><Relationship Id="rId76" Type="http://schemas.openxmlformats.org/officeDocument/2006/relationships/hyperlink" Target="https://drive.google.com/file/d/1ULg6wSSFgz4hxLake3pNnzRocvpPmZYZ/view?usp=drivesdk" TargetMode="External"/><Relationship Id="rId75" Type="http://schemas.openxmlformats.org/officeDocument/2006/relationships/hyperlink" Target="https://drive.google.com/file/d/1-aGhYs7ao10VRy2guue-uTg4Xq65DWCb/view?usp=drivesdk" TargetMode="External"/><Relationship Id="rId74" Type="http://schemas.openxmlformats.org/officeDocument/2006/relationships/hyperlink" Target="https://drive.google.com/file/d/1gdaUpwcvEEPj3F4ukVHIDBTYWmdw2MMT/view?usp=drivesdk" TargetMode="External"/><Relationship Id="rId73" Type="http://schemas.openxmlformats.org/officeDocument/2006/relationships/hyperlink" Target="https://drive.google.com/file/d/1LQkh8x3zwwOEGBzYg73i26Jpewo6cs3D/view?usp=drivesdk" TargetMode="External"/><Relationship Id="rId72" Type="http://schemas.openxmlformats.org/officeDocument/2006/relationships/hyperlink" Target="https://drive.google.com/file/d/1wGPC1ILzmoS_NSdfsBEMDa6PUvmHiITQ/view?usp=drivesdk" TargetMode="External"/><Relationship Id="rId71" Type="http://schemas.openxmlformats.org/officeDocument/2006/relationships/hyperlink" Target="https://drive.google.com/file/d/1PHv5SowWdHLPDwAmdCWH5ARL1Z38hfYO/view?usp=drivesdk" TargetMode="External"/><Relationship Id="rId70" Type="http://schemas.openxmlformats.org/officeDocument/2006/relationships/hyperlink" Target="https://drive.google.com/file/d/18HTrtI8KIzcwPDrXi0nqp6RPtcqsk4FA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1pMXP9LzQDSOCFcGyZ30h0N4_459t-8T/view?usp=drivesdk" TargetMode="External"/><Relationship Id="rId68" Type="http://schemas.openxmlformats.org/officeDocument/2006/relationships/hyperlink" Target="https://drive.google.com/file/d/17pRvmaCFzqLMQRC7wnvA4L82a4VoqSNb/view?usp=drivesdk" TargetMode="External"/><Relationship Id="rId67" Type="http://schemas.openxmlformats.org/officeDocument/2006/relationships/hyperlink" Target="https://drive.google.com/file/d/1WFj0LyCScVrmb41N-RuRU2HZGx5A4QUM/view?usp=drivesdk" TargetMode="External"/><Relationship Id="rId66" Type="http://schemas.openxmlformats.org/officeDocument/2006/relationships/hyperlink" Target="https://drive.google.com/file/d/1GrGA4TyYwG1MhtL3_f1BynYYPOQUPYfI/view?usp=drivesdk" TargetMode="External"/><Relationship Id="rId65" Type="http://schemas.openxmlformats.org/officeDocument/2006/relationships/hyperlink" Target="https://drive.google.com/file/d/1exXucVZqcE3RkfVT9eWgvz1GrwgUcOGs/view?usp=drivesdk" TargetMode="External"/><Relationship Id="rId64" Type="http://schemas.openxmlformats.org/officeDocument/2006/relationships/hyperlink" Target="https://drive.google.com/file/d/1G_2h17dEDSJ0sJVLA7KEA3Wy18Qic-lD/view?usp=drivesdk" TargetMode="External"/><Relationship Id="rId63" Type="http://schemas.openxmlformats.org/officeDocument/2006/relationships/hyperlink" Target="https://drive.google.com/file/d/1d7EFuXhUJIVdNfyP-VvbEov7OxOUhnjX/view?usp=drivesdk" TargetMode="External"/><Relationship Id="rId62" Type="http://schemas.openxmlformats.org/officeDocument/2006/relationships/hyperlink" Target="https://drive.google.com/file/d/18_RD9xZabwO2JP75PawLVIgZiRHanJ7r/view?usp=drivesdk" TargetMode="External"/><Relationship Id="rId61" Type="http://schemas.openxmlformats.org/officeDocument/2006/relationships/hyperlink" Target="https://drive.google.com/file/d/1Ak6smEd55cnbU6cgiHWyy16Q1-XSYz02/view?usp=drivesdk" TargetMode="External"/><Relationship Id="rId60" Type="http://schemas.openxmlformats.org/officeDocument/2006/relationships/hyperlink" Target="https://drive.google.com/file/d/1KHPev2Kq3qVrGscAO2uuo7yScy8y8Sup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V4kAOaTdr-GtYhnXv7gzQBE3ZR7ZPlKK/view?usp=drive_link" TargetMode="External"/><Relationship Id="rId58" Type="http://schemas.openxmlformats.org/officeDocument/2006/relationships/hyperlink" Target="https://drive.google.com/file/d/1Q3MLsC3HPDUwIk0LuSHUtLVSOuBH_O4N/view?usp=drivesdk" TargetMode="External"/><Relationship Id="rId57" Type="http://schemas.openxmlformats.org/officeDocument/2006/relationships/hyperlink" Target="https://drive.google.com/file/d/16VUgmeIgOqD2kCbL2vOnNnCK5A21jtS6/view?usp=drivesdk" TargetMode="External"/><Relationship Id="rId56" Type="http://schemas.openxmlformats.org/officeDocument/2006/relationships/hyperlink" Target="https://drive.google.com/file/d/1HZnPMnXtZ0QO_7Mg1rBnqh1WGOP3akH4/view?usp=drivesdk" TargetMode="External"/><Relationship Id="rId55" Type="http://schemas.openxmlformats.org/officeDocument/2006/relationships/hyperlink" Target="https://drive.google.com/file/d/1LWD7yTNI0RJDRsb9uJmf_DlCrtRgUKyY/view?usp=drivesdk" TargetMode="External"/><Relationship Id="rId54" Type="http://schemas.openxmlformats.org/officeDocument/2006/relationships/hyperlink" Target="https://drive.google.com/file/d/1MUFzAJo5LSzmpdhI889kEhDZ0xKqImSg/view?usp=drivesdk" TargetMode="External"/><Relationship Id="rId53" Type="http://schemas.openxmlformats.org/officeDocument/2006/relationships/hyperlink" Target="https://drive.google.com/file/d/1ugQovbHhHiatqYgFZRiOkMLioEJ1sY9o/view?usp=drivesdk" TargetMode="External"/><Relationship Id="rId52" Type="http://schemas.openxmlformats.org/officeDocument/2006/relationships/hyperlink" Target="https://drive.google.com/file/d/1VO8wG6RTf64Yu5WlHt4RNVEAlHxdXRIv/view?usp=drivesdk" TargetMode="External"/><Relationship Id="rId51" Type="http://schemas.openxmlformats.org/officeDocument/2006/relationships/hyperlink" Target="https://drive.google.com/file/d/1QLtgZLOi46VR-Umszotzw09fP7Prc0Sq/view?usp=drivesdk" TargetMode="External"/><Relationship Id="rId50" Type="http://schemas.openxmlformats.org/officeDocument/2006/relationships/hyperlink" Target="https://drive.google.com/file/d/14wIqiKajOELWiaI-p64Cs1Xs3kxBqO4v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hLGDUrXqBvHMOAiLQE0q9BoTCTu2K7ao/view?usp=drivesdk" TargetMode="External"/><Relationship Id="rId48" Type="http://schemas.openxmlformats.org/officeDocument/2006/relationships/hyperlink" Target="https://drive.google.com/file/d/1reC79Z5VobvIwm_G13WWcxZsoT6HfJfi/view?usp=drive_link" TargetMode="External"/><Relationship Id="rId47" Type="http://schemas.openxmlformats.org/officeDocument/2006/relationships/hyperlink" Target="https://drive.google.com/file/d/1yWVp7VadbJPV7lVw6qXUvgdFhWnF0tip/view?usp=drive_link" TargetMode="External"/><Relationship Id="rId46" Type="http://schemas.openxmlformats.org/officeDocument/2006/relationships/hyperlink" Target="https://drive.google.com/file/d/1rpjbS-bDB20v4so-ORafAkM7plMXgvVt/view?usp=drivesdk" TargetMode="External"/><Relationship Id="rId45" Type="http://schemas.openxmlformats.org/officeDocument/2006/relationships/hyperlink" Target="https://drive.google.com/file/d/1Jd1pNOhKfow7rDb2cXcXuMaKkq3scBym/view?usp=drivesdk" TargetMode="External"/><Relationship Id="rId44" Type="http://schemas.openxmlformats.org/officeDocument/2006/relationships/hyperlink" Target="https://drive.google.com/file/d/14GkYuSFockovOVePXY3kQGt-QIydDele/view?usp=drive_link" TargetMode="External"/><Relationship Id="rId43" Type="http://schemas.openxmlformats.org/officeDocument/2006/relationships/hyperlink" Target="https://drive.google.com/file/d/1JpfRw7AKi5vyFGzJYU8Gt0AbdcnM-XIR/view?usp=drivesdk" TargetMode="External"/><Relationship Id="rId42" Type="http://schemas.openxmlformats.org/officeDocument/2006/relationships/hyperlink" Target="https://drive.google.com/file/d/13BQ_wJdpDsvZ4ExNu5_MiUuptLzyEkOt/view?usp=drivesdk" TargetMode="External"/><Relationship Id="rId41" Type="http://schemas.openxmlformats.org/officeDocument/2006/relationships/hyperlink" Target="https://drive.google.com/file/d/1ODbvUqRQqa0vgDKn1aCSa1ExOjI5eU6s/view?usp=drivesdk" TargetMode="External"/><Relationship Id="rId40" Type="http://schemas.openxmlformats.org/officeDocument/2006/relationships/hyperlink" Target="https://drive.google.com/file/d/1l0CarlJRdXeKckzjv5vdH8ZMNbVSDSFn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6-Aw559LRobGzObL2CIZzbedS2huPzfM/view?usp=drivesdk" TargetMode="External"/><Relationship Id="rId38" Type="http://schemas.openxmlformats.org/officeDocument/2006/relationships/hyperlink" Target="https://drive.google.com/file/d/1050KPyHqjlRunLX-RfleyqLFilvJdS5r/view?usp=drivesdk" TargetMode="External"/><Relationship Id="rId37" Type="http://schemas.openxmlformats.org/officeDocument/2006/relationships/hyperlink" Target="https://drive.google.com/file/d/18ueBKNiLx_qMQGWWAwsMx3AwCOr1zXzs/view?usp=drivesdk" TargetMode="External"/><Relationship Id="rId36" Type="http://schemas.openxmlformats.org/officeDocument/2006/relationships/hyperlink" Target="https://drive.google.com/file/d/1wYVnj5xHuiqQU2FLKpl5j3MbxNgNSDWL/view?usp=drivesdk" TargetMode="External"/><Relationship Id="rId35" Type="http://schemas.openxmlformats.org/officeDocument/2006/relationships/hyperlink" Target="https://drive.google.com/file/d/1hO6981dWlr7a4rY7wKkphIA6DUHyv1ca/view?usp=drivesdk" TargetMode="External"/><Relationship Id="rId34" Type="http://schemas.openxmlformats.org/officeDocument/2006/relationships/hyperlink" Target="https://drive.google.com/file/d/1GgU8otZVWYUtpfGoGJVaWq9OiwS6VyWR/view?usp=drivesdk" TargetMode="External"/><Relationship Id="rId33" Type="http://schemas.openxmlformats.org/officeDocument/2006/relationships/hyperlink" Target="https://drive.google.com/file/d/1l9qfxWgKh-kHCOlLJw3rYD8TsqzZQ0Vg/view?usp=drivesdk" TargetMode="External"/><Relationship Id="rId32" Type="http://schemas.openxmlformats.org/officeDocument/2006/relationships/hyperlink" Target="https://drive.google.com/file/d/1YhQfmy0rQa_3l9AQYACCpU7Fqq-FOQEI/view?usp=drivesdk" TargetMode="External"/><Relationship Id="rId31" Type="http://schemas.openxmlformats.org/officeDocument/2006/relationships/hyperlink" Target="https://drive.google.com/file/d/1SyqKT5bF5AaGYQgD2j5JSrpmJiBMLybn/view?usp=drivesdk" TargetMode="External"/><Relationship Id="rId30" Type="http://schemas.openxmlformats.org/officeDocument/2006/relationships/hyperlink" Target="https://drive.google.com/file/d/1WAIV9EzRLNkmkzUDIIR1DMXykSJnRqNQ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EA90Utk1ns7TCVkyeIJ5iW7Hdqq2_Zha/view?usp=drive_link" TargetMode="External"/><Relationship Id="rId28" Type="http://schemas.openxmlformats.org/officeDocument/2006/relationships/hyperlink" Target="https://drive.google.com/file/d/1JmOAm4079UzechP2QZhlcGLcKATeh1NC/view?usp=drivesdk" TargetMode="External"/><Relationship Id="rId27" Type="http://schemas.openxmlformats.org/officeDocument/2006/relationships/hyperlink" Target="https://drive.google.com/file/d/1LKMYyqlNdTpBAJHzScOqSYbwoX-Sj7CT/view?usp=drivesdk" TargetMode="External"/><Relationship Id="rId26" Type="http://schemas.openxmlformats.org/officeDocument/2006/relationships/hyperlink" Target="https://drive.google.com/file/d/1-OL0ijLcO4oCmNnZTW_Y7BHwMB4uUQVK/view" TargetMode="External"/><Relationship Id="rId25" Type="http://schemas.openxmlformats.org/officeDocument/2006/relationships/hyperlink" Target="https://drive.google.com/file/d/1Sye9_tfW3vCUCuzfO04RicfVtkkhBLUa/view" TargetMode="External"/><Relationship Id="rId24" Type="http://schemas.openxmlformats.org/officeDocument/2006/relationships/hyperlink" Target="https://drive.google.com/file/d/1j6z_L7F1ez8ItqPnrQsPNGg2j38KtlgG/view" TargetMode="External"/><Relationship Id="rId234" Type="http://schemas.openxmlformats.org/officeDocument/2006/relationships/hyperlink" Target="https://drive.google.com/file/d/1jTCXH33gTrZDnqPAyOS9Jo4Vsl0cg49j/view?usp=sharing" TargetMode="External"/><Relationship Id="rId233" Type="http://schemas.openxmlformats.org/officeDocument/2006/relationships/hyperlink" Target="https://drive.google.com/file/d/1-LMn2RMdekpDhktxd6uNjQQdatMKF8yZ/view?usp=drive_link" TargetMode="External"/><Relationship Id="rId232" Type="http://schemas.openxmlformats.org/officeDocument/2006/relationships/hyperlink" Target="https://drive.google.com/file/d/1pO45KJ2Anjf1wjhdMDATmYcrXCytLB3y/view?usp=sharing" TargetMode="External"/><Relationship Id="rId231" Type="http://schemas.openxmlformats.org/officeDocument/2006/relationships/hyperlink" Target="https://drive.google.com/file/d/1ayKyx-7T7TwOte_gGFgfgCxWiVa8Cg8m/view?usp=drive_link" TargetMode="External"/><Relationship Id="rId230" Type="http://schemas.openxmlformats.org/officeDocument/2006/relationships/hyperlink" Target="https://drive.google.com/file/d/1VXVL_r3DoAz3I_u0DD1X5QX9FVNRikkd/view?usp=drive_link" TargetMode="External"/><Relationship Id="rId23" Type="http://schemas.openxmlformats.org/officeDocument/2006/relationships/hyperlink" Target="https://drive.google.com/file/d/1sFDM_grDHNQoFssiRNDRYHiZ-v5Cz_mM/view?usp=drivesdk" TargetMode="External"/><Relationship Id="rId229" Type="http://schemas.openxmlformats.org/officeDocument/2006/relationships/hyperlink" Target="https://drive.google.com/file/d/14S--Kd5Vl3YSMCHzwwYt_kQIgxGm_Zbg/view?usp=drive_link" TargetMode="External"/><Relationship Id="rId228" Type="http://schemas.openxmlformats.org/officeDocument/2006/relationships/hyperlink" Target="https://drive.google.com/file/d/1_wspiI7N_dRs_vE3p2pH0rc8yAcF-pg4/view?usp=drive_link" TargetMode="External"/><Relationship Id="rId227" Type="http://schemas.openxmlformats.org/officeDocument/2006/relationships/hyperlink" Target="https://drive.google.com/file/d/1WXt01Z5DyEaibfcb9yjRvC37GnJBijOf/view?usp=drive_link" TargetMode="External"/><Relationship Id="rId226" Type="http://schemas.openxmlformats.org/officeDocument/2006/relationships/hyperlink" Target="https://drive.google.com/file/d/1imOf8cO4LrDK_1VGlnSJPrR4OAx8Sd2B/view?usp=drive_link" TargetMode="External"/><Relationship Id="rId225" Type="http://schemas.openxmlformats.org/officeDocument/2006/relationships/hyperlink" Target="https://drive.google.com/file/d/15MHSo23sHhYQuvGI6Rdc88aGx1MXVhlF/view?usp=drive_link" TargetMode="External"/><Relationship Id="rId224" Type="http://schemas.openxmlformats.org/officeDocument/2006/relationships/hyperlink" Target="https://drive.google.com/file/d/1biD_OWP2awFT111gaTpBNNr3AS3NDINn/view?usp=drive_link" TargetMode="External"/><Relationship Id="rId223" Type="http://schemas.openxmlformats.org/officeDocument/2006/relationships/hyperlink" Target="https://drive.google.com/file/d/1wTcRpLfkpOMVY3hw2QTUv6LQcB9cOzat/view?usp=drive_link" TargetMode="External"/><Relationship Id="rId222" Type="http://schemas.openxmlformats.org/officeDocument/2006/relationships/hyperlink" Target="https://drive.google.com/file/d/1yW-_9zBLG_Fn_N-ncjuONsbvuMuwbPmv/view?usp=drive_link" TargetMode="External"/><Relationship Id="rId221" Type="http://schemas.openxmlformats.org/officeDocument/2006/relationships/hyperlink" Target="https://drive.google.com/file/d/1h1YpL-TqyEbEky1f-D_FA37WkazYPh6C/view?usp=drivesdk" TargetMode="External"/><Relationship Id="rId220" Type="http://schemas.openxmlformats.org/officeDocument/2006/relationships/hyperlink" Target="https://drive.google.com/file/d/1DLXMiPTJtaj-cV4BMCQfSpkJVR1A3rDB/view?usp=drivesdk" TargetMode="External"/><Relationship Id="rId22" Type="http://schemas.openxmlformats.org/officeDocument/2006/relationships/hyperlink" Target="https://drive.google.com/file/d/1zVz0DVls0T0q0Nw8a9sVgmfrBBnx7VDU/view?usp=drivesdk" TargetMode="External"/><Relationship Id="rId219" Type="http://schemas.openxmlformats.org/officeDocument/2006/relationships/hyperlink" Target="https://drive.google.com/file/d/1b0tG7LlxP2I7zhWbYZaWxkh28HgqHz0s/view?usp=drivesdk" TargetMode="External"/><Relationship Id="rId218" Type="http://schemas.openxmlformats.org/officeDocument/2006/relationships/hyperlink" Target="https://drive.google.com/file/d/1iuScMGNcz3weEMoQVa1T_JuSW_9DH1pO/view?usp=drivesdk" TargetMode="External"/><Relationship Id="rId217" Type="http://schemas.openxmlformats.org/officeDocument/2006/relationships/hyperlink" Target="https://drive.google.com/file/d/1kw2VWoQAq_GLZWh8CMRcXuwxf4-mQw_3/view?usp=drivesdk" TargetMode="External"/><Relationship Id="rId216" Type="http://schemas.openxmlformats.org/officeDocument/2006/relationships/hyperlink" Target="https://drive.google.com/file/d/1Abd8DwLweMv1FfMWCYJdSkK3a-re0q0L/view?usp=drivesdk" TargetMode="External"/><Relationship Id="rId215" Type="http://schemas.openxmlformats.org/officeDocument/2006/relationships/hyperlink" Target="https://drive.google.com/file/d/1pJ8fD1Ok-zcawXCMQ_cRWt6M5YN8RMtR/view?usp=drivesdk" TargetMode="External"/><Relationship Id="rId214" Type="http://schemas.openxmlformats.org/officeDocument/2006/relationships/hyperlink" Target="https://drive.google.com/file/d/1aHQQRjcXI6yHCt_UP6yKuQeMFKCUgGvc/view?usp=drivesdk" TargetMode="External"/><Relationship Id="rId213" Type="http://schemas.openxmlformats.org/officeDocument/2006/relationships/hyperlink" Target="https://drive.google.com/file/d/1pRyxVlOB9oeuk3O5IIACA530apjx3-Be/view?usp=drivesdk" TargetMode="External"/><Relationship Id="rId212" Type="http://schemas.openxmlformats.org/officeDocument/2006/relationships/hyperlink" Target="https://drive.google.com/file/d/1uYLeaulkVSSo9JfLTOyoKNdPZriZ7gfN/view?usp=drivesdk" TargetMode="External"/><Relationship Id="rId211" Type="http://schemas.openxmlformats.org/officeDocument/2006/relationships/hyperlink" Target="https://drive.google.com/file/d/1qoLoPyTtfy5SLtbkTcwZ5hfG7zyYvOjI/view?usp=drivesdk" TargetMode="External"/><Relationship Id="rId210" Type="http://schemas.openxmlformats.org/officeDocument/2006/relationships/hyperlink" Target="https://drive.google.com/file/d/1uouhgNSfb35tVgSNAT8SBXbH8HW7m3t7/view?usp=drivesdk" TargetMode="External"/><Relationship Id="rId21" Type="http://schemas.openxmlformats.org/officeDocument/2006/relationships/hyperlink" Target="https://drive.google.com/file/d/1MqKqLyL1Szw5dZPMXxT46Rrs2pbCGBzG/view?usp=drivesdk" TargetMode="External"/><Relationship Id="rId209" Type="http://schemas.openxmlformats.org/officeDocument/2006/relationships/hyperlink" Target="https://drive.google.com/file/d/1bxIZJ6A0SyevCXCLRJJQsKicLHyUSel3/view?usp=drivesdk" TargetMode="External"/><Relationship Id="rId208" Type="http://schemas.openxmlformats.org/officeDocument/2006/relationships/hyperlink" Target="https://drive.google.com/file/d/1dkDs0IKNusqI0BPpiDMA33TS3N20uRcH/view?usp=drivesdk" TargetMode="External"/><Relationship Id="rId207" Type="http://schemas.openxmlformats.org/officeDocument/2006/relationships/hyperlink" Target="https://drive.google.com/file/d/13SbKXAWRec3kpm0GqTA736J4r8YLM3mP/view?usp=drivesdk" TargetMode="External"/><Relationship Id="rId206" Type="http://schemas.openxmlformats.org/officeDocument/2006/relationships/hyperlink" Target="https://drive.google.com/file/d/1IFXyXVWNPCHVMWZK264ltJrxyR8MoCNf/view?usp=drivesdk" TargetMode="External"/><Relationship Id="rId205" Type="http://schemas.openxmlformats.org/officeDocument/2006/relationships/hyperlink" Target="https://drive.google.com/file/d/1mkpgqVyWWqPHnVWFxR2j-_iHjXSrikm-/view?usp=drivesdk" TargetMode="External"/><Relationship Id="rId204" Type="http://schemas.openxmlformats.org/officeDocument/2006/relationships/hyperlink" Target="https://drive.google.com/file/d/1q6JC0ZSVeRyfzcyPXnR1oa_gZeq5Adsf/view?usp=drivesdk" TargetMode="External"/><Relationship Id="rId203" Type="http://schemas.openxmlformats.org/officeDocument/2006/relationships/hyperlink" Target="https://drive.google.com/file/d/1flqvwxcZ1eir6abRUnyvAOwW4dzbgGVN/view?usp=drivesdk" TargetMode="External"/><Relationship Id="rId202" Type="http://schemas.openxmlformats.org/officeDocument/2006/relationships/hyperlink" Target="https://drive.google.com/file/d/1w4UTxyqtJUxMIQ3h2SuY5vbDKfKYHC29/view?usp=drivesdk" TargetMode="External"/><Relationship Id="rId201" Type="http://schemas.openxmlformats.org/officeDocument/2006/relationships/hyperlink" Target="https://drive.google.com/file/d/15bp-unBGi_6QJ7i8dobY3ZYeP2skiV38/view?usp=drive_link" TargetMode="External"/><Relationship Id="rId200" Type="http://schemas.openxmlformats.org/officeDocument/2006/relationships/hyperlink" Target="https://drive.google.com/file/d/151_nNpwiYjOoHw0NaGjhK8_JSex8_d3C/view?usp=drivesdk" TargetMode="External"/><Relationship Id="rId20" Type="http://schemas.openxmlformats.org/officeDocument/2006/relationships/hyperlink" Target="https://drive.google.com/file/d/15Bc88hS6nxrWXF0LYcVoTUmlRCZ-EtKv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p9MlHvCBRNAJYexFIWsNT3b--t4fR3Rf/view?usp=drive_link" TargetMode="External"/><Relationship Id="rId198" Type="http://schemas.openxmlformats.org/officeDocument/2006/relationships/hyperlink" Target="https://drive.google.com/file/d/1asgl5SpirppgggoKXR1X8BTP0IMSs_Hq/view?usp=drivesdk" TargetMode="External"/><Relationship Id="rId197" Type="http://schemas.openxmlformats.org/officeDocument/2006/relationships/hyperlink" Target="https://drive.google.com/file/d/11AMehloheiTnLm05AokwexaOSkInZ7gu/view?usp=drivesdk" TargetMode="External"/><Relationship Id="rId196" Type="http://schemas.openxmlformats.org/officeDocument/2006/relationships/hyperlink" Target="https://drive.google.com/file/d/1SVzgo7K5HA2eBNvCm9cHE5Jjj19OQ_Yi/view?usp=drivesdk" TargetMode="External"/><Relationship Id="rId195" Type="http://schemas.openxmlformats.org/officeDocument/2006/relationships/hyperlink" Target="https://drive.google.com/file/d/1VBcUYGGVBC1eFzghNmCL6gYt5uTrB1En/view?usp=drivesdk" TargetMode="External"/><Relationship Id="rId194" Type="http://schemas.openxmlformats.org/officeDocument/2006/relationships/hyperlink" Target="https://drive.google.com/file/d/1AvwfvxAigPmn2HwcxP2r_HE5XQNTVfio/view?usp=drivesdk" TargetMode="External"/><Relationship Id="rId193" Type="http://schemas.openxmlformats.org/officeDocument/2006/relationships/hyperlink" Target="https://drive.google.com/file/d/1YHGtCN76a8nF57aGzHjkfYUeeOB51E2i/view?usp=drive_link" TargetMode="External"/><Relationship Id="rId192" Type="http://schemas.openxmlformats.org/officeDocument/2006/relationships/hyperlink" Target="https://drive.google.com/file/d/1WOEQum9D_NKi3goLKqtY1VRtvIRb4Onc/view?usp=drivesdk" TargetMode="External"/><Relationship Id="rId191" Type="http://schemas.openxmlformats.org/officeDocument/2006/relationships/hyperlink" Target="https://drive.google.com/file/d/1tYp3kf2YZfVDWXP_ppXiSk-8uC3iLHGP/view?usp=drivesdk" TargetMode="External"/><Relationship Id="rId190" Type="http://schemas.openxmlformats.org/officeDocument/2006/relationships/hyperlink" Target="https://drive.google.com/file/d/1j5G0xlpPZoN_-SJWXfCmHSvy5_f5ElVb/view?usp=drive_link" TargetMode="External"/><Relationship Id="rId19" Type="http://schemas.openxmlformats.org/officeDocument/2006/relationships/hyperlink" Target="https://drive.google.com/file/d/1MMrYNdFIDXAIq6LtHwU6gyJ4tgXw7G-u/view?usp=drivesdk" TargetMode="External"/><Relationship Id="rId189" Type="http://schemas.openxmlformats.org/officeDocument/2006/relationships/hyperlink" Target="https://drive.google.com/file/d/18R5-hqH5rhdTFHQ_-9FelFaTNFFzJh_T/view?usp=drive_link" TargetMode="External"/><Relationship Id="rId188" Type="http://schemas.openxmlformats.org/officeDocument/2006/relationships/hyperlink" Target="https://drive.google.com/file/d/15783VE4mpd_oLtq6eJkrhYXIz-t2msIl/view?usp=drivesdk" TargetMode="External"/><Relationship Id="rId187" Type="http://schemas.openxmlformats.org/officeDocument/2006/relationships/hyperlink" Target="https://drive.google.com/file/d/1B7wFLY5XROOEnCBo5MvraJCHGZSlvN2F/view?usp=drivesdk" TargetMode="External"/><Relationship Id="rId186" Type="http://schemas.openxmlformats.org/officeDocument/2006/relationships/hyperlink" Target="https://drive.google.com/file/d/13NRRwV6xx66cW1eLQgLlIoT0apkFdG3H/view?usp=drivesdk" TargetMode="External"/><Relationship Id="rId185" Type="http://schemas.openxmlformats.org/officeDocument/2006/relationships/hyperlink" Target="https://drive.google.com/file/d/1kIJWy8Qyq1_tG4qEOkxoUeJSPRJfp6E1/view?usp=drivesdk" TargetMode="External"/><Relationship Id="rId184" Type="http://schemas.openxmlformats.org/officeDocument/2006/relationships/hyperlink" Target="https://drive.google.com/file/d/1jFwwE4khA3m09oC8S5PokKW-fS3zkGV6/view?usp=drivesdk" TargetMode="External"/><Relationship Id="rId183" Type="http://schemas.openxmlformats.org/officeDocument/2006/relationships/hyperlink" Target="https://drive.google.com/file/d/1gL9HTgiVwg1lLQMCXvFIxto7Q7jAmX3t/view?usp=drivesdk" TargetMode="External"/><Relationship Id="rId182" Type="http://schemas.openxmlformats.org/officeDocument/2006/relationships/hyperlink" Target="https://drive.google.com/file/d/12Q3__owZ4sfSEGBknxHctOTH4xrGVWD7/view?usp=drive_link" TargetMode="External"/><Relationship Id="rId181" Type="http://schemas.openxmlformats.org/officeDocument/2006/relationships/hyperlink" Target="https://drive.google.com/file/d/1zJWXGJfINS9BzTK821055S7z4kP2wE92/view?usp=drive_link" TargetMode="External"/><Relationship Id="rId180" Type="http://schemas.openxmlformats.org/officeDocument/2006/relationships/hyperlink" Target="https://drive.google.com/file/d/1AX6OYh4cyvOHoTjUpWLiCag24x3ib1as/view?usp=drive_link" TargetMode="External"/><Relationship Id="rId18" Type="http://schemas.openxmlformats.org/officeDocument/2006/relationships/hyperlink" Target="https://drive.google.com/file/d/1OCCCwrKUlTy4NqUDZsCGAqlMUuEalLTg/view?usp=drivesdk" TargetMode="External"/><Relationship Id="rId179" Type="http://schemas.openxmlformats.org/officeDocument/2006/relationships/hyperlink" Target="https://drive.google.com/file/d/13amFNwY1TDp12ju5coJ_4t8OY3mdTqvo/view?usp=drive_link" TargetMode="External"/><Relationship Id="rId178" Type="http://schemas.openxmlformats.org/officeDocument/2006/relationships/hyperlink" Target="https://drive.google.com/file/d/1QNJAFIS3AcDcCYyHYBdcGhSfgl7p_oNi/view?usp=drive_link" TargetMode="External"/><Relationship Id="rId177" Type="http://schemas.openxmlformats.org/officeDocument/2006/relationships/hyperlink" Target="https://drive.google.com/file/d/1XYwMDVzh4fwDVhFcKzavALPhzJhymcTA/view?usp=drive_link" TargetMode="External"/><Relationship Id="rId176" Type="http://schemas.openxmlformats.org/officeDocument/2006/relationships/hyperlink" Target="https://drive.google.com/file/d/1XiG02UYQFZnEtTHy_-6O0J-OD0O2cJDG/view?usp=drive_link" TargetMode="External"/><Relationship Id="rId175" Type="http://schemas.openxmlformats.org/officeDocument/2006/relationships/hyperlink" Target="https://drive.google.com/file/d/1dA6BJnXLbpi0Zz_mRBTRHp76jTd3vpal/view?usp=drivesdk" TargetMode="External"/><Relationship Id="rId174" Type="http://schemas.openxmlformats.org/officeDocument/2006/relationships/hyperlink" Target="https://drive.google.com/file/d/1iQ_Q4HCJ-zDnMd1F94DucUYz7wOmhNTy/view?usp=drivesdk" TargetMode="External"/><Relationship Id="rId173" Type="http://schemas.openxmlformats.org/officeDocument/2006/relationships/hyperlink" Target="https://drive.google.com/file/d/1z9vz2r3HtntpLAZXfmgg61ZPtNs3JwGj/view?usp=drive_link" TargetMode="External"/><Relationship Id="rId172" Type="http://schemas.openxmlformats.org/officeDocument/2006/relationships/hyperlink" Target="https://drive.google.com/file/d/13UKyayGuA94wgag2vP608BSJm28F9SjK/view?usp=drivesdk" TargetMode="External"/><Relationship Id="rId171" Type="http://schemas.openxmlformats.org/officeDocument/2006/relationships/hyperlink" Target="https://drive.google.com/file/d/1zb-v3OBPe1uEGA2pfUeJYKn607Q23-VX/view?usp=drive_link" TargetMode="External"/><Relationship Id="rId170" Type="http://schemas.openxmlformats.org/officeDocument/2006/relationships/hyperlink" Target="https://drive.google.com/file/d/1vm26hGolfmIt_00AwhxaInYBeHzy-o-M/view?usp=drive_link" TargetMode="External"/><Relationship Id="rId17" Type="http://schemas.openxmlformats.org/officeDocument/2006/relationships/hyperlink" Target="https://drive.google.com/file/d/1DWHRNJ3pMF_sCvA1Cgrp7Nq-QjVOrmtQ/view?usp=drive_link" TargetMode="External"/><Relationship Id="rId169" Type="http://schemas.openxmlformats.org/officeDocument/2006/relationships/hyperlink" Target="https://drive.google.com/file/d/1hkKub4bh8GdGbmgTcs1evjim0RxAVQoz/view?usp=drive_link" TargetMode="External"/><Relationship Id="rId168" Type="http://schemas.openxmlformats.org/officeDocument/2006/relationships/hyperlink" Target="https://drive.google.com/file/d/1_zXzreSeSg3T8OGxR3-9v1X3VUpHTPc3/view?usp=drivesdk" TargetMode="External"/><Relationship Id="rId167" Type="http://schemas.openxmlformats.org/officeDocument/2006/relationships/hyperlink" Target="https://drive.google.com/file/d/1vLkz92jSiAjbZoz-m5Jqje9B1tsB1rmq/view?usp=drivesdk" TargetMode="External"/><Relationship Id="rId166" Type="http://schemas.openxmlformats.org/officeDocument/2006/relationships/hyperlink" Target="https://drive.google.com/file/d/1ohjC0u0QM9dwleJp6BUydV1-T0sVYTjs/view?usp=drive_link" TargetMode="External"/><Relationship Id="rId165" Type="http://schemas.openxmlformats.org/officeDocument/2006/relationships/hyperlink" Target="https://drive.google.com/file/d/1n6kgQYiFSfRmzvqNvEMMpvoSSKW9tNLl/view?usp=drivesdk" TargetMode="External"/><Relationship Id="rId164" Type="http://schemas.openxmlformats.org/officeDocument/2006/relationships/hyperlink" Target="https://drive.google.com/file/d/1f9YvrEEU4Hx-Gov_l-mxoXT9fJwHvlGX/view?usp=drivesdk" TargetMode="External"/><Relationship Id="rId163" Type="http://schemas.openxmlformats.org/officeDocument/2006/relationships/hyperlink" Target="https://docs.google.com/document/d/1Tbe0PVfzxCAfIsIxEjjd_PjY7DVCyvpPmoPb7jYq7uI/edit?usp=drive_link" TargetMode="External"/><Relationship Id="rId162" Type="http://schemas.openxmlformats.org/officeDocument/2006/relationships/hyperlink" Target="https://docs.google.com/document/d/11yo-N3jNXz73ot3FxtZEk7KIb7VCSJE6li2eBSuKDs4/edit?usp=drive_link" TargetMode="External"/><Relationship Id="rId161" Type="http://schemas.openxmlformats.org/officeDocument/2006/relationships/hyperlink" Target="https://docs.google.com/document/d/1KojeKbYm7_sMv6uvoWwL_UjDXkWgWfXXFipki9-a_1M/edit?usp=drive_link" TargetMode="External"/><Relationship Id="rId160" Type="http://schemas.openxmlformats.org/officeDocument/2006/relationships/hyperlink" Target="https://docs.google.com/document/d/1TCT74CQpfIc1e7CnSVSy4TKajIafLyegfq-cMsMhWKg/edit?usp=drive_link" TargetMode="External"/><Relationship Id="rId16" Type="http://schemas.openxmlformats.org/officeDocument/2006/relationships/hyperlink" Target="https://drive.google.com/file/d/1IUS8d_QOkrc_3Yf1jLvL5afjwyI3ICZg/view?usp=drive_link" TargetMode="External"/><Relationship Id="rId159" Type="http://schemas.openxmlformats.org/officeDocument/2006/relationships/hyperlink" Target="https://drive.google.com/file/d/1UMaC0dmkJLAfLNI_13AnsMMyV4D1WgRJ/view?usp=drivesdk" TargetMode="External"/><Relationship Id="rId158" Type="http://schemas.openxmlformats.org/officeDocument/2006/relationships/hyperlink" Target="https://drive.google.com/file/d/1U9ayAdpHb6nhlOC0nb79f6BxuPlwfQ9K/view?usp=drivesdk" TargetMode="External"/><Relationship Id="rId157" Type="http://schemas.openxmlformats.org/officeDocument/2006/relationships/hyperlink" Target="https://drive.google.com/file/d/18HoCA9YDoJiZI1ICrjO5DtziAZZqqASw/view?usp=drivesdk" TargetMode="External"/><Relationship Id="rId156" Type="http://schemas.openxmlformats.org/officeDocument/2006/relationships/hyperlink" Target="https://drive.google.com/file/d/1-sH-k7diCS-WDKeXQScayM3HAWW1q7sM/view?usp=drivesdk" TargetMode="External"/><Relationship Id="rId155" Type="http://schemas.openxmlformats.org/officeDocument/2006/relationships/hyperlink" Target="https://drive.google.com/file/d/1YI54nUQ9qGl4HCxnSZ9MgIOfdUXpAveO/view?usp=drivesdk" TargetMode="External"/><Relationship Id="rId154" Type="http://schemas.openxmlformats.org/officeDocument/2006/relationships/hyperlink" Target="https://drive.google.com/file/d/1yhSE8e9oSoZ1XITSkXcml25c5-I7E8OK/view?usp=drivesdk" TargetMode="External"/><Relationship Id="rId153" Type="http://schemas.openxmlformats.org/officeDocument/2006/relationships/hyperlink" Target="https://drive.google.com/file/d/1FUdhhfUN-luAroAa_KyyLtQAPWNYruGx/view?usp=drive_link" TargetMode="External"/><Relationship Id="rId152" Type="http://schemas.openxmlformats.org/officeDocument/2006/relationships/hyperlink" Target="https://drive.google.com/file/d/1PJMlwsarfJsjDOH9BR13ZC5WuNsCbsUs/view?usp=drive_link" TargetMode="External"/><Relationship Id="rId151" Type="http://schemas.openxmlformats.org/officeDocument/2006/relationships/hyperlink" Target="https://drive.google.com/file/d/1fSvGTS8bB6HuiPaZYdDiOhcl5coBTyn6/view?usp=drivesdk" TargetMode="External"/><Relationship Id="rId150" Type="http://schemas.openxmlformats.org/officeDocument/2006/relationships/hyperlink" Target="https://drive.google.com/file/d/1xZZ5XWFzSXvXAjvdoqHHi1FHnk0heuYs/view?usp=drivesdk" TargetMode="External"/><Relationship Id="rId15" Type="http://schemas.openxmlformats.org/officeDocument/2006/relationships/hyperlink" Target="https://drive.google.com/file/d/1gEAixXS_3N31vdhaFBuI34_Zwxtr4-Av/view?usp=drive_link" TargetMode="External"/><Relationship Id="rId149" Type="http://schemas.openxmlformats.org/officeDocument/2006/relationships/hyperlink" Target="https://drive.google.com/file/d/16C9A5O_2LU1qouTuL7juJbsj3tyaD1Qt/view?usp=drivesdk" TargetMode="External"/><Relationship Id="rId148" Type="http://schemas.openxmlformats.org/officeDocument/2006/relationships/hyperlink" Target="https://drive.google.com/file/d/1bNgpZa_CUI7KauO5S_wo1U7tssBuDbSN/view?usp=drivesdk" TargetMode="External"/><Relationship Id="rId147" Type="http://schemas.openxmlformats.org/officeDocument/2006/relationships/hyperlink" Target="https://drive.google.com/file/d/1sT0NJsD21pgepjH7tLuJCBFtIZQax2Wl/view?usp=drivesdk" TargetMode="External"/><Relationship Id="rId146" Type="http://schemas.openxmlformats.org/officeDocument/2006/relationships/hyperlink" Target="https://drive.google.com/file/d/1Rrq1AHOdjR2ShWbqNq2RzzfKxCAwSRZj/view?usp=drivesdk" TargetMode="External"/><Relationship Id="rId145" Type="http://schemas.openxmlformats.org/officeDocument/2006/relationships/hyperlink" Target="https://drive.google.com/file/d/16KKmcdo6AzhCKj5Fp9W20GMNYdo_wKML/view?usp=drivesdk" TargetMode="External"/><Relationship Id="rId144" Type="http://schemas.openxmlformats.org/officeDocument/2006/relationships/hyperlink" Target="https://drive.google.com/file/d/13JiJlWYw1IWnWLN_tS9c9yqU95lY_OiF/view?usp=drivesdk" TargetMode="External"/><Relationship Id="rId143" Type="http://schemas.openxmlformats.org/officeDocument/2006/relationships/hyperlink" Target="https://drive.google.com/file/d/1Vx0j5Nj4g4HBZmQou69RA8ki6wE3Lahh/view?usp=drivesdk" TargetMode="External"/><Relationship Id="rId142" Type="http://schemas.openxmlformats.org/officeDocument/2006/relationships/hyperlink" Target="https://drive.google.com/file/d/1P_BCu_2QVtE153XaJwwFH2qOnbtfw2vU/view?usp=drivesdk" TargetMode="External"/><Relationship Id="rId141" Type="http://schemas.openxmlformats.org/officeDocument/2006/relationships/hyperlink" Target="https://drive.google.com/file/d/1m9dPnqms1RkHwlmaoq6HNpVdrxXKMc4e/view?usp=sharing" TargetMode="External"/><Relationship Id="rId140" Type="http://schemas.openxmlformats.org/officeDocument/2006/relationships/hyperlink" Target="https://drive.google.com/file/d/1lWP6IvNBiSgSE8NUcRY6MtyFZvzryUVW/view?usp=sharing" TargetMode="External"/><Relationship Id="rId14" Type="http://schemas.openxmlformats.org/officeDocument/2006/relationships/hyperlink" Target="https://drive.google.com/file/d/1V_KesoUUtqOCox2hPrqsar6MiABiKfbT/view?usp=drive_link" TargetMode="External"/><Relationship Id="rId139" Type="http://schemas.openxmlformats.org/officeDocument/2006/relationships/hyperlink" Target="https://drive.google.com/file/d/1Y9flt534_FhOqa8NP_vpNuG3r3VfhlQm/view?usp=sharing" TargetMode="External"/><Relationship Id="rId138" Type="http://schemas.openxmlformats.org/officeDocument/2006/relationships/hyperlink" Target="https://drive.google.com/file/d/19I4c0_5oVLw-4BiB8pjI1bptf-OdunLg/view?usp=drivesdk" TargetMode="External"/><Relationship Id="rId137" Type="http://schemas.openxmlformats.org/officeDocument/2006/relationships/hyperlink" Target="https://drive.google.com/file/d/16IRc55EQPnwJwz1MBgv_Y1W7eI0TnC6F/view?usp=drivesdk" TargetMode="External"/><Relationship Id="rId136" Type="http://schemas.openxmlformats.org/officeDocument/2006/relationships/hyperlink" Target="https://drive.google.com/file/d/1RdAXjTxyqbfqMqUkwTxTZ16CD1Z3vhZv/view?usp=drive_link" TargetMode="External"/><Relationship Id="rId135" Type="http://schemas.openxmlformats.org/officeDocument/2006/relationships/hyperlink" Target="https://drive.google.com/file/d/1mwomjH1QGF2g853ThBERIEl_lqprdVCV/view?usp=drive_link" TargetMode="External"/><Relationship Id="rId134" Type="http://schemas.openxmlformats.org/officeDocument/2006/relationships/hyperlink" Target="https://drive.google.com/file/d/135u3tNC1zdA9J5PceHfhUccKOAjoZVtj/view?usp=drive_link" TargetMode="External"/><Relationship Id="rId133" Type="http://schemas.openxmlformats.org/officeDocument/2006/relationships/hyperlink" Target="https://drive.google.com/file/d/1jB0U0EhE5xwrMoxyjyFZrlDez1qXmX50/view?usp=drive_link" TargetMode="External"/><Relationship Id="rId132" Type="http://schemas.openxmlformats.org/officeDocument/2006/relationships/hyperlink" Target="https://drive.google.com/file/d/10LKj431l5xtZZdGiXpGZC66AJpr0hYj0/view?usp=drivesdk" TargetMode="External"/><Relationship Id="rId131" Type="http://schemas.openxmlformats.org/officeDocument/2006/relationships/hyperlink" Target="https://drive.google.com/file/d/1KA6FdgYga4tpmUzHFKs8nZfj6I10Dsnc/view?usp=drive_link" TargetMode="External"/><Relationship Id="rId130" Type="http://schemas.openxmlformats.org/officeDocument/2006/relationships/hyperlink" Target="https://drive.google.com/file/d/1vL98rafw5EdMw0g-Gukusup3IuiOeWDb/view?usp=drive_link" TargetMode="External"/><Relationship Id="rId13" Type="http://schemas.openxmlformats.org/officeDocument/2006/relationships/hyperlink" Target="https://drive.google.com/file/d/1tBQj4KBkGIcQo30fyHrHkQTaQkbdqCVJ/view?usp=drive_link" TargetMode="External"/><Relationship Id="rId129" Type="http://schemas.openxmlformats.org/officeDocument/2006/relationships/hyperlink" Target="https://drive.google.com/file/d/1yqbx43PnfXE8U_6g27LrPngfH4Nim4l-/view?usp=drivesdk" TargetMode="External"/><Relationship Id="rId128" Type="http://schemas.openxmlformats.org/officeDocument/2006/relationships/hyperlink" Target="https://drive.google.com/file/d/1WQjpqTJkN2CL63dizWOLH-FHbxYPuwVs/view?usp=drivesdk" TargetMode="External"/><Relationship Id="rId127" Type="http://schemas.openxmlformats.org/officeDocument/2006/relationships/hyperlink" Target="https://drive.google.com/file/d/1KfWKJxh2VrKitJEr0szRBuEALYNYKYBC/view?usp=drivesdk" TargetMode="External"/><Relationship Id="rId126" Type="http://schemas.openxmlformats.org/officeDocument/2006/relationships/hyperlink" Target="https://drive.google.com/file/d/11rwp4t8FCYeorWBqowC3lt4oxoiMZXGD/view?usp=drivesdk" TargetMode="External"/><Relationship Id="rId125" Type="http://schemas.openxmlformats.org/officeDocument/2006/relationships/hyperlink" Target="https://drive.google.com/file/d/14NjXiJxdPZj-jsyU8TwKzoZcgHH2Kikm/view?usp=drivesdk" TargetMode="External"/><Relationship Id="rId124" Type="http://schemas.openxmlformats.org/officeDocument/2006/relationships/hyperlink" Target="https://drive.google.com/file/d/16suSyeaCwhnYVKgszyf2w4ssKbufdRBf/view?usp=drivesdk" TargetMode="External"/><Relationship Id="rId123" Type="http://schemas.openxmlformats.org/officeDocument/2006/relationships/hyperlink" Target="https://drive.google.com/file/d/1QwVsrlCn-vJKPmMmbOEuyVZPenw3zLAi/view?usp=drivesdk" TargetMode="External"/><Relationship Id="rId122" Type="http://schemas.openxmlformats.org/officeDocument/2006/relationships/hyperlink" Target="https://drive.google.com/file/d/1dEXWzbjvlXlAtXnVegOKsP-FK2X8icyG/view?usp=drivesdk" TargetMode="External"/><Relationship Id="rId121" Type="http://schemas.openxmlformats.org/officeDocument/2006/relationships/hyperlink" Target="https://drive.google.com/file/d/1T7BS5aUu1suc6oUZAUJSkrbr1ggrqk4F/view?usp=drivesdk" TargetMode="External"/><Relationship Id="rId120" Type="http://schemas.openxmlformats.org/officeDocument/2006/relationships/hyperlink" Target="https://drive.google.com/file/d/12Rz9Bst1qc788H8Zh8yXBmnHPzzrN93P/view?usp=drivesdk" TargetMode="External"/><Relationship Id="rId12" Type="http://schemas.openxmlformats.org/officeDocument/2006/relationships/hyperlink" Target="https://drive.google.com/file/d/1xBnJaVPqkzMOXYrs7FDEX7fsJh1bBOlL/view?usp=drive_link" TargetMode="External"/><Relationship Id="rId119" Type="http://schemas.openxmlformats.org/officeDocument/2006/relationships/hyperlink" Target="https://drive.google.com/file/d/1KiLSQnjJ2psEDDxubsd4qAIGYURZhEgV/view?usp=share_link" TargetMode="External"/><Relationship Id="rId118" Type="http://schemas.openxmlformats.org/officeDocument/2006/relationships/hyperlink" Target="https://drive.google.com/file/d/1QHgzzBJNnFVv7Q4ZFvEihpGjk4Z1zaPp/view?usp=drivesdk" TargetMode="External"/><Relationship Id="rId117" Type="http://schemas.openxmlformats.org/officeDocument/2006/relationships/hyperlink" Target="https://drive.google.com/file/d/1ovJmNjOlfEf62x4Im3HNRvI9DtrFZ9Sr/view?usp=drivesdk" TargetMode="External"/><Relationship Id="rId116" Type="http://schemas.openxmlformats.org/officeDocument/2006/relationships/hyperlink" Target="https://drive.google.com/file/d/1waraBZBCOsJq0_rFPrXInBkspp7KcD0g/view?usp=drivesdk" TargetMode="External"/><Relationship Id="rId115" Type="http://schemas.openxmlformats.org/officeDocument/2006/relationships/hyperlink" Target="https://drive.google.com/file/d/10GW4FACg3bdcBCeLjSYcb833mvK73Nsk/view?usp=drive_link" TargetMode="External"/><Relationship Id="rId114" Type="http://schemas.openxmlformats.org/officeDocument/2006/relationships/hyperlink" Target="https://drive.google.com/file/d/1lDxJBcuIu3TFbYeDrmoCWNkC3Q7oRWtQ/view?usp=drivesdk" TargetMode="External"/><Relationship Id="rId113" Type="http://schemas.openxmlformats.org/officeDocument/2006/relationships/hyperlink" Target="https://drive.google.com/file/d/1JJxXXDiBnkpOvq2wjJstoqS76vydmnah/view?usp=drivesdk" TargetMode="External"/><Relationship Id="rId112" Type="http://schemas.openxmlformats.org/officeDocument/2006/relationships/hyperlink" Target="https://drive.google.com/file/d/1TlMcYAuNXaqhxEmWpXQUqvfAQAk46AGx/view?usp=drive_link" TargetMode="External"/><Relationship Id="rId111" Type="http://schemas.openxmlformats.org/officeDocument/2006/relationships/hyperlink" Target="https://drive.google.com/file/d/14umXqhwx7Hk32DAHiMx_-VPdZofNm0z2/view?usp=drivesdk" TargetMode="External"/><Relationship Id="rId110" Type="http://schemas.openxmlformats.org/officeDocument/2006/relationships/hyperlink" Target="https://drive.google.com/file/d/1aY6-wolra3d4A0ttvVkD6luYdeaD4l7c/view?usp=drivesdk" TargetMode="External"/><Relationship Id="rId11" Type="http://schemas.openxmlformats.org/officeDocument/2006/relationships/hyperlink" Target="https://drive.google.com/file/d/1n_sxnq85b2lKGL26GnirBYDfp3Laq_a-/view?usp=drive_link" TargetMode="External"/><Relationship Id="rId109" Type="http://schemas.openxmlformats.org/officeDocument/2006/relationships/hyperlink" Target="https://drive.google.com/file/d/1s5ZFWy4lgKTWx1VTywtJJzs4tASXleI9/view?usp=drivesdk" TargetMode="External"/><Relationship Id="rId108" Type="http://schemas.openxmlformats.org/officeDocument/2006/relationships/hyperlink" Target="https://drive.google.com/file/d/1y28oNcvflHApb5YBGVUOpaKsxzLbeTTp/view?usp=drivesdk" TargetMode="External"/><Relationship Id="rId107" Type="http://schemas.openxmlformats.org/officeDocument/2006/relationships/hyperlink" Target="https://drive.google.com/file/d/17SJTGdOIPyZoBVvb3OcOJmQ_95JfuaZ5/view?usp=drivesdk" TargetMode="External"/><Relationship Id="rId106" Type="http://schemas.openxmlformats.org/officeDocument/2006/relationships/hyperlink" Target="https://drive.google.com/file/d/16by67tCJFVKHKykzeCeia17gpwlOfXpO/view?usp=drivesdk" TargetMode="External"/><Relationship Id="rId105" Type="http://schemas.openxmlformats.org/officeDocument/2006/relationships/hyperlink" Target="https://drive.google.com/file/d/1FnlIWyliZjBpKGWlrZWC0ZLvdC1mSeRT/view?usp=drive_link" TargetMode="External"/><Relationship Id="rId104" Type="http://schemas.openxmlformats.org/officeDocument/2006/relationships/hyperlink" Target="https://drive.google.com/file/d/1pSBWMwByQ3bS1TS6p1JDl_bfYDZPEKhO/view?usp=drivesdk" TargetMode="External"/><Relationship Id="rId103" Type="http://schemas.openxmlformats.org/officeDocument/2006/relationships/hyperlink" Target="https://drive.google.com/file/d/1cDws5m82y0QLaMQjQn4nPhQjGbKZTTHM/view?usp=drive_link" TargetMode="External"/><Relationship Id="rId102" Type="http://schemas.openxmlformats.org/officeDocument/2006/relationships/hyperlink" Target="https://drive.google.com/file/d/1wph9zlC06HPR6sLyJB2CA14nwySD_6ES/view?usp=drive_link" TargetMode="External"/><Relationship Id="rId101" Type="http://schemas.openxmlformats.org/officeDocument/2006/relationships/hyperlink" Target="https://drive.google.com/file/d/1TvB9GBclhW4rhP04DhbIb_b9Hdo5pqQV/view?usp=drive_link" TargetMode="External"/><Relationship Id="rId100" Type="http://schemas.openxmlformats.org/officeDocument/2006/relationships/hyperlink" Target="https://drive.google.com/file/d/1ctDgbYciQzWvUHJfho5-NJ-Nj4A7_znS/view?usp=drive_link" TargetMode="External"/><Relationship Id="rId10" Type="http://schemas.openxmlformats.org/officeDocument/2006/relationships/hyperlink" Target="https://drive.google.com/file/d/1vAilJIwOsp4XAuK_CHrcMGeHYpph1rEL/view?usp=drive_link" TargetMode="External"/><Relationship Id="rId1" Type="http://schemas.openxmlformats.org/officeDocument/2006/relationships/hyperlink" Target="http://s.no/" TargetMode="External"/></Relationships>
</file>

<file path=xl/worksheets/_rels/sheet25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Vx0j5Nj4g4HBZmQou69RA8ki6wE3Lahh/view?usp=drivesdk" TargetMode="External"/><Relationship Id="rId98" Type="http://schemas.openxmlformats.org/officeDocument/2006/relationships/hyperlink" Target="https://drive.google.com/file/d/1P_BCu_2QVtE153XaJwwFH2qOnbtfw2vU/view?usp=drivesdk" TargetMode="External"/><Relationship Id="rId97" Type="http://schemas.openxmlformats.org/officeDocument/2006/relationships/hyperlink" Target="https://drive.google.com/file/d/1KiLSQnjJ2psEDDxubsd4qAIGYURZhEgV/view?usp=share_link" TargetMode="External"/><Relationship Id="rId96" Type="http://schemas.openxmlformats.org/officeDocument/2006/relationships/hyperlink" Target="https://drive.google.com/file/d/1m9dPnqms1RkHwlmaoq6HNpVdrxXKMc4e/view?usp=sharing" TargetMode="External"/><Relationship Id="rId95" Type="http://schemas.openxmlformats.org/officeDocument/2006/relationships/hyperlink" Target="https://drive.google.com/file/d/1lWP6IvNBiSgSE8NUcRY6MtyFZvzryUVW/view?usp=sharing" TargetMode="External"/><Relationship Id="rId94" Type="http://schemas.openxmlformats.org/officeDocument/2006/relationships/hyperlink" Target="https://drive.google.com/file/d/1Y9flt534_FhOqa8NP_vpNuG3r3VfhlQm/view?usp=sharing" TargetMode="External"/><Relationship Id="rId93" Type="http://schemas.openxmlformats.org/officeDocument/2006/relationships/hyperlink" Target="https://drive.google.com/file/d/1sT0NJsD21pgepjH7tLuJCBFtIZQax2Wl/view?usp=drivesdk" TargetMode="External"/><Relationship Id="rId92" Type="http://schemas.openxmlformats.org/officeDocument/2006/relationships/hyperlink" Target="https://drive.google.com/file/d/18ueBKNiLx_qMQGWWAwsMx3AwCOr1zXzs/view?usp=drivesdk" TargetMode="External"/><Relationship Id="rId91" Type="http://schemas.openxmlformats.org/officeDocument/2006/relationships/hyperlink" Target="https://drive.google.com/file/d/1EoQqe_wzL5E6hm9JFrG8aErbmcHafa8C/view?usp=drivesdk" TargetMode="External"/><Relationship Id="rId90" Type="http://schemas.openxmlformats.org/officeDocument/2006/relationships/hyperlink" Target="https://drive.google.com/file/d/1PHv5SowWdHLPDwAmdCWH5ARL1Z38hfYO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8HTrtI8KIzcwPDrXi0nqp6RPtcqsk4FA/view?usp=drivesdk" TargetMode="External"/><Relationship Id="rId88" Type="http://schemas.openxmlformats.org/officeDocument/2006/relationships/hyperlink" Target="https://drive.google.com/file/d/17pRvmaCFzqLMQRC7wnvA4L82a4VoqSNb/view?usp=drivesdk" TargetMode="External"/><Relationship Id="rId87" Type="http://schemas.openxmlformats.org/officeDocument/2006/relationships/hyperlink" Target="https://drive.google.com/file/d/14NjXiJxdPZj-jsyU8TwKzoZcgHH2Kikm/view?usp=drivesdk" TargetMode="External"/><Relationship Id="rId86" Type="http://schemas.openxmlformats.org/officeDocument/2006/relationships/hyperlink" Target="https://drive.google.com/file/d/1GrGA4TyYwG1MhtL3_f1BynYYPOQUPYfI/view?usp=drivesdk" TargetMode="External"/><Relationship Id="rId85" Type="http://schemas.openxmlformats.org/officeDocument/2006/relationships/hyperlink" Target="https://drive.google.com/file/d/1exXucVZqcE3RkfVT9eWgvz1GrwgUcOGs/view?usp=drivesdk" TargetMode="External"/><Relationship Id="rId84" Type="http://schemas.openxmlformats.org/officeDocument/2006/relationships/hyperlink" Target="https://drive.google.com/file/d/1G_2h17dEDSJ0sJVLA7KEA3Wy18Qic-lD/view?usp=drivesdk" TargetMode="External"/><Relationship Id="rId83" Type="http://schemas.openxmlformats.org/officeDocument/2006/relationships/hyperlink" Target="https://drive.google.com/file/d/1d7EFuXhUJIVdNfyP-VvbEov7OxOUhnjX/view?usp=drivesdk" TargetMode="External"/><Relationship Id="rId82" Type="http://schemas.openxmlformats.org/officeDocument/2006/relationships/hyperlink" Target="https://drive.google.com/file/d/1V4kAOaTdr-GtYhnXv7gzQBE3ZR7ZPlKK/view?usp=drive_link" TargetMode="External"/><Relationship Id="rId81" Type="http://schemas.openxmlformats.org/officeDocument/2006/relationships/hyperlink" Target="https://drive.google.com/file/d/1Q3MLsC3HPDUwIk0LuSHUtLVSOuBH_O4N/view?usp=drivesdk" TargetMode="External"/><Relationship Id="rId80" Type="http://schemas.openxmlformats.org/officeDocument/2006/relationships/hyperlink" Target="https://drive.google.com/file/d/1HZnPMnXtZ0QO_7Mg1rBnqh1WGOP3akH4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LWD7yTNI0RJDRsb9uJmf_DlCrtRgUKyY/view?usp=drivesdk" TargetMode="External"/><Relationship Id="rId78" Type="http://schemas.openxmlformats.org/officeDocument/2006/relationships/hyperlink" Target="https://drive.google.com/file/d/1ugQovbHhHiatqYgFZRiOkMLioEJ1sY9o/view?usp=drivesdk" TargetMode="External"/><Relationship Id="rId77" Type="http://schemas.openxmlformats.org/officeDocument/2006/relationships/hyperlink" Target="https://drive.google.com/file/d/1VO8wG6RTf64Yu5WlHt4RNVEAlHxdXRIv/view?usp=drivesdk" TargetMode="External"/><Relationship Id="rId76" Type="http://schemas.openxmlformats.org/officeDocument/2006/relationships/hyperlink" Target="https://drive.google.com/file/d/1QLtgZLOi46VR-Umszotzw09fP7Prc0Sq/view?usp=drivesdk" TargetMode="External"/><Relationship Id="rId75" Type="http://schemas.openxmlformats.org/officeDocument/2006/relationships/hyperlink" Target="https://drive.google.com/file/d/14wIqiKajOELWiaI-p64Cs1Xs3kxBqO4v/view?usp=drivesdk" TargetMode="External"/><Relationship Id="rId74" Type="http://schemas.openxmlformats.org/officeDocument/2006/relationships/hyperlink" Target="https://drive.google.com/file/d/1hLGDUrXqBvHMOAiLQE0q9BoTCTu2K7ao/view?usp=drivesdk" TargetMode="External"/><Relationship Id="rId73" Type="http://schemas.openxmlformats.org/officeDocument/2006/relationships/hyperlink" Target="https://drive.google.com/file/d/18HoCA9YDoJiZI1ICrjO5DtziAZZqqASw/view?usp=drivesdk" TargetMode="External"/><Relationship Id="rId72" Type="http://schemas.openxmlformats.org/officeDocument/2006/relationships/hyperlink" Target="https://drive.google.com/file/d/1-sH-k7diCS-WDKeXQScayM3HAWW1q7sM/view?usp=drivesdk" TargetMode="External"/><Relationship Id="rId71" Type="http://schemas.openxmlformats.org/officeDocument/2006/relationships/hyperlink" Target="https://drive.google.com/file/d/1rpjbS-bDB20v4so-ORafAkM7plMXgvVt/view?usp=drivesdk" TargetMode="External"/><Relationship Id="rId70" Type="http://schemas.openxmlformats.org/officeDocument/2006/relationships/hyperlink" Target="https://drive.google.com/file/d/1Jd1pNOhKfow7rDb2cXcXuMaKkq3scBym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4GkYuSFockovOVePXY3kQGt-QIydDele/view?usp=drive_link" TargetMode="External"/><Relationship Id="rId68" Type="http://schemas.openxmlformats.org/officeDocument/2006/relationships/hyperlink" Target="https://drive.google.com/file/d/1YI54nUQ9qGl4HCxnSZ9MgIOfdUXpAveO/view?usp=drivesdk" TargetMode="External"/><Relationship Id="rId67" Type="http://schemas.openxmlformats.org/officeDocument/2006/relationships/hyperlink" Target="https://drive.google.com/file/d/1yhSE8e9oSoZ1XITSkXcml25c5-I7E8OK/view?usp=drivesdk" TargetMode="External"/><Relationship Id="rId66" Type="http://schemas.openxmlformats.org/officeDocument/2006/relationships/hyperlink" Target="https://drive.google.com/file/d/19I4c0_5oVLw-4BiB8pjI1bptf-OdunLg/view?usp=drivesdk" TargetMode="External"/><Relationship Id="rId65" Type="http://schemas.openxmlformats.org/officeDocument/2006/relationships/hyperlink" Target="https://drive.google.com/file/d/16IRc55EQPnwJwz1MBgv_Y1W7eI0TnC6F/view?usp=drivesdk" TargetMode="External"/><Relationship Id="rId64" Type="http://schemas.openxmlformats.org/officeDocument/2006/relationships/hyperlink" Target="https://drive.google.com/file/d/11itxCKs7_1wrdjNgkLJy60XgxMCdImZ8/view?usp=drivesdk" TargetMode="External"/><Relationship Id="rId63" Type="http://schemas.openxmlformats.org/officeDocument/2006/relationships/hyperlink" Target="https://drive.google.com/file/d/1Yy8fpURlINeYfCy7rrZmDKFYHuyxD4iQ/view?usp=drivesdk" TargetMode="External"/><Relationship Id="rId62" Type="http://schemas.openxmlformats.org/officeDocument/2006/relationships/hyperlink" Target="https://drive.google.com/file/d/1FtIA5xRRdfg0DMeFhk4cK9fSTdReYxn_/view?usp=drivesdk" TargetMode="External"/><Relationship Id="rId61" Type="http://schemas.openxmlformats.org/officeDocument/2006/relationships/hyperlink" Target="https://drive.google.com/file/d/1v38ptVE_U4sgNuUAuiiQTJuuhlHb7jFl/view?usp=drive_link" TargetMode="External"/><Relationship Id="rId60" Type="http://schemas.openxmlformats.org/officeDocument/2006/relationships/hyperlink" Target="https://drive.google.com/file/d/1UL3NuZgOCt4s4K1Lmw0E4054Vvcygtkf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HXZTAZQL0VArZ_9hBhMjaP1mlNRqP8T5/view?usp=drive_link" TargetMode="External"/><Relationship Id="rId58" Type="http://schemas.openxmlformats.org/officeDocument/2006/relationships/hyperlink" Target="https://drive.google.com/file/d/1KLs3uxdiaRJWETPsO6CmyTUanKwokaZa/view?usp=drive_link" TargetMode="External"/><Relationship Id="rId57" Type="http://schemas.openxmlformats.org/officeDocument/2006/relationships/hyperlink" Target="https://drive.google.com/file/d/1ULg6wSSFgz4hxLake3pNnzRocvpPmZYZ/view?usp=drivesdk" TargetMode="External"/><Relationship Id="rId56" Type="http://schemas.openxmlformats.org/officeDocument/2006/relationships/hyperlink" Target="https://drive.google.com/file/d/1-aGhYs7ao10VRy2guue-uTg4Xq65DWCb/view?usp=drivesdk" TargetMode="External"/><Relationship Id="rId55" Type="http://schemas.openxmlformats.org/officeDocument/2006/relationships/hyperlink" Target="https://drive.google.com/file/d/1gdaUpwcvEEPj3F4ukVHIDBTYWmdw2MMT/view?usp=drivesdk" TargetMode="External"/><Relationship Id="rId54" Type="http://schemas.openxmlformats.org/officeDocument/2006/relationships/hyperlink" Target="https://drive.google.com/file/d/1G6kH8R6hjEGmJmuU2Q1QejweKqjRW6DP/view?usp=drivesdk" TargetMode="External"/><Relationship Id="rId53" Type="http://schemas.openxmlformats.org/officeDocument/2006/relationships/hyperlink" Target="https://drive.google.com/file/d/1LQkh8x3zwwOEGBzYg73i26Jpewo6cs3D/view?usp=drivesdk" TargetMode="External"/><Relationship Id="rId52" Type="http://schemas.openxmlformats.org/officeDocument/2006/relationships/hyperlink" Target="https://drive.google.com/file/d/1wGPC1ILzmoS_NSdfsBEMDa6PUvmHiITQ/view?usp=drivesdk" TargetMode="External"/><Relationship Id="rId51" Type="http://schemas.openxmlformats.org/officeDocument/2006/relationships/hyperlink" Target="https://drive.google.com/file/d/11pMXP9LzQDSOCFcGyZ30h0N4_459t-8T/view?usp=drivesdk" TargetMode="External"/><Relationship Id="rId50" Type="http://schemas.openxmlformats.org/officeDocument/2006/relationships/hyperlink" Target="https://drive.google.com/file/d/1WFj0LyCScVrmb41N-RuRU2HZGx5A4QUM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8_RD9xZabwO2JP75PawLVIgZiRHanJ7r/view?usp=drivesdk" TargetMode="External"/><Relationship Id="rId48" Type="http://schemas.openxmlformats.org/officeDocument/2006/relationships/hyperlink" Target="https://drive.google.com/file/d/1Ak6smEd55cnbU6cgiHWyy16Q1-XSYz02/view?usp=drivesdk" TargetMode="External"/><Relationship Id="rId47" Type="http://schemas.openxmlformats.org/officeDocument/2006/relationships/hyperlink" Target="https://drive.google.com/file/d/1KHPev2Kq3qVrGscAO2uuo7yScy8y8Sup/view?usp=drivesdk" TargetMode="External"/><Relationship Id="rId46" Type="http://schemas.openxmlformats.org/officeDocument/2006/relationships/hyperlink" Target="https://drive.google.com/file/d/16VUgmeIgOqD2kCbL2vOnNnCK5A21jtS6/view?usp=drivesdk" TargetMode="External"/><Relationship Id="rId45" Type="http://schemas.openxmlformats.org/officeDocument/2006/relationships/hyperlink" Target="https://drive.google.com/file/d/1MUFzAJo5LSzmpdhI889kEhDZ0xKqImSg/view?usp=drivesdk" TargetMode="External"/><Relationship Id="rId44" Type="http://schemas.openxmlformats.org/officeDocument/2006/relationships/hyperlink" Target="https://drive.google.com/file/d/16C9A5O_2LU1qouTuL7juJbsj3tyaD1Qt/view?usp=drivesdk" TargetMode="External"/><Relationship Id="rId43" Type="http://schemas.openxmlformats.org/officeDocument/2006/relationships/hyperlink" Target="https://drive.google.com/file/d/1xZZ5XWFzSXvXAjvdoqHHi1FHnk0heuYs/view?usp=drivesdk" TargetMode="External"/><Relationship Id="rId42" Type="http://schemas.openxmlformats.org/officeDocument/2006/relationships/hyperlink" Target="https://drive.google.com/file/d/1JpfRw7AKi5vyFGzJYU8Gt0AbdcnM-XIR/view?usp=drivesdk" TargetMode="External"/><Relationship Id="rId41" Type="http://schemas.openxmlformats.org/officeDocument/2006/relationships/hyperlink" Target="https://drive.google.com/file/d/1ODbvUqRQqa0vgDKn1aCSa1ExOjI5eU6s/view?usp=drivesdk" TargetMode="External"/><Relationship Id="rId40" Type="http://schemas.openxmlformats.org/officeDocument/2006/relationships/hyperlink" Target="https://drive.google.com/file/d/1l0CarlJRdXeKckzjv5vdH8ZMNbVSDSFn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6-Aw559LRobGzObL2CIZzbedS2huPzfM/view?usp=drivesdk" TargetMode="External"/><Relationship Id="rId38" Type="http://schemas.openxmlformats.org/officeDocument/2006/relationships/hyperlink" Target="https://drive.google.com/file/d/1l9qfxWgKh-kHCOlLJw3rYD8TsqzZQ0Vg/view?usp=drivesdk" TargetMode="External"/><Relationship Id="rId37" Type="http://schemas.openxmlformats.org/officeDocument/2006/relationships/hyperlink" Target="https://drive.google.com/file/d/1WQjpqTJkN2CL63dizWOLH-FHbxYPuwVs/view?usp=drivesdk" TargetMode="External"/><Relationship Id="rId36" Type="http://schemas.openxmlformats.org/officeDocument/2006/relationships/hyperlink" Target="https://drive.google.com/file/d/1YhQfmy0rQa_3l9AQYACCpU7Fqq-FOQEI/view?usp=drivesdk" TargetMode="External"/><Relationship Id="rId35" Type="http://schemas.openxmlformats.org/officeDocument/2006/relationships/hyperlink" Target="https://drive.google.com/file/d/1SyqKT5bF5AaGYQgD2j5JSrpmJiBMLybn/view?usp=drivesdk" TargetMode="External"/><Relationship Id="rId34" Type="http://schemas.openxmlformats.org/officeDocument/2006/relationships/hyperlink" Target="https://drive.google.com/file/d/1WAIV9EzRLNkmkzUDIIR1DMXykSJnRqNQ/view?usp=drivesdk" TargetMode="External"/><Relationship Id="rId33" Type="http://schemas.openxmlformats.org/officeDocument/2006/relationships/hyperlink" Target="https://drive.google.com/file/d/1hO6981dWlr7a4rY7wKkphIA6DUHyv1ca/view?usp=drivesdk" TargetMode="External"/><Relationship Id="rId32" Type="http://schemas.openxmlformats.org/officeDocument/2006/relationships/hyperlink" Target="https://drive.google.com/file/d/1GgU8otZVWYUtpfGoGJVaWq9OiwS6VyWR/view?usp=drivesdk" TargetMode="External"/><Relationship Id="rId31" Type="http://schemas.openxmlformats.org/officeDocument/2006/relationships/hyperlink" Target="https://drive.google.com/file/d/1050KPyHqjlRunLX-RfleyqLFilvJdS5r/view?usp=drivesdk" TargetMode="External"/><Relationship Id="rId30" Type="http://schemas.openxmlformats.org/officeDocument/2006/relationships/hyperlink" Target="https://drive.google.com/file/d/1wYVnj5xHuiqQU2FLKpl5j3MbxNgNSDWL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o0OLsExMHFILiIbYa1DQUK1cQas1fE5f/view?usp=drive_link" TargetMode="External"/><Relationship Id="rId28" Type="http://schemas.openxmlformats.org/officeDocument/2006/relationships/hyperlink" Target="https://drive.google.com/file/d/1GAOKW88G1x3QZaSmVsHqAYI--KPr9e8V/view?usp=drive_link" TargetMode="External"/><Relationship Id="rId27" Type="http://schemas.openxmlformats.org/officeDocument/2006/relationships/hyperlink" Target="https://drive.google.com/file/d/1JmOAm4079UzechP2QZhlcGLcKATeh1NC/view?usp=drivesdk" TargetMode="External"/><Relationship Id="rId26" Type="http://schemas.openxmlformats.org/officeDocument/2006/relationships/hyperlink" Target="https://drive.google.com/file/d/1LKMYyqlNdTpBAJHzScOqSYbwoX-Sj7CT/view?usp=drivesdk" TargetMode="External"/><Relationship Id="rId25" Type="http://schemas.openxmlformats.org/officeDocument/2006/relationships/hyperlink" Target="https://drive.google.com/file/d/1-OL0ijLcO4oCmNnZTW_Y7BHwMB4uUQVK/view" TargetMode="External"/><Relationship Id="rId24" Type="http://schemas.openxmlformats.org/officeDocument/2006/relationships/hyperlink" Target="https://drive.google.com/file/d/1Sye9_tfW3vCUCuzfO04RicfVtkkhBLUa/view" TargetMode="External"/><Relationship Id="rId23" Type="http://schemas.openxmlformats.org/officeDocument/2006/relationships/hyperlink" Target="https://drive.google.com/file/d/1j6z_L7F1ez8ItqPnrQsPNGg2j38KtlgG/view" TargetMode="External"/><Relationship Id="rId22" Type="http://schemas.openxmlformats.org/officeDocument/2006/relationships/hyperlink" Target="https://drive.google.com/file/d/1sFDM_grDHNQoFssiRNDRYHiZ-v5Cz_mM/view?usp=drivesdk" TargetMode="External"/><Relationship Id="rId21" Type="http://schemas.openxmlformats.org/officeDocument/2006/relationships/hyperlink" Target="https://drive.google.com/file/d/1zVz0DVls0T0q0Nw8a9sVgmfrBBnx7VDU/view?usp=drivesdk" TargetMode="External"/><Relationship Id="rId207" Type="http://schemas.openxmlformats.org/officeDocument/2006/relationships/hyperlink" Target="https://drive.google.com/file/d/1z6DqqghGz5_1wHnScD8k48HgKfz0Zk9I/view?usp=sharing" TargetMode="External"/><Relationship Id="rId206" Type="http://schemas.openxmlformats.org/officeDocument/2006/relationships/hyperlink" Target="https://drive.google.com/file/d/1HvfXkFjLiHRPwmnYl-3JLNG2OHocGWGJ/view?usp=drive_link" TargetMode="External"/><Relationship Id="rId205" Type="http://schemas.openxmlformats.org/officeDocument/2006/relationships/hyperlink" Target="https://drive.google.com/file/d/1O8IFerN_b1OVb1CN9mQGTjYZpOKGoITY/view?usp=drive_link" TargetMode="External"/><Relationship Id="rId204" Type="http://schemas.openxmlformats.org/officeDocument/2006/relationships/hyperlink" Target="https://drive.google.com/file/d/1g_9nh_hqVHEgyFmCYgVlJFmL1Aj6XSjP/view?usp=drive_link" TargetMode="External"/><Relationship Id="rId203" Type="http://schemas.openxmlformats.org/officeDocument/2006/relationships/hyperlink" Target="https://drive.google.com/file/d/1pO45KJ2Anjf1wjhdMDATmYcrXCytLB3y/view?usp=sharing" TargetMode="External"/><Relationship Id="rId202" Type="http://schemas.openxmlformats.org/officeDocument/2006/relationships/hyperlink" Target="https://drive.google.com/file/d/1ayKyx-7T7TwOte_gGFgfgCxWiVa8Cg8m/view?usp=drive_link" TargetMode="External"/><Relationship Id="rId201" Type="http://schemas.openxmlformats.org/officeDocument/2006/relationships/hyperlink" Target="https://drive.google.com/file/d/1VXVL_r3DoAz3I_u0DD1X5QX9FVNRikkd/view?usp=drive_link" TargetMode="External"/><Relationship Id="rId200" Type="http://schemas.openxmlformats.org/officeDocument/2006/relationships/hyperlink" Target="https://drive.google.com/file/d/14S--Kd5Vl3YSMCHzwwYt_kQIgxGm_Zbg/view?usp=drive_link" TargetMode="External"/><Relationship Id="rId20" Type="http://schemas.openxmlformats.org/officeDocument/2006/relationships/hyperlink" Target="https://drive.google.com/file/d/1MqKqLyL1Szw5dZPMXxT46Rrs2pbCGBzG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n-OVjxMOvOjL1phlSkz8eviOukA2jLci/view?usp=drive_link" TargetMode="External"/><Relationship Id="rId198" Type="http://schemas.openxmlformats.org/officeDocument/2006/relationships/hyperlink" Target="https://drive.google.com/file/d/1_wspiI7N_dRs_vE3p2pH0rc8yAcF-pg4/view?usp=drive_link" TargetMode="External"/><Relationship Id="rId197" Type="http://schemas.openxmlformats.org/officeDocument/2006/relationships/hyperlink" Target="https://drive.google.com/file/d/1WXt01Z5DyEaibfcb9yjRvC37GnJBijOf/view?usp=drive_link" TargetMode="External"/><Relationship Id="rId196" Type="http://schemas.openxmlformats.org/officeDocument/2006/relationships/hyperlink" Target="https://drive.google.com/file/d/12CBiVkqByJdiB_fExvTvqpU9ylB2Sy3W/view?usp=drive_link" TargetMode="External"/><Relationship Id="rId195" Type="http://schemas.openxmlformats.org/officeDocument/2006/relationships/hyperlink" Target="https://drive.google.com/file/d/1rjwl5CZZjBCqyIHHwyVOtiklXu_rVxIO/view?usp=drive_link" TargetMode="External"/><Relationship Id="rId194" Type="http://schemas.openxmlformats.org/officeDocument/2006/relationships/hyperlink" Target="https://drive.google.com/file/d/1imOf8cO4LrDK_1VGlnSJPrR4OAx8Sd2B/view?usp=drive_link" TargetMode="External"/><Relationship Id="rId193" Type="http://schemas.openxmlformats.org/officeDocument/2006/relationships/hyperlink" Target="https://drive.google.com/file/d/10aHD4D4de3IMNUlj2mTv1iugbhs7vm95/view?usp=drive_link" TargetMode="External"/><Relationship Id="rId192" Type="http://schemas.openxmlformats.org/officeDocument/2006/relationships/hyperlink" Target="https://drive.google.com/file/d/15MHSo23sHhYQuvGI6Rdc88aGx1MXVhlF/view?usp=drive_link" TargetMode="External"/><Relationship Id="rId191" Type="http://schemas.openxmlformats.org/officeDocument/2006/relationships/hyperlink" Target="https://drive.google.com/file/d/1z2yIzp0ZbgM-WXwFf0MlJEXezfRG53OZ/view?usp=drive_link" TargetMode="External"/><Relationship Id="rId190" Type="http://schemas.openxmlformats.org/officeDocument/2006/relationships/hyperlink" Target="https://drive.google.com/file/d/1biD_OWP2awFT111gaTpBNNr3AS3NDINn/view?usp=drive_link" TargetMode="External"/><Relationship Id="rId19" Type="http://schemas.openxmlformats.org/officeDocument/2006/relationships/hyperlink" Target="https://drive.google.com/file/d/15Bc88hS6nxrWXF0LYcVoTUmlRCZ-EtKv/view?usp=drivesdk" TargetMode="External"/><Relationship Id="rId189" Type="http://schemas.openxmlformats.org/officeDocument/2006/relationships/hyperlink" Target="https://drive.google.com/file/d/1wTcRpLfkpOMVY3hw2QTUv6LQcB9cOzat/view?usp=drive_link" TargetMode="External"/><Relationship Id="rId188" Type="http://schemas.openxmlformats.org/officeDocument/2006/relationships/hyperlink" Target="https://drive.google.com/file/d/1yW-_9zBLG_Fn_N-ncjuONsbvuMuwbPmv/view?usp=drive_link" TargetMode="External"/><Relationship Id="rId187" Type="http://schemas.openxmlformats.org/officeDocument/2006/relationships/hyperlink" Target="https://drive.google.com/file/d/1RdAXjTxyqbfqMqUkwTxTZ16CD1Z3vhZv/view?usp=drive_link" TargetMode="External"/><Relationship Id="rId186" Type="http://schemas.openxmlformats.org/officeDocument/2006/relationships/hyperlink" Target="https://drive.google.com/file/d/1mwomjH1QGF2g853ThBERIEl_lqprdVCV/view?usp=drive_link" TargetMode="External"/><Relationship Id="rId185" Type="http://schemas.openxmlformats.org/officeDocument/2006/relationships/hyperlink" Target="https://drive.google.com/file/d/135u3tNC1zdA9J5PceHfhUccKOAjoZVtj/view?usp=drive_link" TargetMode="External"/><Relationship Id="rId184" Type="http://schemas.openxmlformats.org/officeDocument/2006/relationships/hyperlink" Target="https://drive.google.com/file/d/1jB0U0EhE5xwrMoxyjyFZrlDez1qXmX50/view?usp=drive_link" TargetMode="External"/><Relationship Id="rId183" Type="http://schemas.openxmlformats.org/officeDocument/2006/relationships/hyperlink" Target="https://drive.google.com/file/d/10LKj431l5xtZZdGiXpGZC66AJpr0hYj0/view?usp=drivesdk" TargetMode="External"/><Relationship Id="rId182" Type="http://schemas.openxmlformats.org/officeDocument/2006/relationships/hyperlink" Target="https://drive.google.com/file/d/1KA6FdgYga4tpmUzHFKs8nZfj6I10Dsnc/view?usp=drive_link" TargetMode="External"/><Relationship Id="rId181" Type="http://schemas.openxmlformats.org/officeDocument/2006/relationships/hyperlink" Target="https://drive.google.com/file/d/1vL98rafw5EdMw0g-Gukusup3IuiOeWDb/view?usp=drive_link" TargetMode="External"/><Relationship Id="rId180" Type="http://schemas.openxmlformats.org/officeDocument/2006/relationships/hyperlink" Target="https://drive.google.com/file/d/1yqbx43PnfXE8U_6g27LrPngfH4Nim4l-/view?usp=drivesdk" TargetMode="External"/><Relationship Id="rId18" Type="http://schemas.openxmlformats.org/officeDocument/2006/relationships/hyperlink" Target="https://drive.google.com/file/d/1MMrYNdFIDXAIq6LtHwU6gyJ4tgXw7G-u/view?usp=drivesdk" TargetMode="External"/><Relationship Id="rId179" Type="http://schemas.openxmlformats.org/officeDocument/2006/relationships/hyperlink" Target="https://drive.google.com/file/d/1KfWKJxh2VrKitJEr0szRBuEALYNYKYBC/view?usp=drivesdk" TargetMode="External"/><Relationship Id="rId178" Type="http://schemas.openxmlformats.org/officeDocument/2006/relationships/hyperlink" Target="https://drive.google.com/file/d/11rwp4t8FCYeorWBqowC3lt4oxoiMZXGD/view?usp=drivesdk" TargetMode="External"/><Relationship Id="rId177" Type="http://schemas.openxmlformats.org/officeDocument/2006/relationships/hyperlink" Target="https://drive.google.com/file/d/1YbHVvlbyekEd3SxwhAnFtXa_ZYZV9hC9/view?usp=drivesdk" TargetMode="External"/><Relationship Id="rId176" Type="http://schemas.openxmlformats.org/officeDocument/2006/relationships/hyperlink" Target="https://drive.google.com/file/d/1h1YpL-TqyEbEky1f-D_FA37WkazYPh6C/view?usp=drivesdk" TargetMode="External"/><Relationship Id="rId175" Type="http://schemas.openxmlformats.org/officeDocument/2006/relationships/hyperlink" Target="https://drive.google.com/file/d/1mMz4HtEoeAbpd0fSV0nrAAVWE_NwNd0K/view?usp=drivesdk" TargetMode="External"/><Relationship Id="rId174" Type="http://schemas.openxmlformats.org/officeDocument/2006/relationships/hyperlink" Target="https://drive.google.com/file/d/13BQ_wJdpDsvZ4ExNu5_MiUuptLzyEkOt/view?usp=drivesdk" TargetMode="External"/><Relationship Id="rId173" Type="http://schemas.openxmlformats.org/officeDocument/2006/relationships/hyperlink" Target="https://drive.google.com/file/d/1DLXMiPTJtaj-cV4BMCQfSpkJVR1A3rDB/view?usp=drivesdk" TargetMode="External"/><Relationship Id="rId172" Type="http://schemas.openxmlformats.org/officeDocument/2006/relationships/hyperlink" Target="https://drive.google.com/file/d/1b0tG7LlxP2I7zhWbYZaWxkh28HgqHz0s/view?usp=drivesdk" TargetMode="External"/><Relationship Id="rId171" Type="http://schemas.openxmlformats.org/officeDocument/2006/relationships/hyperlink" Target="https://drive.google.com/file/d/1iuScMGNcz3weEMoQVa1T_JuSW_9DH1pO/view?usp=drivesdk" TargetMode="External"/><Relationship Id="rId170" Type="http://schemas.openxmlformats.org/officeDocument/2006/relationships/hyperlink" Target="https://drive.google.com/file/d/1kw2VWoQAq_GLZWh8CMRcXuwxf4-mQw_3/view?usp=drivesdk" TargetMode="External"/><Relationship Id="rId17" Type="http://schemas.openxmlformats.org/officeDocument/2006/relationships/hyperlink" Target="https://drive.google.com/file/d/1OCCCwrKUlTy4NqUDZsCGAqlMUuEalLTg/view?usp=drivesdk" TargetMode="External"/><Relationship Id="rId169" Type="http://schemas.openxmlformats.org/officeDocument/2006/relationships/hyperlink" Target="https://drive.google.com/file/d/1Abd8DwLweMv1FfMWCYJdSkK3a-re0q0L/view?usp=drivesdk" TargetMode="External"/><Relationship Id="rId168" Type="http://schemas.openxmlformats.org/officeDocument/2006/relationships/hyperlink" Target="https://drive.google.com/file/d/1pJ8fD1Ok-zcawXCMQ_cRWt6M5YN8RMtR/view?usp=drivesdk" TargetMode="External"/><Relationship Id="rId167" Type="http://schemas.openxmlformats.org/officeDocument/2006/relationships/hyperlink" Target="https://drive.google.com/file/d/1aHQQRjcXI6yHCt_UP6yKuQeMFKCUgGvc/view?usp=drivesdk" TargetMode="External"/><Relationship Id="rId166" Type="http://schemas.openxmlformats.org/officeDocument/2006/relationships/hyperlink" Target="https://drive.google.com/file/d/1pRyxVlOB9oeuk3O5IIACA530apjx3-Be/view?usp=drivesdk" TargetMode="External"/><Relationship Id="rId165" Type="http://schemas.openxmlformats.org/officeDocument/2006/relationships/hyperlink" Target="https://drive.google.com/file/d/1uYLeaulkVSSo9JfLTOyoKNdPZriZ7gfN/view?usp=drivesdk" TargetMode="External"/><Relationship Id="rId164" Type="http://schemas.openxmlformats.org/officeDocument/2006/relationships/hyperlink" Target="https://drive.google.com/file/d/1qoLoPyTtfy5SLtbkTcwZ5hfG7zyYvOjI/view?usp=drivesdk" TargetMode="External"/><Relationship Id="rId163" Type="http://schemas.openxmlformats.org/officeDocument/2006/relationships/hyperlink" Target="https://drive.google.com/file/d/1uouhgNSfb35tVgSNAT8SBXbH8HW7m3t7/view?usp=drivesdk" TargetMode="External"/><Relationship Id="rId162" Type="http://schemas.openxmlformats.org/officeDocument/2006/relationships/hyperlink" Target="https://drive.google.com/file/d/1bxIZJ6A0SyevCXCLRJJQsKicLHyUSel3/view?usp=drivesdk" TargetMode="External"/><Relationship Id="rId161" Type="http://schemas.openxmlformats.org/officeDocument/2006/relationships/hyperlink" Target="https://drive.google.com/file/d/1dkDs0IKNusqI0BPpiDMA33TS3N20uRcH/view?usp=drivesdk" TargetMode="External"/><Relationship Id="rId160" Type="http://schemas.openxmlformats.org/officeDocument/2006/relationships/hyperlink" Target="https://drive.google.com/file/d/13SbKXAWRec3kpm0GqTA736J4r8YLM3mP/view?usp=drivesdk" TargetMode="External"/><Relationship Id="rId16" Type="http://schemas.openxmlformats.org/officeDocument/2006/relationships/hyperlink" Target="https://drive.google.com/file/d/1IUS8d_QOkrc_3Yf1jLvL5afjwyI3ICZg/view?usp=drive_link" TargetMode="External"/><Relationship Id="rId159" Type="http://schemas.openxmlformats.org/officeDocument/2006/relationships/hyperlink" Target="https://drive.google.com/file/d/1IFXyXVWNPCHVMWZK264ltJrxyR8MoCNf/view?usp=drivesdk" TargetMode="External"/><Relationship Id="rId158" Type="http://schemas.openxmlformats.org/officeDocument/2006/relationships/hyperlink" Target="https://drive.google.com/file/d/1mkpgqVyWWqPHnVWFxR2j-_iHjXSrikm-/view?usp=drivesdk" TargetMode="External"/><Relationship Id="rId157" Type="http://schemas.openxmlformats.org/officeDocument/2006/relationships/hyperlink" Target="https://drive.google.com/file/d/12Q3__owZ4sfSEGBknxHctOTH4xrGVWD7/view?usp=drive_link" TargetMode="External"/><Relationship Id="rId156" Type="http://schemas.openxmlformats.org/officeDocument/2006/relationships/hyperlink" Target="https://drive.google.com/file/d/1zJWXGJfINS9BzTK821055S7z4kP2wE92/view?usp=drive_link" TargetMode="External"/><Relationship Id="rId155" Type="http://schemas.openxmlformats.org/officeDocument/2006/relationships/hyperlink" Target="https://drive.google.com/file/d/1AX6OYh4cyvOHoTjUpWLiCag24x3ib1as/view?usp=drive_link" TargetMode="External"/><Relationship Id="rId154" Type="http://schemas.openxmlformats.org/officeDocument/2006/relationships/hyperlink" Target="https://drive.google.com/file/d/13amFNwY1TDp12ju5coJ_4t8OY3mdTqvo/view?usp=drive_link" TargetMode="External"/><Relationship Id="rId153" Type="http://schemas.openxmlformats.org/officeDocument/2006/relationships/hyperlink" Target="https://drive.google.com/file/d/1QNJAFIS3AcDcCYyHYBdcGhSfgl7p_oNi/view?usp=drive_link" TargetMode="External"/><Relationship Id="rId152" Type="http://schemas.openxmlformats.org/officeDocument/2006/relationships/hyperlink" Target="https://drive.google.com/file/d/1XYwMDVzh4fwDVhFcKzavALPhzJhymcTA/view?usp=drive_link" TargetMode="External"/><Relationship Id="rId151" Type="http://schemas.openxmlformats.org/officeDocument/2006/relationships/hyperlink" Target="https://drive.google.com/file/d/1XiG02UYQFZnEtTHy_-6O0J-OD0O2cJDG/view?usp=drive_link" TargetMode="External"/><Relationship Id="rId150" Type="http://schemas.openxmlformats.org/officeDocument/2006/relationships/hyperlink" Target="https://drive.google.com/file/d/1dA6BJnXLbpi0Zz_mRBTRHp76jTd3vpal/view?usp=drivesdk" TargetMode="External"/><Relationship Id="rId15" Type="http://schemas.openxmlformats.org/officeDocument/2006/relationships/hyperlink" Target="https://drive.google.com/file/d/1PNvkKAdYOWhB1flJ3E_PTltwmnkgSYJA/view?usp=drive_link" TargetMode="External"/><Relationship Id="rId149" Type="http://schemas.openxmlformats.org/officeDocument/2006/relationships/hyperlink" Target="https://drive.google.com/file/d/1iQ_Q4HCJ-zDnMd1F94DucUYz7wOmhNTy/view?usp=drivesdk" TargetMode="External"/><Relationship Id="rId148" Type="http://schemas.openxmlformats.org/officeDocument/2006/relationships/hyperlink" Target="https://drive.google.com/file/d/1z9vz2r3HtntpLAZXfmgg61ZPtNs3JwGj/view?usp=drive_link" TargetMode="External"/><Relationship Id="rId147" Type="http://schemas.openxmlformats.org/officeDocument/2006/relationships/hyperlink" Target="https://drive.google.com/file/d/13UKyayGuA94wgag2vP608BSJm28F9SjK/view?usp=drivesdk" TargetMode="External"/><Relationship Id="rId146" Type="http://schemas.openxmlformats.org/officeDocument/2006/relationships/hyperlink" Target="https://drive.google.com/file/d/1zb-v3OBPe1uEGA2pfUeJYKn607Q23-VX/view?usp=drive_link" TargetMode="External"/><Relationship Id="rId145" Type="http://schemas.openxmlformats.org/officeDocument/2006/relationships/hyperlink" Target="https://drive.google.com/file/d/1vm26hGolfmIt_00AwhxaInYBeHzy-o-M/view?usp=drive_link" TargetMode="External"/><Relationship Id="rId144" Type="http://schemas.openxmlformats.org/officeDocument/2006/relationships/hyperlink" Target="https://drive.google.com/file/d/15bp-unBGi_6QJ7i8dobY3ZYeP2skiV38/view?usp=drive_link" TargetMode="External"/><Relationship Id="rId143" Type="http://schemas.openxmlformats.org/officeDocument/2006/relationships/hyperlink" Target="https://drive.google.com/file/d/151_nNpwiYjOoHw0NaGjhK8_JSex8_d3C/view?usp=drivesdk" TargetMode="External"/><Relationship Id="rId142" Type="http://schemas.openxmlformats.org/officeDocument/2006/relationships/hyperlink" Target="https://drive.google.com/file/d/1p9MlHvCBRNAJYexFIWsNT3b--t4fR3Rf/view?usp=drive_link" TargetMode="External"/><Relationship Id="rId141" Type="http://schemas.openxmlformats.org/officeDocument/2006/relationships/hyperlink" Target="https://drive.google.com/file/d/1asgl5SpirppgggoKXR1X8BTP0IMSs_Hq/view?usp=drivesdk" TargetMode="External"/><Relationship Id="rId140" Type="http://schemas.openxmlformats.org/officeDocument/2006/relationships/hyperlink" Target="https://drive.google.com/file/d/11AMehloheiTnLm05AokwexaOSkInZ7gu/view?usp=drivesdk" TargetMode="External"/><Relationship Id="rId14" Type="http://schemas.openxmlformats.org/officeDocument/2006/relationships/hyperlink" Target="https://drive.google.com/file/d/1EA90Utk1ns7TCVkyeIJ5iW7Hdqq2_Zha/view?usp=drive_link" TargetMode="External"/><Relationship Id="rId139" Type="http://schemas.openxmlformats.org/officeDocument/2006/relationships/hyperlink" Target="https://drive.google.com/file/d/1SVzgo7K5HA2eBNvCm9cHE5Jjj19OQ_Yi/view?usp=drivesdk" TargetMode="External"/><Relationship Id="rId138" Type="http://schemas.openxmlformats.org/officeDocument/2006/relationships/hyperlink" Target="https://drive.google.com/file/d/1VBcUYGGVBC1eFzghNmCL6gYt5uTrB1En/view?usp=drivesdk" TargetMode="External"/><Relationship Id="rId137" Type="http://schemas.openxmlformats.org/officeDocument/2006/relationships/hyperlink" Target="https://drive.google.com/file/d/1AvwfvxAigPmn2HwcxP2r_HE5XQNTVfio/view?usp=drivesdk" TargetMode="External"/><Relationship Id="rId136" Type="http://schemas.openxmlformats.org/officeDocument/2006/relationships/hyperlink" Target="https://drive.google.com/file/d/1YHGtCN76a8nF57aGzHjkfYUeeOB51E2i/view?usp=drive_link" TargetMode="External"/><Relationship Id="rId135" Type="http://schemas.openxmlformats.org/officeDocument/2006/relationships/hyperlink" Target="https://drive.google.com/file/d/1WOEQum9D_NKi3goLKqtY1VRtvIRb4Onc/view?usp=drivesdk" TargetMode="External"/><Relationship Id="rId134" Type="http://schemas.openxmlformats.org/officeDocument/2006/relationships/hyperlink" Target="https://drive.google.com/file/d/1tYp3kf2YZfVDWXP_ppXiSk-8uC3iLHGP/view?usp=drivesdk" TargetMode="External"/><Relationship Id="rId133" Type="http://schemas.openxmlformats.org/officeDocument/2006/relationships/hyperlink" Target="https://drive.google.com/file/d/1j5G0xlpPZoN_-SJWXfCmHSvy5_f5ElVb/view?usp=drive_link" TargetMode="External"/><Relationship Id="rId132" Type="http://schemas.openxmlformats.org/officeDocument/2006/relationships/hyperlink" Target="https://drive.google.com/file/d/18R5-hqH5rhdTFHQ_-9FelFaTNFFzJh_T/view?usp=drive_link" TargetMode="External"/><Relationship Id="rId131" Type="http://schemas.openxmlformats.org/officeDocument/2006/relationships/hyperlink" Target="https://drive.google.com/file/d/15783VE4mpd_oLtq6eJkrhYXIz-t2msIl/view?usp=drivesdk" TargetMode="External"/><Relationship Id="rId130" Type="http://schemas.openxmlformats.org/officeDocument/2006/relationships/hyperlink" Target="https://drive.google.com/file/d/1B7wFLY5XROOEnCBo5MvraJCHGZSlvN2F/view?usp=drivesdk" TargetMode="External"/><Relationship Id="rId13" Type="http://schemas.openxmlformats.org/officeDocument/2006/relationships/hyperlink" Target="https://drive.google.com/file/d/1V_KesoUUtqOCox2hPrqsar6MiABiKfbT/view?usp=drive_link" TargetMode="External"/><Relationship Id="rId129" Type="http://schemas.openxmlformats.org/officeDocument/2006/relationships/hyperlink" Target="https://drive.google.com/file/d/13NRRwV6xx66cW1eLQgLlIoT0apkFdG3H/view?usp=drivesdk" TargetMode="External"/><Relationship Id="rId128" Type="http://schemas.openxmlformats.org/officeDocument/2006/relationships/hyperlink" Target="https://drive.google.com/file/d/1FUdhhfUN-luAroAa_KyyLtQAPWNYruGx/view?usp=drive_link" TargetMode="External"/><Relationship Id="rId127" Type="http://schemas.openxmlformats.org/officeDocument/2006/relationships/hyperlink" Target="https://drive.google.com/file/d/1kIJWy8Qyq1_tG4qEOkxoUeJSPRJfp6E1/view?usp=drivesdk" TargetMode="External"/><Relationship Id="rId126" Type="http://schemas.openxmlformats.org/officeDocument/2006/relationships/hyperlink" Target="https://drive.google.com/file/d/1jFwwE4khA3m09oC8S5PokKW-fS3zkGV6/view?usp=drivesdk" TargetMode="External"/><Relationship Id="rId125" Type="http://schemas.openxmlformats.org/officeDocument/2006/relationships/hyperlink" Target="https://drive.google.com/file/d/1gL9HTgiVwg1lLQMCXvFIxto7Q7jAmX3t/view?usp=drivesdk" TargetMode="External"/><Relationship Id="rId124" Type="http://schemas.openxmlformats.org/officeDocument/2006/relationships/hyperlink" Target="https://drive.google.com/file/d/1hkKub4bh8GdGbmgTcs1evjim0RxAVQoz/view?usp=drive_link" TargetMode="External"/><Relationship Id="rId123" Type="http://schemas.openxmlformats.org/officeDocument/2006/relationships/hyperlink" Target="https://drive.google.com/file/d/1_zXzreSeSg3T8OGxR3-9v1X3VUpHTPc3/view?usp=drivesdk" TargetMode="External"/><Relationship Id="rId122" Type="http://schemas.openxmlformats.org/officeDocument/2006/relationships/hyperlink" Target="https://drive.google.com/file/d/1vLkz92jSiAjbZoz-m5Jqje9B1tsB1rmq/view?usp=drivesdk" TargetMode="External"/><Relationship Id="rId121" Type="http://schemas.openxmlformats.org/officeDocument/2006/relationships/hyperlink" Target="https://drive.google.com/file/d/1ohjC0u0QM9dwleJp6BUydV1-T0sVYTjs/view?usp=drive_link" TargetMode="External"/><Relationship Id="rId120" Type="http://schemas.openxmlformats.org/officeDocument/2006/relationships/hyperlink" Target="https://drive.google.com/file/d/1n6kgQYiFSfRmzvqNvEMMpvoSSKW9tNLl/view?usp=drivesdk" TargetMode="External"/><Relationship Id="rId12" Type="http://schemas.openxmlformats.org/officeDocument/2006/relationships/hyperlink" Target="https://drive.google.com/file/d/1tBQj4KBkGIcQo30fyHrHkQTaQkbdqCVJ/view?usp=drive_link" TargetMode="External"/><Relationship Id="rId119" Type="http://schemas.openxmlformats.org/officeDocument/2006/relationships/hyperlink" Target="https://drive.google.com/file/d/1f9YvrEEU4Hx-Gov_l-mxoXT9fJwHvlGX/view?usp=drivesdk" TargetMode="External"/><Relationship Id="rId118" Type="http://schemas.openxmlformats.org/officeDocument/2006/relationships/hyperlink" Target="https://docs.google.com/document/d/1Tbe0PVfzxCAfIsIxEjjd_PjY7DVCyvpPmoPb7jYq7uI/edit?usp=drive_link" TargetMode="External"/><Relationship Id="rId117" Type="http://schemas.openxmlformats.org/officeDocument/2006/relationships/hyperlink" Target="https://docs.google.com/document/d/11yo-N3jNXz73ot3FxtZEk7KIb7VCSJE6li2eBSuKDs4/edit?usp=drive_link" TargetMode="External"/><Relationship Id="rId116" Type="http://schemas.openxmlformats.org/officeDocument/2006/relationships/hyperlink" Target="https://docs.google.com/document/d/1KojeKbYm7_sMv6uvoWwL_UjDXkWgWfXXFipki9-a_1M/edit?usp=drive_link" TargetMode="External"/><Relationship Id="rId115" Type="http://schemas.openxmlformats.org/officeDocument/2006/relationships/hyperlink" Target="https://docs.google.com/document/d/1TCT74CQpfIc1e7CnSVSy4TKajIafLyegfq-cMsMhWKg/edit?usp=drive_link" TargetMode="External"/><Relationship Id="rId114" Type="http://schemas.openxmlformats.org/officeDocument/2006/relationships/hyperlink" Target="https://drive.google.com/file/d/1UMaC0dmkJLAfLNI_13AnsMMyV4D1WgRJ/view?usp=drivesdk" TargetMode="External"/><Relationship Id="rId113" Type="http://schemas.openxmlformats.org/officeDocument/2006/relationships/hyperlink" Target="https://drive.google.com/file/d/1U9ayAdpHb6nhlOC0nb79f6BxuPlwfQ9K/view?usp=drivesdk" TargetMode="External"/><Relationship Id="rId112" Type="http://schemas.openxmlformats.org/officeDocument/2006/relationships/hyperlink" Target="https://drive.google.com/file/d/1fSvGTS8bB6HuiPaZYdDiOhcl5coBTyn6/view?usp=drivesdk" TargetMode="External"/><Relationship Id="rId111" Type="http://schemas.openxmlformats.org/officeDocument/2006/relationships/hyperlink" Target="https://drive.google.com/file/d/1PJMlwsarfJsjDOH9BR13ZC5WuNsCbsUs/view?usp=drive_link" TargetMode="External"/><Relationship Id="rId110" Type="http://schemas.openxmlformats.org/officeDocument/2006/relationships/hyperlink" Target="https://drive.google.com/file/d/16suSyeaCwhnYVKgszyf2w4ssKbufdRBf/view?usp=drivesdk" TargetMode="External"/><Relationship Id="rId11" Type="http://schemas.openxmlformats.org/officeDocument/2006/relationships/hyperlink" Target="https://drive.google.com/file/d/1xBnJaVPqkzMOXYrs7FDEX7fsJh1bBOlL/view?usp=drive_link" TargetMode="External"/><Relationship Id="rId109" Type="http://schemas.openxmlformats.org/officeDocument/2006/relationships/hyperlink" Target="https://drive.google.com/file/d/1dEXWzbjvlXlAtXnVegOKsP-FK2X8icyG/view?usp=drivesdk" TargetMode="External"/><Relationship Id="rId108" Type="http://schemas.openxmlformats.org/officeDocument/2006/relationships/hyperlink" Target="https://drive.google.com/file/d/1QwVsrlCn-vJKPmMmbOEuyVZPenw3zLAi/view?usp=drivesdk" TargetMode="External"/><Relationship Id="rId107" Type="http://schemas.openxmlformats.org/officeDocument/2006/relationships/hyperlink" Target="https://drive.google.com/file/d/1waraBZBCOsJq0_rFPrXInBkspp7KcD0g/view?usp=drivesdk" TargetMode="External"/><Relationship Id="rId106" Type="http://schemas.openxmlformats.org/officeDocument/2006/relationships/hyperlink" Target="https://drive.google.com/file/d/1ovJmNjOlfEf62x4Im3HNRvI9DtrFZ9Sr/view?usp=drivesdk" TargetMode="External"/><Relationship Id="rId105" Type="http://schemas.openxmlformats.org/officeDocument/2006/relationships/hyperlink" Target="https://drive.google.com/file/d/1T7BS5aUu1suc6oUZAUJSkrbr1ggrqk4F/view?usp=drivesdk" TargetMode="External"/><Relationship Id="rId104" Type="http://schemas.openxmlformats.org/officeDocument/2006/relationships/hyperlink" Target="https://drive.google.com/file/d/1QHgzzBJNnFVv7Q4ZFvEihpGjk4Z1zaPp/view?usp=drivesdk" TargetMode="External"/><Relationship Id="rId103" Type="http://schemas.openxmlformats.org/officeDocument/2006/relationships/hyperlink" Target="https://drive.google.com/file/d/1bNgpZa_CUI7KauO5S_wo1U7tssBuDbSN/view?usp=drivesdk" TargetMode="External"/><Relationship Id="rId102" Type="http://schemas.openxmlformats.org/officeDocument/2006/relationships/hyperlink" Target="https://drive.google.com/file/d/1Rrq1AHOdjR2ShWbqNq2RzzfKxCAwSRZj/view?usp=drivesdk" TargetMode="External"/><Relationship Id="rId101" Type="http://schemas.openxmlformats.org/officeDocument/2006/relationships/hyperlink" Target="https://drive.google.com/file/d/16KKmcdo6AzhCKj5Fp9W20GMNYdo_wKML/view?usp=drivesdk" TargetMode="External"/><Relationship Id="rId100" Type="http://schemas.openxmlformats.org/officeDocument/2006/relationships/hyperlink" Target="https://drive.google.com/file/d/13JiJlWYw1IWnWLN_tS9c9yqU95lY_OiF/view?usp=drivesdk" TargetMode="External"/><Relationship Id="rId10" Type="http://schemas.openxmlformats.org/officeDocument/2006/relationships/hyperlink" Target="https://drive.google.com/file/d/1n_sxnq85b2lKGL26GnirBYDfp3Laq_a-/view?usp=drive_link" TargetMode="External"/><Relationship Id="rId1" Type="http://schemas.openxmlformats.org/officeDocument/2006/relationships/hyperlink" Target="http://s.no/" TargetMode="External"/></Relationships>
</file>

<file path=xl/worksheets/_rels/sheet26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1rwp4t8FCYeorWBqowC3lt4oxoiMZXGD/view?usp=drivesdk" TargetMode="External"/><Relationship Id="rId98" Type="http://schemas.openxmlformats.org/officeDocument/2006/relationships/hyperlink" Target="https://drive.google.com/file/d/16suSyeaCwhnYVKgszyf2w4ssKbufdRBf/view?usp=drivesdk" TargetMode="External"/><Relationship Id="rId97" Type="http://schemas.openxmlformats.org/officeDocument/2006/relationships/hyperlink" Target="https://drive.google.com/file/d/1dEXWzbjvlXlAtXnVegOKsP-FK2X8icyG/view?usp=drivesdk" TargetMode="External"/><Relationship Id="rId96" Type="http://schemas.openxmlformats.org/officeDocument/2006/relationships/hyperlink" Target="https://drive.google.com/file/d/1waraBZBCOsJq0_rFPrXInBkspp7KcD0g/view?usp=drivesdk" TargetMode="External"/><Relationship Id="rId95" Type="http://schemas.openxmlformats.org/officeDocument/2006/relationships/hyperlink" Target="https://drive.google.com/file/d/1ovJmNjOlfEf62x4Im3HNRvI9DtrFZ9Sr/view?usp=drivesdk" TargetMode="External"/><Relationship Id="rId94" Type="http://schemas.openxmlformats.org/officeDocument/2006/relationships/hyperlink" Target="https://drive.google.com/file/d/1T7BS5aUu1suc6oUZAUJSkrbr1ggrqk4F/view?usp=drivesdk" TargetMode="External"/><Relationship Id="rId93" Type="http://schemas.openxmlformats.org/officeDocument/2006/relationships/hyperlink" Target="https://drive.google.com/file/d/1QHgzzBJNnFVv7Q4ZFvEihpGjk4Z1zaPp/view?usp=drivesdk" TargetMode="External"/><Relationship Id="rId92" Type="http://schemas.openxmlformats.org/officeDocument/2006/relationships/hyperlink" Target="https://drive.google.com/file/d/1KiLSQnjJ2psEDDxubsd4qAIGYURZhEgV/view?usp=share_link" TargetMode="External"/><Relationship Id="rId91" Type="http://schemas.openxmlformats.org/officeDocument/2006/relationships/hyperlink" Target="https://drive.google.com/file/d/18ueBKNiLx_qMQGWWAwsMx3AwCOr1zXzs/view?usp=drivesdk" TargetMode="External"/><Relationship Id="rId90" Type="http://schemas.openxmlformats.org/officeDocument/2006/relationships/hyperlink" Target="https://drive.google.com/file/d/1EoQqe_wzL5E6hm9JFrG8aErbmcHafa8C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PHv5SowWdHLPDwAmdCWH5ARL1Z38hfYO/view?usp=drivesdk" TargetMode="External"/><Relationship Id="rId88" Type="http://schemas.openxmlformats.org/officeDocument/2006/relationships/hyperlink" Target="https://drive.google.com/file/d/18HTrtI8KIzcwPDrXi0nqp6RPtcqsk4FA/view?usp=drivesdk" TargetMode="External"/><Relationship Id="rId87" Type="http://schemas.openxmlformats.org/officeDocument/2006/relationships/hyperlink" Target="https://drive.google.com/file/d/17pRvmaCFzqLMQRC7wnvA4L82a4VoqSNb/view?usp=drivesdk" TargetMode="External"/><Relationship Id="rId86" Type="http://schemas.openxmlformats.org/officeDocument/2006/relationships/hyperlink" Target="https://drive.google.com/file/d/14NjXiJxdPZj-jsyU8TwKzoZcgHH2Kikm/view?usp=drivesdk" TargetMode="External"/><Relationship Id="rId85" Type="http://schemas.openxmlformats.org/officeDocument/2006/relationships/hyperlink" Target="https://drive.google.com/file/d/1GrGA4TyYwG1MhtL3_f1BynYYPOQUPYfI/view?usp=drivesdk" TargetMode="External"/><Relationship Id="rId84" Type="http://schemas.openxmlformats.org/officeDocument/2006/relationships/hyperlink" Target="https://drive.google.com/file/d/1exXucVZqcE3RkfVT9eWgvz1GrwgUcOGs/view?usp=drivesdk" TargetMode="External"/><Relationship Id="rId83" Type="http://schemas.openxmlformats.org/officeDocument/2006/relationships/hyperlink" Target="https://drive.google.com/file/d/1G_2h17dEDSJ0sJVLA7KEA3Wy18Qic-lD/view?usp=drivesdk" TargetMode="External"/><Relationship Id="rId82" Type="http://schemas.openxmlformats.org/officeDocument/2006/relationships/hyperlink" Target="https://drive.google.com/file/d/1d7EFuXhUJIVdNfyP-VvbEov7OxOUhnjX/view?usp=drivesdk" TargetMode="External"/><Relationship Id="rId81" Type="http://schemas.openxmlformats.org/officeDocument/2006/relationships/hyperlink" Target="https://drive.google.com/file/d/1V4kAOaTdr-GtYhnXv7gzQBE3ZR7ZPlKK/view?usp=drive_link" TargetMode="External"/><Relationship Id="rId80" Type="http://schemas.openxmlformats.org/officeDocument/2006/relationships/hyperlink" Target="https://drive.google.com/file/d/1Q3MLsC3HPDUwIk0LuSHUtLVSOuBH_O4N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HZnPMnXtZ0QO_7Mg1rBnqh1WGOP3akH4/view?usp=drivesdk" TargetMode="External"/><Relationship Id="rId78" Type="http://schemas.openxmlformats.org/officeDocument/2006/relationships/hyperlink" Target="https://drive.google.com/file/d/1LWD7yTNI0RJDRsb9uJmf_DlCrtRgUKyY/view?usp=drivesdk" TargetMode="External"/><Relationship Id="rId77" Type="http://schemas.openxmlformats.org/officeDocument/2006/relationships/hyperlink" Target="https://drive.google.com/file/d/1ugQovbHhHiatqYgFZRiOkMLioEJ1sY9o/view?usp=drivesdk" TargetMode="External"/><Relationship Id="rId76" Type="http://schemas.openxmlformats.org/officeDocument/2006/relationships/hyperlink" Target="https://drive.google.com/file/d/1VO8wG6RTf64Yu5WlHt4RNVEAlHxdXRIv/view?usp=drivesdk" TargetMode="External"/><Relationship Id="rId75" Type="http://schemas.openxmlformats.org/officeDocument/2006/relationships/hyperlink" Target="https://drive.google.com/file/d/1QLtgZLOi46VR-Umszotzw09fP7Prc0Sq/view?usp=drivesdk" TargetMode="External"/><Relationship Id="rId74" Type="http://schemas.openxmlformats.org/officeDocument/2006/relationships/hyperlink" Target="https://drive.google.com/file/d/14wIqiKajOELWiaI-p64Cs1Xs3kxBqO4v/view?usp=drivesdk" TargetMode="External"/><Relationship Id="rId73" Type="http://schemas.openxmlformats.org/officeDocument/2006/relationships/hyperlink" Target="https://drive.google.com/file/d/1hLGDUrXqBvHMOAiLQE0q9BoTCTu2K7ao/view?usp=drivesdk" TargetMode="External"/><Relationship Id="rId72" Type="http://schemas.openxmlformats.org/officeDocument/2006/relationships/hyperlink" Target="https://drive.google.com/file/d/18HoCA9YDoJiZI1ICrjO5DtziAZZqqASw/view?usp=drivesdk" TargetMode="External"/><Relationship Id="rId71" Type="http://schemas.openxmlformats.org/officeDocument/2006/relationships/hyperlink" Target="https://drive.google.com/file/d/1-sH-k7diCS-WDKeXQScayM3HAWW1q7sM/view?usp=drivesdk" TargetMode="External"/><Relationship Id="rId70" Type="http://schemas.openxmlformats.org/officeDocument/2006/relationships/hyperlink" Target="https://drive.google.com/file/d/1rpjbS-bDB20v4so-ORafAkM7plMXgvVt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Jd1pNOhKfow7rDb2cXcXuMaKkq3scBym/view?usp=drivesdk" TargetMode="External"/><Relationship Id="rId68" Type="http://schemas.openxmlformats.org/officeDocument/2006/relationships/hyperlink" Target="https://drive.google.com/file/d/14GkYuSFockovOVePXY3kQGt-QIydDele/view?usp=drive_link" TargetMode="External"/><Relationship Id="rId67" Type="http://schemas.openxmlformats.org/officeDocument/2006/relationships/hyperlink" Target="https://drive.google.com/file/d/1YI54nUQ9qGl4HCxnSZ9MgIOfdUXpAveO/view?usp=drivesdk" TargetMode="External"/><Relationship Id="rId66" Type="http://schemas.openxmlformats.org/officeDocument/2006/relationships/hyperlink" Target="https://drive.google.com/file/d/1yhSE8e9oSoZ1XITSkXcml25c5-I7E8OK/view?usp=drivesdk" TargetMode="External"/><Relationship Id="rId65" Type="http://schemas.openxmlformats.org/officeDocument/2006/relationships/hyperlink" Target="https://drive.google.com/file/d/19I4c0_5oVLw-4BiB8pjI1bptf-OdunLg/view?usp=drivesdk" TargetMode="External"/><Relationship Id="rId64" Type="http://schemas.openxmlformats.org/officeDocument/2006/relationships/hyperlink" Target="https://drive.google.com/file/d/16IRc55EQPnwJwz1MBgv_Y1W7eI0TnC6F/view?usp=drivesdk" TargetMode="External"/><Relationship Id="rId63" Type="http://schemas.openxmlformats.org/officeDocument/2006/relationships/hyperlink" Target="https://drive.google.com/file/d/11itxCKs7_1wrdjNgkLJy60XgxMCdImZ8/view?usp=drivesdk" TargetMode="External"/><Relationship Id="rId62" Type="http://schemas.openxmlformats.org/officeDocument/2006/relationships/hyperlink" Target="https://drive.google.com/file/d/1Yy8fpURlINeYfCy7rrZmDKFYHuyxD4iQ/view?usp=drivesdk" TargetMode="External"/><Relationship Id="rId61" Type="http://schemas.openxmlformats.org/officeDocument/2006/relationships/hyperlink" Target="https://drive.google.com/file/d/1FtIA5xRRdfg0DMeFhk4cK9fSTdReYxn_/view?usp=drivesdk" TargetMode="External"/><Relationship Id="rId60" Type="http://schemas.openxmlformats.org/officeDocument/2006/relationships/hyperlink" Target="https://drive.google.com/file/d/1v38ptVE_U4sgNuUAuiiQTJuuhlHb7jFl/view?usp=drive_lin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UL3NuZgOCt4s4K1Lmw0E4054Vvcygtkf/view?usp=drivesdk" TargetMode="External"/><Relationship Id="rId58" Type="http://schemas.openxmlformats.org/officeDocument/2006/relationships/hyperlink" Target="https://drive.google.com/file/d/1HXZTAZQL0VArZ_9hBhMjaP1mlNRqP8T5/view?usp=drive_link" TargetMode="External"/><Relationship Id="rId57" Type="http://schemas.openxmlformats.org/officeDocument/2006/relationships/hyperlink" Target="https://drive.google.com/file/d/1KLs3uxdiaRJWETPsO6CmyTUanKwokaZa/view?usp=drive_link" TargetMode="External"/><Relationship Id="rId56" Type="http://schemas.openxmlformats.org/officeDocument/2006/relationships/hyperlink" Target="https://drive.google.com/file/d/1ULg6wSSFgz4hxLake3pNnzRocvpPmZYZ/view?usp=drivesdk" TargetMode="External"/><Relationship Id="rId55" Type="http://schemas.openxmlformats.org/officeDocument/2006/relationships/hyperlink" Target="https://drive.google.com/file/d/1-aGhYs7ao10VRy2guue-uTg4Xq65DWCb/view?usp=drivesdk" TargetMode="External"/><Relationship Id="rId54" Type="http://schemas.openxmlformats.org/officeDocument/2006/relationships/hyperlink" Target="https://drive.google.com/file/d/1gdaUpwcvEEPj3F4ukVHIDBTYWmdw2MMT/view?usp=drivesdk" TargetMode="External"/><Relationship Id="rId53" Type="http://schemas.openxmlformats.org/officeDocument/2006/relationships/hyperlink" Target="https://drive.google.com/file/d/1G6kH8R6hjEGmJmuU2Q1QejweKqjRW6DP/view?usp=drivesdk" TargetMode="External"/><Relationship Id="rId52" Type="http://schemas.openxmlformats.org/officeDocument/2006/relationships/hyperlink" Target="https://drive.google.com/file/d/1LQkh8x3zwwOEGBzYg73i26Jpewo6cs3D/view?usp=drivesdk" TargetMode="External"/><Relationship Id="rId51" Type="http://schemas.openxmlformats.org/officeDocument/2006/relationships/hyperlink" Target="https://drive.google.com/file/d/1wGPC1ILzmoS_NSdfsBEMDa6PUvmHiITQ/view?usp=drivesdk" TargetMode="External"/><Relationship Id="rId50" Type="http://schemas.openxmlformats.org/officeDocument/2006/relationships/hyperlink" Target="https://drive.google.com/file/d/11pMXP9LzQDSOCFcGyZ30h0N4_459t-8T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WFj0LyCScVrmb41N-RuRU2HZGx5A4QUM/view?usp=drivesdk" TargetMode="External"/><Relationship Id="rId48" Type="http://schemas.openxmlformats.org/officeDocument/2006/relationships/hyperlink" Target="https://drive.google.com/file/d/18_RD9xZabwO2JP75PawLVIgZiRHanJ7r/view?usp=drivesdk" TargetMode="External"/><Relationship Id="rId47" Type="http://schemas.openxmlformats.org/officeDocument/2006/relationships/hyperlink" Target="https://drive.google.com/file/d/1Ak6smEd55cnbU6cgiHWyy16Q1-XSYz02/view?usp=drivesdk" TargetMode="External"/><Relationship Id="rId46" Type="http://schemas.openxmlformats.org/officeDocument/2006/relationships/hyperlink" Target="https://drive.google.com/file/d/1KHPev2Kq3qVrGscAO2uuo7yScy8y8Sup/view?usp=drivesdk" TargetMode="External"/><Relationship Id="rId45" Type="http://schemas.openxmlformats.org/officeDocument/2006/relationships/hyperlink" Target="https://drive.google.com/file/d/16VUgmeIgOqD2kCbL2vOnNnCK5A21jtS6/view?usp=drivesdk" TargetMode="External"/><Relationship Id="rId44" Type="http://schemas.openxmlformats.org/officeDocument/2006/relationships/hyperlink" Target="https://drive.google.com/file/d/1MUFzAJo5LSzmpdhI889kEhDZ0xKqImSg/view?usp=drivesdk" TargetMode="External"/><Relationship Id="rId43" Type="http://schemas.openxmlformats.org/officeDocument/2006/relationships/hyperlink" Target="https://drive.google.com/file/d/16C9A5O_2LU1qouTuL7juJbsj3tyaD1Qt/view?usp=drivesdk" TargetMode="External"/><Relationship Id="rId42" Type="http://schemas.openxmlformats.org/officeDocument/2006/relationships/hyperlink" Target="https://drive.google.com/file/d/1xZZ5XWFzSXvXAjvdoqHHi1FHnk0heuYs/view?usp=drivesdk" TargetMode="External"/><Relationship Id="rId41" Type="http://schemas.openxmlformats.org/officeDocument/2006/relationships/hyperlink" Target="https://drive.google.com/file/d/1JpfRw7AKi5vyFGzJYU8Gt0AbdcnM-XIR/view?usp=drivesdk" TargetMode="External"/><Relationship Id="rId40" Type="http://schemas.openxmlformats.org/officeDocument/2006/relationships/hyperlink" Target="https://drive.google.com/file/d/1ODbvUqRQqa0vgDKn1aCSa1ExOjI5eU6s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l0CarlJRdXeKckzjv5vdH8ZMNbVSDSFn/view?usp=drivesdk" TargetMode="External"/><Relationship Id="rId38" Type="http://schemas.openxmlformats.org/officeDocument/2006/relationships/hyperlink" Target="https://drive.google.com/file/d/16-Aw559LRobGzObL2CIZzbedS2huPzfM/view?usp=drivesdk" TargetMode="External"/><Relationship Id="rId37" Type="http://schemas.openxmlformats.org/officeDocument/2006/relationships/hyperlink" Target="https://drive.google.com/file/d/1l9qfxWgKh-kHCOlLJw3rYD8TsqzZQ0Vg/view?usp=drivesdk" TargetMode="External"/><Relationship Id="rId36" Type="http://schemas.openxmlformats.org/officeDocument/2006/relationships/hyperlink" Target="https://drive.google.com/file/d/1WQjpqTJkN2CL63dizWOLH-FHbxYPuwVs/view?usp=drivesdk" TargetMode="External"/><Relationship Id="rId35" Type="http://schemas.openxmlformats.org/officeDocument/2006/relationships/hyperlink" Target="https://drive.google.com/file/d/1YhQfmy0rQa_3l9AQYACCpU7Fqq-FOQEI/view?usp=drivesdk" TargetMode="External"/><Relationship Id="rId34" Type="http://schemas.openxmlformats.org/officeDocument/2006/relationships/hyperlink" Target="https://drive.google.com/file/d/1wYVnj5xHuiqQU2FLKpl5j3MbxNgNSDWL/view?usp=drivesdk" TargetMode="External"/><Relationship Id="rId33" Type="http://schemas.openxmlformats.org/officeDocument/2006/relationships/hyperlink" Target="https://drive.google.com/file/d/1SyqKT5bF5AaGYQgD2j5JSrpmJiBMLybn/view?usp=drivesdk" TargetMode="External"/><Relationship Id="rId32" Type="http://schemas.openxmlformats.org/officeDocument/2006/relationships/hyperlink" Target="https://drive.google.com/file/d/1WAIV9EzRLNkmkzUDIIR1DMXykSJnRqNQ/view?usp=drivesdk" TargetMode="External"/><Relationship Id="rId31" Type="http://schemas.openxmlformats.org/officeDocument/2006/relationships/hyperlink" Target="https://drive.google.com/file/d/1hO6981dWlr7a4rY7wKkphIA6DUHyv1ca/view?usp=drivesdk" TargetMode="External"/><Relationship Id="rId30" Type="http://schemas.openxmlformats.org/officeDocument/2006/relationships/hyperlink" Target="https://drive.google.com/file/d/1GgU8otZVWYUtpfGoGJVaWq9OiwS6VyWR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JmOAm4079UzechP2QZhlcGLcKATeh1NC/view?usp=drivesdk" TargetMode="External"/><Relationship Id="rId28" Type="http://schemas.openxmlformats.org/officeDocument/2006/relationships/hyperlink" Target="https://drive.google.com/file/d/1LKMYyqlNdTpBAJHzScOqSYbwoX-Sj7CT/view?usp=drivesdk" TargetMode="External"/><Relationship Id="rId27" Type="http://schemas.openxmlformats.org/officeDocument/2006/relationships/hyperlink" Target="https://drive.google.com/file/d/1-OL0ijLcO4oCmNnZTW_Y7BHwMB4uUQVK/view" TargetMode="External"/><Relationship Id="rId26" Type="http://schemas.openxmlformats.org/officeDocument/2006/relationships/hyperlink" Target="https://drive.google.com/file/d/1Sye9_tfW3vCUCuzfO04RicfVtkkhBLUa/view" TargetMode="External"/><Relationship Id="rId25" Type="http://schemas.openxmlformats.org/officeDocument/2006/relationships/hyperlink" Target="https://drive.google.com/file/d/1j6z_L7F1ez8ItqPnrQsPNGg2j38KtlgG/view" TargetMode="External"/><Relationship Id="rId24" Type="http://schemas.openxmlformats.org/officeDocument/2006/relationships/hyperlink" Target="https://drive.google.com/file/d/1sFDM_grDHNQoFssiRNDRYHiZ-v5Cz_mM/view?usp=drivesdk" TargetMode="External"/><Relationship Id="rId23" Type="http://schemas.openxmlformats.org/officeDocument/2006/relationships/hyperlink" Target="https://drive.google.com/file/d/1zVz0DVls0T0q0Nw8a9sVgmfrBBnx7VDU/view?usp=drivesdk" TargetMode="External"/><Relationship Id="rId22" Type="http://schemas.openxmlformats.org/officeDocument/2006/relationships/hyperlink" Target="https://drive.google.com/file/d/1MqKqLyL1Szw5dZPMXxT46Rrs2pbCGBzG/view?usp=drivesdk" TargetMode="External"/><Relationship Id="rId21" Type="http://schemas.openxmlformats.org/officeDocument/2006/relationships/hyperlink" Target="https://drive.google.com/file/d/15Bc88hS6nxrWXF0LYcVoTUmlRCZ-EtKv/view?usp=drivesdk" TargetMode="External"/><Relationship Id="rId203" Type="http://schemas.openxmlformats.org/officeDocument/2006/relationships/hyperlink" Target="https://drive.google.com/file/d/1jTCXH33gTrZDnqPAyOS9Jo4Vsl0cg49j/view?usp=sharing" TargetMode="External"/><Relationship Id="rId202" Type="http://schemas.openxmlformats.org/officeDocument/2006/relationships/hyperlink" Target="https://drive.google.com/file/d/1-LMn2RMdekpDhktxd6uNjQQdatMKF8yZ/view?usp=drive_link" TargetMode="External"/><Relationship Id="rId201" Type="http://schemas.openxmlformats.org/officeDocument/2006/relationships/hyperlink" Target="https://drive.google.com/file/d/1pO45KJ2Anjf1wjhdMDATmYcrXCytLB3y/view?usp=sharing" TargetMode="External"/><Relationship Id="rId200" Type="http://schemas.openxmlformats.org/officeDocument/2006/relationships/hyperlink" Target="https://drive.google.com/file/d/1ayKyx-7T7TwOte_gGFgfgCxWiVa8Cg8m/view?usp=drive_link" TargetMode="External"/><Relationship Id="rId20" Type="http://schemas.openxmlformats.org/officeDocument/2006/relationships/hyperlink" Target="https://drive.google.com/file/d/1MMrYNdFIDXAIq6LtHwU6gyJ4tgXw7G-u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9" Type="http://schemas.openxmlformats.org/officeDocument/2006/relationships/hyperlink" Target="https://drive.google.com/file/d/1VXVL_r3DoAz3I_u0DD1X5QX9FVNRikkd/view?usp=drive_link" TargetMode="External"/><Relationship Id="rId198" Type="http://schemas.openxmlformats.org/officeDocument/2006/relationships/hyperlink" Target="https://drive.google.com/file/d/14S--Kd5Vl3YSMCHzwwYt_kQIgxGm_Zbg/view?usp=drive_link" TargetMode="External"/><Relationship Id="rId197" Type="http://schemas.openxmlformats.org/officeDocument/2006/relationships/hyperlink" Target="https://drive.google.com/file/d/1_wspiI7N_dRs_vE3p2pH0rc8yAcF-pg4/view?usp=drive_link" TargetMode="External"/><Relationship Id="rId196" Type="http://schemas.openxmlformats.org/officeDocument/2006/relationships/hyperlink" Target="https://drive.google.com/file/d/1WXt01Z5DyEaibfcb9yjRvC37GnJBijOf/view?usp=drive_link" TargetMode="External"/><Relationship Id="rId195" Type="http://schemas.openxmlformats.org/officeDocument/2006/relationships/hyperlink" Target="https://drive.google.com/file/d/1imOf8cO4LrDK_1VGlnSJPrR4OAx8Sd2B/view?usp=drive_link" TargetMode="External"/><Relationship Id="rId194" Type="http://schemas.openxmlformats.org/officeDocument/2006/relationships/hyperlink" Target="https://drive.google.com/file/d/15MHSo23sHhYQuvGI6Rdc88aGx1MXVhlF/view?usp=drive_link" TargetMode="External"/><Relationship Id="rId193" Type="http://schemas.openxmlformats.org/officeDocument/2006/relationships/hyperlink" Target="https://drive.google.com/file/d/1biD_OWP2awFT111gaTpBNNr3AS3NDINn/view?usp=drive_link" TargetMode="External"/><Relationship Id="rId192" Type="http://schemas.openxmlformats.org/officeDocument/2006/relationships/hyperlink" Target="https://drive.google.com/file/d/1wTcRpLfkpOMVY3hw2QTUv6LQcB9cOzat/view?usp=drive_link" TargetMode="External"/><Relationship Id="rId191" Type="http://schemas.openxmlformats.org/officeDocument/2006/relationships/hyperlink" Target="https://drive.google.com/file/d/1yW-_9zBLG_Fn_N-ncjuONsbvuMuwbPmv/view?usp=drive_link" TargetMode="External"/><Relationship Id="rId190" Type="http://schemas.openxmlformats.org/officeDocument/2006/relationships/hyperlink" Target="https://drive.google.com/file/d/1mMz4HtEoeAbpd0fSV0nrAAVWE_NwNd0K/view?usp=drivesdk" TargetMode="External"/><Relationship Id="rId19" Type="http://schemas.openxmlformats.org/officeDocument/2006/relationships/hyperlink" Target="https://drive.google.com/file/d/1OCCCwrKUlTy4NqUDZsCGAqlMUuEalLTg/view?usp=drivesdk" TargetMode="External"/><Relationship Id="rId189" Type="http://schemas.openxmlformats.org/officeDocument/2006/relationships/hyperlink" Target="https://drive.google.com/file/d/13BQ_wJdpDsvZ4ExNu5_MiUuptLzyEkOt/view?usp=drivesdk" TargetMode="External"/><Relationship Id="rId188" Type="http://schemas.openxmlformats.org/officeDocument/2006/relationships/hyperlink" Target="https://drive.google.com/file/d/1h1YpL-TqyEbEky1f-D_FA37WkazYPh6C/view?usp=drivesdk" TargetMode="External"/><Relationship Id="rId187" Type="http://schemas.openxmlformats.org/officeDocument/2006/relationships/hyperlink" Target="https://drive.google.com/file/d/1DLXMiPTJtaj-cV4BMCQfSpkJVR1A3rDB/view?usp=drivesdk" TargetMode="External"/><Relationship Id="rId186" Type="http://schemas.openxmlformats.org/officeDocument/2006/relationships/hyperlink" Target="https://drive.google.com/file/d/1b0tG7LlxP2I7zhWbYZaWxkh28HgqHz0s/view?usp=drivesdk" TargetMode="External"/><Relationship Id="rId185" Type="http://schemas.openxmlformats.org/officeDocument/2006/relationships/hyperlink" Target="https://drive.google.com/file/d/1iuScMGNcz3weEMoQVa1T_JuSW_9DH1pO/view?usp=drivesdk" TargetMode="External"/><Relationship Id="rId184" Type="http://schemas.openxmlformats.org/officeDocument/2006/relationships/hyperlink" Target="https://drive.google.com/file/d/1kw2VWoQAq_GLZWh8CMRcXuwxf4-mQw_3/view?usp=drivesdk" TargetMode="External"/><Relationship Id="rId183" Type="http://schemas.openxmlformats.org/officeDocument/2006/relationships/hyperlink" Target="https://drive.google.com/file/d/1Abd8DwLweMv1FfMWCYJdSkK3a-re0q0L/view?usp=drivesdk" TargetMode="External"/><Relationship Id="rId182" Type="http://schemas.openxmlformats.org/officeDocument/2006/relationships/hyperlink" Target="https://drive.google.com/file/d/1pJ8fD1Ok-zcawXCMQ_cRWt6M5YN8RMtR/view?usp=drivesdk" TargetMode="External"/><Relationship Id="rId181" Type="http://schemas.openxmlformats.org/officeDocument/2006/relationships/hyperlink" Target="https://drive.google.com/file/d/1aHQQRjcXI6yHCt_UP6yKuQeMFKCUgGvc/view?usp=drivesdk" TargetMode="External"/><Relationship Id="rId180" Type="http://schemas.openxmlformats.org/officeDocument/2006/relationships/hyperlink" Target="https://drive.google.com/file/d/1pRyxVlOB9oeuk3O5IIACA530apjx3-Be/view?usp=drivesdk" TargetMode="External"/><Relationship Id="rId18" Type="http://schemas.openxmlformats.org/officeDocument/2006/relationships/hyperlink" Target="https://drive.google.com/file/d/1DWHRNJ3pMF_sCvA1Cgrp7Nq-QjVOrmtQ/view?usp=drive_link" TargetMode="External"/><Relationship Id="rId179" Type="http://schemas.openxmlformats.org/officeDocument/2006/relationships/hyperlink" Target="https://drive.google.com/file/d/1uYLeaulkVSSo9JfLTOyoKNdPZriZ7gfN/view?usp=drivesdk" TargetMode="External"/><Relationship Id="rId178" Type="http://schemas.openxmlformats.org/officeDocument/2006/relationships/hyperlink" Target="https://drive.google.com/file/d/1qoLoPyTtfy5SLtbkTcwZ5hfG7zyYvOjI/view?usp=drivesdk" TargetMode="External"/><Relationship Id="rId177" Type="http://schemas.openxmlformats.org/officeDocument/2006/relationships/hyperlink" Target="https://drive.google.com/file/d/1uouhgNSfb35tVgSNAT8SBXbH8HW7m3t7/view?usp=drivesdk" TargetMode="External"/><Relationship Id="rId176" Type="http://schemas.openxmlformats.org/officeDocument/2006/relationships/hyperlink" Target="https://drive.google.com/file/d/1bxIZJ6A0SyevCXCLRJJQsKicLHyUSel3/view?usp=drivesdk" TargetMode="External"/><Relationship Id="rId175" Type="http://schemas.openxmlformats.org/officeDocument/2006/relationships/hyperlink" Target="https://drive.google.com/file/d/1dkDs0IKNusqI0BPpiDMA33TS3N20uRcH/view?usp=drivesdk" TargetMode="External"/><Relationship Id="rId174" Type="http://schemas.openxmlformats.org/officeDocument/2006/relationships/hyperlink" Target="https://drive.google.com/file/d/13SbKXAWRec3kpm0GqTA736J4r8YLM3mP/view?usp=drivesdk" TargetMode="External"/><Relationship Id="rId173" Type="http://schemas.openxmlformats.org/officeDocument/2006/relationships/hyperlink" Target="https://drive.google.com/file/d/1IFXyXVWNPCHVMWZK264ltJrxyR8MoCNf/view?usp=drivesdk" TargetMode="External"/><Relationship Id="rId172" Type="http://schemas.openxmlformats.org/officeDocument/2006/relationships/hyperlink" Target="https://drive.google.com/file/d/1mkpgqVyWWqPHnVWFxR2j-_iHjXSrikm-/view?usp=drivesdk" TargetMode="External"/><Relationship Id="rId171" Type="http://schemas.openxmlformats.org/officeDocument/2006/relationships/hyperlink" Target="https://drive.google.com/file/d/1q6JC0ZSVeRyfzcyPXnR1oa_gZeq5Adsf/view?usp=drivesdk" TargetMode="External"/><Relationship Id="rId170" Type="http://schemas.openxmlformats.org/officeDocument/2006/relationships/hyperlink" Target="https://drive.google.com/file/d/1flqvwxcZ1eir6abRUnyvAOwW4dzbgGVN/view?usp=drivesdk" TargetMode="External"/><Relationship Id="rId17" Type="http://schemas.openxmlformats.org/officeDocument/2006/relationships/hyperlink" Target="https://drive.google.com/file/d/1IUS8d_QOkrc_3Yf1jLvL5afjwyI3ICZg/view?usp=drive_link" TargetMode="External"/><Relationship Id="rId169" Type="http://schemas.openxmlformats.org/officeDocument/2006/relationships/hyperlink" Target="https://drive.google.com/file/d/1w4UTxyqtJUxMIQ3h2SuY5vbDKfKYHC29/view?usp=drivesdk" TargetMode="External"/><Relationship Id="rId168" Type="http://schemas.openxmlformats.org/officeDocument/2006/relationships/hyperlink" Target="https://drive.google.com/file/d/12Q3__owZ4sfSEGBknxHctOTH4xrGVWD7/view?usp=drive_link" TargetMode="External"/><Relationship Id="rId167" Type="http://schemas.openxmlformats.org/officeDocument/2006/relationships/hyperlink" Target="https://drive.google.com/file/d/1zJWXGJfINS9BzTK821055S7z4kP2wE92/view?usp=drive_link" TargetMode="External"/><Relationship Id="rId166" Type="http://schemas.openxmlformats.org/officeDocument/2006/relationships/hyperlink" Target="https://drive.google.com/file/d/1AX6OYh4cyvOHoTjUpWLiCag24x3ib1as/view?usp=drive_link" TargetMode="External"/><Relationship Id="rId165" Type="http://schemas.openxmlformats.org/officeDocument/2006/relationships/hyperlink" Target="https://drive.google.com/file/d/13amFNwY1TDp12ju5coJ_4t8OY3mdTqvo/view?usp=drive_link" TargetMode="External"/><Relationship Id="rId164" Type="http://schemas.openxmlformats.org/officeDocument/2006/relationships/hyperlink" Target="https://drive.google.com/file/d/1QNJAFIS3AcDcCYyHYBdcGhSfgl7p_oNi/view?usp=drive_link" TargetMode="External"/><Relationship Id="rId163" Type="http://schemas.openxmlformats.org/officeDocument/2006/relationships/hyperlink" Target="https://drive.google.com/file/d/1XYwMDVzh4fwDVhFcKzavALPhzJhymcTA/view?usp=drive_link" TargetMode="External"/><Relationship Id="rId162" Type="http://schemas.openxmlformats.org/officeDocument/2006/relationships/hyperlink" Target="https://drive.google.com/file/d/1XiG02UYQFZnEtTHy_-6O0J-OD0O2cJDG/view?usp=drive_link" TargetMode="External"/><Relationship Id="rId161" Type="http://schemas.openxmlformats.org/officeDocument/2006/relationships/hyperlink" Target="https://drive.google.com/file/d/1dA6BJnXLbpi0Zz_mRBTRHp76jTd3vpal/view?usp=drivesdk" TargetMode="External"/><Relationship Id="rId160" Type="http://schemas.openxmlformats.org/officeDocument/2006/relationships/hyperlink" Target="https://drive.google.com/file/d/1iQ_Q4HCJ-zDnMd1F94DucUYz7wOmhNTy/view?usp=drivesdk" TargetMode="External"/><Relationship Id="rId16" Type="http://schemas.openxmlformats.org/officeDocument/2006/relationships/hyperlink" Target="https://drive.google.com/file/d/1gEAixXS_3N31vdhaFBuI34_Zwxtr4-Av/view?usp=drive_link" TargetMode="External"/><Relationship Id="rId159" Type="http://schemas.openxmlformats.org/officeDocument/2006/relationships/hyperlink" Target="https://drive.google.com/file/d/1z9vz2r3HtntpLAZXfmgg61ZPtNs3JwGj/view?usp=drive_link" TargetMode="External"/><Relationship Id="rId158" Type="http://schemas.openxmlformats.org/officeDocument/2006/relationships/hyperlink" Target="https://drive.google.com/file/d/13UKyayGuA94wgag2vP608BSJm28F9SjK/view?usp=drivesdk" TargetMode="External"/><Relationship Id="rId157" Type="http://schemas.openxmlformats.org/officeDocument/2006/relationships/hyperlink" Target="https://drive.google.com/file/d/1zb-v3OBPe1uEGA2pfUeJYKn607Q23-VX/view?usp=drive_link" TargetMode="External"/><Relationship Id="rId156" Type="http://schemas.openxmlformats.org/officeDocument/2006/relationships/hyperlink" Target="https://drive.google.com/file/d/1vm26hGolfmIt_00AwhxaInYBeHzy-o-M/view?usp=drive_link" TargetMode="External"/><Relationship Id="rId155" Type="http://schemas.openxmlformats.org/officeDocument/2006/relationships/hyperlink" Target="https://drive.google.com/file/d/15bp-unBGi_6QJ7i8dobY3ZYeP2skiV38/view?usp=drive_link" TargetMode="External"/><Relationship Id="rId154" Type="http://schemas.openxmlformats.org/officeDocument/2006/relationships/hyperlink" Target="https://drive.google.com/file/d/151_nNpwiYjOoHw0NaGjhK8_JSex8_d3C/view?usp=drivesdk" TargetMode="External"/><Relationship Id="rId153" Type="http://schemas.openxmlformats.org/officeDocument/2006/relationships/hyperlink" Target="https://drive.google.com/file/d/1p9MlHvCBRNAJYexFIWsNT3b--t4fR3Rf/view?usp=drive_link" TargetMode="External"/><Relationship Id="rId152" Type="http://schemas.openxmlformats.org/officeDocument/2006/relationships/hyperlink" Target="https://drive.google.com/file/d/1asgl5SpirppgggoKXR1X8BTP0IMSs_Hq/view?usp=drivesdk" TargetMode="External"/><Relationship Id="rId151" Type="http://schemas.openxmlformats.org/officeDocument/2006/relationships/hyperlink" Target="https://drive.google.com/file/d/11AMehloheiTnLm05AokwexaOSkInZ7gu/view?usp=drivesdk" TargetMode="External"/><Relationship Id="rId150" Type="http://schemas.openxmlformats.org/officeDocument/2006/relationships/hyperlink" Target="https://drive.google.com/file/d/1SVzgo7K5HA2eBNvCm9cHE5Jjj19OQ_Yi/view?usp=drivesdk" TargetMode="External"/><Relationship Id="rId15" Type="http://schemas.openxmlformats.org/officeDocument/2006/relationships/hyperlink" Target="https://drive.google.com/file/d/1EA90Utk1ns7TCVkyeIJ5iW7Hdqq2_Zha/view?usp=drive_link" TargetMode="External"/><Relationship Id="rId149" Type="http://schemas.openxmlformats.org/officeDocument/2006/relationships/hyperlink" Target="https://drive.google.com/file/d/1VBcUYGGVBC1eFzghNmCL6gYt5uTrB1En/view?usp=drivesdk" TargetMode="External"/><Relationship Id="rId148" Type="http://schemas.openxmlformats.org/officeDocument/2006/relationships/hyperlink" Target="https://drive.google.com/file/d/1AvwfvxAigPmn2HwcxP2r_HE5XQNTVfio/view?usp=drivesdk" TargetMode="External"/><Relationship Id="rId147" Type="http://schemas.openxmlformats.org/officeDocument/2006/relationships/hyperlink" Target="https://drive.google.com/file/d/1YHGtCN76a8nF57aGzHjkfYUeeOB51E2i/view?usp=drive_link" TargetMode="External"/><Relationship Id="rId146" Type="http://schemas.openxmlformats.org/officeDocument/2006/relationships/hyperlink" Target="https://drive.google.com/file/d/1WOEQum9D_NKi3goLKqtY1VRtvIRb4Onc/view?usp=drivesdk" TargetMode="External"/><Relationship Id="rId145" Type="http://schemas.openxmlformats.org/officeDocument/2006/relationships/hyperlink" Target="https://drive.google.com/file/d/1tYp3kf2YZfVDWXP_ppXiSk-8uC3iLHGP/view?usp=drivesdk" TargetMode="External"/><Relationship Id="rId144" Type="http://schemas.openxmlformats.org/officeDocument/2006/relationships/hyperlink" Target="https://drive.google.com/file/d/1j5G0xlpPZoN_-SJWXfCmHSvy5_f5ElVb/view?usp=drive_link" TargetMode="External"/><Relationship Id="rId143" Type="http://schemas.openxmlformats.org/officeDocument/2006/relationships/hyperlink" Target="https://drive.google.com/file/d/18R5-hqH5rhdTFHQ_-9FelFaTNFFzJh_T/view?usp=drive_link" TargetMode="External"/><Relationship Id="rId142" Type="http://schemas.openxmlformats.org/officeDocument/2006/relationships/hyperlink" Target="https://drive.google.com/file/d/14-i6FREDfcd3sWtXcRWcR3dbbCjLF-pQ/view?usp=drive_link" TargetMode="External"/><Relationship Id="rId141" Type="http://schemas.openxmlformats.org/officeDocument/2006/relationships/hyperlink" Target="https://drive.google.com/file/d/15783VE4mpd_oLtq6eJkrhYXIz-t2msIl/view?usp=drivesdk" TargetMode="External"/><Relationship Id="rId140" Type="http://schemas.openxmlformats.org/officeDocument/2006/relationships/hyperlink" Target="https://drive.google.com/file/d/1B7wFLY5XROOEnCBo5MvraJCHGZSlvN2F/view?usp=drivesdk" TargetMode="External"/><Relationship Id="rId14" Type="http://schemas.openxmlformats.org/officeDocument/2006/relationships/hyperlink" Target="https://drive.google.com/file/d/1V_KesoUUtqOCox2hPrqsar6MiABiKfbT/view?usp=drive_link" TargetMode="External"/><Relationship Id="rId139" Type="http://schemas.openxmlformats.org/officeDocument/2006/relationships/hyperlink" Target="https://drive.google.com/file/d/13NRRwV6xx66cW1eLQgLlIoT0apkFdG3H/view?usp=drivesdk" TargetMode="External"/><Relationship Id="rId138" Type="http://schemas.openxmlformats.org/officeDocument/2006/relationships/hyperlink" Target="https://drive.google.com/file/d/1kIJWy8Qyq1_tG4qEOkxoUeJSPRJfp6E1/view?usp=drivesdk" TargetMode="External"/><Relationship Id="rId137" Type="http://schemas.openxmlformats.org/officeDocument/2006/relationships/hyperlink" Target="https://drive.google.com/file/d/1jFwwE4khA3m09oC8S5PokKW-fS3zkGV6/view?usp=drivesdk" TargetMode="External"/><Relationship Id="rId136" Type="http://schemas.openxmlformats.org/officeDocument/2006/relationships/hyperlink" Target="https://drive.google.com/file/d/1gL9HTgiVwg1lLQMCXvFIxto7Q7jAmX3t/view?usp=drivesdk" TargetMode="External"/><Relationship Id="rId135" Type="http://schemas.openxmlformats.org/officeDocument/2006/relationships/hyperlink" Target="https://drive.google.com/file/d/1hkKub4bh8GdGbmgTcs1evjim0RxAVQoz/view?usp=drive_link" TargetMode="External"/><Relationship Id="rId134" Type="http://schemas.openxmlformats.org/officeDocument/2006/relationships/hyperlink" Target="https://drive.google.com/file/d/1_zXzreSeSg3T8OGxR3-9v1X3VUpHTPc3/view?usp=drivesdk" TargetMode="External"/><Relationship Id="rId133" Type="http://schemas.openxmlformats.org/officeDocument/2006/relationships/hyperlink" Target="https://drive.google.com/file/d/1vLkz92jSiAjbZoz-m5Jqje9B1tsB1rmq/view?usp=drivesdk" TargetMode="External"/><Relationship Id="rId132" Type="http://schemas.openxmlformats.org/officeDocument/2006/relationships/hyperlink" Target="https://drive.google.com/file/d/1ZpM61LlNe-bBtPRymoN2qXZ6YGP26bFH/view?usp=drivesdk" TargetMode="External"/><Relationship Id="rId131" Type="http://schemas.openxmlformats.org/officeDocument/2006/relationships/hyperlink" Target="https://drive.google.com/file/d/1ohjC0u0QM9dwleJp6BUydV1-T0sVYTjs/view?usp=drive_link" TargetMode="External"/><Relationship Id="rId130" Type="http://schemas.openxmlformats.org/officeDocument/2006/relationships/hyperlink" Target="https://drive.google.com/file/d/1n6kgQYiFSfRmzvqNvEMMpvoSSKW9tNLl/view?usp=drivesdk" TargetMode="External"/><Relationship Id="rId13" Type="http://schemas.openxmlformats.org/officeDocument/2006/relationships/hyperlink" Target="https://drive.google.com/file/d/1tBQj4KBkGIcQo30fyHrHkQTaQkbdqCVJ/view?usp=drive_link" TargetMode="External"/><Relationship Id="rId129" Type="http://schemas.openxmlformats.org/officeDocument/2006/relationships/hyperlink" Target="https://drive.google.com/file/d/1f9YvrEEU4Hx-Gov_l-mxoXT9fJwHvlGX/view?usp=drivesdk" TargetMode="External"/><Relationship Id="rId128" Type="http://schemas.openxmlformats.org/officeDocument/2006/relationships/hyperlink" Target="https://docs.google.com/document/d/1Tbe0PVfzxCAfIsIxEjjd_PjY7DVCyvpPmoPb7jYq7uI/edit?usp=drive_link" TargetMode="External"/><Relationship Id="rId127" Type="http://schemas.openxmlformats.org/officeDocument/2006/relationships/hyperlink" Target="https://docs.google.com/document/d/11yo-N3jNXz73ot3FxtZEk7KIb7VCSJE6li2eBSuKDs4/edit?usp=drive_link" TargetMode="External"/><Relationship Id="rId126" Type="http://schemas.openxmlformats.org/officeDocument/2006/relationships/hyperlink" Target="https://docs.google.com/document/d/1KojeKbYm7_sMv6uvoWwL_UjDXkWgWfXXFipki9-a_1M/edit?usp=drive_link" TargetMode="External"/><Relationship Id="rId125" Type="http://schemas.openxmlformats.org/officeDocument/2006/relationships/hyperlink" Target="https://docs.google.com/document/d/1TCT74CQpfIc1e7CnSVSy4TKajIafLyegfq-cMsMhWKg/edit?usp=drive_link" TargetMode="External"/><Relationship Id="rId124" Type="http://schemas.openxmlformats.org/officeDocument/2006/relationships/hyperlink" Target="https://drive.google.com/file/d/1UMaC0dmkJLAfLNI_13AnsMMyV4D1WgRJ/view?usp=drivesdk" TargetMode="External"/><Relationship Id="rId123" Type="http://schemas.openxmlformats.org/officeDocument/2006/relationships/hyperlink" Target="https://drive.google.com/file/d/1U9ayAdpHb6nhlOC0nb79f6BxuPlwfQ9K/view?usp=drivesdk" TargetMode="External"/><Relationship Id="rId122" Type="http://schemas.openxmlformats.org/officeDocument/2006/relationships/hyperlink" Target="https://drive.google.com/file/d/1RInzRG0kdikB6uUiLu3UuQw6oIulO2PM/view?usp=drive_linkhttps://drive.google.com/file/d/1RInzRG0kdikB6uUiLu3UuQw6oIulO2PM/view?usp=drive_link" TargetMode="External"/><Relationship Id="rId121" Type="http://schemas.openxmlformats.org/officeDocument/2006/relationships/hyperlink" Target="https://drive.google.com/file/d/1FUdhhfUN-luAroAa_KyyLtQAPWNYruGx/view?usp=drive_link" TargetMode="External"/><Relationship Id="rId120" Type="http://schemas.openxmlformats.org/officeDocument/2006/relationships/hyperlink" Target="https://drive.google.com/file/d/1PJMlwsarfJsjDOH9BR13ZC5WuNsCbsUs/view?usp=drive_link" TargetMode="External"/><Relationship Id="rId12" Type="http://schemas.openxmlformats.org/officeDocument/2006/relationships/hyperlink" Target="https://drive.google.com/file/d/1xBnJaVPqkzMOXYrs7FDEX7fsJh1bBOlL/view?usp=drive_link" TargetMode="External"/><Relationship Id="rId119" Type="http://schemas.openxmlformats.org/officeDocument/2006/relationships/hyperlink" Target="https://drive.google.com/file/d/1fSvGTS8bB6HuiPaZYdDiOhcl5coBTyn6/view?usp=drivesdk" TargetMode="External"/><Relationship Id="rId118" Type="http://schemas.openxmlformats.org/officeDocument/2006/relationships/hyperlink" Target="https://drive.google.com/file/d/1bNgpZa_CUI7KauO5S_wo1U7tssBuDbSN/view?usp=drivesdk" TargetMode="External"/><Relationship Id="rId117" Type="http://schemas.openxmlformats.org/officeDocument/2006/relationships/hyperlink" Target="https://drive.google.com/file/d/1sT0NJsD21pgepjH7tLuJCBFtIZQax2Wl/view?usp=drivesdk" TargetMode="External"/><Relationship Id="rId116" Type="http://schemas.openxmlformats.org/officeDocument/2006/relationships/hyperlink" Target="https://drive.google.com/file/d/1Rrq1AHOdjR2ShWbqNq2RzzfKxCAwSRZj/view?usp=drivesdk" TargetMode="External"/><Relationship Id="rId115" Type="http://schemas.openxmlformats.org/officeDocument/2006/relationships/hyperlink" Target="https://drive.google.com/file/d/16KKmcdo6AzhCKj5Fp9W20GMNYdo_wKML/view?usp=drivesdk" TargetMode="External"/><Relationship Id="rId114" Type="http://schemas.openxmlformats.org/officeDocument/2006/relationships/hyperlink" Target="https://drive.google.com/file/d/13JiJlWYw1IWnWLN_tS9c9yqU95lY_OiF/view?usp=drivesdk" TargetMode="External"/><Relationship Id="rId113" Type="http://schemas.openxmlformats.org/officeDocument/2006/relationships/hyperlink" Target="https://drive.google.com/file/d/1Vx0j5Nj4g4HBZmQou69RA8ki6wE3Lahh/view?usp=drivesdk" TargetMode="External"/><Relationship Id="rId112" Type="http://schemas.openxmlformats.org/officeDocument/2006/relationships/hyperlink" Target="https://drive.google.com/file/d/1P_BCu_2QVtE153XaJwwFH2qOnbtfw2vU/view?usp=drivesdk" TargetMode="External"/><Relationship Id="rId111" Type="http://schemas.openxmlformats.org/officeDocument/2006/relationships/hyperlink" Target="https://drive.google.com/file/d/1m9dPnqms1RkHwlmaoq6HNpVdrxXKMc4e/view?usp=sharing" TargetMode="External"/><Relationship Id="rId110" Type="http://schemas.openxmlformats.org/officeDocument/2006/relationships/hyperlink" Target="https://drive.google.com/file/d/1lWP6IvNBiSgSE8NUcRY6MtyFZvzryUVW/view?usp=sharing" TargetMode="External"/><Relationship Id="rId11" Type="http://schemas.openxmlformats.org/officeDocument/2006/relationships/hyperlink" Target="https://drive.google.com/file/d/1n_sxnq85b2lKGL26GnirBYDfp3Laq_a-/view?usp=drive_link" TargetMode="External"/><Relationship Id="rId109" Type="http://schemas.openxmlformats.org/officeDocument/2006/relationships/hyperlink" Target="https://drive.google.com/file/d/1Y9flt534_FhOqa8NP_vpNuG3r3VfhlQm/view?usp=sharing" TargetMode="External"/><Relationship Id="rId108" Type="http://schemas.openxmlformats.org/officeDocument/2006/relationships/hyperlink" Target="https://drive.google.com/file/d/1RdAXjTxyqbfqMqUkwTxTZ16CD1Z3vhZv/view?usp=drive_link" TargetMode="External"/><Relationship Id="rId107" Type="http://schemas.openxmlformats.org/officeDocument/2006/relationships/hyperlink" Target="https://drive.google.com/file/d/1mwomjH1QGF2g853ThBERIEl_lqprdVCV/view?usp=drive_link" TargetMode="External"/><Relationship Id="rId106" Type="http://schemas.openxmlformats.org/officeDocument/2006/relationships/hyperlink" Target="https://drive.google.com/file/d/135u3tNC1zdA9J5PceHfhUccKOAjoZVtj/view?usp=drive_link" TargetMode="External"/><Relationship Id="rId105" Type="http://schemas.openxmlformats.org/officeDocument/2006/relationships/hyperlink" Target="https://drive.google.com/file/d/1jB0U0EhE5xwrMoxyjyFZrlDez1qXmX50/view?usp=drive_link" TargetMode="External"/><Relationship Id="rId104" Type="http://schemas.openxmlformats.org/officeDocument/2006/relationships/hyperlink" Target="https://drive.google.com/file/d/10LKj431l5xtZZdGiXpGZC66AJpr0hYj0/view?usp=drivesdk" TargetMode="External"/><Relationship Id="rId103" Type="http://schemas.openxmlformats.org/officeDocument/2006/relationships/hyperlink" Target="https://drive.google.com/file/d/1KA6FdgYga4tpmUzHFKs8nZfj6I10Dsnc/view?usp=drive_link" TargetMode="External"/><Relationship Id="rId102" Type="http://schemas.openxmlformats.org/officeDocument/2006/relationships/hyperlink" Target="https://drive.google.com/file/d/1vL98rafw5EdMw0g-Gukusup3IuiOeWDb/view?usp=drive_link" TargetMode="External"/><Relationship Id="rId101" Type="http://schemas.openxmlformats.org/officeDocument/2006/relationships/hyperlink" Target="https://drive.google.com/file/d/1yqbx43PnfXE8U_6g27LrPngfH4Nim4l-/view?usp=drivesdk" TargetMode="External"/><Relationship Id="rId100" Type="http://schemas.openxmlformats.org/officeDocument/2006/relationships/hyperlink" Target="https://drive.google.com/file/d/1KfWKJxh2VrKitJEr0szRBuEALYNYKYBC/view?usp=drivesdk" TargetMode="External"/><Relationship Id="rId10" Type="http://schemas.openxmlformats.org/officeDocument/2006/relationships/hyperlink" Target="https://drive.google.com/file/d/1vAilJIwOsp4XAuK_CHrcMGeHYpph1rEL/view?usp=drive_link" TargetMode="External"/><Relationship Id="rId1" Type="http://schemas.openxmlformats.org/officeDocument/2006/relationships/hyperlink" Target="http://s.no/" TargetMode="External"/></Relationships>
</file>

<file path=xl/worksheets/_rels/sheet27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dEXWzbjvlXlAtXnVegOKsP-FK2X8icyG/view?usp=drivesdk" TargetMode="External"/><Relationship Id="rId98" Type="http://schemas.openxmlformats.org/officeDocument/2006/relationships/hyperlink" Target="https://drive.google.com/file/d/12Rz9Bst1qc788H8Zh8yXBmnHPzzrN93P/view?usp=drivesdk" TargetMode="External"/><Relationship Id="rId97" Type="http://schemas.openxmlformats.org/officeDocument/2006/relationships/hyperlink" Target="https://drive.google.com/file/d/1T7BS5aUu1suc6oUZAUJSkrbr1ggrqk4F/view?usp=drivesdk" TargetMode="External"/><Relationship Id="rId96" Type="http://schemas.openxmlformats.org/officeDocument/2006/relationships/hyperlink" Target="https://drive.google.com/file/d/1lWP6IvNBiSgSE8NUcRY6MtyFZvzryUVW/view?usp=sharing" TargetMode="External"/><Relationship Id="rId95" Type="http://schemas.openxmlformats.org/officeDocument/2006/relationships/hyperlink" Target="https://drive.google.com/file/d/1SVzgo7K5HA2eBNvCm9cHE5Jjj19OQ_Yi/view?usp=drivesdk" TargetMode="External"/><Relationship Id="rId94" Type="http://schemas.openxmlformats.org/officeDocument/2006/relationships/hyperlink" Target="https://drive.google.com/file/d/1FnlIWyliZjBpKGWlrZWC0ZLvdC1mSeRT/view?usp=drive_link" TargetMode="External"/><Relationship Id="rId93" Type="http://schemas.openxmlformats.org/officeDocument/2006/relationships/hyperlink" Target="https://drive.google.com/file/d/1B7wFLY5XROOEnCBo5MvraJCHGZSlvN2F/view?usp=drivesdk" TargetMode="External"/><Relationship Id="rId92" Type="http://schemas.openxmlformats.org/officeDocument/2006/relationships/hyperlink" Target="https://drive.google.com/file/d/1P_BCu_2QVtE153XaJwwFH2qOnbtfw2vU/view?usp=drivesdk" TargetMode="External"/><Relationship Id="rId91" Type="http://schemas.openxmlformats.org/officeDocument/2006/relationships/hyperlink" Target="https://drive.google.com/file/d/13NRRwV6xx66cW1eLQgLlIoT0apkFdG3H/view?usp=drivesdk" TargetMode="External"/><Relationship Id="rId90" Type="http://schemas.openxmlformats.org/officeDocument/2006/relationships/hyperlink" Target="https://drive.google.com/file/d/1QHgzzBJNnFVv7Q4ZFvEihpGjk4Z1zaPp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KiLSQnjJ2psEDDxubsd4qAIGYURZhEgV/view?usp=share_link" TargetMode="External"/><Relationship Id="rId88" Type="http://schemas.openxmlformats.org/officeDocument/2006/relationships/hyperlink" Target="https://drive.google.com/file/d/1-aGhYs7ao10VRy2guue-uTg4Xq65DWCb/view?usp=drivesdk" TargetMode="External"/><Relationship Id="rId87" Type="http://schemas.openxmlformats.org/officeDocument/2006/relationships/hyperlink" Target="https://drive.google.com/file/d/1gdaUpwcvEEPj3F4ukVHIDBTYWmdw2MMT/view?usp=drivesdk" TargetMode="External"/><Relationship Id="rId86" Type="http://schemas.openxmlformats.org/officeDocument/2006/relationships/hyperlink" Target="https://drive.google.com/file/d/18_RD9xZabwO2JP75PawLVIgZiRHanJ7r/view?usp=drivesdk" TargetMode="External"/><Relationship Id="rId85" Type="http://schemas.openxmlformats.org/officeDocument/2006/relationships/hyperlink" Target="https://drive.google.com/file/d/1050KPyHqjlRunLX-RfleyqLFilvJdS5r/view?usp=drivesdk" TargetMode="External"/><Relationship Id="rId84" Type="http://schemas.openxmlformats.org/officeDocument/2006/relationships/hyperlink" Target="https://drive.google.com/file/d/1ovJmNjOlfEf62x4Im3HNRvI9DtrFZ9Sr/view?usp=drivesdk" TargetMode="External"/><Relationship Id="rId83" Type="http://schemas.openxmlformats.org/officeDocument/2006/relationships/hyperlink" Target="https://drive.google.com/file/d/1vL98rafw5EdMw0g-Gukusup3IuiOeWDb/view?usp=drive_link" TargetMode="External"/><Relationship Id="rId82" Type="http://schemas.openxmlformats.org/officeDocument/2006/relationships/hyperlink" Target="https://drive.google.com/file/d/1PHv5SowWdHLPDwAmdCWH5ARL1Z38hfYO/view?usp=drivesdk" TargetMode="External"/><Relationship Id="rId81" Type="http://schemas.openxmlformats.org/officeDocument/2006/relationships/hyperlink" Target="https://drive.google.com/file/d/18HTrtI8KIzcwPDrXi0nqp6RPtcqsk4FA/view?usp=drivesdk" TargetMode="External"/><Relationship Id="rId80" Type="http://schemas.openxmlformats.org/officeDocument/2006/relationships/hyperlink" Target="https://drive.google.com/file/d/1G_2h17dEDSJ0sJVLA7KEA3Wy18Qic-lD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d7EFuXhUJIVdNfyP-VvbEov7OxOUhnjX/view?usp=drivesdk" TargetMode="External"/><Relationship Id="rId78" Type="http://schemas.openxmlformats.org/officeDocument/2006/relationships/hyperlink" Target="https://drive.google.com/file/d/1yqbx43PnfXE8U_6g27LrPngfH4Nim4l-/view?usp=drivesdk" TargetMode="External"/><Relationship Id="rId77" Type="http://schemas.openxmlformats.org/officeDocument/2006/relationships/hyperlink" Target="https://drive.google.com/file/d/1WQjpqTJkN2CL63dizWOLH-FHbxYPuwVs/view?usp=drivesdk" TargetMode="External"/><Relationship Id="rId76" Type="http://schemas.openxmlformats.org/officeDocument/2006/relationships/hyperlink" Target="https://drive.google.com/file/d/1KfWKJxh2VrKitJEr0szRBuEALYNYKYBC/view?usp=drivesdk" TargetMode="External"/><Relationship Id="rId75" Type="http://schemas.openxmlformats.org/officeDocument/2006/relationships/hyperlink" Target="https://drive.google.com/file/d/11rwp4t8FCYeorWBqowC3lt4oxoiMZXGD/view?usp=drivesdk" TargetMode="External"/><Relationship Id="rId74" Type="http://schemas.openxmlformats.org/officeDocument/2006/relationships/hyperlink" Target="https://drive.google.com/file/d/1sT0NJsD21pgepjH7tLuJCBFtIZQax2Wl/view?usp=drivesdk" TargetMode="External"/><Relationship Id="rId73" Type="http://schemas.openxmlformats.org/officeDocument/2006/relationships/hyperlink" Target="https://drive.google.com/file/d/1Q3MLsC3HPDUwIk0LuSHUtLVSOuBH_O4N/view?usp=drivesdk" TargetMode="External"/><Relationship Id="rId72" Type="http://schemas.openxmlformats.org/officeDocument/2006/relationships/hyperlink" Target="https://drive.google.com/file/d/11pMXP9LzQDSOCFcGyZ30h0N4_459t-8T/view?usp=drivesdk" TargetMode="External"/><Relationship Id="rId71" Type="http://schemas.openxmlformats.org/officeDocument/2006/relationships/hyperlink" Target="https://drive.google.com/file/d/1Ak6smEd55cnbU6cgiHWyy16Q1-XSYz02/view?usp=drivesdk" TargetMode="External"/><Relationship Id="rId70" Type="http://schemas.openxmlformats.org/officeDocument/2006/relationships/hyperlink" Target="https://drive.google.com/file/d/1KHPev2Kq3qVrGscAO2uuo7yScy8y8Sup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hLGDUrXqBvHMOAiLQE0q9BoTCTu2K7ao/view?usp=drivesdk" TargetMode="External"/><Relationship Id="rId68" Type="http://schemas.openxmlformats.org/officeDocument/2006/relationships/hyperlink" Target="https://drive.google.com/file/d/1LWD7yTNI0RJDRsb9uJmf_DlCrtRgUKyY/view?usp=drivesdk" TargetMode="External"/><Relationship Id="rId67" Type="http://schemas.openxmlformats.org/officeDocument/2006/relationships/hyperlink" Target="https://drive.google.com/file/d/1ugQovbHhHiatqYgFZRiOkMLioEJ1sY9o/view?usp=drivesdk" TargetMode="External"/><Relationship Id="rId66" Type="http://schemas.openxmlformats.org/officeDocument/2006/relationships/hyperlink" Target="https://drive.google.com/file/d/1VO8wG6RTf64Yu5WlHt4RNVEAlHxdXRIv/view?usp=drivesdk" TargetMode="External"/><Relationship Id="rId65" Type="http://schemas.openxmlformats.org/officeDocument/2006/relationships/hyperlink" Target="https://drive.google.com/file/d/1Y9flt534_FhOqa8NP_vpNuG3r3VfhlQm/view?usp=sharing" TargetMode="External"/><Relationship Id="rId64" Type="http://schemas.openxmlformats.org/officeDocument/2006/relationships/hyperlink" Target="https://drive.google.com/file/d/16IRc55EQPnwJwz1MBgv_Y1W7eI0TnC6F/view?usp=drivesdk" TargetMode="External"/><Relationship Id="rId63" Type="http://schemas.openxmlformats.org/officeDocument/2006/relationships/hyperlink" Target="https://drive.google.com/file/d/1UL3NuZgOCt4s4K1Lmw0E4054Vvcygtkf/view?usp=drivesdk" TargetMode="External"/><Relationship Id="rId62" Type="http://schemas.openxmlformats.org/officeDocument/2006/relationships/hyperlink" Target="https://drive.google.com/file/d/1JpfRw7AKi5vyFGzJYU8Gt0AbdcnM-XIR/view?usp=drivesdk" TargetMode="External"/><Relationship Id="rId61" Type="http://schemas.openxmlformats.org/officeDocument/2006/relationships/hyperlink" Target="https://drive.google.com/file/d/1ODbvUqRQqa0vgDKn1aCSa1ExOjI5eU6s/view?usp=drivesdk" TargetMode="External"/><Relationship Id="rId60" Type="http://schemas.openxmlformats.org/officeDocument/2006/relationships/hyperlink" Target="https://drive.google.com/file/d/1l0CarlJRdXeKckzjv5vdH8ZMNbVSDSFn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xZZ5XWFzSXvXAjvdoqHHi1FHnk0heuYs/view?usp=drivesdk" TargetMode="External"/><Relationship Id="rId58" Type="http://schemas.openxmlformats.org/officeDocument/2006/relationships/hyperlink" Target="https://drive.google.com/file/d/1v38ptVE_U4sgNuUAuiiQTJuuhlHb7jFl/view?usp=drive_link" TargetMode="External"/><Relationship Id="rId57" Type="http://schemas.openxmlformats.org/officeDocument/2006/relationships/hyperlink" Target="https://drive.google.com/file/d/1wGPC1ILzmoS_NSdfsBEMDa6PUvmHiITQ/view?usp=drivesdk" TargetMode="External"/><Relationship Id="rId56" Type="http://schemas.openxmlformats.org/officeDocument/2006/relationships/hyperlink" Target="https://drive.google.com/file/d/16C9A5O_2LU1qouTuL7juJbsj3tyaD1Qt/view?usp=drivesdk" TargetMode="External"/><Relationship Id="rId55" Type="http://schemas.openxmlformats.org/officeDocument/2006/relationships/hyperlink" Target="https://drive.google.com/file/d/16VUgmeIgOqD2kCbL2vOnNnCK5A21jtS6/view?usp=drivesdk" TargetMode="External"/><Relationship Id="rId54" Type="http://schemas.openxmlformats.org/officeDocument/2006/relationships/hyperlink" Target="https://drive.google.com/file/d/16-Aw559LRobGzObL2CIZzbedS2huPzfM/view?usp=drivesdk" TargetMode="External"/><Relationship Id="rId53" Type="http://schemas.openxmlformats.org/officeDocument/2006/relationships/hyperlink" Target="https://drive.google.com/file/d/1VBcUYGGVBC1eFzghNmCL6gYt5uTrB1En/view?usp=drivesdk" TargetMode="External"/><Relationship Id="rId52" Type="http://schemas.openxmlformats.org/officeDocument/2006/relationships/hyperlink" Target="https://drive.google.com/file/d/1AvwfvxAigPmn2HwcxP2r_HE5XQNTVfio/view?usp=drivesdk" TargetMode="External"/><Relationship Id="rId51" Type="http://schemas.openxmlformats.org/officeDocument/2006/relationships/hyperlink" Target="https://drive.google.com/file/d/1YHGtCN76a8nF57aGzHjkfYUeeOB51E2i/view?usp=drive_link" TargetMode="External"/><Relationship Id="rId50" Type="http://schemas.openxmlformats.org/officeDocument/2006/relationships/hyperlink" Target="https://drive.google.com/file/d/1HZnPMnXtZ0QO_7Mg1rBnqh1WGOP3akH4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YI54nUQ9qGl4HCxnSZ9MgIOfdUXpAveO/view?usp=drivesdk" TargetMode="External"/><Relationship Id="rId48" Type="http://schemas.openxmlformats.org/officeDocument/2006/relationships/hyperlink" Target="https://drive.google.com/file/d/1WOEQum9D_NKi3goLKqtY1VRtvIRb4Onc/view?usp=drivesdk" TargetMode="External"/><Relationship Id="rId47" Type="http://schemas.openxmlformats.org/officeDocument/2006/relationships/hyperlink" Target="https://drive.google.com/file/d/1yhSE8e9oSoZ1XITSkXcml25c5-I7E8OK/view?usp=drivesdk" TargetMode="External"/><Relationship Id="rId46" Type="http://schemas.openxmlformats.org/officeDocument/2006/relationships/hyperlink" Target="https://drive.google.com/file/d/1tYp3kf2YZfVDWXP_ppXiSk-8uC3iLHGP/view?usp=drivesdk" TargetMode="External"/><Relationship Id="rId45" Type="http://schemas.openxmlformats.org/officeDocument/2006/relationships/hyperlink" Target="https://drive.google.com/file/d/1j5G0xlpPZoN_-SJWXfCmHSvy5_f5ElVb/view?usp=drive_link" TargetMode="External"/><Relationship Id="rId44" Type="http://schemas.openxmlformats.org/officeDocument/2006/relationships/hyperlink" Target="https://drive.google.com/file/d/18R5-hqH5rhdTFHQ_-9FelFaTNFFzJh_T/view?usp=drive_link" TargetMode="External"/><Relationship Id="rId43" Type="http://schemas.openxmlformats.org/officeDocument/2006/relationships/hyperlink" Target="https://drive.google.com/file/d/1YbHVvlbyekEd3SxwhAnFtXa_ZYZV9hC9/view?usp=drivesdk" TargetMode="External"/><Relationship Id="rId42" Type="http://schemas.openxmlformats.org/officeDocument/2006/relationships/hyperlink" Target="https://drive.google.com/file/d/1fSvGTS8bB6HuiPaZYdDiOhcl5coBTyn6/view?usp=drivesdk" TargetMode="External"/><Relationship Id="rId41" Type="http://schemas.openxmlformats.org/officeDocument/2006/relationships/hyperlink" Target="https://drive.google.com/file/d/16suSyeaCwhnYVKgszyf2w4ssKbufdRBf/view?usp=drivesdk" TargetMode="External"/><Relationship Id="rId40" Type="http://schemas.openxmlformats.org/officeDocument/2006/relationships/hyperlink" Target="https://drive.google.com/file/d/1waraBZBCOsJq0_rFPrXInBkspp7KcD0g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kIJWy8Qyq1_tG4qEOkxoUeJSPRJfp6E1/view?usp=drivesdk" TargetMode="External"/><Relationship Id="rId38" Type="http://schemas.openxmlformats.org/officeDocument/2006/relationships/hyperlink" Target="https://drive.google.com/file/d/1EoQqe_wzL5E6hm9JFrG8aErbmcHafa8C/view?usp=drivesdk" TargetMode="External"/><Relationship Id="rId37" Type="http://schemas.openxmlformats.org/officeDocument/2006/relationships/hyperlink" Target="https://drive.google.com/file/d/1FUdhhfUN-luAroAa_KyyLtQAPWNYruGx/view?usp=drive_link" TargetMode="External"/><Relationship Id="rId36" Type="http://schemas.openxmlformats.org/officeDocument/2006/relationships/hyperlink" Target="https://drive.google.com/file/d/1exXucVZqcE3RkfVT9eWgvz1GrwgUcOGs/view?usp=drivesdk" TargetMode="External"/><Relationship Id="rId35" Type="http://schemas.openxmlformats.org/officeDocument/2006/relationships/hyperlink" Target="https://drive.google.com/file/d/1YhQfmy0rQa_3l9AQYACCpU7Fqq-FOQEI/view?usp=drivesdk" TargetMode="External"/><Relationship Id="rId34" Type="http://schemas.openxmlformats.org/officeDocument/2006/relationships/hyperlink" Target="https://drive.google.com/file/d/1Jd1pNOhKfow7rDb2cXcXuMaKkq3scBym/view?usp=drivesdk" TargetMode="External"/><Relationship Id="rId33" Type="http://schemas.openxmlformats.org/officeDocument/2006/relationships/hyperlink" Target="https://drive.google.com/file/d/14GkYuSFockovOVePXY3kQGt-QIydDele/view?usp=drive_link" TargetMode="External"/><Relationship Id="rId32" Type="http://schemas.openxmlformats.org/officeDocument/2006/relationships/hyperlink" Target="https://drive.google.com/file/d/1SyqKT5bF5AaGYQgD2j5JSrpmJiBMLybn/view?usp=drivesdk" TargetMode="External"/><Relationship Id="rId31" Type="http://schemas.openxmlformats.org/officeDocument/2006/relationships/hyperlink" Target="https://drive.google.com/file/d/1WAIV9EzRLNkmkzUDIIR1DMXykSJnRqNQ/view?usp=drivesdk" TargetMode="External"/><Relationship Id="rId30" Type="http://schemas.openxmlformats.org/officeDocument/2006/relationships/hyperlink" Target="https://drive.google.com/file/d/1hO6981dWlr7a4rY7wKkphIA6DUHyv1ca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GgU8otZVWYUtpfGoGJVaWq9OiwS6VyWR/view?usp=drivesdk" TargetMode="External"/><Relationship Id="rId28" Type="http://schemas.openxmlformats.org/officeDocument/2006/relationships/hyperlink" Target="https://drive.google.com/file/d/1wYVnj5xHuiqQU2FLKpl5j3MbxNgNSDWL/view?usp=drivesdk" TargetMode="External"/><Relationship Id="rId27" Type="http://schemas.openxmlformats.org/officeDocument/2006/relationships/hyperlink" Target="https://drive.google.com/file/d/1JmOAm4079UzechP2QZhlcGLcKATeh1NC/view?usp=drivesdk" TargetMode="External"/><Relationship Id="rId26" Type="http://schemas.openxmlformats.org/officeDocument/2006/relationships/hyperlink" Target="https://drive.google.com/file/d/1LKMYyqlNdTpBAJHzScOqSYbwoX-Sj7CT/view?usp=drivesdk" TargetMode="External"/><Relationship Id="rId25" Type="http://schemas.openxmlformats.org/officeDocument/2006/relationships/hyperlink" Target="https://drive.google.com/file/d/1-OL0ijLcO4oCmNnZTW_Y7BHwMB4uUQVK/view" TargetMode="External"/><Relationship Id="rId24" Type="http://schemas.openxmlformats.org/officeDocument/2006/relationships/hyperlink" Target="https://drive.google.com/file/d/1Sye9_tfW3vCUCuzfO04RicfVtkkhBLUa/view" TargetMode="External"/><Relationship Id="rId23" Type="http://schemas.openxmlformats.org/officeDocument/2006/relationships/hyperlink" Target="https://drive.google.com/file/d/1j6z_L7F1ez8ItqPnrQsPNGg2j38KtlgG/view" TargetMode="External"/><Relationship Id="rId22" Type="http://schemas.openxmlformats.org/officeDocument/2006/relationships/hyperlink" Target="https://drive.google.com/file/d/1sFDM_grDHNQoFssiRNDRYHiZ-v5Cz_mM/view?usp=drivesdk" TargetMode="External"/><Relationship Id="rId21" Type="http://schemas.openxmlformats.org/officeDocument/2006/relationships/hyperlink" Target="https://drive.google.com/file/d/1zVz0DVls0T0q0Nw8a9sVgmfrBBnx7VDU/view?usp=drivesdk" TargetMode="External"/><Relationship Id="rId20" Type="http://schemas.openxmlformats.org/officeDocument/2006/relationships/hyperlink" Target="https://drive.google.com/file/d/1MqKqLyL1Szw5dZPMXxT46Rrs2pbCGBzG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" Type="http://schemas.openxmlformats.org/officeDocument/2006/relationships/hyperlink" Target="https://drive.google.com/file/d/15Bc88hS6nxrWXF0LYcVoTUmlRCZ-EtKv/view?usp=drivesdk" TargetMode="External"/><Relationship Id="rId18" Type="http://schemas.openxmlformats.org/officeDocument/2006/relationships/hyperlink" Target="https://drive.google.com/file/d/1MMrYNdFIDXAIq6LtHwU6gyJ4tgXw7G-u/view?usp=drivesdk" TargetMode="External"/><Relationship Id="rId17" Type="http://schemas.openxmlformats.org/officeDocument/2006/relationships/hyperlink" Target="https://drive.google.com/file/d/1OCCCwrKUlTy4NqUDZsCGAqlMUuEalLTg/view?usp=drivesdk" TargetMode="External"/><Relationship Id="rId162" Type="http://schemas.openxmlformats.org/officeDocument/2006/relationships/hyperlink" Target="https://drive.google.com/file/d/1z6DqqghGz5_1wHnScD8k48HgKfz0Zk9I/view?usp=sharing" TargetMode="External"/><Relationship Id="rId161" Type="http://schemas.openxmlformats.org/officeDocument/2006/relationships/hyperlink" Target="https://drive.google.com/file/d/1HvfXkFjLiHRPwmnYl-3JLNG2OHocGWGJ/view?usp=drive_link" TargetMode="External"/><Relationship Id="rId160" Type="http://schemas.openxmlformats.org/officeDocument/2006/relationships/hyperlink" Target="https://drive.google.com/file/d/1O8IFerN_b1OVb1CN9mQGTjYZpOKGoITY/view?usp=drive_link" TargetMode="External"/><Relationship Id="rId16" Type="http://schemas.openxmlformats.org/officeDocument/2006/relationships/hyperlink" Target="https://drive.google.com/file/d/1PNvkKAdYOWhB1flJ3E_PTltwmnkgSYJA/view?usp=drive_link" TargetMode="External"/><Relationship Id="rId159" Type="http://schemas.openxmlformats.org/officeDocument/2006/relationships/hyperlink" Target="https://drive.google.com/file/d/1g_9nh_hqVHEgyFmCYgVlJFmL1Aj6XSjP/view?usp=drive_link" TargetMode="External"/><Relationship Id="rId158" Type="http://schemas.openxmlformats.org/officeDocument/2006/relationships/hyperlink" Target="https://drive.google.com/file/d/1pO45KJ2Anjf1wjhdMDATmYcrXCytLB3y/view?usp=sharing" TargetMode="External"/><Relationship Id="rId157" Type="http://schemas.openxmlformats.org/officeDocument/2006/relationships/hyperlink" Target="https://drive.google.com/file/d/1ayKyx-7T7TwOte_gGFgfgCxWiVa8Cg8m/view?usp=drive_link" TargetMode="External"/><Relationship Id="rId156" Type="http://schemas.openxmlformats.org/officeDocument/2006/relationships/hyperlink" Target="https://drive.google.com/file/d/1VXVL_r3DoAz3I_u0DD1X5QX9FVNRikkd/view?usp=drive_link" TargetMode="External"/><Relationship Id="rId155" Type="http://schemas.openxmlformats.org/officeDocument/2006/relationships/hyperlink" Target="https://drive.google.com/file/d/14S--Kd5Vl3YSMCHzwwYt_kQIgxGm_Zbg/view?usp=drive_link" TargetMode="External"/><Relationship Id="rId154" Type="http://schemas.openxmlformats.org/officeDocument/2006/relationships/hyperlink" Target="https://drive.google.com/file/d/1n-OVjxMOvOjL1phlSkz8eviOukA2jLci/view?usp=drive_link" TargetMode="External"/><Relationship Id="rId153" Type="http://schemas.openxmlformats.org/officeDocument/2006/relationships/hyperlink" Target="https://drive.google.com/file/d/1_wspiI7N_dRs_vE3p2pH0rc8yAcF-pg4/view?usp=drive_link" TargetMode="External"/><Relationship Id="rId152" Type="http://schemas.openxmlformats.org/officeDocument/2006/relationships/hyperlink" Target="https://drive.google.com/file/d/1WXt01Z5DyEaibfcb9yjRvC37GnJBijOf/view?usp=drive_link" TargetMode="External"/><Relationship Id="rId151" Type="http://schemas.openxmlformats.org/officeDocument/2006/relationships/hyperlink" Target="https://drive.google.com/file/d/12CBiVkqByJdiB_fExvTvqpU9ylB2Sy3W/view?usp=drive_link" TargetMode="External"/><Relationship Id="rId150" Type="http://schemas.openxmlformats.org/officeDocument/2006/relationships/hyperlink" Target="https://drive.google.com/file/d/1rjwl5CZZjBCqyIHHwyVOtiklXu_rVxIO/view?usp=drive_link" TargetMode="External"/><Relationship Id="rId15" Type="http://schemas.openxmlformats.org/officeDocument/2006/relationships/hyperlink" Target="https://drive.google.com/file/d/1IUS8d_QOkrc_3Yf1jLvL5afjwyI3ICZg/view?usp=drive_link" TargetMode="External"/><Relationship Id="rId149" Type="http://schemas.openxmlformats.org/officeDocument/2006/relationships/hyperlink" Target="https://drive.google.com/file/d/1imOf8cO4LrDK_1VGlnSJPrR4OAx8Sd2B/view?usp=drive_link" TargetMode="External"/><Relationship Id="rId148" Type="http://schemas.openxmlformats.org/officeDocument/2006/relationships/hyperlink" Target="https://drive.google.com/file/d/10aHD4D4de3IMNUlj2mTv1iugbhs7vm95/view?usp=drive_link" TargetMode="External"/><Relationship Id="rId147" Type="http://schemas.openxmlformats.org/officeDocument/2006/relationships/hyperlink" Target="https://drive.google.com/file/d/15MHSo23sHhYQuvGI6Rdc88aGx1MXVhlF/view?usp=drive_link" TargetMode="External"/><Relationship Id="rId146" Type="http://schemas.openxmlformats.org/officeDocument/2006/relationships/hyperlink" Target="https://drive.google.com/file/d/1z2yIzp0ZbgM-WXwFf0MlJEXezfRG53OZ/view?usp=drive_link" TargetMode="External"/><Relationship Id="rId145" Type="http://schemas.openxmlformats.org/officeDocument/2006/relationships/hyperlink" Target="https://drive.google.com/file/d/1biD_OWP2awFT111gaTpBNNr3AS3NDINn/view?usp=drive_link" TargetMode="External"/><Relationship Id="rId144" Type="http://schemas.openxmlformats.org/officeDocument/2006/relationships/hyperlink" Target="https://drive.google.com/file/d/1wTcRpLfkpOMVY3hw2QTUv6LQcB9cOzat/view?usp=drive_link" TargetMode="External"/><Relationship Id="rId143" Type="http://schemas.openxmlformats.org/officeDocument/2006/relationships/hyperlink" Target="https://drive.google.com/file/d/1yW-_9zBLG_Fn_N-ncjuONsbvuMuwbPmv/view?usp=drive_link" TargetMode="External"/><Relationship Id="rId142" Type="http://schemas.openxmlformats.org/officeDocument/2006/relationships/hyperlink" Target="https://drive.google.com/file/d/1RdAXjTxyqbfqMqUkwTxTZ16CD1Z3vhZv/view?usp=drive_link" TargetMode="External"/><Relationship Id="rId141" Type="http://schemas.openxmlformats.org/officeDocument/2006/relationships/hyperlink" Target="https://drive.google.com/file/d/1mwomjH1QGF2g853ThBERIEl_lqprdVCV/view?usp=drive_link" TargetMode="External"/><Relationship Id="rId140" Type="http://schemas.openxmlformats.org/officeDocument/2006/relationships/hyperlink" Target="https://drive.google.com/file/d/135u3tNC1zdA9J5PceHfhUccKOAjoZVtj/view?usp=drive_link" TargetMode="External"/><Relationship Id="rId14" Type="http://schemas.openxmlformats.org/officeDocument/2006/relationships/hyperlink" Target="https://drive.google.com/file/d/1EA90Utk1ns7TCVkyeIJ5iW7Hdqq2_Zha/view?usp=drive_link" TargetMode="External"/><Relationship Id="rId139" Type="http://schemas.openxmlformats.org/officeDocument/2006/relationships/hyperlink" Target="https://drive.google.com/file/d/1jB0U0EhE5xwrMoxyjyFZrlDez1qXmX50/view?usp=drive_link" TargetMode="External"/><Relationship Id="rId138" Type="http://schemas.openxmlformats.org/officeDocument/2006/relationships/hyperlink" Target="https://drive.google.com/file/d/10LKj431l5xtZZdGiXpGZC66AJpr0hYj0/view?usp=drivesdk" TargetMode="External"/><Relationship Id="rId137" Type="http://schemas.openxmlformats.org/officeDocument/2006/relationships/hyperlink" Target="https://drive.google.com/file/d/1KA6FdgYga4tpmUzHFKs8nZfj6I10Dsnc/view?usp=drive_link" TargetMode="External"/><Relationship Id="rId136" Type="http://schemas.openxmlformats.org/officeDocument/2006/relationships/hyperlink" Target="https://drive.google.com/file/d/1h1YpL-TqyEbEky1f-D_FA37WkazYPh6C/view?usp=drivesdk" TargetMode="External"/><Relationship Id="rId135" Type="http://schemas.openxmlformats.org/officeDocument/2006/relationships/hyperlink" Target="https://drive.google.com/file/d/1DLXMiPTJtaj-cV4BMCQfSpkJVR1A3rDB/view?usp=drivesdk" TargetMode="External"/><Relationship Id="rId134" Type="http://schemas.openxmlformats.org/officeDocument/2006/relationships/hyperlink" Target="https://drive.google.com/file/d/1b0tG7LlxP2I7zhWbYZaWxkh28HgqHz0s/view?usp=drivesdk" TargetMode="External"/><Relationship Id="rId133" Type="http://schemas.openxmlformats.org/officeDocument/2006/relationships/hyperlink" Target="https://drive.google.com/file/d/1iuScMGNcz3weEMoQVa1T_JuSW_9DH1pO/view?usp=drivesdk" TargetMode="External"/><Relationship Id="rId132" Type="http://schemas.openxmlformats.org/officeDocument/2006/relationships/hyperlink" Target="https://drive.google.com/file/d/1kw2VWoQAq_GLZWh8CMRcXuwxf4-mQw_3/view?usp=drivesdk" TargetMode="External"/><Relationship Id="rId131" Type="http://schemas.openxmlformats.org/officeDocument/2006/relationships/hyperlink" Target="https://drive.google.com/file/d/1Abd8DwLweMv1FfMWCYJdSkK3a-re0q0L/view?usp=drivesdk" TargetMode="External"/><Relationship Id="rId130" Type="http://schemas.openxmlformats.org/officeDocument/2006/relationships/hyperlink" Target="https://drive.google.com/file/d/1pJ8fD1Ok-zcawXCMQ_cRWt6M5YN8RMtR/view?usp=drivesdk" TargetMode="External"/><Relationship Id="rId13" Type="http://schemas.openxmlformats.org/officeDocument/2006/relationships/hyperlink" Target="https://drive.google.com/file/d/1V_KesoUUtqOCox2hPrqsar6MiABiKfbT/view?usp=drive_link" TargetMode="External"/><Relationship Id="rId129" Type="http://schemas.openxmlformats.org/officeDocument/2006/relationships/hyperlink" Target="https://drive.google.com/file/d/1aHQQRjcXI6yHCt_UP6yKuQeMFKCUgGvc/view?usp=drivesdk" TargetMode="External"/><Relationship Id="rId128" Type="http://schemas.openxmlformats.org/officeDocument/2006/relationships/hyperlink" Target="https://drive.google.com/file/d/1pRyxVlOB9oeuk3O5IIACA530apjx3-Be/view?usp=drivesdk" TargetMode="External"/><Relationship Id="rId127" Type="http://schemas.openxmlformats.org/officeDocument/2006/relationships/hyperlink" Target="https://drive.google.com/file/d/1uYLeaulkVSSo9JfLTOyoKNdPZriZ7gfN/view?usp=drivesdk" TargetMode="External"/><Relationship Id="rId126" Type="http://schemas.openxmlformats.org/officeDocument/2006/relationships/hyperlink" Target="https://drive.google.com/file/d/1qoLoPyTtfy5SLtbkTcwZ5hfG7zyYvOjI/view?usp=drivesdk" TargetMode="External"/><Relationship Id="rId125" Type="http://schemas.openxmlformats.org/officeDocument/2006/relationships/hyperlink" Target="https://drive.google.com/file/d/1uouhgNSfb35tVgSNAT8SBXbH8HW7m3t7/view?usp=drivesdk" TargetMode="External"/><Relationship Id="rId124" Type="http://schemas.openxmlformats.org/officeDocument/2006/relationships/hyperlink" Target="https://drive.google.com/file/d/1bxIZJ6A0SyevCXCLRJJQsKicLHyUSel3/view?usp=drivesdk" TargetMode="External"/><Relationship Id="rId123" Type="http://schemas.openxmlformats.org/officeDocument/2006/relationships/hyperlink" Target="https://drive.google.com/file/d/1dkDs0IKNusqI0BPpiDMA33TS3N20uRcH/view?usp=drivesdk" TargetMode="External"/><Relationship Id="rId122" Type="http://schemas.openxmlformats.org/officeDocument/2006/relationships/hyperlink" Target="https://drive.google.com/file/d/13SbKXAWRec3kpm0GqTA736J4r8YLM3mP/view?usp=drivesdk" TargetMode="External"/><Relationship Id="rId121" Type="http://schemas.openxmlformats.org/officeDocument/2006/relationships/hyperlink" Target="https://drive.google.com/file/d/1IFXyXVWNPCHVMWZK264ltJrxyR8MoCNf/view?usp=drivesdk" TargetMode="External"/><Relationship Id="rId120" Type="http://schemas.openxmlformats.org/officeDocument/2006/relationships/hyperlink" Target="https://drive.google.com/file/d/1mMz4HtEoeAbpd0fSV0nrAAVWE_NwNd0K/view?usp=drivesdk" TargetMode="External"/><Relationship Id="rId12" Type="http://schemas.openxmlformats.org/officeDocument/2006/relationships/hyperlink" Target="https://drive.google.com/file/d/1tBQj4KBkGIcQo30fyHrHkQTaQkbdqCVJ/view?usp=drive_link" TargetMode="External"/><Relationship Id="rId119" Type="http://schemas.openxmlformats.org/officeDocument/2006/relationships/hyperlink" Target="https://drive.google.com/file/d/1PJMlwsarfJsjDOH9BR13ZC5WuNsCbsUs/view?usp=drive_link" TargetMode="External"/><Relationship Id="rId118" Type="http://schemas.openxmlformats.org/officeDocument/2006/relationships/hyperlink" Target="https://drive.google.com/file/d/13BQ_wJdpDsvZ4ExNu5_MiUuptLzyEkOt/view?usp=drivesdk" TargetMode="External"/><Relationship Id="rId117" Type="http://schemas.openxmlformats.org/officeDocument/2006/relationships/hyperlink" Target="https://drive.google.com/file/d/18ueBKNiLx_qMQGWWAwsMx3AwCOr1zXzs/view?usp=drivesdk" TargetMode="External"/><Relationship Id="rId116" Type="http://schemas.openxmlformats.org/officeDocument/2006/relationships/hyperlink" Target="https://drive.google.com/file/d/1l9qfxWgKh-kHCOlLJw3rYD8TsqzZQ0Vg/view?usp=drivesdk" TargetMode="External"/><Relationship Id="rId115" Type="http://schemas.openxmlformats.org/officeDocument/2006/relationships/hyperlink" Target="https://drive.google.com/file/d/11itxCKs7_1wrdjNgkLJy60XgxMCdImZ8/view?usp=drivesdk" TargetMode="External"/><Relationship Id="rId114" Type="http://schemas.openxmlformats.org/officeDocument/2006/relationships/hyperlink" Target="https://drive.google.com/file/d/1Yy8fpURlINeYfCy7rrZmDKFYHuyxD4iQ/view?usp=drivesdk" TargetMode="External"/><Relationship Id="rId113" Type="http://schemas.openxmlformats.org/officeDocument/2006/relationships/hyperlink" Target="https://drive.google.com/file/d/1FtIA5xRRdfg0DMeFhk4cK9fSTdReYxn_/view?usp=drivesdk" TargetMode="External"/><Relationship Id="rId112" Type="http://schemas.openxmlformats.org/officeDocument/2006/relationships/hyperlink" Target="https://drive.google.com/file/d/1HXZTAZQL0VArZ_9hBhMjaP1mlNRqP8T5/view?usp=drive_link" TargetMode="External"/><Relationship Id="rId111" Type="http://schemas.openxmlformats.org/officeDocument/2006/relationships/hyperlink" Target="https://drive.google.com/file/d/1KLs3uxdiaRJWETPsO6CmyTUanKwokaZa/view?usp=drive_link" TargetMode="External"/><Relationship Id="rId110" Type="http://schemas.openxmlformats.org/officeDocument/2006/relationships/hyperlink" Target="https://drive.google.com/file/d/1ULg6wSSFgz4hxLake3pNnzRocvpPmZYZ/view?usp=drivesdk" TargetMode="External"/><Relationship Id="rId11" Type="http://schemas.openxmlformats.org/officeDocument/2006/relationships/hyperlink" Target="https://drive.google.com/file/d/1KSVlG8ggn_l2f-vaOdiJ4ew0PqS7szcU/view?usp=drive_link" TargetMode="External"/><Relationship Id="rId109" Type="http://schemas.openxmlformats.org/officeDocument/2006/relationships/hyperlink" Target="https://drive.google.com/file/d/1WFj0LyCScVrmb41N-RuRU2HZGx5A4QUM/view?usp=drivesdk" TargetMode="External"/><Relationship Id="rId108" Type="http://schemas.openxmlformats.org/officeDocument/2006/relationships/hyperlink" Target="https://drive.google.com/file/d/1G6kH8R6hjEGmJmuU2Q1QejweKqjRW6DP/view?usp=drivesdk" TargetMode="External"/><Relationship Id="rId107" Type="http://schemas.openxmlformats.org/officeDocument/2006/relationships/hyperlink" Target="https://drive.google.com/file/d/1LQkh8x3zwwOEGBzYg73i26Jpewo6cs3D/view?usp=drivesdk" TargetMode="External"/><Relationship Id="rId106" Type="http://schemas.openxmlformats.org/officeDocument/2006/relationships/hyperlink" Target="https://drive.google.com/file/d/18HoCA9YDoJiZI1ICrjO5DtziAZZqqASw/view?usp=drivesdk" TargetMode="External"/><Relationship Id="rId105" Type="http://schemas.openxmlformats.org/officeDocument/2006/relationships/hyperlink" Target="https://drive.google.com/file/d/1-sH-k7diCS-WDKeXQScayM3HAWW1q7sM/view?usp=drivesdk" TargetMode="External"/><Relationship Id="rId104" Type="http://schemas.openxmlformats.org/officeDocument/2006/relationships/hyperlink" Target="https://drive.google.com/file/d/17pRvmaCFzqLMQRC7wnvA4L82a4VoqSNb/view?usp=drivesdk" TargetMode="External"/><Relationship Id="rId103" Type="http://schemas.openxmlformats.org/officeDocument/2006/relationships/hyperlink" Target="https://drive.google.com/file/d/14NjXiJxdPZj-jsyU8TwKzoZcgHH2Kikm/view?usp=drivesdk" TargetMode="External"/><Relationship Id="rId102" Type="http://schemas.openxmlformats.org/officeDocument/2006/relationships/hyperlink" Target="https://drive.google.com/file/d/1GrGA4TyYwG1MhtL3_f1BynYYPOQUPYfI/view?usp=drivesdk" TargetMode="External"/><Relationship Id="rId101" Type="http://schemas.openxmlformats.org/officeDocument/2006/relationships/hyperlink" Target="https://drive.google.com/file/d/1V4kAOaTdr-GtYhnXv7gzQBE3ZR7ZPlKK/view?usp=drive_link" TargetMode="External"/><Relationship Id="rId100" Type="http://schemas.openxmlformats.org/officeDocument/2006/relationships/hyperlink" Target="https://drive.google.com/file/d/1QwVsrlCn-vJKPmMmbOEuyVZPenw3zLAi/view?usp=drivesdk" TargetMode="External"/><Relationship Id="rId10" Type="http://schemas.openxmlformats.org/officeDocument/2006/relationships/hyperlink" Target="https://drive.google.com/file/d/1n_sxnq85b2lKGL26GnirBYDfp3Laq_a-/view?usp=drive_link" TargetMode="External"/><Relationship Id="rId1" Type="http://schemas.openxmlformats.org/officeDocument/2006/relationships/hyperlink" Target="http://s.no/" TargetMode="External"/></Relationships>
</file>

<file path=xl/worksheets/_rels/sheet28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ovJmNjOlfEf62x4Im3HNRvI9DtrFZ9Sr/view?usp=drivesdk" TargetMode="External"/><Relationship Id="rId98" Type="http://schemas.openxmlformats.org/officeDocument/2006/relationships/hyperlink" Target="https://drive.google.com/file/d/1vL98rafw5EdMw0g-Gukusup3IuiOeWDb/view?usp=drive_link" TargetMode="External"/><Relationship Id="rId97" Type="http://schemas.openxmlformats.org/officeDocument/2006/relationships/hyperlink" Target="https://drive.google.com/file/d/1PHv5SowWdHLPDwAmdCWH5ARL1Z38hfYO/view?usp=drivesdk" TargetMode="External"/><Relationship Id="rId96" Type="http://schemas.openxmlformats.org/officeDocument/2006/relationships/hyperlink" Target="https://drive.google.com/file/d/18HTrtI8KIzcwPDrXi0nqp6RPtcqsk4FA/view?usp=drivesdk" TargetMode="External"/><Relationship Id="rId95" Type="http://schemas.openxmlformats.org/officeDocument/2006/relationships/hyperlink" Target="https://drive.google.com/file/d/1G_2h17dEDSJ0sJVLA7KEA3Wy18Qic-lD/view?usp=drivesdk" TargetMode="External"/><Relationship Id="rId94" Type="http://schemas.openxmlformats.org/officeDocument/2006/relationships/hyperlink" Target="https://drive.google.com/file/d/1d7EFuXhUJIVdNfyP-VvbEov7OxOUhnjX/view?usp=drivesdk" TargetMode="External"/><Relationship Id="rId93" Type="http://schemas.openxmlformats.org/officeDocument/2006/relationships/hyperlink" Target="https://drive.google.com/file/d/1yqbx43PnfXE8U_6g27LrPngfH4Nim4l-/view?usp=drivesdk" TargetMode="External"/><Relationship Id="rId92" Type="http://schemas.openxmlformats.org/officeDocument/2006/relationships/hyperlink" Target="https://drive.google.com/file/d/1WQjpqTJkN2CL63dizWOLH-FHbxYPuwVs/view?usp=drivesdk" TargetMode="External"/><Relationship Id="rId91" Type="http://schemas.openxmlformats.org/officeDocument/2006/relationships/hyperlink" Target="https://drive.google.com/file/d/1KfWKJxh2VrKitJEr0szRBuEALYNYKYBC/view?usp=drivesdk" TargetMode="External"/><Relationship Id="rId90" Type="http://schemas.openxmlformats.org/officeDocument/2006/relationships/hyperlink" Target="https://drive.google.com/file/d/11rwp4t8FCYeorWBqowC3lt4oxoiMZXGD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sT0NJsD21pgepjH7tLuJCBFtIZQax2Wl/view?usp=drivesdk" TargetMode="External"/><Relationship Id="rId88" Type="http://schemas.openxmlformats.org/officeDocument/2006/relationships/hyperlink" Target="https://drive.google.com/file/d/1Q3MLsC3HPDUwIk0LuSHUtLVSOuBH_O4N/view?usp=drivesdk" TargetMode="External"/><Relationship Id="rId87" Type="http://schemas.openxmlformats.org/officeDocument/2006/relationships/hyperlink" Target="https://drive.google.com/file/d/11pMXP9LzQDSOCFcGyZ30h0N4_459t-8T/view?usp=drivesdk" TargetMode="External"/><Relationship Id="rId86" Type="http://schemas.openxmlformats.org/officeDocument/2006/relationships/hyperlink" Target="https://drive.google.com/file/d/1Ak6smEd55cnbU6cgiHWyy16Q1-XSYz02/view?usp=drivesdk" TargetMode="External"/><Relationship Id="rId85" Type="http://schemas.openxmlformats.org/officeDocument/2006/relationships/hyperlink" Target="https://drive.google.com/file/d/1KHPev2Kq3qVrGscAO2uuo7yScy8y8Sup/view?usp=drivesdk" TargetMode="External"/><Relationship Id="rId84" Type="http://schemas.openxmlformats.org/officeDocument/2006/relationships/hyperlink" Target="https://drive.google.com/file/d/1hLGDUrXqBvHMOAiLQE0q9BoTCTu2K7ao/view?usp=drivesdk" TargetMode="External"/><Relationship Id="rId83" Type="http://schemas.openxmlformats.org/officeDocument/2006/relationships/hyperlink" Target="https://drive.google.com/file/d/1LWD7yTNI0RJDRsb9uJmf_DlCrtRgUKyY/view?usp=drivesdk" TargetMode="External"/><Relationship Id="rId82" Type="http://schemas.openxmlformats.org/officeDocument/2006/relationships/hyperlink" Target="https://drive.google.com/file/d/1ugQovbHhHiatqYgFZRiOkMLioEJ1sY9o/view?usp=drivesdk" TargetMode="External"/><Relationship Id="rId81" Type="http://schemas.openxmlformats.org/officeDocument/2006/relationships/hyperlink" Target="https://drive.google.com/file/d/1VO8wG6RTf64Yu5WlHt4RNVEAlHxdXRIv/view?usp=drivesdk" TargetMode="External"/><Relationship Id="rId80" Type="http://schemas.openxmlformats.org/officeDocument/2006/relationships/hyperlink" Target="https://drive.google.com/file/d/1Y9flt534_FhOqa8NP_vpNuG3r3VfhlQm/view?usp=sharing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6IRc55EQPnwJwz1MBgv_Y1W7eI0TnC6F/view?usp=drivesdk" TargetMode="External"/><Relationship Id="rId78" Type="http://schemas.openxmlformats.org/officeDocument/2006/relationships/hyperlink" Target="https://drive.google.com/file/d/1UL3NuZgOCt4s4K1Lmw0E4054Vvcygtkf/view?usp=drivesdk" TargetMode="External"/><Relationship Id="rId77" Type="http://schemas.openxmlformats.org/officeDocument/2006/relationships/hyperlink" Target="https://drive.google.com/file/d/1JpfRw7AKi5vyFGzJYU8Gt0AbdcnM-XIR/view?usp=drivesdk" TargetMode="External"/><Relationship Id="rId76" Type="http://schemas.openxmlformats.org/officeDocument/2006/relationships/hyperlink" Target="https://drive.google.com/file/d/1ODbvUqRQqa0vgDKn1aCSa1ExOjI5eU6s/view?usp=drivesdk" TargetMode="External"/><Relationship Id="rId75" Type="http://schemas.openxmlformats.org/officeDocument/2006/relationships/hyperlink" Target="https://drive.google.com/file/d/1l0CarlJRdXeKckzjv5vdH8ZMNbVSDSFn/view?usp=drivesdk" TargetMode="External"/><Relationship Id="rId74" Type="http://schemas.openxmlformats.org/officeDocument/2006/relationships/hyperlink" Target="https://drive.google.com/file/d/1xZZ5XWFzSXvXAjvdoqHHi1FHnk0heuYs/view?usp=drivesdk" TargetMode="External"/><Relationship Id="rId73" Type="http://schemas.openxmlformats.org/officeDocument/2006/relationships/hyperlink" Target="https://drive.google.com/file/d/1v38ptVE_U4sgNuUAuiiQTJuuhlHb7jFl/view?usp=drive_link" TargetMode="External"/><Relationship Id="rId72" Type="http://schemas.openxmlformats.org/officeDocument/2006/relationships/hyperlink" Target="https://drive.google.com/file/d/1wGPC1ILzmoS_NSdfsBEMDa6PUvmHiITQ/view?usp=drivesdk" TargetMode="External"/><Relationship Id="rId71" Type="http://schemas.openxmlformats.org/officeDocument/2006/relationships/hyperlink" Target="https://drive.google.com/file/d/16C9A5O_2LU1qouTuL7juJbsj3tyaD1Qt/view?usp=drivesdk" TargetMode="External"/><Relationship Id="rId70" Type="http://schemas.openxmlformats.org/officeDocument/2006/relationships/hyperlink" Target="https://drive.google.com/file/d/16VUgmeIgOqD2kCbL2vOnNnCK5A21jtS6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6-Aw559LRobGzObL2CIZzbedS2huPzfM/view?usp=drivesdk" TargetMode="External"/><Relationship Id="rId68" Type="http://schemas.openxmlformats.org/officeDocument/2006/relationships/hyperlink" Target="https://drive.google.com/file/d/1VBcUYGGVBC1eFzghNmCL6gYt5uTrB1En/view?usp=drivesdk" TargetMode="External"/><Relationship Id="rId67" Type="http://schemas.openxmlformats.org/officeDocument/2006/relationships/hyperlink" Target="https://drive.google.com/file/d/1AvwfvxAigPmn2HwcxP2r_HE5XQNTVfio/view?usp=drivesdk" TargetMode="External"/><Relationship Id="rId66" Type="http://schemas.openxmlformats.org/officeDocument/2006/relationships/hyperlink" Target="https://drive.google.com/file/d/1YHGtCN76a8nF57aGzHjkfYUeeOB51E2i/view?usp=drive_link" TargetMode="External"/><Relationship Id="rId65" Type="http://schemas.openxmlformats.org/officeDocument/2006/relationships/hyperlink" Target="https://drive.google.com/file/d/1HZnPMnXtZ0QO_7Mg1rBnqh1WGOP3akH4/view?usp=drivesdk" TargetMode="External"/><Relationship Id="rId64" Type="http://schemas.openxmlformats.org/officeDocument/2006/relationships/hyperlink" Target="https://drive.google.com/file/d/1YI54nUQ9qGl4HCxnSZ9MgIOfdUXpAveO/view?usp=drivesdk" TargetMode="External"/><Relationship Id="rId63" Type="http://schemas.openxmlformats.org/officeDocument/2006/relationships/hyperlink" Target="https://drive.google.com/file/d/1WOEQum9D_NKi3goLKqtY1VRtvIRb4Onc/view?usp=drivesdk" TargetMode="External"/><Relationship Id="rId62" Type="http://schemas.openxmlformats.org/officeDocument/2006/relationships/hyperlink" Target="https://drive.google.com/file/d/1yhSE8e9oSoZ1XITSkXcml25c5-I7E8OK/view?usp=drivesdk" TargetMode="External"/><Relationship Id="rId61" Type="http://schemas.openxmlformats.org/officeDocument/2006/relationships/hyperlink" Target="https://drive.google.com/file/d/1tYp3kf2YZfVDWXP_ppXiSk-8uC3iLHGP/view?usp=drivesdk" TargetMode="External"/><Relationship Id="rId60" Type="http://schemas.openxmlformats.org/officeDocument/2006/relationships/hyperlink" Target="https://drive.google.com/file/d/1j5G0xlpPZoN_-SJWXfCmHSvy5_f5ElVb/view?usp=drive_lin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8R5-hqH5rhdTFHQ_-9FelFaTNFFzJh_T/view?usp=drive_link" TargetMode="External"/><Relationship Id="rId58" Type="http://schemas.openxmlformats.org/officeDocument/2006/relationships/hyperlink" Target="https://drive.google.com/file/d/1fSvGTS8bB6HuiPaZYdDiOhcl5coBTyn6/view?usp=drivesdk" TargetMode="External"/><Relationship Id="rId57" Type="http://schemas.openxmlformats.org/officeDocument/2006/relationships/hyperlink" Target="https://drive.google.com/file/d/1YbHVvlbyekEd3SxwhAnFtXa_ZYZV9hC9/view?usp=drivesdk" TargetMode="External"/><Relationship Id="rId56" Type="http://schemas.openxmlformats.org/officeDocument/2006/relationships/hyperlink" Target="https://drive.google.com/file/d/12Q3__owZ4sfSEGBknxHctOTH4xrGVWD7/view?usp=drive_link" TargetMode="External"/><Relationship Id="rId55" Type="http://schemas.openxmlformats.org/officeDocument/2006/relationships/hyperlink" Target="https://drive.google.com/file/d/1zJWXGJfINS9BzTK821055S7z4kP2wE92/view?usp=drive_link" TargetMode="External"/><Relationship Id="rId54" Type="http://schemas.openxmlformats.org/officeDocument/2006/relationships/hyperlink" Target="https://drive.google.com/file/d/1AX6OYh4cyvOHoTjUpWLiCag24x3ib1as/view?usp=drive_link" TargetMode="External"/><Relationship Id="rId53" Type="http://schemas.openxmlformats.org/officeDocument/2006/relationships/hyperlink" Target="https://drive.google.com/file/d/13amFNwY1TDp12ju5coJ_4t8OY3mdTqvo/view?usp=drive_link" TargetMode="External"/><Relationship Id="rId52" Type="http://schemas.openxmlformats.org/officeDocument/2006/relationships/hyperlink" Target="https://drive.google.com/file/d/1QNJAFIS3AcDcCYyHYBdcGhSfgl7p_oNi/view?usp=drive_link" TargetMode="External"/><Relationship Id="rId51" Type="http://schemas.openxmlformats.org/officeDocument/2006/relationships/hyperlink" Target="https://drive.google.com/file/d/1XYwMDVzh4fwDVhFcKzavALPhzJhymcTA/view?usp=drive_link" TargetMode="External"/><Relationship Id="rId50" Type="http://schemas.openxmlformats.org/officeDocument/2006/relationships/hyperlink" Target="https://drive.google.com/file/d/1XiG02UYQFZnEtTHy_-6O0J-OD0O2cJDG/view?usp=drive_lin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dA6BJnXLbpi0Zz_mRBTRHp76jTd3vpal/view?usp=drivesdk" TargetMode="External"/><Relationship Id="rId48" Type="http://schemas.openxmlformats.org/officeDocument/2006/relationships/hyperlink" Target="https://drive.google.com/file/d/1iQ_Q4HCJ-zDnMd1F94DucUYz7wOmhNTy/view?usp=drivesdk" TargetMode="External"/><Relationship Id="rId47" Type="http://schemas.openxmlformats.org/officeDocument/2006/relationships/hyperlink" Target="https://drive.google.com/file/d/1z9vz2r3HtntpLAZXfmgg61ZPtNs3JwGj/view?usp=drive_link" TargetMode="External"/><Relationship Id="rId46" Type="http://schemas.openxmlformats.org/officeDocument/2006/relationships/hyperlink" Target="https://drive.google.com/file/d/13UKyayGuA94wgag2vP608BSJm28F9SjK/view?usp=drivesdk" TargetMode="External"/><Relationship Id="rId45" Type="http://schemas.openxmlformats.org/officeDocument/2006/relationships/hyperlink" Target="https://drive.google.com/file/d/1zb-v3OBPe1uEGA2pfUeJYKn607Q23-VX/view?usp=drive_link" TargetMode="External"/><Relationship Id="rId44" Type="http://schemas.openxmlformats.org/officeDocument/2006/relationships/hyperlink" Target="https://drive.google.com/file/d/1vm26hGolfmIt_00AwhxaInYBeHzy-o-M/view?usp=drive_link" TargetMode="External"/><Relationship Id="rId43" Type="http://schemas.openxmlformats.org/officeDocument/2006/relationships/hyperlink" Target="https://drive.google.com/file/d/16suSyeaCwhnYVKgszyf2w4ssKbufdRBf/view?usp=drivesdk" TargetMode="External"/><Relationship Id="rId42" Type="http://schemas.openxmlformats.org/officeDocument/2006/relationships/hyperlink" Target="https://drive.google.com/file/d/1waraBZBCOsJq0_rFPrXInBkspp7KcD0g/view?usp=drivesdk" TargetMode="External"/><Relationship Id="rId41" Type="http://schemas.openxmlformats.org/officeDocument/2006/relationships/hyperlink" Target="https://drive.google.com/file/d/1kIJWy8Qyq1_tG4qEOkxoUeJSPRJfp6E1/view?usp=drivesdk" TargetMode="External"/><Relationship Id="rId40" Type="http://schemas.openxmlformats.org/officeDocument/2006/relationships/hyperlink" Target="https://drive.google.com/file/d/1EoQqe_wzL5E6hm9JFrG8aErbmcHafa8C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FUdhhfUN-luAroAa_KyyLtQAPWNYruGx/view?usp=drive_link" TargetMode="External"/><Relationship Id="rId38" Type="http://schemas.openxmlformats.org/officeDocument/2006/relationships/hyperlink" Target="https://drive.google.com/file/d/1exXucVZqcE3RkfVT9eWgvz1GrwgUcOGs/view?usp=drivesdk" TargetMode="External"/><Relationship Id="rId37" Type="http://schemas.openxmlformats.org/officeDocument/2006/relationships/hyperlink" Target="https://drive.google.com/file/d/1YhQfmy0rQa_3l9AQYACCpU7Fqq-FOQEI/view?usp=drivesdk" TargetMode="External"/><Relationship Id="rId36" Type="http://schemas.openxmlformats.org/officeDocument/2006/relationships/hyperlink" Target="https://drive.google.com/file/d/1Jd1pNOhKfow7rDb2cXcXuMaKkq3scBym/view?usp=drivesdk" TargetMode="External"/><Relationship Id="rId35" Type="http://schemas.openxmlformats.org/officeDocument/2006/relationships/hyperlink" Target="https://drive.google.com/file/d/14GkYuSFockovOVePXY3kQGt-QIydDele/view?usp=drive_link" TargetMode="External"/><Relationship Id="rId34" Type="http://schemas.openxmlformats.org/officeDocument/2006/relationships/hyperlink" Target="https://drive.google.com/file/d/1SyqKT5bF5AaGYQgD2j5JSrpmJiBMLybn/view?usp=drivesdk" TargetMode="External"/><Relationship Id="rId33" Type="http://schemas.openxmlformats.org/officeDocument/2006/relationships/hyperlink" Target="https://drive.google.com/file/d/1WAIV9EzRLNkmkzUDIIR1DMXykSJnRqNQ/view?usp=drivesdk" TargetMode="External"/><Relationship Id="rId32" Type="http://schemas.openxmlformats.org/officeDocument/2006/relationships/hyperlink" Target="https://drive.google.com/file/d/1hO6981dWlr7a4rY7wKkphIA6DUHyv1ca/view?usp=drivesdk" TargetMode="External"/><Relationship Id="rId31" Type="http://schemas.openxmlformats.org/officeDocument/2006/relationships/hyperlink" Target="https://drive.google.com/file/d/1GgU8otZVWYUtpfGoGJVaWq9OiwS6VyWR/view?usp=drivesdk" TargetMode="External"/><Relationship Id="rId30" Type="http://schemas.openxmlformats.org/officeDocument/2006/relationships/hyperlink" Target="https://drive.google.com/file/d/1wYVnj5xHuiqQU2FLKpl5j3MbxNgNSDWL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JmOAm4079UzechP2QZhlcGLcKATeh1NC/view?usp=drivesdk" TargetMode="External"/><Relationship Id="rId28" Type="http://schemas.openxmlformats.org/officeDocument/2006/relationships/hyperlink" Target="https://drive.google.com/file/d/1LKMYyqlNdTpBAJHzScOqSYbwoX-Sj7CT/view?usp=drivesdk" TargetMode="External"/><Relationship Id="rId27" Type="http://schemas.openxmlformats.org/officeDocument/2006/relationships/hyperlink" Target="https://drive.google.com/file/d/1-OL0ijLcO4oCmNnZTW_Y7BHwMB4uUQVK/view" TargetMode="External"/><Relationship Id="rId26" Type="http://schemas.openxmlformats.org/officeDocument/2006/relationships/hyperlink" Target="https://drive.google.com/file/d/1Sye9_tfW3vCUCuzfO04RicfVtkkhBLUa/view" TargetMode="External"/><Relationship Id="rId25" Type="http://schemas.openxmlformats.org/officeDocument/2006/relationships/hyperlink" Target="https://drive.google.com/file/d/1j6z_L7F1ez8ItqPnrQsPNGg2j38KtlgG/view" TargetMode="External"/><Relationship Id="rId24" Type="http://schemas.openxmlformats.org/officeDocument/2006/relationships/hyperlink" Target="https://drive.google.com/file/d/1sFDM_grDHNQoFssiRNDRYHiZ-v5Cz_mM/view?usp=drivesdk" TargetMode="External"/><Relationship Id="rId23" Type="http://schemas.openxmlformats.org/officeDocument/2006/relationships/hyperlink" Target="https://drive.google.com/file/d/1zVz0DVls0T0q0Nw8a9sVgmfrBBnx7VDU/view?usp=drivesdk" TargetMode="External"/><Relationship Id="rId22" Type="http://schemas.openxmlformats.org/officeDocument/2006/relationships/hyperlink" Target="https://drive.google.com/file/d/1MqKqLyL1Szw5dZPMXxT46Rrs2pbCGBzG/view?usp=drivesdk" TargetMode="External"/><Relationship Id="rId21" Type="http://schemas.openxmlformats.org/officeDocument/2006/relationships/hyperlink" Target="https://drive.google.com/file/d/15Bc88hS6nxrWXF0LYcVoTUmlRCZ-EtKv/view?usp=drivesdk" TargetMode="External"/><Relationship Id="rId20" Type="http://schemas.openxmlformats.org/officeDocument/2006/relationships/hyperlink" Target="https://drive.google.com/file/d/1MMrYNdFIDXAIq6LtHwU6gyJ4tgXw7G-u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" Type="http://schemas.openxmlformats.org/officeDocument/2006/relationships/hyperlink" Target="https://drive.google.com/file/d/1OCCCwrKUlTy4NqUDZsCGAqlMUuEalLTg/view?usp=drivesdk" TargetMode="External"/><Relationship Id="rId18" Type="http://schemas.openxmlformats.org/officeDocument/2006/relationships/hyperlink" Target="https://drive.google.com/file/d/1gEAixXS_3N31vdhaFBuI34_Zwxtr4-Av/view?usp=drive_link" TargetMode="External"/><Relationship Id="rId17" Type="http://schemas.openxmlformats.org/officeDocument/2006/relationships/hyperlink" Target="https://drive.google.com/file/d/1DWHRNJ3pMF_sCvA1Cgrp7Nq-QjVOrmtQ/view?usp=drive_link" TargetMode="External"/><Relationship Id="rId16" Type="http://schemas.openxmlformats.org/officeDocument/2006/relationships/hyperlink" Target="https://drive.google.com/file/d/1IUS8d_QOkrc_3Yf1jLvL5afjwyI3ICZg/view?usp=drive_link" TargetMode="External"/><Relationship Id="rId15" Type="http://schemas.openxmlformats.org/officeDocument/2006/relationships/hyperlink" Target="https://drive.google.com/file/d/1EA90Utk1ns7TCVkyeIJ5iW7Hdqq2_Zha/view?usp=drive_link" TargetMode="External"/><Relationship Id="rId146" Type="http://schemas.openxmlformats.org/officeDocument/2006/relationships/hyperlink" Target="https://drive.google.com/file/d/1jTCXH33gTrZDnqPAyOS9Jo4Vsl0cg49j/view?usp=sharing" TargetMode="External"/><Relationship Id="rId145" Type="http://schemas.openxmlformats.org/officeDocument/2006/relationships/hyperlink" Target="https://drive.google.com/file/d/1-LMn2RMdekpDhktxd6uNjQQdatMKF8yZ/view?usp=drive_link" TargetMode="External"/><Relationship Id="rId144" Type="http://schemas.openxmlformats.org/officeDocument/2006/relationships/hyperlink" Target="https://drive.google.com/file/d/1pO45KJ2Anjf1wjhdMDATmYcrXCytLB3y/view?usp=sharing" TargetMode="External"/><Relationship Id="rId143" Type="http://schemas.openxmlformats.org/officeDocument/2006/relationships/hyperlink" Target="https://drive.google.com/file/d/1ayKyx-7T7TwOte_gGFgfgCxWiVa8Cg8m/view?usp=drive_link" TargetMode="External"/><Relationship Id="rId142" Type="http://schemas.openxmlformats.org/officeDocument/2006/relationships/hyperlink" Target="https://drive.google.com/file/d/1VXVL_r3DoAz3I_u0DD1X5QX9FVNRikkd/view?usp=drive_link" TargetMode="External"/><Relationship Id="rId141" Type="http://schemas.openxmlformats.org/officeDocument/2006/relationships/hyperlink" Target="https://drive.google.com/file/d/14S--Kd5Vl3YSMCHzwwYt_kQIgxGm_Zbg/view?usp=drive_link" TargetMode="External"/><Relationship Id="rId140" Type="http://schemas.openxmlformats.org/officeDocument/2006/relationships/hyperlink" Target="https://drive.google.com/file/d/1_wspiI7N_dRs_vE3p2pH0rc8yAcF-pg4/view?usp=drive_link" TargetMode="External"/><Relationship Id="rId14" Type="http://schemas.openxmlformats.org/officeDocument/2006/relationships/hyperlink" Target="https://drive.google.com/file/d/1V_KesoUUtqOCox2hPrqsar6MiABiKfbT/view?usp=drive_link" TargetMode="External"/><Relationship Id="rId139" Type="http://schemas.openxmlformats.org/officeDocument/2006/relationships/hyperlink" Target="https://drive.google.com/file/d/1WXt01Z5DyEaibfcb9yjRvC37GnJBijOf/view?usp=drive_link" TargetMode="External"/><Relationship Id="rId138" Type="http://schemas.openxmlformats.org/officeDocument/2006/relationships/hyperlink" Target="https://drive.google.com/file/d/1imOf8cO4LrDK_1VGlnSJPrR4OAx8Sd2B/view?usp=drive_link" TargetMode="External"/><Relationship Id="rId137" Type="http://schemas.openxmlformats.org/officeDocument/2006/relationships/hyperlink" Target="https://drive.google.com/file/d/15MHSo23sHhYQuvGI6Rdc88aGx1MXVhlF/view?usp=drive_link" TargetMode="External"/><Relationship Id="rId136" Type="http://schemas.openxmlformats.org/officeDocument/2006/relationships/hyperlink" Target="https://drive.google.com/file/d/1biD_OWP2awFT111gaTpBNNr3AS3NDINn/view?usp=drive_link" TargetMode="External"/><Relationship Id="rId135" Type="http://schemas.openxmlformats.org/officeDocument/2006/relationships/hyperlink" Target="https://drive.google.com/file/d/1wTcRpLfkpOMVY3hw2QTUv6LQcB9cOzat/view?usp=drive_link" TargetMode="External"/><Relationship Id="rId134" Type="http://schemas.openxmlformats.org/officeDocument/2006/relationships/hyperlink" Target="https://drive.google.com/file/d/1yW-_9zBLG_Fn_N-ncjuONsbvuMuwbPmv/view?usp=drive_link" TargetMode="External"/><Relationship Id="rId133" Type="http://schemas.openxmlformats.org/officeDocument/2006/relationships/hyperlink" Target="https://drive.google.com/file/d/13BQ_wJdpDsvZ4ExNu5_MiUuptLzyEkOt/view?usp=drivesdk" TargetMode="External"/><Relationship Id="rId132" Type="http://schemas.openxmlformats.org/officeDocument/2006/relationships/hyperlink" Target="https://drive.google.com/file/d/18ueBKNiLx_qMQGWWAwsMx3AwCOr1zXzs/view?usp=drivesdk" TargetMode="External"/><Relationship Id="rId131" Type="http://schemas.openxmlformats.org/officeDocument/2006/relationships/hyperlink" Target="https://drive.google.com/file/d/1l9qfxWgKh-kHCOlLJw3rYD8TsqzZQ0Vg/view?usp=drivesdk" TargetMode="External"/><Relationship Id="rId130" Type="http://schemas.openxmlformats.org/officeDocument/2006/relationships/hyperlink" Target="https://drive.google.com/file/d/11itxCKs7_1wrdjNgkLJy60XgxMCdImZ8/view?usp=drivesdk" TargetMode="External"/><Relationship Id="rId13" Type="http://schemas.openxmlformats.org/officeDocument/2006/relationships/hyperlink" Target="https://drive.google.com/file/d/1tBQj4KBkGIcQo30fyHrHkQTaQkbdqCVJ/view?usp=drive_link" TargetMode="External"/><Relationship Id="rId129" Type="http://schemas.openxmlformats.org/officeDocument/2006/relationships/hyperlink" Target="https://drive.google.com/file/d/1Yy8fpURlINeYfCy7rrZmDKFYHuyxD4iQ/view?usp=drivesdk" TargetMode="External"/><Relationship Id="rId128" Type="http://schemas.openxmlformats.org/officeDocument/2006/relationships/hyperlink" Target="https://drive.google.com/file/d/1FtIA5xRRdfg0DMeFhk4cK9fSTdReYxn_/view?usp=drivesdk" TargetMode="External"/><Relationship Id="rId127" Type="http://schemas.openxmlformats.org/officeDocument/2006/relationships/hyperlink" Target="https://drive.google.com/file/d/1HXZTAZQL0VArZ_9hBhMjaP1mlNRqP8T5/view?usp=drive_link" TargetMode="External"/><Relationship Id="rId126" Type="http://schemas.openxmlformats.org/officeDocument/2006/relationships/hyperlink" Target="https://drive.google.com/file/d/1KLs3uxdiaRJWETPsO6CmyTUanKwokaZa/view?usp=drive_link" TargetMode="External"/><Relationship Id="rId125" Type="http://schemas.openxmlformats.org/officeDocument/2006/relationships/hyperlink" Target="https://drive.google.com/file/d/1ULg6wSSFgz4hxLake3pNnzRocvpPmZYZ/view?usp=drivesdk" TargetMode="External"/><Relationship Id="rId124" Type="http://schemas.openxmlformats.org/officeDocument/2006/relationships/hyperlink" Target="https://drive.google.com/file/d/1WFj0LyCScVrmb41N-RuRU2HZGx5A4QUM/view?usp=drivesdk" TargetMode="External"/><Relationship Id="rId123" Type="http://schemas.openxmlformats.org/officeDocument/2006/relationships/hyperlink" Target="https://drive.google.com/file/d/1G6kH8R6hjEGmJmuU2Q1QejweKqjRW6DP/view?usp=drivesdk" TargetMode="External"/><Relationship Id="rId122" Type="http://schemas.openxmlformats.org/officeDocument/2006/relationships/hyperlink" Target="https://drive.google.com/file/d/1LQkh8x3zwwOEGBzYg73i26Jpewo6cs3D/view?usp=drivesdk" TargetMode="External"/><Relationship Id="rId121" Type="http://schemas.openxmlformats.org/officeDocument/2006/relationships/hyperlink" Target="https://drive.google.com/file/d/18HoCA9YDoJiZI1ICrjO5DtziAZZqqASw/view?usp=drivesdk" TargetMode="External"/><Relationship Id="rId120" Type="http://schemas.openxmlformats.org/officeDocument/2006/relationships/hyperlink" Target="https://drive.google.com/file/d/1-sH-k7diCS-WDKeXQScayM3HAWW1q7sM/view?usp=drivesdk" TargetMode="External"/><Relationship Id="rId12" Type="http://schemas.openxmlformats.org/officeDocument/2006/relationships/hyperlink" Target="https://drive.google.com/file/d/1KSVlG8ggn_l2f-vaOdiJ4ew0PqS7szcU/view?usp=drive_link" TargetMode="External"/><Relationship Id="rId119" Type="http://schemas.openxmlformats.org/officeDocument/2006/relationships/hyperlink" Target="https://drive.google.com/file/d/17pRvmaCFzqLMQRC7wnvA4L82a4VoqSNb/view?usp=drivesdk" TargetMode="External"/><Relationship Id="rId118" Type="http://schemas.openxmlformats.org/officeDocument/2006/relationships/hyperlink" Target="https://drive.google.com/file/d/14NjXiJxdPZj-jsyU8TwKzoZcgHH2Kikm/view?usp=drivesdk" TargetMode="External"/><Relationship Id="rId117" Type="http://schemas.openxmlformats.org/officeDocument/2006/relationships/hyperlink" Target="https://drive.google.com/file/d/1GrGA4TyYwG1MhtL3_f1BynYYPOQUPYfI/view?usp=drivesdk" TargetMode="External"/><Relationship Id="rId116" Type="http://schemas.openxmlformats.org/officeDocument/2006/relationships/hyperlink" Target="https://drive.google.com/file/d/1V4kAOaTdr-GtYhnXv7gzQBE3ZR7ZPlKK/view?usp=drive_link" TargetMode="External"/><Relationship Id="rId115" Type="http://schemas.openxmlformats.org/officeDocument/2006/relationships/hyperlink" Target="https://drive.google.com/file/d/1QwVsrlCn-vJKPmMmbOEuyVZPenw3zLAi/view?usp=drivesdk" TargetMode="External"/><Relationship Id="rId114" Type="http://schemas.openxmlformats.org/officeDocument/2006/relationships/hyperlink" Target="https://drive.google.com/file/d/1dEXWzbjvlXlAtXnVegOKsP-FK2X8icyG/view?usp=drivesdk" TargetMode="External"/><Relationship Id="rId113" Type="http://schemas.openxmlformats.org/officeDocument/2006/relationships/hyperlink" Target="https://drive.google.com/file/d/12Rz9Bst1qc788H8Zh8yXBmnHPzzrN93P/view?usp=drivesdk" TargetMode="External"/><Relationship Id="rId112" Type="http://schemas.openxmlformats.org/officeDocument/2006/relationships/hyperlink" Target="https://drive.google.com/file/d/1T7BS5aUu1suc6oUZAUJSkrbr1ggrqk4F/view?usp=drivesdk" TargetMode="External"/><Relationship Id="rId111" Type="http://schemas.openxmlformats.org/officeDocument/2006/relationships/hyperlink" Target="https://drive.google.com/file/d/1lWP6IvNBiSgSE8NUcRY6MtyFZvzryUVW/view?usp=sharing" TargetMode="External"/><Relationship Id="rId110" Type="http://schemas.openxmlformats.org/officeDocument/2006/relationships/hyperlink" Target="https://drive.google.com/file/d/1SVzgo7K5HA2eBNvCm9cHE5Jjj19OQ_Yi/view?usp=drivesdk" TargetMode="External"/><Relationship Id="rId11" Type="http://schemas.openxmlformats.org/officeDocument/2006/relationships/hyperlink" Target="https://drive.google.com/file/d/1n_sxnq85b2lKGL26GnirBYDfp3Laq_a-/view?usp=drive_link" TargetMode="External"/><Relationship Id="rId109" Type="http://schemas.openxmlformats.org/officeDocument/2006/relationships/hyperlink" Target="https://drive.google.com/file/d/1FnlIWyliZjBpKGWlrZWC0ZLvdC1mSeRT/view?usp=drive_link" TargetMode="External"/><Relationship Id="rId108" Type="http://schemas.openxmlformats.org/officeDocument/2006/relationships/hyperlink" Target="https://drive.google.com/file/d/1B7wFLY5XROOEnCBo5MvraJCHGZSlvN2F/view?usp=drivesdk" TargetMode="External"/><Relationship Id="rId107" Type="http://schemas.openxmlformats.org/officeDocument/2006/relationships/hyperlink" Target="https://drive.google.com/file/d/1P_BCu_2QVtE153XaJwwFH2qOnbtfw2vU/view?usp=drivesdk" TargetMode="External"/><Relationship Id="rId106" Type="http://schemas.openxmlformats.org/officeDocument/2006/relationships/hyperlink" Target="https://drive.google.com/file/d/13NRRwV6xx66cW1eLQgLlIoT0apkFdG3H/view?usp=drivesdk" TargetMode="External"/><Relationship Id="rId105" Type="http://schemas.openxmlformats.org/officeDocument/2006/relationships/hyperlink" Target="https://drive.google.com/file/d/1QHgzzBJNnFVv7Q4ZFvEihpGjk4Z1zaPp/view?usp=drivesdk" TargetMode="External"/><Relationship Id="rId104" Type="http://schemas.openxmlformats.org/officeDocument/2006/relationships/hyperlink" Target="https://drive.google.com/file/d/1KiLSQnjJ2psEDDxubsd4qAIGYURZhEgV/view?usp=share_link" TargetMode="External"/><Relationship Id="rId103" Type="http://schemas.openxmlformats.org/officeDocument/2006/relationships/hyperlink" Target="https://drive.google.com/file/d/1-aGhYs7ao10VRy2guue-uTg4Xq65DWCb/view?usp=drivesdk" TargetMode="External"/><Relationship Id="rId102" Type="http://schemas.openxmlformats.org/officeDocument/2006/relationships/hyperlink" Target="https://drive.google.com/file/d/1gdaUpwcvEEPj3F4ukVHIDBTYWmdw2MMT/view?usp=drivesdk" TargetMode="External"/><Relationship Id="rId101" Type="http://schemas.openxmlformats.org/officeDocument/2006/relationships/hyperlink" Target="https://drive.google.com/file/d/18_RD9xZabwO2JP75PawLVIgZiRHanJ7r/view?usp=drivesdk" TargetMode="External"/><Relationship Id="rId100" Type="http://schemas.openxmlformats.org/officeDocument/2006/relationships/hyperlink" Target="https://drive.google.com/file/d/1050KPyHqjlRunLX-RfleyqLFilvJdS5r/view?usp=drivesdk" TargetMode="External"/><Relationship Id="rId10" Type="http://schemas.openxmlformats.org/officeDocument/2006/relationships/hyperlink" Target="https://drive.google.com/file/d/1vAilJIwOsp4XAuK_CHrcMGeHYpph1rEL/view?usp=drive_link" TargetMode="External"/><Relationship Id="rId1" Type="http://schemas.openxmlformats.org/officeDocument/2006/relationships/hyperlink" Target="http://s.no/" TargetMode="External"/></Relationships>
</file>

<file path=xl/worksheets/_rels/sheet29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sT0NJsD21pgepjH7tLuJCBFtIZQax2Wl/view?usp=drivesdk" TargetMode="External"/><Relationship Id="rId98" Type="http://schemas.openxmlformats.org/officeDocument/2006/relationships/hyperlink" Target="https://drive.google.com/file/d/1Q3MLsC3HPDUwIk0LuSHUtLVSOuBH_O4N/view?usp=drivesdk" TargetMode="External"/><Relationship Id="rId97" Type="http://schemas.openxmlformats.org/officeDocument/2006/relationships/hyperlink" Target="https://drive.google.com/file/d/11pMXP9LzQDSOCFcGyZ30h0N4_459t-8T/view?usp=drivesdk" TargetMode="External"/><Relationship Id="rId96" Type="http://schemas.openxmlformats.org/officeDocument/2006/relationships/hyperlink" Target="https://drive.google.com/file/d/1Ak6smEd55cnbU6cgiHWyy16Q1-XSYz02/view?usp=drivesdk" TargetMode="External"/><Relationship Id="rId95" Type="http://schemas.openxmlformats.org/officeDocument/2006/relationships/hyperlink" Target="https://drive.google.com/file/d/1KHPev2Kq3qVrGscAO2uuo7yScy8y8Sup/view?usp=drivesdk" TargetMode="External"/><Relationship Id="rId94" Type="http://schemas.openxmlformats.org/officeDocument/2006/relationships/hyperlink" Target="https://drive.google.com/file/d/1hLGDUrXqBvHMOAiLQE0q9BoTCTu2K7ao/view?usp=drivesdk" TargetMode="External"/><Relationship Id="rId93" Type="http://schemas.openxmlformats.org/officeDocument/2006/relationships/hyperlink" Target="https://drive.google.com/file/d/1LWD7yTNI0RJDRsb9uJmf_DlCrtRgUKyY/view?usp=drivesdk" TargetMode="External"/><Relationship Id="rId92" Type="http://schemas.openxmlformats.org/officeDocument/2006/relationships/hyperlink" Target="https://drive.google.com/file/d/1ugQovbHhHiatqYgFZRiOkMLioEJ1sY9o/view?usp=drivesdk" TargetMode="External"/><Relationship Id="rId91" Type="http://schemas.openxmlformats.org/officeDocument/2006/relationships/hyperlink" Target="https://drive.google.com/file/d/1VO8wG6RTf64Yu5WlHt4RNVEAlHxdXRIv/view?usp=drivesdk" TargetMode="External"/><Relationship Id="rId90" Type="http://schemas.openxmlformats.org/officeDocument/2006/relationships/hyperlink" Target="https://drive.google.com/file/d/12Q3__owZ4sfSEGBknxHctOTH4xrGVWD7/view?usp=drive_lin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zJWXGJfINS9BzTK821055S7z4kP2wE92/view?usp=drive_link" TargetMode="External"/><Relationship Id="rId88" Type="http://schemas.openxmlformats.org/officeDocument/2006/relationships/hyperlink" Target="https://drive.google.com/file/d/1AX6OYh4cyvOHoTjUpWLiCag24x3ib1as/view?usp=drive_link" TargetMode="External"/><Relationship Id="rId87" Type="http://schemas.openxmlformats.org/officeDocument/2006/relationships/hyperlink" Target="https://drive.google.com/file/d/13amFNwY1TDp12ju5coJ_4t8OY3mdTqvo/view?usp=drive_link" TargetMode="External"/><Relationship Id="rId86" Type="http://schemas.openxmlformats.org/officeDocument/2006/relationships/hyperlink" Target="https://drive.google.com/file/d/1QNJAFIS3AcDcCYyHYBdcGhSfgl7p_oNi/view?usp=drive_link" TargetMode="External"/><Relationship Id="rId85" Type="http://schemas.openxmlformats.org/officeDocument/2006/relationships/hyperlink" Target="https://drive.google.com/file/d/1XYwMDVzh4fwDVhFcKzavALPhzJhymcTA/view?usp=drive_link" TargetMode="External"/><Relationship Id="rId84" Type="http://schemas.openxmlformats.org/officeDocument/2006/relationships/hyperlink" Target="https://drive.google.com/file/d/1XiG02UYQFZnEtTHy_-6O0J-OD0O2cJDG/view?usp=drive_link" TargetMode="External"/><Relationship Id="rId83" Type="http://schemas.openxmlformats.org/officeDocument/2006/relationships/hyperlink" Target="https://drive.google.com/file/d/1dA6BJnXLbpi0Zz_mRBTRHp76jTd3vpal/view?usp=drivesdk" TargetMode="External"/><Relationship Id="rId82" Type="http://schemas.openxmlformats.org/officeDocument/2006/relationships/hyperlink" Target="https://drive.google.com/file/d/1iQ_Q4HCJ-zDnMd1F94DucUYz7wOmhNTy/view?usp=drivesdk" TargetMode="External"/><Relationship Id="rId81" Type="http://schemas.openxmlformats.org/officeDocument/2006/relationships/hyperlink" Target="https://drive.google.com/file/d/1z9vz2r3HtntpLAZXfmgg61ZPtNs3JwGj/view?usp=drive_link" TargetMode="External"/><Relationship Id="rId80" Type="http://schemas.openxmlformats.org/officeDocument/2006/relationships/hyperlink" Target="https://drive.google.com/file/d/13UKyayGuA94wgag2vP608BSJm28F9SjK/view?usp=drivesdk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zb-v3OBPe1uEGA2pfUeJYKn607Q23-VX/view?usp=drive_link" TargetMode="External"/><Relationship Id="rId78" Type="http://schemas.openxmlformats.org/officeDocument/2006/relationships/hyperlink" Target="https://drive.google.com/file/d/1vm26hGolfmIt_00AwhxaInYBeHzy-o-M/view?usp=drive_link" TargetMode="External"/><Relationship Id="rId77" Type="http://schemas.openxmlformats.org/officeDocument/2006/relationships/hyperlink" Target="https://drive.google.com/file/d/1AvwfvxAigPmn2HwcxP2r_HE5XQNTVfio/view?usp=drivesdk" TargetMode="External"/><Relationship Id="rId76" Type="http://schemas.openxmlformats.org/officeDocument/2006/relationships/hyperlink" Target="https://drive.google.com/file/d/1YHGtCN76a8nF57aGzHjkfYUeeOB51E2i/view?usp=drive_link" TargetMode="External"/><Relationship Id="rId75" Type="http://schemas.openxmlformats.org/officeDocument/2006/relationships/hyperlink" Target="https://drive.google.com/file/d/1HZnPMnXtZ0QO_7Mg1rBnqh1WGOP3akH4/view?usp=drivesdk" TargetMode="External"/><Relationship Id="rId74" Type="http://schemas.openxmlformats.org/officeDocument/2006/relationships/hyperlink" Target="https://drive.google.com/file/d/1YI54nUQ9qGl4HCxnSZ9MgIOfdUXpAveO/view?usp=drivesdk" TargetMode="External"/><Relationship Id="rId73" Type="http://schemas.openxmlformats.org/officeDocument/2006/relationships/hyperlink" Target="https://drive.google.com/file/d/1WOEQum9D_NKi3goLKqtY1VRtvIRb4Onc/view?usp=drivesdk" TargetMode="External"/><Relationship Id="rId72" Type="http://schemas.openxmlformats.org/officeDocument/2006/relationships/hyperlink" Target="https://drive.google.com/file/d/1yhSE8e9oSoZ1XITSkXcml25c5-I7E8OK/view?usp=drivesdk" TargetMode="External"/><Relationship Id="rId71" Type="http://schemas.openxmlformats.org/officeDocument/2006/relationships/hyperlink" Target="https://drive.google.com/file/d/1tYp3kf2YZfVDWXP_ppXiSk-8uC3iLHGP/view?usp=drivesdk" TargetMode="External"/><Relationship Id="rId70" Type="http://schemas.openxmlformats.org/officeDocument/2006/relationships/hyperlink" Target="https://drive.google.com/file/d/18R5-hqH5rhdTFHQ_-9FelFaTNFFzJh_T/view?usp=drive_lin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YbHVvlbyekEd3SxwhAnFtXa_ZYZV9hC9/view?usp=drivesdk" TargetMode="External"/><Relationship Id="rId68" Type="http://schemas.openxmlformats.org/officeDocument/2006/relationships/hyperlink" Target="https://drive.google.com/file/d/16suSyeaCwhnYVKgszyf2w4ssKbufdRBf/view?usp=drivesdk" TargetMode="External"/><Relationship Id="rId67" Type="http://schemas.openxmlformats.org/officeDocument/2006/relationships/hyperlink" Target="https://drive.google.com/file/d/1waraBZBCOsJq0_rFPrXInBkspp7KcD0g/view?usp=drivesdk" TargetMode="External"/><Relationship Id="rId66" Type="http://schemas.openxmlformats.org/officeDocument/2006/relationships/hyperlink" Target="https://drive.google.com/file/d/1kIJWy8Qyq1_tG4qEOkxoUeJSPRJfp6E1/view?usp=drivesdk" TargetMode="External"/><Relationship Id="rId65" Type="http://schemas.openxmlformats.org/officeDocument/2006/relationships/hyperlink" Target="https://drive.google.com/file/d/1EoQqe_wzL5E6hm9JFrG8aErbmcHafa8C/view?usp=drivesdk" TargetMode="External"/><Relationship Id="rId64" Type="http://schemas.openxmlformats.org/officeDocument/2006/relationships/hyperlink" Target="https://drive.google.com/file/d/1FUdhhfUN-luAroAa_KyyLtQAPWNYruGx/view?usp=drive_link" TargetMode="External"/><Relationship Id="rId63" Type="http://schemas.openxmlformats.org/officeDocument/2006/relationships/hyperlink" Target="https://drive.google.com/file/d/1Y9flt534_FhOqa8NP_vpNuG3r3VfhlQm/view?usp=sharing" TargetMode="External"/><Relationship Id="rId62" Type="http://schemas.openxmlformats.org/officeDocument/2006/relationships/hyperlink" Target="https://drive.google.com/file/d/16IRc55EQPnwJwz1MBgv_Y1W7eI0TnC6F/view?usp=drivesdk" TargetMode="External"/><Relationship Id="rId61" Type="http://schemas.openxmlformats.org/officeDocument/2006/relationships/hyperlink" Target="https://drive.google.com/file/d/1UL3NuZgOCt4s4K1Lmw0E4054Vvcygtkf/view?usp=drivesdk" TargetMode="External"/><Relationship Id="rId60" Type="http://schemas.openxmlformats.org/officeDocument/2006/relationships/hyperlink" Target="https://drive.google.com/file/d/1JpfRw7AKi5vyFGzJYU8Gt0AbdcnM-XIR/view?usp=drivesd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ODbvUqRQqa0vgDKn1aCSa1ExOjI5eU6s/view?usp=drivesdk" TargetMode="External"/><Relationship Id="rId58" Type="http://schemas.openxmlformats.org/officeDocument/2006/relationships/hyperlink" Target="https://drive.google.com/file/d/1l0CarlJRdXeKckzjv5vdH8ZMNbVSDSFn/view?usp=drivesdk" TargetMode="External"/><Relationship Id="rId57" Type="http://schemas.openxmlformats.org/officeDocument/2006/relationships/hyperlink" Target="https://drive.google.com/file/d/1xZZ5XWFzSXvXAjvdoqHHi1FHnk0heuYs/view?usp=drivesdk" TargetMode="External"/><Relationship Id="rId56" Type="http://schemas.openxmlformats.org/officeDocument/2006/relationships/hyperlink" Target="https://drive.google.com/file/d/1v38ptVE_U4sgNuUAuiiQTJuuhlHb7jFl/view?usp=drive_link" TargetMode="External"/><Relationship Id="rId55" Type="http://schemas.openxmlformats.org/officeDocument/2006/relationships/hyperlink" Target="https://drive.google.com/file/d/1wGPC1ILzmoS_NSdfsBEMDa6PUvmHiITQ/view?usp=drivesdk" TargetMode="External"/><Relationship Id="rId54" Type="http://schemas.openxmlformats.org/officeDocument/2006/relationships/hyperlink" Target="https://drive.google.com/file/d/16C9A5O_2LU1qouTuL7juJbsj3tyaD1Qt/view?usp=drivesdk" TargetMode="External"/><Relationship Id="rId53" Type="http://schemas.openxmlformats.org/officeDocument/2006/relationships/hyperlink" Target="https://drive.google.com/file/d/16VUgmeIgOqD2kCbL2vOnNnCK5A21jtS6/view?usp=drivesdk" TargetMode="External"/><Relationship Id="rId52" Type="http://schemas.openxmlformats.org/officeDocument/2006/relationships/hyperlink" Target="https://drive.google.com/file/d/16-Aw559LRobGzObL2CIZzbedS2huPzfM/view?usp=drivesdk" TargetMode="External"/><Relationship Id="rId51" Type="http://schemas.openxmlformats.org/officeDocument/2006/relationships/hyperlink" Target="https://drive.google.com/file/d/1QwVsrlCn-vJKPmMmbOEuyVZPenw3zLAi/view?usp=drivesdk" TargetMode="External"/><Relationship Id="rId50" Type="http://schemas.openxmlformats.org/officeDocument/2006/relationships/hyperlink" Target="https://drive.google.com/file/d/1iuScMGNcz3weEMoQVa1T_JuSW_9DH1pO/view?usp=drivesd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2Rz9Bst1qc788H8Zh8yXBmnHPzzrN93P/view?usp=drivesdk" TargetMode="External"/><Relationship Id="rId48" Type="http://schemas.openxmlformats.org/officeDocument/2006/relationships/hyperlink" Target="https://drive.google.com/file/d/1j5G0xlpPZoN_-SJWXfCmHSvy5_f5ElVb/view?usp=drive_link" TargetMode="External"/><Relationship Id="rId47" Type="http://schemas.openxmlformats.org/officeDocument/2006/relationships/hyperlink" Target="https://drive.google.com/file/d/1T7BS5aUu1suc6oUZAUJSkrbr1ggrqk4F/view?usp=drivesdk" TargetMode="External"/><Relationship Id="rId46" Type="http://schemas.openxmlformats.org/officeDocument/2006/relationships/hyperlink" Target="https://drive.google.com/file/d/1lWP6IvNBiSgSE8NUcRY6MtyFZvzryUVW/view?usp=sharing" TargetMode="External"/><Relationship Id="rId45" Type="http://schemas.openxmlformats.org/officeDocument/2006/relationships/hyperlink" Target="https://drive.google.com/file/d/1SVzgo7K5HA2eBNvCm9cHE5Jjj19OQ_Yi/view?usp=drivesdk" TargetMode="External"/><Relationship Id="rId44" Type="http://schemas.openxmlformats.org/officeDocument/2006/relationships/hyperlink" Target="https://drive.google.com/file/d/1FnlIWyliZjBpKGWlrZWC0ZLvdC1mSeRT/view?usp=drive_link" TargetMode="External"/><Relationship Id="rId43" Type="http://schemas.openxmlformats.org/officeDocument/2006/relationships/hyperlink" Target="https://drive.google.com/file/d/1fSvGTS8bB6HuiPaZYdDiOhcl5coBTyn6/view?usp=drivesdk" TargetMode="External"/><Relationship Id="rId42" Type="http://schemas.openxmlformats.org/officeDocument/2006/relationships/hyperlink" Target="https://drive.google.com/file/d/1B7wFLY5XROOEnCBo5MvraJCHGZSlvN2F/view?usp=drivesdk" TargetMode="External"/><Relationship Id="rId41" Type="http://schemas.openxmlformats.org/officeDocument/2006/relationships/hyperlink" Target="https://drive.google.com/file/d/13NRRwV6xx66cW1eLQgLlIoT0apkFdG3H/view?usp=drivesdk" TargetMode="External"/><Relationship Id="rId40" Type="http://schemas.openxmlformats.org/officeDocument/2006/relationships/hyperlink" Target="https://drive.google.com/file/d/1QHgzzBJNnFVv7Q4ZFvEihpGjk4Z1zaPp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rpjbS-bDB20v4so-ORafAkM7plMXgvVt/view?usp=drivesdk" TargetMode="External"/><Relationship Id="rId38" Type="http://schemas.openxmlformats.org/officeDocument/2006/relationships/hyperlink" Target="https://drive.google.com/file/d/1Jd1pNOhKfow7rDb2cXcXuMaKkq3scBym/view?usp=drivesdk" TargetMode="External"/><Relationship Id="rId37" Type="http://schemas.openxmlformats.org/officeDocument/2006/relationships/hyperlink" Target="https://drive.google.com/file/d/14GkYuSFockovOVePXY3kQGt-QIydDele/view?usp=drive_link" TargetMode="External"/><Relationship Id="rId36" Type="http://schemas.openxmlformats.org/officeDocument/2006/relationships/hyperlink" Target="https://drive.google.com/file/d/1hO6981dWlr7a4rY7wKkphIA6DUHyv1ca/view?usp=drivesdk" TargetMode="External"/><Relationship Id="rId35" Type="http://schemas.openxmlformats.org/officeDocument/2006/relationships/hyperlink" Target="https://drive.google.com/file/d/1GgU8otZVWYUtpfGoGJVaWq9OiwS6VyWR/view?usp=drivesdk" TargetMode="External"/><Relationship Id="rId34" Type="http://schemas.openxmlformats.org/officeDocument/2006/relationships/hyperlink" Target="https://drive.google.com/file/d/1P_BCu_2QVtE153XaJwwFH2qOnbtfw2vU/view?usp=drivesdk" TargetMode="External"/><Relationship Id="rId33" Type="http://schemas.openxmlformats.org/officeDocument/2006/relationships/hyperlink" Target="https://drive.google.com/file/d/1KiLSQnjJ2psEDDxubsd4qAIGYURZhEgV/view?usp=share_link" TargetMode="External"/><Relationship Id="rId32" Type="http://schemas.openxmlformats.org/officeDocument/2006/relationships/hyperlink" Target="https://drive.google.com/file/d/1exXucVZqcE3RkfVT9eWgvz1GrwgUcOGs/view?usp=drivesdk" TargetMode="External"/><Relationship Id="rId31" Type="http://schemas.openxmlformats.org/officeDocument/2006/relationships/hyperlink" Target="https://drive.google.com/file/d/1wYVnj5xHuiqQU2FLKpl5j3MbxNgNSDWL/view?usp=drivesdk" TargetMode="External"/><Relationship Id="rId30" Type="http://schemas.openxmlformats.org/officeDocument/2006/relationships/hyperlink" Target="https://drive.google.com/file/d/1WAIV9EzRLNkmkzUDIIR1DMXykSJnRqNQ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YhQfmy0rQa_3l9AQYACCpU7Fqq-FOQEI/view?usp=drivesdk" TargetMode="External"/><Relationship Id="rId28" Type="http://schemas.openxmlformats.org/officeDocument/2006/relationships/hyperlink" Target="https://drive.google.com/file/d/1SyqKT5bF5AaGYQgD2j5JSrpmJiBMLybn/view?usp=drivesdk" TargetMode="External"/><Relationship Id="rId27" Type="http://schemas.openxmlformats.org/officeDocument/2006/relationships/hyperlink" Target="https://drive.google.com/file/d/1JmOAm4079UzechP2QZhlcGLcKATeh1NC/view?usp=drivesdk" TargetMode="External"/><Relationship Id="rId26" Type="http://schemas.openxmlformats.org/officeDocument/2006/relationships/hyperlink" Target="https://drive.google.com/file/d/1LKMYyqlNdTpBAJHzScOqSYbwoX-Sj7CT/view?usp=drivesdk" TargetMode="External"/><Relationship Id="rId25" Type="http://schemas.openxmlformats.org/officeDocument/2006/relationships/hyperlink" Target="https://drive.google.com/file/d/1-OL0ijLcO4oCmNnZTW_Y7BHwMB4uUQVK/view" TargetMode="External"/><Relationship Id="rId24" Type="http://schemas.openxmlformats.org/officeDocument/2006/relationships/hyperlink" Target="https://drive.google.com/file/d/1Sye9_tfW3vCUCuzfO04RicfVtkkhBLUa/view" TargetMode="External"/><Relationship Id="rId23" Type="http://schemas.openxmlformats.org/officeDocument/2006/relationships/hyperlink" Target="https://drive.google.com/file/d/1j6z_L7F1ez8ItqPnrQsPNGg2j38KtlgG/view" TargetMode="External"/><Relationship Id="rId22" Type="http://schemas.openxmlformats.org/officeDocument/2006/relationships/hyperlink" Target="https://drive.google.com/file/d/1sFDM_grDHNQoFssiRNDRYHiZ-v5Cz_mM/view?usp=drivesdk" TargetMode="External"/><Relationship Id="rId21" Type="http://schemas.openxmlformats.org/officeDocument/2006/relationships/hyperlink" Target="https://drive.google.com/file/d/1zVz0DVls0T0q0Nw8a9sVgmfrBBnx7VDU/view?usp=drivesdk" TargetMode="External"/><Relationship Id="rId20" Type="http://schemas.openxmlformats.org/officeDocument/2006/relationships/hyperlink" Target="https://drive.google.com/file/d/1MqKqLyL1Szw5dZPMXxT46Rrs2pbCGBzG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" Type="http://schemas.openxmlformats.org/officeDocument/2006/relationships/hyperlink" Target="https://drive.google.com/file/d/15Bc88hS6nxrWXF0LYcVoTUmlRCZ-EtKv/view?usp=drivesdk" TargetMode="External"/><Relationship Id="rId18" Type="http://schemas.openxmlformats.org/officeDocument/2006/relationships/hyperlink" Target="https://drive.google.com/file/d/1MMrYNdFIDXAIq6LtHwU6gyJ4tgXw7G-u/view?usp=drivesdk" TargetMode="External"/><Relationship Id="rId17" Type="http://schemas.openxmlformats.org/officeDocument/2006/relationships/hyperlink" Target="https://drive.google.com/file/d/1OCCCwrKUlTy4NqUDZsCGAqlMUuEalLTg/view?usp=drivesdk" TargetMode="External"/><Relationship Id="rId16" Type="http://schemas.openxmlformats.org/officeDocument/2006/relationships/hyperlink" Target="https://drive.google.com/file/d/1PNvkKAdYOWhB1flJ3E_PTltwmnkgSYJA/view?usp=drive_link" TargetMode="External"/><Relationship Id="rId153" Type="http://schemas.openxmlformats.org/officeDocument/2006/relationships/hyperlink" Target="https://drive.google.com/file/d/1z6DqqghGz5_1wHnScD8k48HgKfz0Zk9I/view?usp=sharing" TargetMode="External"/><Relationship Id="rId152" Type="http://schemas.openxmlformats.org/officeDocument/2006/relationships/hyperlink" Target="https://drive.google.com/file/d/1HvfXkFjLiHRPwmnYl-3JLNG2OHocGWGJ/view?usp=drive_link" TargetMode="External"/><Relationship Id="rId151" Type="http://schemas.openxmlformats.org/officeDocument/2006/relationships/hyperlink" Target="https://drive.google.com/file/d/1O8IFerN_b1OVb1CN9mQGTjYZpOKGoITY/view?usp=drive_link" TargetMode="External"/><Relationship Id="rId150" Type="http://schemas.openxmlformats.org/officeDocument/2006/relationships/hyperlink" Target="https://drive.google.com/file/d/1g_9nh_hqVHEgyFmCYgVlJFmL1Aj6XSjP/view?usp=drive_link" TargetMode="External"/><Relationship Id="rId15" Type="http://schemas.openxmlformats.org/officeDocument/2006/relationships/hyperlink" Target="https://drive.google.com/file/d/1IUS8d_QOkrc_3Yf1jLvL5afjwyI3ICZg/view?usp=drive_link" TargetMode="External"/><Relationship Id="rId149" Type="http://schemas.openxmlformats.org/officeDocument/2006/relationships/hyperlink" Target="https://drive.google.com/file/d/1pO45KJ2Anjf1wjhdMDATmYcrXCytLB3y/view?usp=sharing" TargetMode="External"/><Relationship Id="rId148" Type="http://schemas.openxmlformats.org/officeDocument/2006/relationships/hyperlink" Target="https://drive.google.com/file/d/1ayKyx-7T7TwOte_gGFgfgCxWiVa8Cg8m/view?usp=drive_link" TargetMode="External"/><Relationship Id="rId147" Type="http://schemas.openxmlformats.org/officeDocument/2006/relationships/hyperlink" Target="https://drive.google.com/file/d/1VXVL_r3DoAz3I_u0DD1X5QX9FVNRikkd/view?usp=drive_link" TargetMode="External"/><Relationship Id="rId146" Type="http://schemas.openxmlformats.org/officeDocument/2006/relationships/hyperlink" Target="https://drive.google.com/file/d/14S--Kd5Vl3YSMCHzwwYt_kQIgxGm_Zbg/view?usp=drive_link" TargetMode="External"/><Relationship Id="rId145" Type="http://schemas.openxmlformats.org/officeDocument/2006/relationships/hyperlink" Target="https://drive.google.com/file/d/1n-OVjxMOvOjL1phlSkz8eviOukA2jLci/view?usp=drive_link" TargetMode="External"/><Relationship Id="rId144" Type="http://schemas.openxmlformats.org/officeDocument/2006/relationships/hyperlink" Target="https://drive.google.com/file/d/1_wspiI7N_dRs_vE3p2pH0rc8yAcF-pg4/view?usp=drive_link" TargetMode="External"/><Relationship Id="rId143" Type="http://schemas.openxmlformats.org/officeDocument/2006/relationships/hyperlink" Target="https://drive.google.com/file/d/1WXt01Z5DyEaibfcb9yjRvC37GnJBijOf/view?usp=drive_link" TargetMode="External"/><Relationship Id="rId142" Type="http://schemas.openxmlformats.org/officeDocument/2006/relationships/hyperlink" Target="https://drive.google.com/file/d/12CBiVkqByJdiB_fExvTvqpU9ylB2Sy3W/view?usp=drive_link" TargetMode="External"/><Relationship Id="rId141" Type="http://schemas.openxmlformats.org/officeDocument/2006/relationships/hyperlink" Target="https://drive.google.com/file/d/1rjwl5CZZjBCqyIHHwyVOtiklXu_rVxIO/view?usp=drive_link" TargetMode="External"/><Relationship Id="rId140" Type="http://schemas.openxmlformats.org/officeDocument/2006/relationships/hyperlink" Target="https://drive.google.com/file/d/1imOf8cO4LrDK_1VGlnSJPrR4OAx8Sd2B/view?usp=drive_link" TargetMode="External"/><Relationship Id="rId14" Type="http://schemas.openxmlformats.org/officeDocument/2006/relationships/hyperlink" Target="https://drive.google.com/file/d/1EA90Utk1ns7TCVkyeIJ5iW7Hdqq2_Zha/view?usp=drive_link" TargetMode="External"/><Relationship Id="rId139" Type="http://schemas.openxmlformats.org/officeDocument/2006/relationships/hyperlink" Target="https://drive.google.com/file/d/10aHD4D4de3IMNUlj2mTv1iugbhs7vm95/view?usp=drive_link" TargetMode="External"/><Relationship Id="rId138" Type="http://schemas.openxmlformats.org/officeDocument/2006/relationships/hyperlink" Target="https://drive.google.com/file/d/15MHSo23sHhYQuvGI6Rdc88aGx1MXVhlF/view?usp=drive_link" TargetMode="External"/><Relationship Id="rId137" Type="http://schemas.openxmlformats.org/officeDocument/2006/relationships/hyperlink" Target="https://drive.google.com/file/d/1z2yIzp0ZbgM-WXwFf0MlJEXezfRG53OZ/view?usp=drive_link" TargetMode="External"/><Relationship Id="rId136" Type="http://schemas.openxmlformats.org/officeDocument/2006/relationships/hyperlink" Target="https://drive.google.com/file/d/1biD_OWP2awFT111gaTpBNNr3AS3NDINn/view?usp=drive_link" TargetMode="External"/><Relationship Id="rId135" Type="http://schemas.openxmlformats.org/officeDocument/2006/relationships/hyperlink" Target="https://drive.google.com/file/d/1wTcRpLfkpOMVY3hw2QTUv6LQcB9cOzat/view?usp=drive_link" TargetMode="External"/><Relationship Id="rId134" Type="http://schemas.openxmlformats.org/officeDocument/2006/relationships/hyperlink" Target="https://drive.google.com/file/d/1yW-_9zBLG_Fn_N-ncjuONsbvuMuwbPmv/view?usp=drive_link" TargetMode="External"/><Relationship Id="rId133" Type="http://schemas.openxmlformats.org/officeDocument/2006/relationships/hyperlink" Target="https://drive.google.com/file/d/1mMz4HtEoeAbpd0fSV0nrAAVWE_NwNd0K/view?usp=drivesdk" TargetMode="External"/><Relationship Id="rId132" Type="http://schemas.openxmlformats.org/officeDocument/2006/relationships/hyperlink" Target="https://drive.google.com/file/d/1PJMlwsarfJsjDOH9BR13ZC5WuNsCbsUs/view?usp=drive_link" TargetMode="External"/><Relationship Id="rId131" Type="http://schemas.openxmlformats.org/officeDocument/2006/relationships/hyperlink" Target="https://drive.google.com/file/d/13BQ_wJdpDsvZ4ExNu5_MiUuptLzyEkOt/view?usp=drivesdk" TargetMode="External"/><Relationship Id="rId130" Type="http://schemas.openxmlformats.org/officeDocument/2006/relationships/hyperlink" Target="https://drive.google.com/file/d/18ueBKNiLx_qMQGWWAwsMx3AwCOr1zXzs/view?usp=drivesdk" TargetMode="External"/><Relationship Id="rId13" Type="http://schemas.openxmlformats.org/officeDocument/2006/relationships/hyperlink" Target="https://drive.google.com/file/d/1V_KesoUUtqOCox2hPrqsar6MiABiKfbT/view?usp=drive_link" TargetMode="External"/><Relationship Id="rId129" Type="http://schemas.openxmlformats.org/officeDocument/2006/relationships/hyperlink" Target="https://drive.google.com/file/d/1l9qfxWgKh-kHCOlLJw3rYD8TsqzZQ0Vg/view?usp=drivesdk" TargetMode="External"/><Relationship Id="rId128" Type="http://schemas.openxmlformats.org/officeDocument/2006/relationships/hyperlink" Target="https://drive.google.com/file/d/11itxCKs7_1wrdjNgkLJy60XgxMCdImZ8/view?usp=drivesdk" TargetMode="External"/><Relationship Id="rId127" Type="http://schemas.openxmlformats.org/officeDocument/2006/relationships/hyperlink" Target="https://drive.google.com/file/d/1Yy8fpURlINeYfCy7rrZmDKFYHuyxD4iQ/view?usp=drivesdk" TargetMode="External"/><Relationship Id="rId126" Type="http://schemas.openxmlformats.org/officeDocument/2006/relationships/hyperlink" Target="https://drive.google.com/file/d/1FtIA5xRRdfg0DMeFhk4cK9fSTdReYxn_/view?usp=drivesdk" TargetMode="External"/><Relationship Id="rId125" Type="http://schemas.openxmlformats.org/officeDocument/2006/relationships/hyperlink" Target="https://drive.google.com/file/d/1HXZTAZQL0VArZ_9hBhMjaP1mlNRqP8T5/view?usp=drive_link" TargetMode="External"/><Relationship Id="rId124" Type="http://schemas.openxmlformats.org/officeDocument/2006/relationships/hyperlink" Target="https://drive.google.com/file/d/1KLs3uxdiaRJWETPsO6CmyTUanKwokaZa/view?usp=drive_link" TargetMode="External"/><Relationship Id="rId123" Type="http://schemas.openxmlformats.org/officeDocument/2006/relationships/hyperlink" Target="https://drive.google.com/file/d/1ULg6wSSFgz4hxLake3pNnzRocvpPmZYZ/view?usp=drivesdk" TargetMode="External"/><Relationship Id="rId122" Type="http://schemas.openxmlformats.org/officeDocument/2006/relationships/hyperlink" Target="https://drive.google.com/file/d/1WFj0LyCScVrmb41N-RuRU2HZGx5A4QUM/view?usp=drivesdk" TargetMode="External"/><Relationship Id="rId121" Type="http://schemas.openxmlformats.org/officeDocument/2006/relationships/hyperlink" Target="https://drive.google.com/file/d/1G6kH8R6hjEGmJmuU2Q1QejweKqjRW6DP/view?usp=drivesdk" TargetMode="External"/><Relationship Id="rId120" Type="http://schemas.openxmlformats.org/officeDocument/2006/relationships/hyperlink" Target="https://drive.google.com/file/d/1LQkh8x3zwwOEGBzYg73i26Jpewo6cs3D/view?usp=drivesdk" TargetMode="External"/><Relationship Id="rId12" Type="http://schemas.openxmlformats.org/officeDocument/2006/relationships/hyperlink" Target="https://drive.google.com/file/d/1tBQj4KBkGIcQo30fyHrHkQTaQkbdqCVJ/view?usp=drive_link" TargetMode="External"/><Relationship Id="rId119" Type="http://schemas.openxmlformats.org/officeDocument/2006/relationships/hyperlink" Target="https://drive.google.com/file/d/18HoCA9YDoJiZI1ICrjO5DtziAZZqqASw/view?usp=drivesdk" TargetMode="External"/><Relationship Id="rId118" Type="http://schemas.openxmlformats.org/officeDocument/2006/relationships/hyperlink" Target="https://drive.google.com/file/d/1-sH-k7diCS-WDKeXQScayM3HAWW1q7sM/view?usp=drivesdk" TargetMode="External"/><Relationship Id="rId117" Type="http://schemas.openxmlformats.org/officeDocument/2006/relationships/hyperlink" Target="https://drive.google.com/file/d/17pRvmaCFzqLMQRC7wnvA4L82a4VoqSNb/view?usp=drivesdk" TargetMode="External"/><Relationship Id="rId116" Type="http://schemas.openxmlformats.org/officeDocument/2006/relationships/hyperlink" Target="https://drive.google.com/file/d/14NjXiJxdPZj-jsyU8TwKzoZcgHH2Kikm/view?usp=drivesdk" TargetMode="External"/><Relationship Id="rId115" Type="http://schemas.openxmlformats.org/officeDocument/2006/relationships/hyperlink" Target="https://drive.google.com/file/d/1GrGA4TyYwG1MhtL3_f1BynYYPOQUPYfI/view?usp=drivesdk" TargetMode="External"/><Relationship Id="rId114" Type="http://schemas.openxmlformats.org/officeDocument/2006/relationships/hyperlink" Target="https://drive.google.com/file/d/1V4kAOaTdr-GtYhnXv7gzQBE3ZR7ZPlKK/view?usp=drive_link" TargetMode="External"/><Relationship Id="rId113" Type="http://schemas.openxmlformats.org/officeDocument/2006/relationships/hyperlink" Target="https://drive.google.com/file/d/1-aGhYs7ao10VRy2guue-uTg4Xq65DWCb/view?usp=drivesdk" TargetMode="External"/><Relationship Id="rId112" Type="http://schemas.openxmlformats.org/officeDocument/2006/relationships/hyperlink" Target="https://drive.google.com/file/d/1gdaUpwcvEEPj3F4ukVHIDBTYWmdw2MMT/view?usp=drivesdk" TargetMode="External"/><Relationship Id="rId111" Type="http://schemas.openxmlformats.org/officeDocument/2006/relationships/hyperlink" Target="https://drive.google.com/file/d/18_RD9xZabwO2JP75PawLVIgZiRHanJ7r/view?usp=drivesdk" TargetMode="External"/><Relationship Id="rId110" Type="http://schemas.openxmlformats.org/officeDocument/2006/relationships/hyperlink" Target="https://drive.google.com/file/d/1050KPyHqjlRunLX-RfleyqLFilvJdS5r/view?usp=drivesdk" TargetMode="External"/><Relationship Id="rId11" Type="http://schemas.openxmlformats.org/officeDocument/2006/relationships/hyperlink" Target="https://drive.google.com/file/d/1xBnJaVPqkzMOXYrs7FDEX7fsJh1bBOlL/view?usp=drive_link" TargetMode="External"/><Relationship Id="rId109" Type="http://schemas.openxmlformats.org/officeDocument/2006/relationships/hyperlink" Target="https://drive.google.com/file/d/1ovJmNjOlfEf62x4Im3HNRvI9DtrFZ9Sr/view?usp=drivesdk" TargetMode="External"/><Relationship Id="rId108" Type="http://schemas.openxmlformats.org/officeDocument/2006/relationships/hyperlink" Target="https://drive.google.com/file/d/1vL98rafw5EdMw0g-Gukusup3IuiOeWDb/view?usp=drive_link" TargetMode="External"/><Relationship Id="rId107" Type="http://schemas.openxmlformats.org/officeDocument/2006/relationships/hyperlink" Target="https://drive.google.com/file/d/1PHv5SowWdHLPDwAmdCWH5ARL1Z38hfYO/view?usp=drivesdk" TargetMode="External"/><Relationship Id="rId106" Type="http://schemas.openxmlformats.org/officeDocument/2006/relationships/hyperlink" Target="https://drive.google.com/file/d/18HTrtI8KIzcwPDrXi0nqp6RPtcqsk4FA/view?usp=drivesdk" TargetMode="External"/><Relationship Id="rId105" Type="http://schemas.openxmlformats.org/officeDocument/2006/relationships/hyperlink" Target="https://drive.google.com/file/d/1G_2h17dEDSJ0sJVLA7KEA3Wy18Qic-lD/view?usp=drivesdk" TargetMode="External"/><Relationship Id="rId104" Type="http://schemas.openxmlformats.org/officeDocument/2006/relationships/hyperlink" Target="https://drive.google.com/file/d/1d7EFuXhUJIVdNfyP-VvbEov7OxOUhnjX/view?usp=drivesdk" TargetMode="External"/><Relationship Id="rId103" Type="http://schemas.openxmlformats.org/officeDocument/2006/relationships/hyperlink" Target="https://drive.google.com/file/d/1yqbx43PnfXE8U_6g27LrPngfH4Nim4l-/view?usp=drivesdk" TargetMode="External"/><Relationship Id="rId102" Type="http://schemas.openxmlformats.org/officeDocument/2006/relationships/hyperlink" Target="https://drive.google.com/file/d/1WQjpqTJkN2CL63dizWOLH-FHbxYPuwVs/view?usp=drivesdk" TargetMode="External"/><Relationship Id="rId101" Type="http://schemas.openxmlformats.org/officeDocument/2006/relationships/hyperlink" Target="https://drive.google.com/file/d/1KfWKJxh2VrKitJEr0szRBuEALYNYKYBC/view?usp=drivesdk" TargetMode="External"/><Relationship Id="rId100" Type="http://schemas.openxmlformats.org/officeDocument/2006/relationships/hyperlink" Target="https://drive.google.com/file/d/11rwp4t8FCYeorWBqowC3lt4oxoiMZXGD/view?usp=drivesdk" TargetMode="External"/><Relationship Id="rId10" Type="http://schemas.openxmlformats.org/officeDocument/2006/relationships/hyperlink" Target="https://drive.google.com/file/d/1n_sxnq85b2lKGL26GnirBYDfp3Laq_a-/view?usp=drive_link" TargetMode="External"/><Relationship Id="rId1" Type="http://schemas.openxmlformats.org/officeDocument/2006/relationships/hyperlink" Target="http://s.no/" TargetMode="External"/></Relationships>
</file>

<file path=xl/worksheets/_rels/sheet30.xml.rels><?xml version="1.0" encoding="UTF-8" standalone="yes"?>
<Relationships xmlns="http://schemas.openxmlformats.org/package/2006/relationships"><Relationship Id="rId99" Type="http://schemas.openxmlformats.org/officeDocument/2006/relationships/hyperlink" Target="https://drive.google.com/file/d/1ovJmNjOlfEf62x4Im3HNRvI9DtrFZ9Sr/view?usp=drivesdk" TargetMode="External"/><Relationship Id="rId98" Type="http://schemas.openxmlformats.org/officeDocument/2006/relationships/hyperlink" Target="https://drive.google.com/file/d/1vL98rafw5EdMw0g-Gukusup3IuiOeWDb/view?usp=drive_link" TargetMode="External"/><Relationship Id="rId97" Type="http://schemas.openxmlformats.org/officeDocument/2006/relationships/hyperlink" Target="https://drive.google.com/file/d/1PHv5SowWdHLPDwAmdCWH5ARL1Z38hfYO/view?usp=drivesdk" TargetMode="External"/><Relationship Id="rId96" Type="http://schemas.openxmlformats.org/officeDocument/2006/relationships/hyperlink" Target="https://drive.google.com/file/d/18HTrtI8KIzcwPDrXi0nqp6RPtcqsk4FA/view?usp=drivesdk" TargetMode="External"/><Relationship Id="rId95" Type="http://schemas.openxmlformats.org/officeDocument/2006/relationships/hyperlink" Target="https://drive.google.com/file/d/1G_2h17dEDSJ0sJVLA7KEA3Wy18Qic-lD/view?usp=drivesdk" TargetMode="External"/><Relationship Id="rId94" Type="http://schemas.openxmlformats.org/officeDocument/2006/relationships/hyperlink" Target="https://drive.google.com/file/d/1d7EFuXhUJIVdNfyP-VvbEov7OxOUhnjX/view?usp=drivesdk" TargetMode="External"/><Relationship Id="rId93" Type="http://schemas.openxmlformats.org/officeDocument/2006/relationships/hyperlink" Target="https://drive.google.com/file/d/1yqbx43PnfXE8U_6g27LrPngfH4Nim4l-/view?usp=drivesdk" TargetMode="External"/><Relationship Id="rId92" Type="http://schemas.openxmlformats.org/officeDocument/2006/relationships/hyperlink" Target="https://drive.google.com/file/d/1WQjpqTJkN2CL63dizWOLH-FHbxYPuwVs/view?usp=drivesdk" TargetMode="External"/><Relationship Id="rId91" Type="http://schemas.openxmlformats.org/officeDocument/2006/relationships/hyperlink" Target="https://drive.google.com/file/d/1KfWKJxh2VrKitJEr0szRBuEALYNYKYBC/view?usp=drivesdk" TargetMode="External"/><Relationship Id="rId90" Type="http://schemas.openxmlformats.org/officeDocument/2006/relationships/hyperlink" Target="https://drive.google.com/file/d/11rwp4t8FCYeorWBqowC3lt4oxoiMZXGD/view?usp=drivesdk" TargetMode="External"/><Relationship Id="rId9" Type="http://schemas.openxmlformats.org/officeDocument/2006/relationships/hyperlink" Target="https://drive.google.com/file/d/1TtxJeWuVc20ePVik4bdjwKeBWspDdqMP/view?usp=drive_link" TargetMode="External"/><Relationship Id="rId89" Type="http://schemas.openxmlformats.org/officeDocument/2006/relationships/hyperlink" Target="https://drive.google.com/file/d/1sT0NJsD21pgepjH7tLuJCBFtIZQax2Wl/view?usp=drivesdk" TargetMode="External"/><Relationship Id="rId88" Type="http://schemas.openxmlformats.org/officeDocument/2006/relationships/hyperlink" Target="https://drive.google.com/file/d/1Q3MLsC3HPDUwIk0LuSHUtLVSOuBH_O4N/view?usp=drivesdk" TargetMode="External"/><Relationship Id="rId87" Type="http://schemas.openxmlformats.org/officeDocument/2006/relationships/hyperlink" Target="https://drive.google.com/file/d/11pMXP9LzQDSOCFcGyZ30h0N4_459t-8T/view?usp=drivesdk" TargetMode="External"/><Relationship Id="rId86" Type="http://schemas.openxmlformats.org/officeDocument/2006/relationships/hyperlink" Target="https://drive.google.com/file/d/1Ak6smEd55cnbU6cgiHWyy16Q1-XSYz02/view?usp=drivesdk" TargetMode="External"/><Relationship Id="rId85" Type="http://schemas.openxmlformats.org/officeDocument/2006/relationships/hyperlink" Target="https://drive.google.com/file/d/1KHPev2Kq3qVrGscAO2uuo7yScy8y8Sup/view?usp=drivesdk" TargetMode="External"/><Relationship Id="rId84" Type="http://schemas.openxmlformats.org/officeDocument/2006/relationships/hyperlink" Target="https://drive.google.com/file/d/1hLGDUrXqBvHMOAiLQE0q9BoTCTu2K7ao/view?usp=drivesdk" TargetMode="External"/><Relationship Id="rId83" Type="http://schemas.openxmlformats.org/officeDocument/2006/relationships/hyperlink" Target="https://drive.google.com/file/d/1LWD7yTNI0RJDRsb9uJmf_DlCrtRgUKyY/view?usp=drivesdk" TargetMode="External"/><Relationship Id="rId82" Type="http://schemas.openxmlformats.org/officeDocument/2006/relationships/hyperlink" Target="https://drive.google.com/file/d/1ugQovbHhHiatqYgFZRiOkMLioEJ1sY9o/view?usp=drivesdk" TargetMode="External"/><Relationship Id="rId81" Type="http://schemas.openxmlformats.org/officeDocument/2006/relationships/hyperlink" Target="https://drive.google.com/file/d/1VO8wG6RTf64Yu5WlHt4RNVEAlHxdXRIv/view?usp=drivesdk" TargetMode="External"/><Relationship Id="rId80" Type="http://schemas.openxmlformats.org/officeDocument/2006/relationships/hyperlink" Target="https://drive.google.com/file/d/1Y9flt534_FhOqa8NP_vpNuG3r3VfhlQm/view?usp=sharing" TargetMode="External"/><Relationship Id="rId8" Type="http://schemas.openxmlformats.org/officeDocument/2006/relationships/hyperlink" Target="https://drive.google.com/file/d/14cGRh_2GVwGIhwcirub7JRZGMV1dZAmt/view?usp=drive_link" TargetMode="External"/><Relationship Id="rId79" Type="http://schemas.openxmlformats.org/officeDocument/2006/relationships/hyperlink" Target="https://drive.google.com/file/d/16IRc55EQPnwJwz1MBgv_Y1W7eI0TnC6F/view?usp=drivesdk" TargetMode="External"/><Relationship Id="rId78" Type="http://schemas.openxmlformats.org/officeDocument/2006/relationships/hyperlink" Target="https://drive.google.com/file/d/1UL3NuZgOCt4s4K1Lmw0E4054Vvcygtkf/view?usp=drivesdk" TargetMode="External"/><Relationship Id="rId77" Type="http://schemas.openxmlformats.org/officeDocument/2006/relationships/hyperlink" Target="https://drive.google.com/file/d/1JpfRw7AKi5vyFGzJYU8Gt0AbdcnM-XIR/view?usp=drivesdk" TargetMode="External"/><Relationship Id="rId76" Type="http://schemas.openxmlformats.org/officeDocument/2006/relationships/hyperlink" Target="https://drive.google.com/file/d/1ODbvUqRQqa0vgDKn1aCSa1ExOjI5eU6s/view?usp=drivesdk" TargetMode="External"/><Relationship Id="rId75" Type="http://schemas.openxmlformats.org/officeDocument/2006/relationships/hyperlink" Target="https://drive.google.com/file/d/1l0CarlJRdXeKckzjv5vdH8ZMNbVSDSFn/view?usp=drivesdk" TargetMode="External"/><Relationship Id="rId74" Type="http://schemas.openxmlformats.org/officeDocument/2006/relationships/hyperlink" Target="https://drive.google.com/file/d/1xZZ5XWFzSXvXAjvdoqHHi1FHnk0heuYs/view?usp=drivesdk" TargetMode="External"/><Relationship Id="rId73" Type="http://schemas.openxmlformats.org/officeDocument/2006/relationships/hyperlink" Target="https://drive.google.com/file/d/1v38ptVE_U4sgNuUAuiiQTJuuhlHb7jFl/view?usp=drive_link" TargetMode="External"/><Relationship Id="rId72" Type="http://schemas.openxmlformats.org/officeDocument/2006/relationships/hyperlink" Target="https://drive.google.com/file/d/1wGPC1ILzmoS_NSdfsBEMDa6PUvmHiITQ/view?usp=drivesdk" TargetMode="External"/><Relationship Id="rId71" Type="http://schemas.openxmlformats.org/officeDocument/2006/relationships/hyperlink" Target="https://drive.google.com/file/d/16C9A5O_2LU1qouTuL7juJbsj3tyaD1Qt/view?usp=drivesdk" TargetMode="External"/><Relationship Id="rId70" Type="http://schemas.openxmlformats.org/officeDocument/2006/relationships/hyperlink" Target="https://drive.google.com/file/d/16VUgmeIgOqD2kCbL2vOnNnCK5A21jtS6/view?usp=drivesdk" TargetMode="External"/><Relationship Id="rId7" Type="http://schemas.openxmlformats.org/officeDocument/2006/relationships/hyperlink" Target="https://drive.google.com/file/d/1CNDtPSVXgjZm2ozBtpp9BWl7IDCHwRXd/view?usp=drive_link" TargetMode="External"/><Relationship Id="rId69" Type="http://schemas.openxmlformats.org/officeDocument/2006/relationships/hyperlink" Target="https://drive.google.com/file/d/16-Aw559LRobGzObL2CIZzbedS2huPzfM/view?usp=drivesdk" TargetMode="External"/><Relationship Id="rId68" Type="http://schemas.openxmlformats.org/officeDocument/2006/relationships/hyperlink" Target="https://drive.google.com/file/d/1VBcUYGGVBC1eFzghNmCL6gYt5uTrB1En/view?usp=drivesdk" TargetMode="External"/><Relationship Id="rId67" Type="http://schemas.openxmlformats.org/officeDocument/2006/relationships/hyperlink" Target="https://drive.google.com/file/d/1AvwfvxAigPmn2HwcxP2r_HE5XQNTVfio/view?usp=drivesdk" TargetMode="External"/><Relationship Id="rId66" Type="http://schemas.openxmlformats.org/officeDocument/2006/relationships/hyperlink" Target="https://drive.google.com/file/d/1YHGtCN76a8nF57aGzHjkfYUeeOB51E2i/view?usp=drive_link" TargetMode="External"/><Relationship Id="rId65" Type="http://schemas.openxmlformats.org/officeDocument/2006/relationships/hyperlink" Target="https://drive.google.com/file/d/1HZnPMnXtZ0QO_7Mg1rBnqh1WGOP3akH4/view?usp=drivesdk" TargetMode="External"/><Relationship Id="rId64" Type="http://schemas.openxmlformats.org/officeDocument/2006/relationships/hyperlink" Target="https://drive.google.com/file/d/1YI54nUQ9qGl4HCxnSZ9MgIOfdUXpAveO/view?usp=drivesdk" TargetMode="External"/><Relationship Id="rId63" Type="http://schemas.openxmlformats.org/officeDocument/2006/relationships/hyperlink" Target="https://drive.google.com/file/d/1WOEQum9D_NKi3goLKqtY1VRtvIRb4Onc/view?usp=drivesdk" TargetMode="External"/><Relationship Id="rId62" Type="http://schemas.openxmlformats.org/officeDocument/2006/relationships/hyperlink" Target="https://drive.google.com/file/d/1yhSE8e9oSoZ1XITSkXcml25c5-I7E8OK/view?usp=drivesdk" TargetMode="External"/><Relationship Id="rId61" Type="http://schemas.openxmlformats.org/officeDocument/2006/relationships/hyperlink" Target="https://drive.google.com/file/d/1tYp3kf2YZfVDWXP_ppXiSk-8uC3iLHGP/view?usp=drivesdk" TargetMode="External"/><Relationship Id="rId60" Type="http://schemas.openxmlformats.org/officeDocument/2006/relationships/hyperlink" Target="https://drive.google.com/file/d/1j5G0xlpPZoN_-SJWXfCmHSvy5_f5ElVb/view?usp=drive_link" TargetMode="External"/><Relationship Id="rId6" Type="http://schemas.openxmlformats.org/officeDocument/2006/relationships/hyperlink" Target="https://drive.google.com/file/d/16q5JltNoxWlwh8NUcQJtrengUnC5Gc0L/view?usp=drive_link" TargetMode="External"/><Relationship Id="rId59" Type="http://schemas.openxmlformats.org/officeDocument/2006/relationships/hyperlink" Target="https://drive.google.com/file/d/18R5-hqH5rhdTFHQ_-9FelFaTNFFzJh_T/view?usp=drive_link" TargetMode="External"/><Relationship Id="rId58" Type="http://schemas.openxmlformats.org/officeDocument/2006/relationships/hyperlink" Target="https://drive.google.com/file/d/1fSvGTS8bB6HuiPaZYdDiOhcl5coBTyn6/view?usp=drivesdk" TargetMode="External"/><Relationship Id="rId57" Type="http://schemas.openxmlformats.org/officeDocument/2006/relationships/hyperlink" Target="https://drive.google.com/file/d/1YbHVvlbyekEd3SxwhAnFtXa_ZYZV9hC9/view?usp=drivesdk" TargetMode="External"/><Relationship Id="rId56" Type="http://schemas.openxmlformats.org/officeDocument/2006/relationships/hyperlink" Target="https://drive.google.com/file/d/12Q3__owZ4sfSEGBknxHctOTH4xrGVWD7/view?usp=drive_link" TargetMode="External"/><Relationship Id="rId55" Type="http://schemas.openxmlformats.org/officeDocument/2006/relationships/hyperlink" Target="https://drive.google.com/file/d/1zJWXGJfINS9BzTK821055S7z4kP2wE92/view?usp=drive_link" TargetMode="External"/><Relationship Id="rId54" Type="http://schemas.openxmlformats.org/officeDocument/2006/relationships/hyperlink" Target="https://drive.google.com/file/d/1AX6OYh4cyvOHoTjUpWLiCag24x3ib1as/view?usp=drive_link" TargetMode="External"/><Relationship Id="rId53" Type="http://schemas.openxmlformats.org/officeDocument/2006/relationships/hyperlink" Target="https://drive.google.com/file/d/13amFNwY1TDp12ju5coJ_4t8OY3mdTqvo/view?usp=drive_link" TargetMode="External"/><Relationship Id="rId52" Type="http://schemas.openxmlformats.org/officeDocument/2006/relationships/hyperlink" Target="https://drive.google.com/file/d/1QNJAFIS3AcDcCYyHYBdcGhSfgl7p_oNi/view?usp=drive_link" TargetMode="External"/><Relationship Id="rId51" Type="http://schemas.openxmlformats.org/officeDocument/2006/relationships/hyperlink" Target="https://drive.google.com/file/d/1XYwMDVzh4fwDVhFcKzavALPhzJhymcTA/view?usp=drive_link" TargetMode="External"/><Relationship Id="rId50" Type="http://schemas.openxmlformats.org/officeDocument/2006/relationships/hyperlink" Target="https://drive.google.com/file/d/1XiG02UYQFZnEtTHy_-6O0J-OD0O2cJDG/view?usp=drive_link" TargetMode="External"/><Relationship Id="rId5" Type="http://schemas.openxmlformats.org/officeDocument/2006/relationships/hyperlink" Target="https://drive.google.com/file/d/16uY6IyxIPLbudMiHOba35nFakTPrWrNn/view?usp=drive_link" TargetMode="External"/><Relationship Id="rId49" Type="http://schemas.openxmlformats.org/officeDocument/2006/relationships/hyperlink" Target="https://drive.google.com/file/d/1dA6BJnXLbpi0Zz_mRBTRHp76jTd3vpal/view?usp=drivesdk" TargetMode="External"/><Relationship Id="rId48" Type="http://schemas.openxmlformats.org/officeDocument/2006/relationships/hyperlink" Target="https://drive.google.com/file/d/1iQ_Q4HCJ-zDnMd1F94DucUYz7wOmhNTy/view?usp=drivesdk" TargetMode="External"/><Relationship Id="rId47" Type="http://schemas.openxmlformats.org/officeDocument/2006/relationships/hyperlink" Target="https://drive.google.com/file/d/1z9vz2r3HtntpLAZXfmgg61ZPtNs3JwGj/view?usp=drive_link" TargetMode="External"/><Relationship Id="rId46" Type="http://schemas.openxmlformats.org/officeDocument/2006/relationships/hyperlink" Target="https://drive.google.com/file/d/13UKyayGuA94wgag2vP608BSJm28F9SjK/view?usp=drivesdk" TargetMode="External"/><Relationship Id="rId45" Type="http://schemas.openxmlformats.org/officeDocument/2006/relationships/hyperlink" Target="https://drive.google.com/file/d/1zb-v3OBPe1uEGA2pfUeJYKn607Q23-VX/view?usp=drive_link" TargetMode="External"/><Relationship Id="rId44" Type="http://schemas.openxmlformats.org/officeDocument/2006/relationships/hyperlink" Target="https://drive.google.com/file/d/1vm26hGolfmIt_00AwhxaInYBeHzy-o-M/view?usp=drive_link" TargetMode="External"/><Relationship Id="rId43" Type="http://schemas.openxmlformats.org/officeDocument/2006/relationships/hyperlink" Target="https://drive.google.com/file/d/16suSyeaCwhnYVKgszyf2w4ssKbufdRBf/view?usp=drivesdk" TargetMode="External"/><Relationship Id="rId42" Type="http://schemas.openxmlformats.org/officeDocument/2006/relationships/hyperlink" Target="https://drive.google.com/file/d/1waraBZBCOsJq0_rFPrXInBkspp7KcD0g/view?usp=drivesdk" TargetMode="External"/><Relationship Id="rId41" Type="http://schemas.openxmlformats.org/officeDocument/2006/relationships/hyperlink" Target="https://drive.google.com/file/d/1kIJWy8Qyq1_tG4qEOkxoUeJSPRJfp6E1/view?usp=drivesdk" TargetMode="External"/><Relationship Id="rId40" Type="http://schemas.openxmlformats.org/officeDocument/2006/relationships/hyperlink" Target="https://drive.google.com/file/d/1EoQqe_wzL5E6hm9JFrG8aErbmcHafa8C/view?usp=drivesdk" TargetMode="External"/><Relationship Id="rId4" Type="http://schemas.openxmlformats.org/officeDocument/2006/relationships/hyperlink" Target="https://drive.google.com/file/d/1cg69iAQNc9uOtWuqUJGFIHJbW9g8lvCb/view?usp=drive_link" TargetMode="External"/><Relationship Id="rId39" Type="http://schemas.openxmlformats.org/officeDocument/2006/relationships/hyperlink" Target="https://drive.google.com/file/d/1FUdhhfUN-luAroAa_KyyLtQAPWNYruGx/view?usp=drive_link" TargetMode="External"/><Relationship Id="rId38" Type="http://schemas.openxmlformats.org/officeDocument/2006/relationships/hyperlink" Target="https://drive.google.com/file/d/1exXucVZqcE3RkfVT9eWgvz1GrwgUcOGs/view?usp=drivesdk" TargetMode="External"/><Relationship Id="rId37" Type="http://schemas.openxmlformats.org/officeDocument/2006/relationships/hyperlink" Target="https://drive.google.com/file/d/1YhQfmy0rQa_3l9AQYACCpU7Fqq-FOQEI/view?usp=drivesdk" TargetMode="External"/><Relationship Id="rId36" Type="http://schemas.openxmlformats.org/officeDocument/2006/relationships/hyperlink" Target="https://drive.google.com/file/d/1Jd1pNOhKfow7rDb2cXcXuMaKkq3scBym/view?usp=drivesdk" TargetMode="External"/><Relationship Id="rId35" Type="http://schemas.openxmlformats.org/officeDocument/2006/relationships/hyperlink" Target="https://drive.google.com/file/d/14GkYuSFockovOVePXY3kQGt-QIydDele/view?usp=drive_link" TargetMode="External"/><Relationship Id="rId34" Type="http://schemas.openxmlformats.org/officeDocument/2006/relationships/hyperlink" Target="https://drive.google.com/file/d/1SyqKT5bF5AaGYQgD2j5JSrpmJiBMLybn/view?usp=drivesdk" TargetMode="External"/><Relationship Id="rId33" Type="http://schemas.openxmlformats.org/officeDocument/2006/relationships/hyperlink" Target="https://drive.google.com/file/d/1WAIV9EzRLNkmkzUDIIR1DMXykSJnRqNQ/view?usp=drivesdk" TargetMode="External"/><Relationship Id="rId32" Type="http://schemas.openxmlformats.org/officeDocument/2006/relationships/hyperlink" Target="https://drive.google.com/file/d/1hO6981dWlr7a4rY7wKkphIA6DUHyv1ca/view?usp=drivesdk" TargetMode="External"/><Relationship Id="rId31" Type="http://schemas.openxmlformats.org/officeDocument/2006/relationships/hyperlink" Target="https://drive.google.com/file/d/1GgU8otZVWYUtpfGoGJVaWq9OiwS6VyWR/view?usp=drivesdk" TargetMode="External"/><Relationship Id="rId30" Type="http://schemas.openxmlformats.org/officeDocument/2006/relationships/hyperlink" Target="https://drive.google.com/file/d/1wYVnj5xHuiqQU2FLKpl5j3MbxNgNSDWL/view?usp=drivesdk" TargetMode="External"/><Relationship Id="rId3" Type="http://schemas.openxmlformats.org/officeDocument/2006/relationships/hyperlink" Target="https://drive.google.com/file/d/1dofCSrM5wtNOH1KynOIxPGTQNLOBhoyB/view?usp=drive_link" TargetMode="External"/><Relationship Id="rId29" Type="http://schemas.openxmlformats.org/officeDocument/2006/relationships/hyperlink" Target="https://drive.google.com/file/d/1JmOAm4079UzechP2QZhlcGLcKATeh1NC/view?usp=drivesdk" TargetMode="External"/><Relationship Id="rId28" Type="http://schemas.openxmlformats.org/officeDocument/2006/relationships/hyperlink" Target="https://drive.google.com/file/d/1LKMYyqlNdTpBAJHzScOqSYbwoX-Sj7CT/view?usp=drivesdk" TargetMode="External"/><Relationship Id="rId27" Type="http://schemas.openxmlformats.org/officeDocument/2006/relationships/hyperlink" Target="https://drive.google.com/file/d/1-OL0ijLcO4oCmNnZTW_Y7BHwMB4uUQVK/view" TargetMode="External"/><Relationship Id="rId26" Type="http://schemas.openxmlformats.org/officeDocument/2006/relationships/hyperlink" Target="https://drive.google.com/file/d/1Sye9_tfW3vCUCuzfO04RicfVtkkhBLUa/view" TargetMode="External"/><Relationship Id="rId25" Type="http://schemas.openxmlformats.org/officeDocument/2006/relationships/hyperlink" Target="https://drive.google.com/file/d/1j6z_L7F1ez8ItqPnrQsPNGg2j38KtlgG/view" TargetMode="External"/><Relationship Id="rId24" Type="http://schemas.openxmlformats.org/officeDocument/2006/relationships/hyperlink" Target="https://drive.google.com/file/d/1sFDM_grDHNQoFssiRNDRYHiZ-v5Cz_mM/view?usp=drivesdk" TargetMode="External"/><Relationship Id="rId23" Type="http://schemas.openxmlformats.org/officeDocument/2006/relationships/hyperlink" Target="https://drive.google.com/file/d/1zVz0DVls0T0q0Nw8a9sVgmfrBBnx7VDU/view?usp=drivesdk" TargetMode="External"/><Relationship Id="rId22" Type="http://schemas.openxmlformats.org/officeDocument/2006/relationships/hyperlink" Target="https://drive.google.com/file/d/1MqKqLyL1Szw5dZPMXxT46Rrs2pbCGBzG/view?usp=drivesdk" TargetMode="External"/><Relationship Id="rId21" Type="http://schemas.openxmlformats.org/officeDocument/2006/relationships/hyperlink" Target="https://drive.google.com/file/d/15Bc88hS6nxrWXF0LYcVoTUmlRCZ-EtKv/view?usp=drivesdk" TargetMode="External"/><Relationship Id="rId20" Type="http://schemas.openxmlformats.org/officeDocument/2006/relationships/hyperlink" Target="https://drive.google.com/file/d/1MMrYNdFIDXAIq6LtHwU6gyJ4tgXw7G-u/view?usp=drivesdk" TargetMode="External"/><Relationship Id="rId2" Type="http://schemas.openxmlformats.org/officeDocument/2006/relationships/hyperlink" Target="https://drive.google.com/file/d/1lMAxJmMMvR8HuHOBHKN4snh8leY2rey_/view?usp=drive_link" TargetMode="External"/><Relationship Id="rId19" Type="http://schemas.openxmlformats.org/officeDocument/2006/relationships/hyperlink" Target="https://drive.google.com/file/d/1OCCCwrKUlTy4NqUDZsCGAqlMUuEalLTg/view?usp=drivesdk" TargetMode="External"/><Relationship Id="rId18" Type="http://schemas.openxmlformats.org/officeDocument/2006/relationships/hyperlink" Target="https://drive.google.com/file/d/1gEAixXS_3N31vdhaFBuI34_Zwxtr4-Av/view?usp=drive_link" TargetMode="External"/><Relationship Id="rId17" Type="http://schemas.openxmlformats.org/officeDocument/2006/relationships/hyperlink" Target="https://drive.google.com/file/d/1DWHRNJ3pMF_sCvA1Cgrp7Nq-QjVOrmtQ/view?usp=drive_link" TargetMode="External"/><Relationship Id="rId16" Type="http://schemas.openxmlformats.org/officeDocument/2006/relationships/hyperlink" Target="https://drive.google.com/file/d/1IUS8d_QOkrc_3Yf1jLvL5afjwyI3ICZg/view?usp=drive_link" TargetMode="External"/><Relationship Id="rId15" Type="http://schemas.openxmlformats.org/officeDocument/2006/relationships/hyperlink" Target="https://drive.google.com/file/d/1EA90Utk1ns7TCVkyeIJ5iW7Hdqq2_Zha/view?usp=drive_link" TargetMode="External"/><Relationship Id="rId146" Type="http://schemas.openxmlformats.org/officeDocument/2006/relationships/hyperlink" Target="https://drive.google.com/file/d/1jTCXH33gTrZDnqPAyOS9Jo4Vsl0cg49j/view?usp=sharing" TargetMode="External"/><Relationship Id="rId145" Type="http://schemas.openxmlformats.org/officeDocument/2006/relationships/hyperlink" Target="https://drive.google.com/file/d/1-LMn2RMdekpDhktxd6uNjQQdatMKF8yZ/view?usp=drive_link" TargetMode="External"/><Relationship Id="rId144" Type="http://schemas.openxmlformats.org/officeDocument/2006/relationships/hyperlink" Target="https://drive.google.com/file/d/1pO45KJ2Anjf1wjhdMDATmYcrXCytLB3y/view?usp=sharing" TargetMode="External"/><Relationship Id="rId143" Type="http://schemas.openxmlformats.org/officeDocument/2006/relationships/hyperlink" Target="https://drive.google.com/file/d/1ayKyx-7T7TwOte_gGFgfgCxWiVa8Cg8m/view?usp=drive_link" TargetMode="External"/><Relationship Id="rId142" Type="http://schemas.openxmlformats.org/officeDocument/2006/relationships/hyperlink" Target="https://drive.google.com/file/d/1VXVL_r3DoAz3I_u0DD1X5QX9FVNRikkd/view?usp=drive_link" TargetMode="External"/><Relationship Id="rId141" Type="http://schemas.openxmlformats.org/officeDocument/2006/relationships/hyperlink" Target="https://drive.google.com/file/d/14S--Kd5Vl3YSMCHzwwYt_kQIgxGm_Zbg/view?usp=drive_link" TargetMode="External"/><Relationship Id="rId140" Type="http://schemas.openxmlformats.org/officeDocument/2006/relationships/hyperlink" Target="https://drive.google.com/file/d/1_wspiI7N_dRs_vE3p2pH0rc8yAcF-pg4/view?usp=drive_link" TargetMode="External"/><Relationship Id="rId14" Type="http://schemas.openxmlformats.org/officeDocument/2006/relationships/hyperlink" Target="https://drive.google.com/file/d/1V_KesoUUtqOCox2hPrqsar6MiABiKfbT/view?usp=drive_link" TargetMode="External"/><Relationship Id="rId139" Type="http://schemas.openxmlformats.org/officeDocument/2006/relationships/hyperlink" Target="https://drive.google.com/file/d/1WXt01Z5DyEaibfcb9yjRvC37GnJBijOf/view?usp=drive_link" TargetMode="External"/><Relationship Id="rId138" Type="http://schemas.openxmlformats.org/officeDocument/2006/relationships/hyperlink" Target="https://drive.google.com/file/d/1imOf8cO4LrDK_1VGlnSJPrR4OAx8Sd2B/view?usp=drive_link" TargetMode="External"/><Relationship Id="rId137" Type="http://schemas.openxmlformats.org/officeDocument/2006/relationships/hyperlink" Target="https://drive.google.com/file/d/15MHSo23sHhYQuvGI6Rdc88aGx1MXVhlF/view?usp=drive_link" TargetMode="External"/><Relationship Id="rId136" Type="http://schemas.openxmlformats.org/officeDocument/2006/relationships/hyperlink" Target="https://drive.google.com/file/d/1biD_OWP2awFT111gaTpBNNr3AS3NDINn/view?usp=drive_link" TargetMode="External"/><Relationship Id="rId135" Type="http://schemas.openxmlformats.org/officeDocument/2006/relationships/hyperlink" Target="https://drive.google.com/file/d/1wTcRpLfkpOMVY3hw2QTUv6LQcB9cOzat/view?usp=drive_link" TargetMode="External"/><Relationship Id="rId134" Type="http://schemas.openxmlformats.org/officeDocument/2006/relationships/hyperlink" Target="https://drive.google.com/file/d/1yW-_9zBLG_Fn_N-ncjuONsbvuMuwbPmv/view?usp=drive_link" TargetMode="External"/><Relationship Id="rId133" Type="http://schemas.openxmlformats.org/officeDocument/2006/relationships/hyperlink" Target="https://drive.google.com/file/d/13BQ_wJdpDsvZ4ExNu5_MiUuptLzyEkOt/view?usp=drivesdk" TargetMode="External"/><Relationship Id="rId132" Type="http://schemas.openxmlformats.org/officeDocument/2006/relationships/hyperlink" Target="https://drive.google.com/file/d/18ueBKNiLx_qMQGWWAwsMx3AwCOr1zXzs/view?usp=drivesdk" TargetMode="External"/><Relationship Id="rId131" Type="http://schemas.openxmlformats.org/officeDocument/2006/relationships/hyperlink" Target="https://drive.google.com/file/d/1l9qfxWgKh-kHCOlLJw3rYD8TsqzZQ0Vg/view?usp=drivesdk" TargetMode="External"/><Relationship Id="rId130" Type="http://schemas.openxmlformats.org/officeDocument/2006/relationships/hyperlink" Target="https://drive.google.com/file/d/11itxCKs7_1wrdjNgkLJy60XgxMCdImZ8/view?usp=drivesdk" TargetMode="External"/><Relationship Id="rId13" Type="http://schemas.openxmlformats.org/officeDocument/2006/relationships/hyperlink" Target="https://drive.google.com/file/d/1tBQj4KBkGIcQo30fyHrHkQTaQkbdqCVJ/view?usp=drive_link" TargetMode="External"/><Relationship Id="rId129" Type="http://schemas.openxmlformats.org/officeDocument/2006/relationships/hyperlink" Target="https://drive.google.com/file/d/1Yy8fpURlINeYfCy7rrZmDKFYHuyxD4iQ/view?usp=drivesdk" TargetMode="External"/><Relationship Id="rId128" Type="http://schemas.openxmlformats.org/officeDocument/2006/relationships/hyperlink" Target="https://drive.google.com/file/d/1FtIA5xRRdfg0DMeFhk4cK9fSTdReYxn_/view?usp=drivesdk" TargetMode="External"/><Relationship Id="rId127" Type="http://schemas.openxmlformats.org/officeDocument/2006/relationships/hyperlink" Target="https://drive.google.com/file/d/1HXZTAZQL0VArZ_9hBhMjaP1mlNRqP8T5/view?usp=drive_link" TargetMode="External"/><Relationship Id="rId126" Type="http://schemas.openxmlformats.org/officeDocument/2006/relationships/hyperlink" Target="https://drive.google.com/file/d/1KLs3uxdiaRJWETPsO6CmyTUanKwokaZa/view?usp=drive_link" TargetMode="External"/><Relationship Id="rId125" Type="http://schemas.openxmlformats.org/officeDocument/2006/relationships/hyperlink" Target="https://drive.google.com/file/d/1ULg6wSSFgz4hxLake3pNnzRocvpPmZYZ/view?usp=drivesdk" TargetMode="External"/><Relationship Id="rId124" Type="http://schemas.openxmlformats.org/officeDocument/2006/relationships/hyperlink" Target="https://drive.google.com/file/d/1WFj0LyCScVrmb41N-RuRU2HZGx5A4QUM/view?usp=drivesdk" TargetMode="External"/><Relationship Id="rId123" Type="http://schemas.openxmlformats.org/officeDocument/2006/relationships/hyperlink" Target="https://drive.google.com/file/d/1G6kH8R6hjEGmJmuU2Q1QejweKqjRW6DP/view?usp=drivesdk" TargetMode="External"/><Relationship Id="rId122" Type="http://schemas.openxmlformats.org/officeDocument/2006/relationships/hyperlink" Target="https://drive.google.com/file/d/1LQkh8x3zwwOEGBzYg73i26Jpewo6cs3D/view?usp=drivesdk" TargetMode="External"/><Relationship Id="rId121" Type="http://schemas.openxmlformats.org/officeDocument/2006/relationships/hyperlink" Target="https://drive.google.com/file/d/18HoCA9YDoJiZI1ICrjO5DtziAZZqqASw/view?usp=drivesdk" TargetMode="External"/><Relationship Id="rId120" Type="http://schemas.openxmlformats.org/officeDocument/2006/relationships/hyperlink" Target="https://drive.google.com/file/d/1-sH-k7diCS-WDKeXQScayM3HAWW1q7sM/view?usp=drivesdk" TargetMode="External"/><Relationship Id="rId12" Type="http://schemas.openxmlformats.org/officeDocument/2006/relationships/hyperlink" Target="https://drive.google.com/file/d/1KSVlG8ggn_l2f-vaOdiJ4ew0PqS7szcU/view?usp=drive_link" TargetMode="External"/><Relationship Id="rId119" Type="http://schemas.openxmlformats.org/officeDocument/2006/relationships/hyperlink" Target="https://drive.google.com/file/d/17pRvmaCFzqLMQRC7wnvA4L82a4VoqSNb/view?usp=drivesdk" TargetMode="External"/><Relationship Id="rId118" Type="http://schemas.openxmlformats.org/officeDocument/2006/relationships/hyperlink" Target="https://drive.google.com/file/d/14NjXiJxdPZj-jsyU8TwKzoZcgHH2Kikm/view?usp=drivesdk" TargetMode="External"/><Relationship Id="rId117" Type="http://schemas.openxmlformats.org/officeDocument/2006/relationships/hyperlink" Target="https://drive.google.com/file/d/1GrGA4TyYwG1MhtL3_f1BynYYPOQUPYfI/view?usp=drivesdk" TargetMode="External"/><Relationship Id="rId116" Type="http://schemas.openxmlformats.org/officeDocument/2006/relationships/hyperlink" Target="https://drive.google.com/file/d/1V4kAOaTdr-GtYhnXv7gzQBE3ZR7ZPlKK/view?usp=drive_link" TargetMode="External"/><Relationship Id="rId115" Type="http://schemas.openxmlformats.org/officeDocument/2006/relationships/hyperlink" Target="https://drive.google.com/file/d/1QwVsrlCn-vJKPmMmbOEuyVZPenw3zLAi/view?usp=drivesdk" TargetMode="External"/><Relationship Id="rId114" Type="http://schemas.openxmlformats.org/officeDocument/2006/relationships/hyperlink" Target="https://drive.google.com/file/d/1dEXWzbjvlXlAtXnVegOKsP-FK2X8icyG/view?usp=drivesdk" TargetMode="External"/><Relationship Id="rId113" Type="http://schemas.openxmlformats.org/officeDocument/2006/relationships/hyperlink" Target="https://drive.google.com/file/d/12Rz9Bst1qc788H8Zh8yXBmnHPzzrN93P/view?usp=drivesdk" TargetMode="External"/><Relationship Id="rId112" Type="http://schemas.openxmlformats.org/officeDocument/2006/relationships/hyperlink" Target="https://drive.google.com/file/d/1T7BS5aUu1suc6oUZAUJSkrbr1ggrqk4F/view?usp=drivesdk" TargetMode="External"/><Relationship Id="rId111" Type="http://schemas.openxmlformats.org/officeDocument/2006/relationships/hyperlink" Target="https://drive.google.com/file/d/1lWP6IvNBiSgSE8NUcRY6MtyFZvzryUVW/view?usp=sharing" TargetMode="External"/><Relationship Id="rId110" Type="http://schemas.openxmlformats.org/officeDocument/2006/relationships/hyperlink" Target="https://drive.google.com/file/d/1SVzgo7K5HA2eBNvCm9cHE5Jjj19OQ_Yi/view?usp=drivesdk" TargetMode="External"/><Relationship Id="rId11" Type="http://schemas.openxmlformats.org/officeDocument/2006/relationships/hyperlink" Target="https://drive.google.com/file/d/1n_sxnq85b2lKGL26GnirBYDfp3Laq_a-/view?usp=drive_link" TargetMode="External"/><Relationship Id="rId109" Type="http://schemas.openxmlformats.org/officeDocument/2006/relationships/hyperlink" Target="https://drive.google.com/file/d/1FnlIWyliZjBpKGWlrZWC0ZLvdC1mSeRT/view?usp=drive_link" TargetMode="External"/><Relationship Id="rId108" Type="http://schemas.openxmlformats.org/officeDocument/2006/relationships/hyperlink" Target="https://drive.google.com/file/d/1B7wFLY5XROOEnCBo5MvraJCHGZSlvN2F/view?usp=drivesdk" TargetMode="External"/><Relationship Id="rId107" Type="http://schemas.openxmlformats.org/officeDocument/2006/relationships/hyperlink" Target="https://drive.google.com/file/d/1P_BCu_2QVtE153XaJwwFH2qOnbtfw2vU/view?usp=drivesdk" TargetMode="External"/><Relationship Id="rId106" Type="http://schemas.openxmlformats.org/officeDocument/2006/relationships/hyperlink" Target="https://drive.google.com/file/d/13NRRwV6xx66cW1eLQgLlIoT0apkFdG3H/view?usp=drivesdk" TargetMode="External"/><Relationship Id="rId105" Type="http://schemas.openxmlformats.org/officeDocument/2006/relationships/hyperlink" Target="https://drive.google.com/file/d/1QHgzzBJNnFVv7Q4ZFvEihpGjk4Z1zaPp/view?usp=drivesdk" TargetMode="External"/><Relationship Id="rId104" Type="http://schemas.openxmlformats.org/officeDocument/2006/relationships/hyperlink" Target="https://drive.google.com/file/d/1KiLSQnjJ2psEDDxubsd4qAIGYURZhEgV/view?usp=share_link" TargetMode="External"/><Relationship Id="rId103" Type="http://schemas.openxmlformats.org/officeDocument/2006/relationships/hyperlink" Target="https://drive.google.com/file/d/1-aGhYs7ao10VRy2guue-uTg4Xq65DWCb/view?usp=drivesdk" TargetMode="External"/><Relationship Id="rId102" Type="http://schemas.openxmlformats.org/officeDocument/2006/relationships/hyperlink" Target="https://drive.google.com/file/d/1gdaUpwcvEEPj3F4ukVHIDBTYWmdw2MMT/view?usp=drivesdk" TargetMode="External"/><Relationship Id="rId101" Type="http://schemas.openxmlformats.org/officeDocument/2006/relationships/hyperlink" Target="https://drive.google.com/file/d/18_RD9xZabwO2JP75PawLVIgZiRHanJ7r/view?usp=drivesdk" TargetMode="External"/><Relationship Id="rId100" Type="http://schemas.openxmlformats.org/officeDocument/2006/relationships/hyperlink" Target="https://drive.google.com/file/d/1050KPyHqjlRunLX-RfleyqLFilvJdS5r/view?usp=drivesdk" TargetMode="External"/><Relationship Id="rId10" Type="http://schemas.openxmlformats.org/officeDocument/2006/relationships/hyperlink" Target="https://drive.google.com/file/d/1vAilJIwOsp4XAuK_CHrcMGeHYpph1rEL/view?usp=drive_link" TargetMode="External"/><Relationship Id="rId1" Type="http://schemas.openxmlformats.org/officeDocument/2006/relationships/hyperlink" Target="http://s.no/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onlinecourses.nptel.ac.in/noc23_ge47/preview" TargetMode="External"/><Relationship Id="rId2" Type="http://schemas.openxmlformats.org/officeDocument/2006/relationships/hyperlink" Target="https://onlinecourses.nptel.ac.in/noc23_ch76/preview" TargetMode="External"/><Relationship Id="rId1" Type="http://schemas.openxmlformats.org/officeDocument/2006/relationships/hyperlink" Target="http://deeplearning.a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Z1000"/>
  <sheetViews>
    <sheetView workbookViewId="0">
      <selection activeCell="F23" sqref="F23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26">
      <c r="A1" s="9" t="str">
        <f>IFERROR(__xludf.DUMMYFUNCTION("ARRAYFORMULA({
IMPORTRANGE(""https://docs.google.com/spreadsheets/d/1UvPg-G_Bj-UNhLC2uL8tntfYsnld_PABqE3impzOchM/edit"", ""R2019-Civil!A:A""),
IMPORTRANGE(""https://docs.google.com/spreadsheets/d/1UvPg-G_Bj-UNhLC2uL8tntfYsnld_PABqE3impzOchM/edit"", ""R201"&amp;"9-Civil!D:D""),
IMPORTRANGE(""https://docs.google.com/spreadsheets/d/1UvPg-G_Bj-UNhLC2uL8tntfYsnld_PABqE3impzOchM/edit"", ""R2019-Civil!E:E""),
IMPORTRANGE(""https://docs.google.com/spreadsheets/d/1UvPg-G_Bj-UNhLC2uL8tntfYsnld_PABqE3impzOchM/edit"", ""R20"&amp;"19-Civil!F:F""),
IMPORTRANGE(""https://docs.google.com/spreadsheets/d/1UvPg-G_Bj-UNhLC2uL8tntfYsnld_PABqE3impzOchM/edit"", ""R2019-Civil!G:G""),
IMPORTRANGE(""https://docs.google.com/spreadsheets/d/1UvPg-G_Bj-UNhLC2uL8tntfYsnld_PABqE3impzOchM/edit"", ""R2"&amp;"019-Civil!I:I""),
IMPORTRANGE(""https://docs.google.com/spreadsheets/d/1UvPg-G_Bj-UNhLC2uL8tntfYsnld_PABqE3impzOchM/edit"", ""R2019-Civil!N:N""),
IMPORTRANGE(""https://docs.google.com/spreadsheets/d/1UvPg-G_Bj-UNhLC2uL8tntfYsnld_PABqE3impzOchM/edit"", ""R"&amp;"2019-Civil!O:O""),
IMPORTRANGE(""https://docs.google.com/spreadsheets/d/1UvPg-G_Bj-UNhLC2uL8tntfYsnld_PABqE3impzOchM/edit"", ""R2019-Civil!P:P""),
IMPORTRANGE(""https://docs.google.com/spreadsheets/d/1UvPg-G_Bj-UNhLC2uL8tntfYsnld_PABqE3impzOchM/edit"", """&amp;"R2019-Civil!Q:Q""),
IMPORTRANGE(""https://docs.google.com/spreadsheets/d/1UvPg-G_Bj-UNhLC2uL8tntfYsnld_PABqE3impzOchM/edit"", ""R2019-Civil!R:R""),
IMPORTRANGE(""https://docs.google.com/spreadsheets/d/1UvPg-G_Bj-UNhLC2uL8tntfYsnld_PABqE3impzOchM/edit"", "&amp;"""R2019-Civil!S:S""),
IMPORTRANGE(""https://docs.google.com/spreadsheets/d/1UvPg-G_Bj-UNhLC2uL8tntfYsnld_PABqE3impzOchM/edit"", ""R2019-Civil!V:V""),
IMPORTRANGE(""https://docs.google.com/spreadsheets/d/1UvPg-G_Bj-UNhLC2uL8tntfYsnld_PABqE3impzOchM/edit"","&amp;" ""R2019-Civil!X:X""),
IMPORTRANGE(""https://docs.google.com/spreadsheets/d/1UvPg-G_Bj-UNhLC2uL8tntfYsnld_PABqE3impzOchM/edit"", ""R2019-Civil!Y:Y""),
IMPORTRANGE(""https://docs.google.com/spreadsheets/d/1UvPg-G_Bj-UNhLC2uL8tntfYsnld_PABqE3impzOchM/edit"""&amp;", ""R2019-Civil!AA:AA""),
IMPORTRANGE(""https://docs.google.com/spreadsheets/d/1UvPg-G_Bj-UNhLC2uL8tntfYsnld_PABqE3impzOchM/edit"", ""R2019-Civil!AC:AC""),
IMPORTRANGE(""https://docs.google.com/spreadsheets/d/1UvPg-G_Bj-UNhLC2uL8tntfYsnld_PABqE3impzOchM/e"&amp;"dit"", ""R2019-Civil!AD:AD"")
})"),"")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  <c r="S1" s="9"/>
      <c r="T1" s="9"/>
      <c r="U1" s="9"/>
      <c r="V1" s="9"/>
      <c r="W1" s="9"/>
      <c r="X1" s="9"/>
      <c r="Y1" s="9"/>
      <c r="Z1" s="9"/>
    </row>
    <row r="2" ht="60.75" customHeight="1" spans="1:26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  <c r="S2" s="31"/>
      <c r="T2" s="31"/>
      <c r="U2" s="31"/>
      <c r="V2" s="31"/>
      <c r="W2" s="31"/>
      <c r="X2" s="31"/>
      <c r="Y2" s="31"/>
      <c r="Z2" s="31"/>
    </row>
    <row r="3" ht="48" customHeight="1" spans="1:26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IFERROR(__xludf.DUMMYFUNCTION("""COMPUTED_VALUE"""),"SH1101")</f>
        <v>SH1101</v>
      </c>
      <c r="E3" s="2" t="str">
        <f>IFERROR(__xludf.DUMMYFUNCTION("""COMPUTED_VALUE"""),"19EN101")</f>
        <v>19EN101</v>
      </c>
      <c r="F3" s="7" t="str">
        <f>IFERROR(__xludf.DUMMYFUNCTION("""COMPUTED_VALUE"""),"Communicative English")</f>
        <v>Communicative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IFERROR(__xludf.DUMMYFUNCTION("""COMPUTED_VALUE"""),3)</f>
        <v>3</v>
      </c>
      <c r="S3" s="9"/>
      <c r="T3" s="9"/>
      <c r="U3" s="9"/>
      <c r="V3" s="9"/>
      <c r="W3" s="9"/>
      <c r="X3" s="9"/>
      <c r="Y3" s="9"/>
      <c r="Z3" s="9"/>
    </row>
    <row r="4" ht="48" customHeight="1" spans="1:26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IFERROR(__xludf.DUMMYFUNCTION("""COMPUTED_VALUE"""),"SH1106")</f>
        <v>SH1106</v>
      </c>
      <c r="E4" s="2" t="str">
        <f>IFERROR(__xludf.DUMMYFUNCTION("""COMPUTED_VALUE"""),"19EN106")</f>
        <v>19EN106</v>
      </c>
      <c r="F4" s="7" t="str">
        <f>IFERROR(__xludf.DUMMYFUNCTION("""COMPUTED_VALUE"""),"English for Engineers")</f>
        <v>English for Engineers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IFERROR(__xludf.DUMMYFUNCTION("""COMPUTED_VALUE"""),6)</f>
        <v>6</v>
      </c>
      <c r="P4" s="19" t="str">
        <f>IFERROR(__xludf.DUMMYFUNCTION("""COMPUTED_VALUE"""),"BS")</f>
        <v>BS</v>
      </c>
      <c r="Q4" s="2">
        <f>IFERROR(__xludf.DUMMYFUNCTION("""COMPUTED_VALUE"""),25)</f>
        <v>25</v>
      </c>
      <c r="R4" s="20">
        <f>IFERROR(__xludf.DUMMYFUNCTION("""COMPUTED_VALUE"""),6)</f>
        <v>6</v>
      </c>
      <c r="S4" s="9"/>
      <c r="T4" s="9"/>
      <c r="U4" s="9"/>
      <c r="V4" s="9"/>
      <c r="W4" s="9"/>
      <c r="X4" s="9"/>
      <c r="Y4" s="9"/>
      <c r="Z4" s="9"/>
    </row>
    <row r="5" ht="48" customHeight="1" spans="1:26">
      <c r="A5" s="2">
        <f>IFERROR(__xludf.DUMMYFUNCTION("""COMPUTED_VALUE"""),3)</f>
        <v>3</v>
      </c>
      <c r="B5" s="2" t="str">
        <f>IFERROR(__xludf.DUMMYFUNCTION("""COMPUTED_VALUE"""),"Exempted for LE, Option 1 for Regular")</f>
        <v>Exempted for LE, Option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IFERROR(__xludf.DUMMYFUNCTION("""COMPUTED_VALUE"""),"19EN102")</f>
        <v>19EN102</v>
      </c>
      <c r="F5" s="7" t="str">
        <f>IFERROR(__xludf.DUMMYFUNCTION("""COMPUTED_VALUE"""),"Technical English")</f>
        <v>Technical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IFERROR(__xludf.DUMMYFUNCTION("""COMPUTED_VALUE"""),26)</f>
        <v>26</v>
      </c>
      <c r="O5" s="20">
        <f>IFERROR(__xludf.DUMMYFUNCTION("""COMPUTED_VALUE"""),12)</f>
        <v>12</v>
      </c>
      <c r="P5" s="19" t="str">
        <f>IFERROR(__xludf.DUMMYFUNCTION("""COMPUTED_VALUE"""),"ES")</f>
        <v>ES</v>
      </c>
      <c r="Q5" s="2">
        <f>IFERROR(__xludf.DUMMYFUNCTION("""COMPUTED_VALUE"""),26)</f>
        <v>26</v>
      </c>
      <c r="R5" s="20">
        <f>IFERROR(__xludf.DUMMYFUNCTION("""COMPUTED_VALUE"""),12)</f>
        <v>12</v>
      </c>
      <c r="S5" s="9"/>
      <c r="T5" s="9"/>
      <c r="U5" s="9"/>
      <c r="V5" s="9"/>
      <c r="W5" s="9"/>
      <c r="X5" s="9"/>
      <c r="Y5" s="9"/>
      <c r="Z5" s="9"/>
    </row>
    <row r="6" ht="48" customHeight="1" spans="1:26">
      <c r="A6" s="2">
        <f>IFERROR(__xludf.DUMMYFUNCTION("""COMPUTED_VALUE"""),4)</f>
        <v>4</v>
      </c>
      <c r="B6" s="2" t="str">
        <f>IFERROR(__xludf.DUMMYFUNCTION("""COMPUTED_VALUE"""),"Exempted for LE, Option 2 for Regular")</f>
        <v>Exempted for LE, Option 2 for Regular</v>
      </c>
      <c r="C6" s="2" t="str">
        <f>IFERROR(__xludf.DUMMYFUNCTION("""COMPUTED_VALUE"""),"HS")</f>
        <v>HS</v>
      </c>
      <c r="D6" s="2" t="str">
        <f>IFERROR(__xludf.DUMMYFUNCTION("""COMPUTED_VALUE"""),"SH1107")</f>
        <v>SH1107</v>
      </c>
      <c r="E6" s="2" t="str">
        <f>IFERROR(__xludf.DUMMYFUNCTION("""COMPUTED_VALUE"""),"19EN107")</f>
        <v>19EN107</v>
      </c>
      <c r="F6" s="7" t="str">
        <f>IFERROR(__xludf.DUMMYFUNCTION("""COMPUTED_VALUE"""),"Technical Writing and Presentation")</f>
        <v>Technical Writing and Presentation</v>
      </c>
      <c r="G6" s="2" t="str">
        <f>IFERROR(__xludf.DUMMYFUNCTION("""COMPUTED_VALUE"""),"-")</f>
        <v>-</v>
      </c>
      <c r="H6" s="2">
        <f>IFERROR(__xludf.DUMMYFUNCTION("""COMPUTED_VALUE"""),0)</f>
        <v>0</v>
      </c>
      <c r="I6" s="2">
        <f>IFERROR(__xludf.DUMMYFUNCTION("""COMPUTED_VALUE"""),2)</f>
        <v>2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IFERROR(__xludf.DUMMYFUNCTION("""COMPUTED_VALUE"""),"Practical (10 Expts)")</f>
        <v>Practical (10 Expts)</v>
      </c>
      <c r="M6" s="19" t="str">
        <f>IFERROR(__xludf.DUMMYFUNCTION("""COMPUTED_VALUE"""),"PC")</f>
        <v>PC</v>
      </c>
      <c r="N6" s="2">
        <f>IFERROR(__xludf.DUMMYFUNCTION("""COMPUTED_VALUE"""),57)</f>
        <v>57</v>
      </c>
      <c r="O6" s="20">
        <f>IFERROR(__xludf.DUMMYFUNCTION("""COMPUTED_VALUE"""),57)</f>
        <v>57</v>
      </c>
      <c r="P6" s="19" t="str">
        <f>IFERROR(__xludf.DUMMYFUNCTION("""COMPUTED_VALUE"""),"PC")</f>
        <v>PC</v>
      </c>
      <c r="Q6" s="2">
        <f>IFERROR(__xludf.DUMMYFUNCTION("""COMPUTED_VALUE"""),57)</f>
        <v>57</v>
      </c>
      <c r="R6" s="20">
        <f>IFERROR(__xludf.DUMMYFUNCTION("""COMPUTED_VALUE"""),57)</f>
        <v>57</v>
      </c>
      <c r="S6" s="9"/>
      <c r="T6" s="9"/>
      <c r="U6" s="9"/>
      <c r="V6" s="9"/>
      <c r="W6" s="9"/>
      <c r="X6" s="9"/>
      <c r="Y6" s="9"/>
      <c r="Z6" s="9"/>
    </row>
    <row r="7" ht="48" customHeight="1" spans="1:26">
      <c r="A7" s="2">
        <f>IFERROR(__xludf.DUMMYFUNCTION("""COMPUTED_VALUE"""),5)</f>
        <v>5</v>
      </c>
      <c r="B7" s="2" t="str">
        <f>IFERROR(__xludf.DUMMYFUNCTION("""COMPUTED_VALUE"""),"Exempted for LE, Option 2 for Regular")</f>
        <v>Exempted for LE, Option 2 for Regular</v>
      </c>
      <c r="C7" s="2" t="str">
        <f>IFERROR(__xludf.DUMMYFUNCTION("""COMPUTED_VALUE"""),"HS")</f>
        <v>HS</v>
      </c>
      <c r="D7" s="2" t="str">
        <f>IFERROR(__xludf.DUMMYFUNCTION("""COMPUTED_VALUE"""),"SH1105")</f>
        <v>SH1105</v>
      </c>
      <c r="E7" s="2" t="str">
        <f>IFERROR(__xludf.DUMMYFUNCTION("""COMPUTED_VALUE"""),"19EN105")</f>
        <v>19EN105</v>
      </c>
      <c r="F7" s="7" t="str">
        <f>IFERROR(__xludf.DUMMYFUNCTION("""COMPUTED_VALUE"""),"Public Speaking")</f>
        <v>Public Speaking</v>
      </c>
      <c r="G7" s="2" t="str">
        <f>IFERROR(__xludf.DUMMYFUNCTION("""COMPUTED_VALUE"""),"-")</f>
        <v>-</v>
      </c>
      <c r="H7" s="2">
        <f>IFERROR(__xludf.DUMMYFUNCTION("""COMPUTED_VALUE"""),0)</f>
        <v>0</v>
      </c>
      <c r="I7" s="2">
        <f>IFERROR(__xludf.DUMMYFUNCTION("""COMPUTED_VALUE"""),3)</f>
        <v>3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IFERROR(__xludf.DUMMYFUNCTION("""COMPUTED_VALUE"""),"Practical (10 Expts)")</f>
        <v>Practical (10 Expts)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 t="str">
        <f>IFERROR(__xludf.DUMMYFUNCTION("""COMPUTED_VALUE"""),"PE")</f>
        <v>PE</v>
      </c>
      <c r="Q7" s="2">
        <f>IFERROR(__xludf.DUMMYFUNCTION("""COMPUTED_VALUE"""),15)</f>
        <v>15</v>
      </c>
      <c r="R7" s="20">
        <f>IFERROR(__xludf.DUMMYFUNCTION("""COMPUTED_VALUE"""),15)</f>
        <v>15</v>
      </c>
      <c r="S7" s="9"/>
      <c r="T7" s="9"/>
      <c r="U7" s="9"/>
      <c r="V7" s="9"/>
      <c r="W7" s="9"/>
      <c r="X7" s="9"/>
      <c r="Y7" s="9"/>
      <c r="Z7" s="9"/>
    </row>
    <row r="8" ht="48" customHeight="1" spans="1:26">
      <c r="A8" s="2">
        <f>IFERROR(__xludf.DUMMYFUNCTION("""COMPUTED_VALUE"""),6)</f>
        <v>6</v>
      </c>
      <c r="B8" s="2"/>
      <c r="C8" s="2" t="str">
        <f>IFERROR(__xludf.DUMMYFUNCTION("""COMPUTED_VALUE"""),"HS")</f>
        <v>HS</v>
      </c>
      <c r="D8" s="2" t="str">
        <f>IFERROR(__xludf.DUMMYFUNCTION("""COMPUTED_VALUE"""),"NA")</f>
        <v>NA</v>
      </c>
      <c r="E8" s="2" t="str">
        <f>IFERROR(__xludf.DUMMYFUNCTION("""COMPUTED_VALUE"""),"19MS151")</f>
        <v>19MS151</v>
      </c>
      <c r="F8" s="7" t="str">
        <f>IFERROR(__xludf.DUMMYFUNCTION("""COMPUTED_VALUE"""),"Principles of Management")</f>
        <v>Principles of Management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  <c r="S8" s="9"/>
      <c r="T8" s="9"/>
      <c r="U8" s="9"/>
      <c r="V8" s="9"/>
      <c r="W8" s="9"/>
      <c r="X8" s="9"/>
      <c r="Y8" s="9"/>
      <c r="Z8" s="9"/>
    </row>
    <row r="9" ht="48" customHeight="1" spans="1:26">
      <c r="A9" s="2">
        <f>IFERROR(__xludf.DUMMYFUNCTION("""COMPUTED_VALUE"""),7)</f>
        <v>7</v>
      </c>
      <c r="B9" s="2"/>
      <c r="C9" s="2" t="str">
        <f>IFERROR(__xludf.DUMMYFUNCTION("""COMPUTED_VALUE"""),"HS")</f>
        <v>HS</v>
      </c>
      <c r="D9" s="2" t="str">
        <f>IFERROR(__xludf.DUMMYFUNCTION("""COMPUTED_VALUE"""),"NA")</f>
        <v>NA</v>
      </c>
      <c r="E9" s="2" t="str">
        <f>IFERROR(__xludf.DUMMYFUNCTION("""COMPUTED_VALUE"""),"19MS152")</f>
        <v>19MS152</v>
      </c>
      <c r="F9" s="7" t="str">
        <f>IFERROR(__xludf.DUMMYFUNCTION("""COMPUTED_VALUE"""),"Total Quality Management")</f>
        <v>Total Quality Management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IFERROR(__xludf.DUMMYFUNCTION("""COMPUTED_VALUE"""),0)</f>
        <v>0</v>
      </c>
      <c r="J9" s="2">
        <f>IFERROR(__xludf.DUMMYFUNCTION("""COMPUTED_VALUE"""),3)</f>
        <v>3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  <c r="S9" s="9"/>
      <c r="T9" s="9"/>
      <c r="U9" s="9"/>
      <c r="V9" s="9"/>
      <c r="W9" s="9"/>
      <c r="X9" s="9"/>
      <c r="Y9" s="9"/>
      <c r="Z9" s="9"/>
    </row>
    <row r="10" ht="48" customHeight="1" spans="1:26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IFERROR(__xludf.DUMMYFUNCTION("""COMPUTED_VALUE"""),"SH7101")</f>
        <v>SH7101</v>
      </c>
      <c r="E10" s="2" t="str">
        <f>IFERROR(__xludf.DUMMYFUNCTION("""COMPUTED_VALUE"""),"22HS101")</f>
        <v>22HS101</v>
      </c>
      <c r="F10" s="7" t="str">
        <f>IFERROR(__xludf.DUMMYFUNCTION("""COMPUTED_VALUE"""),"தமிழர் மரபு/ Heritage of Tamils")</f>
        <v>தமிழர் மரபு/ Heritage of Tamils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  <c r="S10" s="9"/>
      <c r="T10" s="9"/>
      <c r="U10" s="9"/>
      <c r="V10" s="9"/>
      <c r="W10" s="9"/>
      <c r="X10" s="9"/>
      <c r="Y10" s="9"/>
      <c r="Z10" s="9"/>
    </row>
    <row r="11" ht="48" customHeight="1" spans="1:26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IFERROR(__xludf.DUMMYFUNCTION("""COMPUTED_VALUE"""),"SH7102")</f>
        <v>SH7102</v>
      </c>
      <c r="E11" s="2" t="str">
        <f>IFERROR(__xludf.DUMMYFUNCTION("""COMPUTED_VALUE"""),"22HS102")</f>
        <v>22HS102</v>
      </c>
      <c r="F11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1" s="2" t="str">
        <f>IFERROR(__xludf.DUMMYFUNCTION("""COMPUTED_VALUE"""),"-")</f>
        <v>-</v>
      </c>
      <c r="H11" s="2">
        <f>IFERROR(__xludf.DUMMYFUNCTION("""COMPUTED_VALUE"""),1)</f>
        <v>1</v>
      </c>
      <c r="I11" s="2">
        <f>IFERROR(__xludf.DUMMYFUNCTION("""COMPUTED_VALUE"""),0)</f>
        <v>0</v>
      </c>
      <c r="J11" s="2">
        <f>IFERROR(__xludf.DUMMYFUNCTION("""COMPUTED_VALUE"""),1)</f>
        <v>1</v>
      </c>
      <c r="K11" s="2" t="str">
        <f>IFERROR(__xludf.DUMMYFUNCTION("""COMPUTED_VALUE"""),"CGPA")</f>
        <v>CGPA</v>
      </c>
      <c r="L11" s="18" t="str">
        <f>IFERROR(__xludf.DUMMYFUNCTION("""COMPUTED_VALUE"""),"Theory (Int Only)")</f>
        <v>Theory (Int Only)</v>
      </c>
      <c r="M11" s="21" t="str">
        <f>IFERROR(__xludf.DUMMYFUNCTION("""COMPUTED_VALUE"""),"TOTAL")</f>
        <v>TOTAL</v>
      </c>
      <c r="N11" s="22">
        <f>IFERROR(__xludf.DUMMYFUNCTION("""COMPUTED_VALUE"""),165)</f>
        <v>165</v>
      </c>
      <c r="O11" s="23">
        <f>IFERROR(__xludf.DUMMYFUNCTION("""COMPUTED_VALUE"""),124)</f>
        <v>124</v>
      </c>
      <c r="P11" s="21" t="str">
        <f>IFERROR(__xludf.DUMMYFUNCTION("""COMPUTED_VALUE"""),"TOTAL")</f>
        <v>TOTAL</v>
      </c>
      <c r="Q11" s="22">
        <f>IFERROR(__xludf.DUMMYFUNCTION("""COMPUTED_VALUE"""),167)</f>
        <v>167</v>
      </c>
      <c r="R11" s="23">
        <f>IFERROR(__xludf.DUMMYFUNCTION("""COMPUTED_VALUE"""),124)</f>
        <v>124</v>
      </c>
      <c r="S11" s="9"/>
      <c r="T11" s="9"/>
      <c r="U11" s="9"/>
      <c r="V11" s="9"/>
      <c r="W11" s="9"/>
      <c r="X11" s="9"/>
      <c r="Y11" s="9"/>
      <c r="Z11" s="9"/>
    </row>
    <row r="12" ht="48" customHeight="1" spans="1:26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IFERROR(__xludf.DUMMYFUNCTION("""COMPUTED_VALUE"""),"SH2201")</f>
        <v>SH2201</v>
      </c>
      <c r="E12" s="2" t="str">
        <f>IFERROR(__xludf.DUMMYFUNCTION("""COMPUTED_VALUE"""),"19MA201")</f>
        <v>19MA201</v>
      </c>
      <c r="F12" s="7" t="str">
        <f>IFERROR(__xludf.DUMMYFUNCTION("""COMPUTED_VALUE"""),"Calculus and Matrix Algebra")</f>
        <v>Calculus and Matrix Algebra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ht="48" customHeight="1" spans="1:26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IFERROR(__xludf.DUMMYFUNCTION("""COMPUTED_VALUE"""),"SH2211")</f>
        <v>SH2211</v>
      </c>
      <c r="E13" s="2" t="str">
        <f>IFERROR(__xludf.DUMMYFUNCTION("""COMPUTED_VALUE"""),"19MA211")</f>
        <v>19MA211</v>
      </c>
      <c r="F13" s="7" t="str">
        <f>IFERROR(__xludf.DUMMYFUNCTION("""COMPUTED_VALUE"""),"Statistics and Numerical Methods")</f>
        <v>Statistics and Numerical Methods</v>
      </c>
      <c r="G13" s="2" t="str">
        <f>IFERROR(__xludf.DUMMYFUNCTION("""COMPUTED_VALUE"""),"-")</f>
        <v>-</v>
      </c>
      <c r="H13" s="2">
        <f>IFERROR(__xludf.DUMMYFUNCTION("""COMPUTED_VALUE"""),3)</f>
        <v>3</v>
      </c>
      <c r="I13" s="2">
        <f>IFERROR(__xludf.DUMMYFUNCTION("""COMPUTED_VALUE"""),1)</f>
        <v>1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ht="48" customHeight="1" spans="1:26">
      <c r="A14" s="2">
        <f>IFERROR(__xludf.DUMMYFUNCTION("""COMPUTED_VALUE"""),12)</f>
        <v>12</v>
      </c>
      <c r="B14" s="2" t="str">
        <f>IFERROR(__xludf.DUMMYFUNCTION("""COMPUTED_VALUE"""),"Exempted for LE , Any 1 for Regular")</f>
        <v>Exempted for LE , Any 1 for Regular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IFERROR(__xludf.DUMMYFUNCTION("""COMPUTED_VALUE"""),"19MA205")</f>
        <v>19MA205</v>
      </c>
      <c r="F14" s="7" t="str">
        <f>IFERROR(__xludf.DUMMYFUNCTION("""COMPUTED_VALUE"""),"Differential Equations and Laplace Transforms")</f>
        <v>Differential Equations and Laplace Transforms</v>
      </c>
      <c r="G14" s="2" t="str">
        <f>IFERROR(__xludf.DUMMYFUNCTION("""COMPUTED_VALUE"""),"19MA201")</f>
        <v>19MA201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48" customHeight="1" spans="1:26">
      <c r="A15" s="2">
        <f>IFERROR(__xludf.DUMMYFUNCTION("""COMPUTED_VALUE"""),13)</f>
        <v>13</v>
      </c>
      <c r="B15" s="2" t="str">
        <f>IFERROR(__xludf.DUMMYFUNCTION("""COMPUTED_VALUE"""),"Exempted for LE , Any 1 for Regular")</f>
        <v>Exempted for LE , Any 1 for Regular</v>
      </c>
      <c r="C15" s="2" t="str">
        <f>IFERROR(__xludf.DUMMYFUNCTION("""COMPUTED_VALUE"""),"BS")</f>
        <v>BS</v>
      </c>
      <c r="D15" s="2" t="str">
        <f>IFERROR(__xludf.DUMMYFUNCTION("""COMPUTED_VALUE"""),"SH2224")</f>
        <v>SH2224</v>
      </c>
      <c r="E15" s="2" t="str">
        <f>IFERROR(__xludf.DUMMYFUNCTION("""COMPUTED_VALUE"""),"19MA224")</f>
        <v>19MA224</v>
      </c>
      <c r="F15" s="7" t="str">
        <f>IFERROR(__xludf.DUMMYFUNCTION("""COMPUTED_VALUE"""),"Transforms and Differential Equations")</f>
        <v>Transforms and Differential Equations</v>
      </c>
      <c r="G15" s="2" t="str">
        <f>IFERROR(__xludf.DUMMYFUNCTION("""COMPUTED_VALUE"""),"-")</f>
        <v>-</v>
      </c>
      <c r="H15" s="2">
        <f>IFERROR(__xludf.DUMMYFUNCTION("""COMPUTED_VALUE"""),4)</f>
        <v>4</v>
      </c>
      <c r="I15" s="2">
        <f>IFERROR(__xludf.DUMMYFUNCTION("""COMPUTED_VALUE"""),0)</f>
        <v>0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48" customHeight="1" spans="1:26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IFERROR(__xludf.DUMMYFUNCTION("""COMPUTED_VALUE"""),"NA")</f>
        <v>NA</v>
      </c>
      <c r="E16" s="2" t="str">
        <f>IFERROR(__xludf.DUMMYFUNCTION("""COMPUTED_VALUE"""),"19PH201")</f>
        <v>19PH201</v>
      </c>
      <c r="F16" s="7" t="str">
        <f>IFERROR(__xludf.DUMMYFUNCTION("""COMPUTED_VALUE"""),"Basics of Engineering Physics")</f>
        <v>Basics of Engineering Physics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IFERROR(__xludf.DUMMYFUNCTION("""COMPUTED_VALUE"""),0)</f>
        <v>0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IFERROR(__xludf.DUMMYFUNCTION("""COMPUTED_VALUE"""),"Theory")</f>
        <v>Theory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8" customHeight="1" spans="1:26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IFERROR(__xludf.DUMMYFUNCTION("""COMPUTED_VALUE"""),"SH3209")</f>
        <v>SH3209</v>
      </c>
      <c r="E17" s="2" t="str">
        <f>IFERROR(__xludf.DUMMYFUNCTION("""COMPUTED_VALUE"""),"19PH209")</f>
        <v>19PH209</v>
      </c>
      <c r="F17" s="7" t="str">
        <f>IFERROR(__xludf.DUMMYFUNCTION("""COMPUTED_VALUE"""),"Physics for Civil Engineering")</f>
        <v>Physics for Civil Engineering</v>
      </c>
      <c r="G17" s="2" t="str">
        <f>IFERROR(__xludf.DUMMYFUNCTION("""COMPUTED_VALUE"""),"19PH201 / NA")</f>
        <v>19PH201 / NA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ht="48" customHeight="1" spans="1:26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IFERROR(__xludf.DUMMYFUNCTION("""COMPUTED_VALUE"""),"BS")</f>
        <v>BS</v>
      </c>
      <c r="D18" s="2" t="str">
        <f>IFERROR(__xludf.DUMMYFUNCTION("""COMPUTED_VALUE"""),"NA")</f>
        <v>NA</v>
      </c>
      <c r="E18" s="2" t="str">
        <f>IFERROR(__xludf.DUMMYFUNCTION("""COMPUTED_VALUE"""),"19CY203")</f>
        <v>19CY203</v>
      </c>
      <c r="F18" s="7" t="str">
        <f>IFERROR(__xludf.DUMMYFUNCTION("""COMPUTED_VALUE"""),"Chemistry for Civil Engineering")</f>
        <v>Chemistry for Civil Engineering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ht="48" customHeight="1" spans="1:26">
      <c r="A19" s="2">
        <f>IFERROR(__xludf.DUMMYFUNCTION("""COMPUTED_VALUE"""),17)</f>
        <v>17</v>
      </c>
      <c r="B19" s="2"/>
      <c r="C19" s="2" t="str">
        <f>IFERROR(__xludf.DUMMYFUNCTION("""COMPUTED_VALUE"""),"BS")</f>
        <v>BS</v>
      </c>
      <c r="D19" s="2" t="str">
        <f>IFERROR(__xludf.DUMMYFUNCTION("""COMPUTED_VALUE"""),"NA")</f>
        <v>NA</v>
      </c>
      <c r="E19" s="2" t="str">
        <f>IFERROR(__xludf.DUMMYFUNCTION("""COMPUTED_VALUE"""),"19BY202")</f>
        <v>19BY202</v>
      </c>
      <c r="F19" s="7" t="str">
        <f>IFERROR(__xludf.DUMMYFUNCTION("""COMPUTED_VALUE"""),"Introduction to Ecology")</f>
        <v>Introduction to Ecology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IFERROR(__xludf.DUMMYFUNCTION("""COMPUTED_VALUE"""),0)</f>
        <v>0</v>
      </c>
      <c r="J19" s="2">
        <f>IFERROR(__xludf.DUMMYFUNCTION("""COMPUTED_VALUE"""),2)</f>
        <v>2</v>
      </c>
      <c r="K19" s="2" t="str">
        <f>IFERROR(__xludf.DUMMYFUNCTION("""COMPUTED_VALUE"""),"CGPA")</f>
        <v>CGPA</v>
      </c>
      <c r="L19" s="2" t="str">
        <f>IFERROR(__xludf.DUMMYFUNCTION("""COMPUTED_VALUE"""),"Theory")</f>
        <v>Theory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ht="48" customHeight="1" spans="1:26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IFERROR(__xludf.DUMMYFUNCTION("""COMPUTED_VALUE"""),"NA")</f>
        <v>NA</v>
      </c>
      <c r="E20" s="2" t="str">
        <f>IFERROR(__xludf.DUMMYFUNCTION("""COMPUTED_VALUE"""),"19CS301")</f>
        <v>19CS301</v>
      </c>
      <c r="F20" s="29" t="str">
        <f>IFERROR(__xludf.DUMMYFUNCTION("""COMPUTED_VALUE"""),"Problem Solving and Python Programming")</f>
        <v>Problem Solving and Python Programming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IFERROR(__xludf.DUMMYFUNCTION("""COMPUTED_VALUE"""),1)</f>
        <v>1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ht="48" customHeight="1" spans="1:26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IFERROR(__xludf.DUMMYFUNCTION("""COMPUTED_VALUE"""),"EC2306")</f>
        <v>EC2306</v>
      </c>
      <c r="E21" s="2" t="str">
        <f>IFERROR(__xludf.DUMMYFUNCTION("""COMPUTED_VALUE"""),"19EE306  ")</f>
        <v>19EE306  </v>
      </c>
      <c r="F21" s="29" t="str">
        <f>IFERROR(__xludf.DUMMYFUNCTION("""COMPUTED_VALUE"""),"Basic Electrical Electronics and Instrumentation Engineering")</f>
        <v>Basic Electrical Electronics and Instrumentation Engineering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48" customHeight="1" spans="1:26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IFERROR(__xludf.DUMMYFUNCTION("""COMPUTED_VALUE"""),"19CE301")</f>
        <v>19CE301</v>
      </c>
      <c r="F22" s="29" t="str">
        <f>IFERROR(__xludf.DUMMYFUNCTION("""COMPUTED_VALUE"""),"Engineering Drawing and Modeling")</f>
        <v>Engineering Drawing and Modeling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IFERROR(__xludf.DUMMYFUNCTION("""COMPUTED_VALUE"""),2)</f>
        <v>2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(10 Expts)")</f>
        <v>TIP (10 Expts)</v>
      </c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8" customHeight="1" spans="1:26">
      <c r="A23" s="2">
        <f>IFERROR(__xludf.DUMMYFUNCTION("""COMPUTED_VALUE"""),21)</f>
        <v>21</v>
      </c>
      <c r="B23" s="2" t="str">
        <f>IFERROR(__xludf.DUMMYFUNCTION("""COMPUTED_VALUE"""),"Exempted for LE , Any 1 for Regular")</f>
        <v>Exempted for LE , Any 1 for Regular</v>
      </c>
      <c r="C23" s="2" t="str">
        <f>IFERROR(__xludf.DUMMYFUNCTION("""COMPUTED_VALUE"""),"ES")</f>
        <v>ES</v>
      </c>
      <c r="D23" s="2" t="str">
        <f>IFERROR(__xludf.DUMMYFUNCTION("""COMPUTED_VALUE"""),"NA")</f>
        <v>NA</v>
      </c>
      <c r="E23" s="2" t="str">
        <f>IFERROR(__xludf.DUMMYFUNCTION("""COMPUTED_VALUE"""),"19CE302")</f>
        <v>19CE302</v>
      </c>
      <c r="F23" s="29" t="str">
        <f>IFERROR(__xludf.DUMMYFUNCTION("""COMPUTED_VALUE"""),"Applied Mechanics")</f>
        <v>Applied Mechanics</v>
      </c>
      <c r="G23" s="2" t="str">
        <f>IFERROR(__xludf.DUMMYFUNCTION("""COMPUTED_VALUE"""),"-")</f>
        <v>-</v>
      </c>
      <c r="H23" s="2">
        <f>IFERROR(__xludf.DUMMYFUNCTION("""COMPUTED_VALUE"""),4)</f>
        <v>4</v>
      </c>
      <c r="I23" s="2">
        <f>IFERROR(__xludf.DUMMYFUNCTION("""COMPUTED_VALUE"""),0)</f>
        <v>0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ht="48" customHeight="1" spans="1:26">
      <c r="A24" s="2">
        <f>IFERROR(__xludf.DUMMYFUNCTION("""COMPUTED_VALUE"""),22)</f>
        <v>22</v>
      </c>
      <c r="B24" s="2" t="str">
        <f>IFERROR(__xludf.DUMMYFUNCTION("""COMPUTED_VALUE"""),"Exempted for LE , Any 1 for Regular")</f>
        <v>Exempted for LE , Any 1 for Regular</v>
      </c>
      <c r="C24" s="2" t="str">
        <f>IFERROR(__xludf.DUMMYFUNCTION("""COMPUTED_VALUE"""),"ES")</f>
        <v>ES</v>
      </c>
      <c r="D24" s="2" t="str">
        <f>IFERROR(__xludf.DUMMYFUNCTION("""COMPUTED_VALUE"""),"CE0306")</f>
        <v>CE0306</v>
      </c>
      <c r="E24" s="2" t="str">
        <f>IFERROR(__xludf.DUMMYFUNCTION("""COMPUTED_VALUE"""),"19CE306")</f>
        <v>19CE306</v>
      </c>
      <c r="F24" s="7" t="str">
        <f>IFERROR(__xludf.DUMMYFUNCTION("""COMPUTED_VALUE"""),"Engineering Mechanics")</f>
        <v>Engineering Mechanics</v>
      </c>
      <c r="G24" s="2" t="str">
        <f>IFERROR(__xludf.DUMMYFUNCTION("""COMPUTED_VALUE"""),"-")</f>
        <v>-</v>
      </c>
      <c r="H24" s="2">
        <f>IFERROR(__xludf.DUMMYFUNCTION("""COMPUTED_VALUE"""),4)</f>
        <v>4</v>
      </c>
      <c r="I24" s="2">
        <f>IFERROR(__xludf.DUMMYFUNCTION("""COMPUTED_VALUE"""),0)</f>
        <v>0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ht="48" customHeight="1" spans="1:26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IFERROR(__xludf.DUMMYFUNCTION("""COMPUTED_VALUE"""),"CE0303")</f>
        <v>CE0303</v>
      </c>
      <c r="E25" s="2" t="str">
        <f>IFERROR(__xludf.DUMMYFUNCTION("""COMPUTED_VALUE"""),"19CE303")</f>
        <v>19CE303</v>
      </c>
      <c r="F25" s="7" t="str">
        <f>IFERROR(__xludf.DUMMYFUNCTION("""COMPUTED_VALUE"""),"Fluid Mechanics")</f>
        <v>Fluid Mechanics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ht="48" customHeight="1" spans="1:26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IFERROR(__xludf.DUMMYFUNCTION("""COMPUTED_VALUE"""),"NA")</f>
        <v>NA</v>
      </c>
      <c r="E26" s="2" t="str">
        <f>IFERROR(__xludf.DUMMYFUNCTION("""COMPUTED_VALUE"""),"19CE304")</f>
        <v>19CE304</v>
      </c>
      <c r="F26" s="7" t="str">
        <f>IFERROR(__xludf.DUMMYFUNCTION("""COMPUTED_VALUE"""),"Building Science and Technology")</f>
        <v>Building Science and Technology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ht="48" customHeight="1" spans="1:26">
      <c r="A27" s="2">
        <f>IFERROR(__xludf.DUMMYFUNCTION("""COMPUTED_VALUE"""),25)</f>
        <v>25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IFERROR(__xludf.DUMMYFUNCTION("""COMPUTED_VALUE"""),"NA")</f>
        <v>NA</v>
      </c>
      <c r="E27" s="2" t="str">
        <f>IFERROR(__xludf.DUMMYFUNCTION("""COMPUTED_VALUE"""),"19CE305")</f>
        <v>19CE305</v>
      </c>
      <c r="F27" s="7" t="str">
        <f>IFERROR(__xludf.DUMMYFUNCTION("""COMPUTED_VALUE"""),"Engineering Geology")</f>
        <v>Engineering Geology</v>
      </c>
      <c r="G27" s="2" t="str">
        <f>IFERROR(__xludf.DUMMYFUNCTION("""COMPUTED_VALUE"""),"-")</f>
        <v>-</v>
      </c>
      <c r="H27" s="2">
        <f>IFERROR(__xludf.DUMMYFUNCTION("""COMPUTED_VALUE"""),3)</f>
        <v>3</v>
      </c>
      <c r="I27" s="2">
        <f>IFERROR(__xludf.DUMMYFUNCTION("""COMPUTED_VALUE"""),0)</f>
        <v>0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IFERROR(__xludf.DUMMYFUNCTION("""COMPUTED_VALUE"""),"Theory")</f>
        <v>Theory</v>
      </c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ht="48" customHeight="1" spans="1:26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IFERROR(__xludf.DUMMYFUNCTION("""COMPUTED_VALUE"""),"CE0401")</f>
        <v>CE0401</v>
      </c>
      <c r="E28" s="2" t="str">
        <f>IFERROR(__xludf.DUMMYFUNCTION("""COMPUTED_VALUE"""),"19CE401")</f>
        <v>19CE401</v>
      </c>
      <c r="F28" s="7" t="str">
        <f>IFERROR(__xludf.DUMMYFUNCTION("""COMPUTED_VALUE"""),"Mechanics of Materials")</f>
        <v>Mechanics of Materials</v>
      </c>
      <c r="G28" s="2" t="str">
        <f>IFERROR(__xludf.DUMMYFUNCTION("""COMPUTED_VALUE"""),"19CE302 / 19CE306 / CE0306")</f>
        <v>19CE302 / 19CE306 / CE0306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ht="48" customHeight="1" spans="1:26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IFERROR(__xludf.DUMMYFUNCTION("""COMPUTED_VALUE"""),"CE0402")</f>
        <v>CE0402</v>
      </c>
      <c r="E29" s="2" t="str">
        <f>IFERROR(__xludf.DUMMYFUNCTION("""COMPUTED_VALUE"""),"19CE402")</f>
        <v>19CE402</v>
      </c>
      <c r="F29" s="7" t="str">
        <f>IFERROR(__xludf.DUMMYFUNCTION("""COMPUTED_VALUE"""),"Surveying")</f>
        <v>Surveying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ht="48" customHeight="1" spans="1:26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IFERROR(__xludf.DUMMYFUNCTION("""COMPUTED_VALUE"""),"CE0403")</f>
        <v>CE0403</v>
      </c>
      <c r="E30" s="2" t="str">
        <f>IFERROR(__xludf.DUMMYFUNCTION("""COMPUTED_VALUE"""),"19CE403")</f>
        <v>19CE403</v>
      </c>
      <c r="F30" s="7" t="str">
        <f>IFERROR(__xludf.DUMMYFUNCTION("""COMPUTED_VALUE"""),"Soil Mechanics")</f>
        <v>Soil Mechanics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ht="48" customHeight="1" spans="1:26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IFERROR(__xludf.DUMMYFUNCTION("""COMPUTED_VALUE"""),"CE0404")</f>
        <v>CE0404</v>
      </c>
      <c r="E31" s="2" t="str">
        <f>IFERROR(__xludf.DUMMYFUNCTION("""COMPUTED_VALUE"""),"19CE404")</f>
        <v>19CE404</v>
      </c>
      <c r="F31" s="7" t="str">
        <f>IFERROR(__xludf.DUMMYFUNCTION("""COMPUTED_VALUE"""),"Applied Hydraulic Engineering")</f>
        <v>Applied Hydraulic Engineering</v>
      </c>
      <c r="G31" s="2" t="str">
        <f>IFERROR(__xludf.DUMMYFUNCTION("""COMPUTED_VALUE"""),"19CE303 / CE0303")</f>
        <v>19CE303 / CE0303</v>
      </c>
      <c r="H31" s="2">
        <f>IFERROR(__xludf.DUMMYFUNCTION("""COMPUTED_VALUE"""),2)</f>
        <v>2</v>
      </c>
      <c r="I31" s="2">
        <f>IFERROR(__xludf.DUMMYFUNCTION("""COMPUTED_VALUE"""),1)</f>
        <v>1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ht="48" customHeight="1" spans="1:26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IFERROR(__xludf.DUMMYFUNCTION("""COMPUTED_VALUE"""),"NA")</f>
        <v>NA</v>
      </c>
      <c r="E32" s="2" t="str">
        <f>IFERROR(__xludf.DUMMYFUNCTION("""COMPUTED_VALUE"""),"19CE405")</f>
        <v>19CE405</v>
      </c>
      <c r="F32" s="7" t="str">
        <f>IFERROR(__xludf.DUMMYFUNCTION("""COMPUTED_VALUE"""),"Concrete Technology")</f>
        <v>Concrete Technology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IFERROR(__xludf.DUMMYFUNCTION("""COMPUTED_VALUE"""),0)</f>
        <v>0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IFERROR(__xludf.DUMMYFUNCTION("""COMPUTED_VALUE"""),"Theory")</f>
        <v>Theory</v>
      </c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ht="48" customHeight="1" spans="1:26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IFERROR(__xludf.DUMMYFUNCTION("""COMPUTED_VALUE"""),"NA")</f>
        <v>NA</v>
      </c>
      <c r="E33" s="2" t="str">
        <f>IFERROR(__xludf.DUMMYFUNCTION("""COMPUTED_VALUE"""),"19CE406")</f>
        <v>19CE406</v>
      </c>
      <c r="F33" s="7" t="str">
        <f>IFERROR(__xludf.DUMMYFUNCTION("""COMPUTED_VALUE"""),"Structural Analysis")</f>
        <v>Structural Analysis</v>
      </c>
      <c r="G33" s="2" t="str">
        <f>IFERROR(__xludf.DUMMYFUNCTION("""COMPUTED_VALUE"""),"19CE401")</f>
        <v>19CE401</v>
      </c>
      <c r="H33" s="2">
        <f>IFERROR(__xludf.DUMMYFUNCTION("""COMPUTED_VALUE"""),4)</f>
        <v>4</v>
      </c>
      <c r="I33" s="2">
        <f>IFERROR(__xludf.DUMMYFUNCTION("""COMPUTED_VALUE"""),0)</f>
        <v>0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IFERROR(__xludf.DUMMYFUNCTION("""COMPUTED_VALUE"""),"Theory")</f>
        <v>Theory</v>
      </c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ht="48" customHeight="1" spans="1:26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IFERROR(__xludf.DUMMYFUNCTION("""COMPUTED_VALUE"""),"CE0407")</f>
        <v>CE0407</v>
      </c>
      <c r="E34" s="2" t="str">
        <f>IFERROR(__xludf.DUMMYFUNCTION("""COMPUTED_VALUE"""),"19CE407")</f>
        <v>19CE407</v>
      </c>
      <c r="F34" s="7" t="str">
        <f>IFERROR(__xludf.DUMMYFUNCTION("""COMPUTED_VALUE"""),"Transportation Engineering")</f>
        <v>Transportation Engineering</v>
      </c>
      <c r="G34" s="2" t="str">
        <f>IFERROR(__xludf.DUMMYFUNCTION("""COMPUTED_VALUE"""),"-")</f>
        <v>-</v>
      </c>
      <c r="H34" s="2">
        <f>IFERROR(__xludf.DUMMYFUNCTION("""COMPUTED_VALUE"""),2)</f>
        <v>2</v>
      </c>
      <c r="I34" s="2">
        <f>IFERROR(__xludf.DUMMYFUNCTION("""COMPUTED_VALUE"""),1)</f>
        <v>1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ht="48" customHeight="1" spans="1:26">
      <c r="A35" s="2">
        <f>IFERROR(__xludf.DUMMYFUNCTION("""COMPUTED_VALUE"""),33)</f>
        <v>33</v>
      </c>
      <c r="B35" s="2" t="str">
        <f>IFERROR(__xludf.DUMMYFUNCTION("""COMPUTED_VALUE"""),"Option 1")</f>
        <v>Option 1</v>
      </c>
      <c r="C35" s="2" t="str">
        <f>IFERROR(__xludf.DUMMYFUNCTION("""COMPUTED_VALUE"""),"PC")</f>
        <v>PC</v>
      </c>
      <c r="D35" s="2" t="str">
        <f>IFERROR(__xludf.DUMMYFUNCTION("""COMPUTED_VALUE"""),"NA")</f>
        <v>NA</v>
      </c>
      <c r="E35" s="2" t="str">
        <f>IFERROR(__xludf.DUMMYFUNCTION("""COMPUTED_VALUE"""),"19CE408")</f>
        <v>19CE408</v>
      </c>
      <c r="F35" s="7" t="str">
        <f>IFERROR(__xludf.DUMMYFUNCTION("""COMPUTED_VALUE"""),"Environmental Engineering I")</f>
        <v>Environmental Engineering I</v>
      </c>
      <c r="G35" s="2" t="str">
        <f>IFERROR(__xludf.DUMMYFUNCTION("""COMPUTED_VALUE"""),"19CE404")</f>
        <v>19CE404</v>
      </c>
      <c r="H35" s="2">
        <f>IFERROR(__xludf.DUMMYFUNCTION("""COMPUTED_VALUE"""),3)</f>
        <v>3</v>
      </c>
      <c r="I35" s="2">
        <f>IFERROR(__xludf.DUMMYFUNCTION("""COMPUTED_VALUE"""),1)</f>
        <v>1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ht="48" customHeight="1" spans="1:26">
      <c r="A36" s="2">
        <f>IFERROR(__xludf.DUMMYFUNCTION("""COMPUTED_VALUE"""),34)</f>
        <v>34</v>
      </c>
      <c r="B36" s="2" t="str">
        <f>IFERROR(__xludf.DUMMYFUNCTION("""COMPUTED_VALUE"""),"Option 1")</f>
        <v>Option 1</v>
      </c>
      <c r="C36" s="2" t="str">
        <f>IFERROR(__xludf.DUMMYFUNCTION("""COMPUTED_VALUE"""),"PC")</f>
        <v>PC</v>
      </c>
      <c r="D36" s="2" t="str">
        <f>IFERROR(__xludf.DUMMYFUNCTION("""COMPUTED_VALUE"""),"NA")</f>
        <v>NA</v>
      </c>
      <c r="E36" s="2" t="str">
        <f>IFERROR(__xludf.DUMMYFUNCTION("""COMPUTED_VALUE"""),"19CE415")</f>
        <v>19CE415</v>
      </c>
      <c r="F36" s="7" t="str">
        <f>IFERROR(__xludf.DUMMYFUNCTION("""COMPUTED_VALUE"""),"Environmental Engineering II")</f>
        <v>Environmental Engineering II</v>
      </c>
      <c r="G36" s="2" t="str">
        <f>IFERROR(__xludf.DUMMYFUNCTION("""COMPUTED_VALUE"""),"19CE408")</f>
        <v>19CE408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ht="48" customHeight="1" spans="1:26">
      <c r="A37" s="2">
        <f>IFERROR(__xludf.DUMMYFUNCTION("""COMPUTED_VALUE"""),35)</f>
        <v>35</v>
      </c>
      <c r="B37" s="2" t="str">
        <f>IFERROR(__xludf.DUMMYFUNCTION("""COMPUTED_VALUE"""),"Option 2")</f>
        <v>Option 2</v>
      </c>
      <c r="C37" s="2" t="str">
        <f>IFERROR(__xludf.DUMMYFUNCTION("""COMPUTED_VALUE"""),"PC")</f>
        <v>PC</v>
      </c>
      <c r="D37" s="2" t="str">
        <f>IFERROR(__xludf.DUMMYFUNCTION("""COMPUTED_VALUE"""),"CE0418")</f>
        <v>CE0418</v>
      </c>
      <c r="E37" s="2" t="str">
        <f>IFERROR(__xludf.DUMMYFUNCTION("""COMPUTED_VALUE"""),"19CE418")</f>
        <v>19CE418</v>
      </c>
      <c r="F37" s="7" t="str">
        <f>IFERROR(__xludf.DUMMYFUNCTION("""COMPUTED_VALUE"""),"Environmental Engineering")</f>
        <v>Environmental Engineering</v>
      </c>
      <c r="G37" s="2" t="str">
        <f>IFERROR(__xludf.DUMMYFUNCTION("""COMPUTED_VALUE"""),"19CE303 / CE0303")</f>
        <v>19CE303 / CE0303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ht="48" customHeight="1" spans="1:26">
      <c r="A38" s="2">
        <f>IFERROR(__xludf.DUMMYFUNCTION("""COMPUTED_VALUE"""),36)</f>
        <v>36</v>
      </c>
      <c r="B38" s="2" t="str">
        <f>IFERROR(__xludf.DUMMYFUNCTION("""COMPUTED_VALUE"""),"Option 2")</f>
        <v>Option 2</v>
      </c>
      <c r="C38" s="2" t="str">
        <f>IFERROR(__xludf.DUMMYFUNCTION("""COMPUTED_VALUE"""),"PC")</f>
        <v>PC</v>
      </c>
      <c r="D38" s="2" t="str">
        <f>IFERROR(__xludf.DUMMYFUNCTION("""COMPUTED_VALUE"""),"CE0419")</f>
        <v>CE0419</v>
      </c>
      <c r="E38" s="2" t="str">
        <f>IFERROR(__xludf.DUMMYFUNCTION("""COMPUTED_VALUE"""),"19CE419")</f>
        <v>19CE419</v>
      </c>
      <c r="F38" s="7" t="str">
        <f>IFERROR(__xludf.DUMMYFUNCTION("""COMPUTED_VALUE"""),"Water and Wastewater Analysis Laboratory")</f>
        <v>Water and Wastewater Analysis Laboratory</v>
      </c>
      <c r="G38" s="2" t="str">
        <f>IFERROR(__xludf.DUMMYFUNCTION("""COMPUTED_VALUE"""),"-")</f>
        <v>-</v>
      </c>
      <c r="H38" s="2">
        <f>IFERROR(__xludf.DUMMYFUNCTION("""COMPUTED_VALUE"""),0)</f>
        <v>0</v>
      </c>
      <c r="I38" s="2">
        <f>IFERROR(__xludf.DUMMYFUNCTION("""COMPUTED_VALUE"""),2)</f>
        <v>2</v>
      </c>
      <c r="J38" s="2">
        <f>IFERROR(__xludf.DUMMYFUNCTION("""COMPUTED_VALUE"""),2)</f>
        <v>2</v>
      </c>
      <c r="K38" s="2" t="str">
        <f>IFERROR(__xludf.DUMMYFUNCTION("""COMPUTED_VALUE"""),"CGPA")</f>
        <v>CGPA</v>
      </c>
      <c r="L38" s="2" t="str">
        <f>IFERROR(__xludf.DUMMYFUNCTION("""COMPUTED_VALUE"""),"Practical (10 Expts)")</f>
        <v>Practical (10 Expts)</v>
      </c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ht="48" customHeight="1" spans="1:26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IFERROR(__xludf.DUMMYFUNCTION("""COMPUTED_VALUE"""),"NA")</f>
        <v>NA</v>
      </c>
      <c r="E39" s="2" t="str">
        <f>IFERROR(__xludf.DUMMYFUNCTION("""COMPUTED_VALUE"""),"19CE409")</f>
        <v>19CE409</v>
      </c>
      <c r="F39" s="7" t="str">
        <f>IFERROR(__xludf.DUMMYFUNCTION("""COMPUTED_VALUE"""),"Foundation Engineering")</f>
        <v>Foundation Engineering</v>
      </c>
      <c r="G39" s="2" t="str">
        <f>IFERROR(__xludf.DUMMYFUNCTION("""COMPUTED_VALUE"""),"19CE403")</f>
        <v>19CE403</v>
      </c>
      <c r="H39" s="2">
        <f>IFERROR(__xludf.DUMMYFUNCTION("""COMPUTED_VALUE"""),4)</f>
        <v>4</v>
      </c>
      <c r="I39" s="2">
        <f>IFERROR(__xludf.DUMMYFUNCTION("""COMPUTED_VALUE"""),0)</f>
        <v>0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IFERROR(__xludf.DUMMYFUNCTION("""COMPUTED_VALUE"""),"Theory")</f>
        <v>Theory</v>
      </c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ht="48" customHeight="1" spans="1:26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IFERROR(__xludf.DUMMYFUNCTION("""COMPUTED_VALUE"""),"CE0410")</f>
        <v>CE0410</v>
      </c>
      <c r="E40" s="2" t="str">
        <f>IFERROR(__xludf.DUMMYFUNCTION("""COMPUTED_VALUE"""),"19CE410")</f>
        <v>19CE410</v>
      </c>
      <c r="F40" s="7" t="str">
        <f>IFERROR(__xludf.DUMMYFUNCTION("""COMPUTED_VALUE"""),"Water Resources Engineering")</f>
        <v>Water Resources Engineering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ht="48" customHeight="1" spans="1:26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IFERROR(__xludf.DUMMYFUNCTION("""COMPUTED_VALUE"""),"NA")</f>
        <v>NA</v>
      </c>
      <c r="E41" s="2" t="str">
        <f>IFERROR(__xludf.DUMMYFUNCTION("""COMPUTED_VALUE"""),"19CE411")</f>
        <v>19CE411</v>
      </c>
      <c r="F41" s="7" t="str">
        <f>IFERROR(__xludf.DUMMYFUNCTION("""COMPUTED_VALUE"""),"Design of Reinforced Concrete Elements")</f>
        <v>Design of Reinforced Concrete Elements</v>
      </c>
      <c r="G41" s="2" t="str">
        <f>IFERROR(__xludf.DUMMYFUNCTION("""COMPUTED_VALUE"""),"19CE406")</f>
        <v>19CE406</v>
      </c>
      <c r="H41" s="2">
        <f>IFERROR(__xludf.DUMMYFUNCTION("""COMPUTED_VALUE"""),3)</f>
        <v>3</v>
      </c>
      <c r="I41" s="2">
        <f>IFERROR(__xludf.DUMMYFUNCTION("""COMPUTED_VALUE"""),1)</f>
        <v>1</v>
      </c>
      <c r="J41" s="2">
        <f>IFERROR(__xludf.DUMMYFUNCTION("""COMPUTED_VALUE"""),4)</f>
        <v>4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ht="48" customHeight="1" spans="1:26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IFERROR(__xludf.DUMMYFUNCTION("""COMPUTED_VALUE"""),"CE0412")</f>
        <v>CE0412</v>
      </c>
      <c r="E42" s="2" t="str">
        <f>IFERROR(__xludf.DUMMYFUNCTION("""COMPUTED_VALUE"""),"19CE412")</f>
        <v>19CE412</v>
      </c>
      <c r="F42" s="7" t="str">
        <f>IFERROR(__xludf.DUMMYFUNCTION("""COMPUTED_VALUE"""),"Survey Camp")</f>
        <v>Survey Camp</v>
      </c>
      <c r="G42" s="2" t="str">
        <f>IFERROR(__xludf.DUMMYFUNCTION("""COMPUTED_VALUE"""),"19CE402 / CE0402")</f>
        <v>19CE402 / CE0402</v>
      </c>
      <c r="H42" s="2">
        <f>IFERROR(__xludf.DUMMYFUNCTION("""COMPUTED_VALUE"""),0)</f>
        <v>0</v>
      </c>
      <c r="I42" s="2">
        <f>IFERROR(__xludf.DUMMYFUNCTION("""COMPUTED_VALUE"""),2)</f>
        <v>2</v>
      </c>
      <c r="J42" s="2">
        <f>IFERROR(__xludf.DUMMYFUNCTION("""COMPUTED_VALUE"""),2)</f>
        <v>2</v>
      </c>
      <c r="K42" s="2" t="str">
        <f>IFERROR(__xludf.DUMMYFUNCTION("""COMPUTED_VALUE"""),"CGPA")</f>
        <v>CGPA</v>
      </c>
      <c r="L42" s="2" t="str">
        <f>IFERROR(__xludf.DUMMYFUNCTION("""COMPUTED_VALUE"""),"Practical (10 Expts)")</f>
        <v>Practical (10 Expts)</v>
      </c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ht="48" customHeight="1" spans="1:26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IFERROR(__xludf.DUMMYFUNCTION("""COMPUTED_VALUE"""),"NA")</f>
        <v>NA</v>
      </c>
      <c r="E43" s="2" t="str">
        <f>IFERROR(__xludf.DUMMYFUNCTION("""COMPUTED_VALUE"""),"19CE413")</f>
        <v>19CE413</v>
      </c>
      <c r="F43" s="7" t="str">
        <f>IFERROR(__xludf.DUMMYFUNCTION("""COMPUTED_VALUE"""),"Advanced Mechanics of Materials")</f>
        <v>Advanced Mechanics of Materials</v>
      </c>
      <c r="G43" s="2" t="str">
        <f>IFERROR(__xludf.DUMMYFUNCTION("""COMPUTED_VALUE"""),"19CE406")</f>
        <v>19CE406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ht="48" customHeight="1" spans="1:26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IFERROR(__xludf.DUMMYFUNCTION("""COMPUTED_VALUE"""),"CE0414")</f>
        <v>CE0414</v>
      </c>
      <c r="E44" s="2" t="str">
        <f>IFERROR(__xludf.DUMMYFUNCTION("""COMPUTED_VALUE"""),"19CE414")</f>
        <v>19CE414</v>
      </c>
      <c r="F44" s="7" t="str">
        <f>IFERROR(__xludf.DUMMYFUNCTION("""COMPUTED_VALUE"""),"Design of Steel Structures")</f>
        <v>Design of Steel Structures</v>
      </c>
      <c r="G44" s="2" t="str">
        <f>IFERROR(__xludf.DUMMYFUNCTION("""COMPUTED_VALUE"""),"19CE406 / CE0806")</f>
        <v>19CE406 / CE0806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ht="48" customHeight="1" spans="1:26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IFERROR(__xludf.DUMMYFUNCTION("""COMPUTED_VALUE"""),"CE0416")</f>
        <v>CE0416</v>
      </c>
      <c r="E45" s="2" t="str">
        <f>IFERROR(__xludf.DUMMYFUNCTION("""COMPUTED_VALUE"""),"19CE416")</f>
        <v>19CE416</v>
      </c>
      <c r="F45" s="7" t="str">
        <f>IFERROR(__xludf.DUMMYFUNCTION("""COMPUTED_VALUE"""),"Estimation, Costing and Valuation")</f>
        <v>Estimation, Costing and Valuation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ht="48" customHeight="1" spans="1:26">
      <c r="A46" s="2">
        <f>IFERROR(__xludf.DUMMYFUNCTION("""COMPUTED_VALUE"""),44)</f>
        <v>44</v>
      </c>
      <c r="B46" s="2"/>
      <c r="C46" s="2" t="str">
        <f>IFERROR(__xludf.DUMMYFUNCTION("""COMPUTED_VALUE"""),"PC")</f>
        <v>PC</v>
      </c>
      <c r="D46" s="2" t="str">
        <f>IFERROR(__xludf.DUMMYFUNCTION("""COMPUTED_VALUE"""),"NA")</f>
        <v>NA</v>
      </c>
      <c r="E46" s="2" t="str">
        <f>IFERROR(__xludf.DUMMYFUNCTION("""COMPUTED_VALUE"""),"19CE417")</f>
        <v>19CE417</v>
      </c>
      <c r="F46" s="7" t="str">
        <f>IFERROR(__xludf.DUMMYFUNCTION("""COMPUTED_VALUE"""),"Computer Aided Building Drawing")</f>
        <v>Computer Aided Building Drawing</v>
      </c>
      <c r="G46" s="2" t="str">
        <f>IFERROR(__xludf.DUMMYFUNCTION("""COMPUTED_VALUE"""),"-")</f>
        <v>-</v>
      </c>
      <c r="H46" s="2">
        <f>IFERROR(__xludf.DUMMYFUNCTION("""COMPUTED_VALUE"""),0)</f>
        <v>0</v>
      </c>
      <c r="I46" s="2">
        <f>IFERROR(__xludf.DUMMYFUNCTION("""COMPUTED_VALUE"""),2)</f>
        <v>2</v>
      </c>
      <c r="J46" s="2">
        <f>IFERROR(__xludf.DUMMYFUNCTION("""COMPUTED_VALUE"""),2)</f>
        <v>2</v>
      </c>
      <c r="K46" s="2" t="str">
        <f>IFERROR(__xludf.DUMMYFUNCTION("""COMPUTED_VALUE"""),"CGPA")</f>
        <v>CGPA</v>
      </c>
      <c r="L46" s="2" t="str">
        <f>IFERROR(__xludf.DUMMYFUNCTION("""COMPUTED_VALUE"""),"Practical (10 Expts)")</f>
        <v>Practical (10 Expts)</v>
      </c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ht="48" customHeight="1" spans="1:26">
      <c r="A47" s="2">
        <f>IFERROR(__xludf.DUMMYFUNCTION("""COMPUTED_VALUE"""),45)</f>
        <v>45</v>
      </c>
      <c r="B47" s="2"/>
      <c r="C47" s="2" t="str">
        <f>IFERROR(__xludf.DUMMYFUNCTION("""COMPUTED_VALUE"""),"PC")</f>
        <v>PC</v>
      </c>
      <c r="D47" s="2" t="str">
        <f>IFERROR(__xludf.DUMMYFUNCTION("""COMPUTED_VALUE"""),"CE0420")</f>
        <v>CE0420</v>
      </c>
      <c r="E47" s="2" t="str">
        <f>IFERROR(__xludf.DUMMYFUNCTION("""COMPUTED_VALUE"""),"19CE420")</f>
        <v>19CE420</v>
      </c>
      <c r="F47" s="7" t="str">
        <f>IFERROR(__xludf.DUMMYFUNCTION("""COMPUTED_VALUE"""),"Building Information and  Modeling")</f>
        <v>Building Information and  Modeling</v>
      </c>
      <c r="G47" s="2" t="str">
        <f>IFERROR(__xludf.DUMMYFUNCTION("""COMPUTED_VALUE"""),"-")</f>
        <v>-</v>
      </c>
      <c r="H47" s="2">
        <f>IFERROR(__xludf.DUMMYFUNCTION("""COMPUTED_VALUE"""),0)</f>
        <v>0</v>
      </c>
      <c r="I47" s="2">
        <f>IFERROR(__xludf.DUMMYFUNCTION("""COMPUTED_VALUE"""),3)</f>
        <v>3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IFERROR(__xludf.DUMMYFUNCTION("""COMPUTED_VALUE"""),"Practical (10 Expts)")</f>
        <v>Practical (10 Expts)</v>
      </c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ht="48" customHeight="1" spans="1:26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IFERROR(__xludf.DUMMYFUNCTION("""COMPUTED_VALUE"""),"NA")</f>
        <v>NA</v>
      </c>
      <c r="E48" s="2" t="str">
        <f>IFERROR(__xludf.DUMMYFUNCTION("""COMPUTED_VALUE"""),"19CE501")</f>
        <v>19CE501</v>
      </c>
      <c r="F48" s="7" t="str">
        <f>IFERROR(__xludf.DUMMYFUNCTION("""COMPUTED_VALUE"""),"Advanced Structural Analysis")</f>
        <v>Advanced Structural Analysis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ht="48" customHeight="1" spans="1:26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IFERROR(__xludf.DUMMYFUNCTION("""COMPUTED_VALUE"""),"NA")</f>
        <v>NA</v>
      </c>
      <c r="E49" s="2" t="str">
        <f>IFERROR(__xludf.DUMMYFUNCTION("""COMPUTED_VALUE"""),"19CE502")</f>
        <v>19CE502</v>
      </c>
      <c r="F49" s="7" t="str">
        <f>IFERROR(__xludf.DUMMYFUNCTION("""COMPUTED_VALUE"""),"Prestressed Concrete Structures")</f>
        <v>Prestressed Concrete Structures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ht="48" customHeight="1" spans="1:26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IFERROR(__xludf.DUMMYFUNCTION("""COMPUTED_VALUE"""),"CE0504")</f>
        <v>CE0504</v>
      </c>
      <c r="E50" s="2" t="str">
        <f>IFERROR(__xludf.DUMMYFUNCTION("""COMPUTED_VALUE"""),"19CE504")</f>
        <v>19CE504</v>
      </c>
      <c r="F50" s="7" t="str">
        <f>IFERROR(__xludf.DUMMYFUNCTION("""COMPUTED_VALUE"""),"Design Studio and Detailing")</f>
        <v>Design Studio and Detailing</v>
      </c>
      <c r="G50" s="2" t="str">
        <f>IFERROR(__xludf.DUMMYFUNCTION("""COMPUTED_VALUE"""),"-")</f>
        <v>-</v>
      </c>
      <c r="H50" s="2">
        <f>IFERROR(__xludf.DUMMYFUNCTION("""COMPUTED_VALUE"""),1)</f>
        <v>1</v>
      </c>
      <c r="I50" s="2">
        <f>IFERROR(__xludf.DUMMYFUNCTION("""COMPUTED_VALUE"""),2)</f>
        <v>2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 (Int Only) and Practical (10 Expts)")</f>
        <v>Theory (Int Only) and Practical (10 Expts)</v>
      </c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ht="48" customHeight="1" spans="1:26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IFERROR(__xludf.DUMMYFUNCTION("""COMPUTED_VALUE"""),"NA")</f>
        <v>NA</v>
      </c>
      <c r="E51" s="2" t="str">
        <f>IFERROR(__xludf.DUMMYFUNCTION("""COMPUTED_VALUE"""),"19CE505")</f>
        <v>19CE505</v>
      </c>
      <c r="F51" s="7" t="str">
        <f>IFERROR(__xludf.DUMMYFUNCTION("""COMPUTED_VALUE"""),"Design of Tall Buildings")</f>
        <v>Design of Tall Buildings</v>
      </c>
      <c r="G51" s="2" t="str">
        <f>IFERROR(__xludf.DUMMYFUNCTION("""COMPUTED_VALUE"""),"19CE413")</f>
        <v>19CE413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ht="48" customHeight="1" spans="1:26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IFERROR(__xludf.DUMMYFUNCTION("""COMPUTED_VALUE"""),"CE0506")</f>
        <v>CE0506</v>
      </c>
      <c r="E52" s="2" t="str">
        <f>IFERROR(__xludf.DUMMYFUNCTION("""COMPUTED_VALUE"""),"19CE506")</f>
        <v>19CE506</v>
      </c>
      <c r="F52" s="7" t="str">
        <f>IFERROR(__xludf.DUMMYFUNCTION("""COMPUTED_VALUE"""),"Industrial Structures")</f>
        <v>Industrial Structures</v>
      </c>
      <c r="G52" s="2" t="str">
        <f>IFERROR(__xludf.DUMMYFUNCTION("""COMPUTED_VALUE"""),"19CE413")</f>
        <v>19CE413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ht="48" customHeight="1" spans="1:26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IFERROR(__xludf.DUMMYFUNCTION("""COMPUTED_VALUE"""),"CE0507")</f>
        <v>CE0507</v>
      </c>
      <c r="E53" s="2" t="str">
        <f>IFERROR(__xludf.DUMMYFUNCTION("""COMPUTED_VALUE"""),"19CE507")</f>
        <v>19CE507</v>
      </c>
      <c r="F53" s="7" t="str">
        <f>IFERROR(__xludf.DUMMYFUNCTION("""COMPUTED_VALUE"""),"Irrigation Engineering and Drawing")</f>
        <v>Irrigation Engineering and Drawing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ht="48" customHeight="1" spans="1:26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IFERROR(__xludf.DUMMYFUNCTION("""COMPUTED_VALUE"""),"CE0508")</f>
        <v>CE0508</v>
      </c>
      <c r="E54" s="2" t="str">
        <f>IFERROR(__xludf.DUMMYFUNCTION("""COMPUTED_VALUE"""),"19CE508")</f>
        <v>19CE508</v>
      </c>
      <c r="F54" s="7" t="str">
        <f>IFERROR(__xludf.DUMMYFUNCTION("""COMPUTED_VALUE"""),"Groundwater Engineering")</f>
        <v>Groundwater Engineering</v>
      </c>
      <c r="G54" s="2" t="str">
        <f>IFERROR(__xludf.DUMMYFUNCTION("""COMPUTED_VALUE"""),"19CE410 / CE0410")</f>
        <v>19CE410 / CE0410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ht="48" customHeight="1" spans="1:26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IFERROR(__xludf.DUMMYFUNCTION("""COMPUTED_VALUE"""),"NA")</f>
        <v>NA</v>
      </c>
      <c r="E55" s="2" t="str">
        <f>IFERROR(__xludf.DUMMYFUNCTION("""COMPUTED_VALUE"""),"19CE509")</f>
        <v>19CE509</v>
      </c>
      <c r="F55" s="7" t="str">
        <f>IFERROR(__xludf.DUMMYFUNCTION("""COMPUTED_VALUE"""),"Coastal Engineering")</f>
        <v>Coastal Engineering</v>
      </c>
      <c r="G55" s="2" t="str">
        <f>IFERROR(__xludf.DUMMYFUNCTION("""COMPUTED_VALUE"""),"19CE305")</f>
        <v>19CE305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ht="48" customHeight="1" spans="1:26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IFERROR(__xludf.DUMMYFUNCTION("""COMPUTED_VALUE"""),"CE0510")</f>
        <v>CE0510</v>
      </c>
      <c r="E56" s="2" t="str">
        <f>IFERROR(__xludf.DUMMYFUNCTION("""COMPUTED_VALUE"""),"19CE510")</f>
        <v>19CE510</v>
      </c>
      <c r="F56" s="7" t="str">
        <f>IFERROR(__xludf.DUMMYFUNCTION("""COMPUTED_VALUE"""),"Integrated Water Resources Management")</f>
        <v>Integrated Water Resources Management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ht="48" customHeight="1" spans="1:26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IFERROR(__xludf.DUMMYFUNCTION("""COMPUTED_VALUE"""),"CE0511")</f>
        <v>CE0511</v>
      </c>
      <c r="E57" s="2" t="str">
        <f>IFERROR(__xludf.DUMMYFUNCTION("""COMPUTED_VALUE"""),"19CE511")</f>
        <v>19CE511</v>
      </c>
      <c r="F57" s="7" t="str">
        <f>IFERROR(__xludf.DUMMYFUNCTION("""COMPUTED_VALUE"""),"Water Resources Systems")</f>
        <v>Water Resources Systems</v>
      </c>
      <c r="G57" s="2" t="str">
        <f>IFERROR(__xludf.DUMMYFUNCTION("""COMPUTED_VALUE"""),"19CE410 / CE0410")</f>
        <v>19CE410 / CE0410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ht="48" customHeight="1" spans="1:26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IFERROR(__xludf.DUMMYFUNCTION("""COMPUTED_VALUE"""),"CE0512")</f>
        <v>CE0512</v>
      </c>
      <c r="E58" s="2" t="str">
        <f>IFERROR(__xludf.DUMMYFUNCTION("""COMPUTED_VALUE"""),"19CE512")</f>
        <v>19CE512</v>
      </c>
      <c r="F58" s="7" t="str">
        <f>IFERROR(__xludf.DUMMYFUNCTION("""COMPUTED_VALUE"""),"Geoinformatics Applications")</f>
        <v>Geoinformatics Applications</v>
      </c>
      <c r="G58" s="2" t="str">
        <f>IFERROR(__xludf.DUMMYFUNCTION("""COMPUTED_VALUE"""),"19CE402 / CE0402")</f>
        <v>19CE402 / CE0402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ht="48" customHeight="1" spans="1:26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IFERROR(__xludf.DUMMYFUNCTION("""COMPUTED_VALUE"""),"CE0513")</f>
        <v>CE0513</v>
      </c>
      <c r="E59" s="2" t="str">
        <f>IFERROR(__xludf.DUMMYFUNCTION("""COMPUTED_VALUE"""),"19CE513")</f>
        <v>19CE513</v>
      </c>
      <c r="F59" s="7" t="str">
        <f>IFERROR(__xludf.DUMMYFUNCTION("""COMPUTED_VALUE"""),"Geographical Information System")</f>
        <v>Geographical Information System</v>
      </c>
      <c r="G59" s="2" t="str">
        <f>IFERROR(__xludf.DUMMYFUNCTION("""COMPUTED_VALUE"""),"19CE402 / CE0402")</f>
        <v>19CE402 / CE0402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ht="48" customHeight="1" spans="1:26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IFERROR(__xludf.DUMMYFUNCTION("""COMPUTED_VALUE"""),"NA")</f>
        <v>NA</v>
      </c>
      <c r="E60" s="2" t="str">
        <f>IFERROR(__xludf.DUMMYFUNCTION("""COMPUTED_VALUE"""),"19CE514")</f>
        <v>19CE514</v>
      </c>
      <c r="F60" s="7" t="str">
        <f>IFERROR(__xludf.DUMMYFUNCTION("""COMPUTED_VALUE"""),"Advanced Surveying")</f>
        <v>Advanced Surveying</v>
      </c>
      <c r="G60" s="2" t="str">
        <f>IFERROR(__xludf.DUMMYFUNCTION("""COMPUTED_VALUE"""),"19CE402")</f>
        <v>19CE402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ht="48" customHeight="1" spans="1:26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IFERROR(__xludf.DUMMYFUNCTION("""COMPUTED_VALUE"""),"CE0515")</f>
        <v>CE0515</v>
      </c>
      <c r="E61" s="2" t="str">
        <f>IFERROR(__xludf.DUMMYFUNCTION("""COMPUTED_VALUE"""),"19CE515")</f>
        <v>19CE515</v>
      </c>
      <c r="F61" s="7" t="str">
        <f>IFERROR(__xludf.DUMMYFUNCTION("""COMPUTED_VALUE"""),"Digital Cadastre")</f>
        <v>Digital Cadastre</v>
      </c>
      <c r="G61" s="2" t="str">
        <f>IFERROR(__xludf.DUMMYFUNCTION("""COMPUTED_VALUE"""),"19CE402 / CE0402")</f>
        <v>19CE402 / CE0402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ht="48" customHeight="1" spans="1:26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IFERROR(__xludf.DUMMYFUNCTION("""COMPUTED_VALUE"""),"CE0516")</f>
        <v>CE0516</v>
      </c>
      <c r="E62" s="2" t="str">
        <f>IFERROR(__xludf.DUMMYFUNCTION("""COMPUTED_VALUE"""),"19CE516")</f>
        <v>19CE516</v>
      </c>
      <c r="F62" s="7" t="str">
        <f>IFERROR(__xludf.DUMMYFUNCTION("""COMPUTED_VALUE"""),"Ground Improvement Techniques")</f>
        <v>Ground Improvement Techniques</v>
      </c>
      <c r="G62" s="2" t="str">
        <f>IFERROR(__xludf.DUMMYFUNCTION("""COMPUTED_VALUE"""),"-")</f>
        <v>-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ht="48" customHeight="1" spans="1:26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IFERROR(__xludf.DUMMYFUNCTION("""COMPUTED_VALUE"""),"NA")</f>
        <v>NA</v>
      </c>
      <c r="E63" s="2" t="str">
        <f>IFERROR(__xludf.DUMMYFUNCTION("""COMPUTED_VALUE"""),"19CE517")</f>
        <v>19CE517</v>
      </c>
      <c r="F63" s="7" t="str">
        <f>IFERROR(__xludf.DUMMYFUNCTION("""COMPUTED_VALUE"""),"Advanced Foundation Engineering")</f>
        <v>Advanced Foundation Engineering</v>
      </c>
      <c r="G63" s="2" t="str">
        <f>IFERROR(__xludf.DUMMYFUNCTION("""COMPUTED_VALUE"""),"19CE409")</f>
        <v>19CE409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ht="48" customHeight="1" spans="1:26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IFERROR(__xludf.DUMMYFUNCTION("""COMPUTED_VALUE"""),"NA")</f>
        <v>NA</v>
      </c>
      <c r="E64" s="2" t="str">
        <f>IFERROR(__xludf.DUMMYFUNCTION("""COMPUTED_VALUE"""),"19CE518")</f>
        <v>19CE518</v>
      </c>
      <c r="F64" s="7" t="str">
        <f>IFERROR(__xludf.DUMMYFUNCTION("""COMPUTED_VALUE"""),"Municipal Solid Waste Management")</f>
        <v>Municipal Solid Waste Management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ht="48" customHeight="1" spans="1:26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IFERROR(__xludf.DUMMYFUNCTION("""COMPUTED_VALUE"""),"NA")</f>
        <v>NA</v>
      </c>
      <c r="E65" s="2" t="str">
        <f>IFERROR(__xludf.DUMMYFUNCTION("""COMPUTED_VALUE"""),"19CE519")</f>
        <v>19CE519</v>
      </c>
      <c r="F65" s="7" t="str">
        <f>IFERROR(__xludf.DUMMYFUNCTION("""COMPUTED_VALUE"""),"Hazardous Waste Management")</f>
        <v>Hazardous Waste Management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ht="48" customHeight="1" spans="1:26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IFERROR(__xludf.DUMMYFUNCTION("""COMPUTED_VALUE"""),"CE0520")</f>
        <v>CE0520</v>
      </c>
      <c r="E66" s="2" t="str">
        <f>IFERROR(__xludf.DUMMYFUNCTION("""COMPUTED_VALUE"""),"19CE520")</f>
        <v>19CE520</v>
      </c>
      <c r="F66" s="7" t="str">
        <f>IFERROR(__xludf.DUMMYFUNCTION("""COMPUTED_VALUE"""),"Environmental Impact Assessment")</f>
        <v>Environmental Impact Assessment</v>
      </c>
      <c r="G66" s="2" t="str">
        <f>IFERROR(__xludf.DUMMYFUNCTION("""COMPUTED_VALUE"""),"19CE410 / CE0410")</f>
        <v>19CE410 / CE0410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ht="48" customHeight="1" spans="1:26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IFERROR(__xludf.DUMMYFUNCTION("""COMPUTED_VALUE"""),"CE0521")</f>
        <v>CE0521</v>
      </c>
      <c r="E67" s="2" t="str">
        <f>IFERROR(__xludf.DUMMYFUNCTION("""COMPUTED_VALUE"""),"19CE521")</f>
        <v>19CE521</v>
      </c>
      <c r="F67" s="7" t="str">
        <f>IFERROR(__xludf.DUMMYFUNCTION("""COMPUTED_VALUE"""),"Air Pollution Engineering")</f>
        <v>Air Pollution Engineering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ht="48" customHeight="1" spans="1:26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IFERROR(__xludf.DUMMYFUNCTION("""COMPUTED_VALUE"""),"CE0522")</f>
        <v>CE0522</v>
      </c>
      <c r="E68" s="2" t="str">
        <f>IFERROR(__xludf.DUMMYFUNCTION("""COMPUTED_VALUE"""),"19CE522")</f>
        <v>19CE522</v>
      </c>
      <c r="F68" s="7" t="str">
        <f>IFERROR(__xludf.DUMMYFUNCTION("""COMPUTED_VALUE"""),"Data Analytics in Environmental Engineering")</f>
        <v>Data Analytics in Environmental Engineering</v>
      </c>
      <c r="G68" s="2" t="str">
        <f>IFERROR(__xludf.DUMMYFUNCTION("""COMPUTED_VALUE"""),"19CE408")</f>
        <v>19CE408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ht="48" customHeight="1" spans="1:26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IFERROR(__xludf.DUMMYFUNCTION("""COMPUTED_VALUE"""),"CE0523")</f>
        <v>CE0523</v>
      </c>
      <c r="E69" s="2" t="str">
        <f>IFERROR(__xludf.DUMMYFUNCTION("""COMPUTED_VALUE"""),"19CE523")</f>
        <v>19CE523</v>
      </c>
      <c r="F69" s="7" t="str">
        <f>IFERROR(__xludf.DUMMYFUNCTION("""COMPUTED_VALUE"""),"Instrumentation for Pollution Monitoring and Management")</f>
        <v>Instrumentation for Pollution Monitoring and Management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ht="48" customHeight="1" spans="1:26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IFERROR(__xludf.DUMMYFUNCTION("""COMPUTED_VALUE"""),"CE0524")</f>
        <v>CE0524</v>
      </c>
      <c r="E70" s="2" t="str">
        <f>IFERROR(__xludf.DUMMYFUNCTION("""COMPUTED_VALUE"""),"19CE524")</f>
        <v>19CE524</v>
      </c>
      <c r="F70" s="7" t="str">
        <f>IFERROR(__xludf.DUMMYFUNCTION("""COMPUTED_VALUE"""),"Airport Engineering")</f>
        <v>Airport Engineering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ht="48" customHeight="1" spans="1:26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IFERROR(__xludf.DUMMYFUNCTION("""COMPUTED_VALUE"""),"NA")</f>
        <v>NA</v>
      </c>
      <c r="E71" s="2" t="str">
        <f>IFERROR(__xludf.DUMMYFUNCTION("""COMPUTED_VALUE"""),"19CE525")</f>
        <v>19CE525</v>
      </c>
      <c r="F71" s="7" t="str">
        <f>IFERROR(__xludf.DUMMYFUNCTION("""COMPUTED_VALUE"""),"Traffic Engineering")</f>
        <v>Traffic Engineering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ht="48" customHeight="1" spans="1:26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IFERROR(__xludf.DUMMYFUNCTION("""COMPUTED_VALUE"""),"CE0526")</f>
        <v>CE0526</v>
      </c>
      <c r="E72" s="2" t="str">
        <f>IFERROR(__xludf.DUMMYFUNCTION("""COMPUTED_VALUE"""),"19CE526")</f>
        <v>19CE526</v>
      </c>
      <c r="F72" s="7" t="str">
        <f>IFERROR(__xludf.DUMMYFUNCTION("""COMPUTED_VALUE"""),"Port and Harbour Engineering")</f>
        <v>Port and Harbour Engineering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ht="48" customHeight="1" spans="1:26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IFERROR(__xludf.DUMMYFUNCTION("""COMPUTED_VALUE"""),"CE0528")</f>
        <v>CE0528</v>
      </c>
      <c r="E73" s="2" t="str">
        <f>IFERROR(__xludf.DUMMYFUNCTION("""COMPUTED_VALUE"""),"19CE528")</f>
        <v>19CE528</v>
      </c>
      <c r="F73" s="7" t="str">
        <f>IFERROR(__xludf.DUMMYFUNCTION("""COMPUTED_VALUE"""),"Contract Laws and Regulations")</f>
        <v>Contract Laws and Regulations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ht="48" customHeight="1" spans="1:26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IFERROR(__xludf.DUMMYFUNCTION("""COMPUTED_VALUE"""),"NA")</f>
        <v>NA</v>
      </c>
      <c r="E74" s="2" t="str">
        <f>IFERROR(__xludf.DUMMYFUNCTION("""COMPUTED_VALUE"""),"19CE529")</f>
        <v>19CE529</v>
      </c>
      <c r="F74" s="7" t="str">
        <f>IFERROR(__xludf.DUMMYFUNCTION("""COMPUTED_VALUE"""),"Construction Planning and Scheduling")</f>
        <v>Construction Planning and Scheduling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ht="48" customHeight="1" spans="1:26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IFERROR(__xludf.DUMMYFUNCTION("""COMPUTED_VALUE"""),"NA")</f>
        <v>NA</v>
      </c>
      <c r="E75" s="2" t="str">
        <f>IFERROR(__xludf.DUMMYFUNCTION("""COMPUTED_VALUE"""),"19CE530")</f>
        <v>19CE530</v>
      </c>
      <c r="F75" s="7" t="str">
        <f>IFERROR(__xludf.DUMMYFUNCTION("""COMPUTED_VALUE"""),"Construction Equipment and Techniques")</f>
        <v>Construction Equipment and Techniques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ht="48" customHeight="1" spans="1:26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IFERROR(__xludf.DUMMYFUNCTION("""COMPUTED_VALUE"""),"CE0532")</f>
        <v>CE0532</v>
      </c>
      <c r="E76" s="2" t="str">
        <f>IFERROR(__xludf.DUMMYFUNCTION("""COMPUTED_VALUE"""),"19CE532")</f>
        <v>19CE532</v>
      </c>
      <c r="F76" s="7" t="str">
        <f>IFERROR(__xludf.DUMMYFUNCTION("""COMPUTED_VALUE"""),"Material Science and Engineering")</f>
        <v>Material Science and Engineering</v>
      </c>
      <c r="G76" s="2" t="str">
        <f>IFERROR(__xludf.DUMMYFUNCTION("""COMPUTED_VALUE"""),"19CE304")</f>
        <v>19CE304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ht="48" customHeight="1" spans="1:26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IFERROR(__xludf.DUMMYFUNCTION("""COMPUTED_VALUE"""),"CS1501")</f>
        <v>CS1501</v>
      </c>
      <c r="E77" s="2" t="str">
        <f>IFERROR(__xludf.DUMMYFUNCTION("""COMPUTED_VALUE"""),"19CS501")</f>
        <v>19CS501</v>
      </c>
      <c r="F77" s="7" t="str">
        <f>IFERROR(__xludf.DUMMYFUNCTION("""COMPUTED_VALUE"""),"Machine Learning")</f>
        <v>Machine Learning</v>
      </c>
      <c r="G77" s="2" t="str">
        <f>IFERROR(__xludf.DUMMYFUNCTION("""COMPUTED_VALUE"""),"19MA212/ 19MA218")</f>
        <v>19MA212/ 19MA218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ht="48" customHeight="1" spans="1:26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IFERROR(__xludf.DUMMYFUNCTION("""COMPUTED_VALUE"""),"CS1526")</f>
        <v>CS1526</v>
      </c>
      <c r="E78" s="2" t="str">
        <f>IFERROR(__xludf.DUMMYFUNCTION("""COMPUTED_VALUE"""),"19CS526")</f>
        <v>19CS526</v>
      </c>
      <c r="F78" s="3" t="str">
        <f>IFERROR(__xludf.DUMMYFUNCTION("""COMPUTED_VALUE"""),"R Programming")</f>
        <v>R Programming</v>
      </c>
      <c r="G78" s="2" t="str">
        <f>IFERROR(__xludf.DUMMYFUNCTION("""COMPUTED_VALUE"""),"19CS301/19CS303")</f>
        <v>19CS301/19CS303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ht="48" customHeight="1" spans="1:26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IFERROR(__xludf.DUMMYFUNCTION("""COMPUTED_VALUE"""),"CS1519")</f>
        <v>CS1519</v>
      </c>
      <c r="E79" s="2" t="str">
        <f>IFERROR(__xludf.DUMMYFUNCTION("""COMPUTED_VALUE"""),"19CS519")</f>
        <v>19CS519</v>
      </c>
      <c r="F79" s="7" t="str">
        <f>IFERROR(__xludf.DUMMYFUNCTION("""COMPUTED_VALUE"""),"Data Science")</f>
        <v>Data Science</v>
      </c>
      <c r="G79" s="2" t="str">
        <f>IFERROR(__xludf.DUMMYFUNCTION("""COMPUTED_VALUE"""),"19CS301/19CS501")</f>
        <v>19CS301/19CS501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ht="48" customHeight="1" spans="1:26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IFERROR(__xludf.DUMMYFUNCTION("""COMPUTED_VALUE"""),"CS1529")</f>
        <v>CS1529</v>
      </c>
      <c r="E80" s="2" t="str">
        <f>IFERROR(__xludf.DUMMYFUNCTION("""COMPUTED_VALUE"""),"19CS529")</f>
        <v>19CS529</v>
      </c>
      <c r="F80" s="7" t="str">
        <f>IFERROR(__xludf.DUMMYFUNCTION("""COMPUTED_VALUE"""),"Quantum Computing")</f>
        <v>Quantum Computing</v>
      </c>
      <c r="G80" s="2" t="str">
        <f>IFERROR(__xludf.DUMMYFUNCTION("""COMPUTED_VALUE"""),"19CS301/19CS303")</f>
        <v>19CS301/19CS303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ht="48" customHeight="1" spans="1:26">
      <c r="A81" s="2">
        <f>IFERROR(__xludf.DUMMYFUNCTION("""COMPUTED_VALUE"""),79)</f>
        <v>79</v>
      </c>
      <c r="B81" s="2"/>
      <c r="C81" s="2" t="str">
        <f>IFERROR(__xludf.DUMMYFUNCTION("""COMPUTED_VALUE"""),"PE(Honours 1)")</f>
        <v>PE(Honours 1)</v>
      </c>
      <c r="D81" s="2" t="str">
        <f>IFERROR(__xludf.DUMMYFUNCTION("""COMPUTED_VALUE"""),"CE0527")</f>
        <v>CE0527</v>
      </c>
      <c r="E81" s="2" t="str">
        <f>IFERROR(__xludf.DUMMYFUNCTION("""COMPUTED_VALUE"""),"19CE527")</f>
        <v>19CE527</v>
      </c>
      <c r="F81" s="7" t="str">
        <f>IFERROR(__xludf.DUMMYFUNCTION("""COMPUTED_VALUE"""),"Construction Engineering and Occupational Safety")</f>
        <v>Construction Engineering and Occupational Safety</v>
      </c>
      <c r="G81" s="2" t="str">
        <f>IFERROR(__xludf.DUMMYFUNCTION("""COMPUTED_VALUE"""),"-")</f>
        <v>-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ht="48" customHeight="1" spans="1:26">
      <c r="A82" s="2">
        <f>IFERROR(__xludf.DUMMYFUNCTION("""COMPUTED_VALUE"""),80)</f>
        <v>80</v>
      </c>
      <c r="B82" s="2"/>
      <c r="C82" s="2" t="str">
        <f>IFERROR(__xludf.DUMMYFUNCTION("""COMPUTED_VALUE"""),"PE(Honours 1)")</f>
        <v>PE(Honours 1)</v>
      </c>
      <c r="D82" s="2" t="str">
        <f>IFERROR(__xludf.DUMMYFUNCTION("""COMPUTED_VALUE"""),"CE0531")</f>
        <v>CE0531</v>
      </c>
      <c r="E82" s="2" t="str">
        <f>IFERROR(__xludf.DUMMYFUNCTION("""COMPUTED_VALUE"""),"19CE531")</f>
        <v>19CE531</v>
      </c>
      <c r="F82" s="7" t="str">
        <f>IFERROR(__xludf.DUMMYFUNCTION("""COMPUTED_VALUE"""),"Construction Project Management")</f>
        <v>Construction Project Management</v>
      </c>
      <c r="G82" s="2" t="str">
        <f>IFERROR(__xludf.DUMMYFUNCTION("""COMPUTED_VALUE"""),"-")</f>
        <v>-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ht="48" customHeight="1" spans="1:26">
      <c r="A83" s="2">
        <f>IFERROR(__xludf.DUMMYFUNCTION("""COMPUTED_VALUE"""),81)</f>
        <v>81</v>
      </c>
      <c r="B83" s="2"/>
      <c r="C83" s="2" t="str">
        <f>IFERROR(__xludf.DUMMYFUNCTION("""COMPUTED_VALUE"""),"PE(Honours 1)")</f>
        <v>PE(Honours 1)</v>
      </c>
      <c r="D83" s="2" t="str">
        <f>IFERROR(__xludf.DUMMYFUNCTION("""COMPUTED_VALUE"""),"CE0503")</f>
        <v>CE0503</v>
      </c>
      <c r="E83" s="2" t="str">
        <f>IFERROR(__xludf.DUMMYFUNCTION("""COMPUTED_VALUE"""),"19CE503")</f>
        <v>19CE503</v>
      </c>
      <c r="F83" s="7" t="str">
        <f>IFERROR(__xludf.DUMMYFUNCTION("""COMPUTED_VALUE"""),"Prefabricated Structures")</f>
        <v>Prefabricated Structures</v>
      </c>
      <c r="G83" s="2" t="str">
        <f>IFERROR(__xludf.DUMMYFUNCTION("""COMPUTED_VALUE"""),"-")</f>
        <v>-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ht="48" customHeight="1" spans="1:26">
      <c r="A84" s="2">
        <f>IFERROR(__xludf.DUMMYFUNCTION("""COMPUTED_VALUE"""),82)</f>
        <v>82</v>
      </c>
      <c r="B84" s="2"/>
      <c r="C84" s="2" t="str">
        <f>IFERROR(__xludf.DUMMYFUNCTION("""COMPUTED_VALUE"""),"PE(Honours 1)")</f>
        <v>PE(Honours 1)</v>
      </c>
      <c r="D84" s="2" t="str">
        <f>IFERROR(__xludf.DUMMYFUNCTION("""COMPUTED_VALUE"""),"CE0533")</f>
        <v>CE0533</v>
      </c>
      <c r="E84" s="2" t="str">
        <f>IFERROR(__xludf.DUMMYFUNCTION("""COMPUTED_VALUE"""),"19CE533")</f>
        <v>19CE533</v>
      </c>
      <c r="F84" s="7" t="str">
        <f>IFERROR(__xludf.DUMMYFUNCTION("""COMPUTED_VALUE"""),"Watershed Conservation and Management")</f>
        <v>Watershed Conservation and Management</v>
      </c>
      <c r="G84" s="2" t="str">
        <f>IFERROR(__xludf.DUMMYFUNCTION("""COMPUTED_VALUE"""),"-")</f>
        <v>-</v>
      </c>
      <c r="H84" s="2">
        <f>IFERROR(__xludf.DUMMYFUNCTION("""COMPUTED_VALUE"""),3)</f>
        <v>3</v>
      </c>
      <c r="I84" s="2">
        <f>IFERROR(__xludf.DUMMYFUNCTION("""COMPUTED_VALUE"""),0)</f>
        <v>0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IFERROR(__xludf.DUMMYFUNCTION("""COMPUTED_VALUE"""),"Theory")</f>
        <v>Theory</v>
      </c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ht="48" customHeight="1" spans="1:26">
      <c r="A85" s="2">
        <f>IFERROR(__xludf.DUMMYFUNCTION("""COMPUTED_VALUE"""),83)</f>
        <v>83</v>
      </c>
      <c r="B85" s="2"/>
      <c r="C85" s="2" t="str">
        <f>IFERROR(__xludf.DUMMYFUNCTION("""COMPUTED_VALUE"""),"PE(Honours 1)")</f>
        <v>PE(Honours 1)</v>
      </c>
      <c r="D85" s="2" t="str">
        <f>IFERROR(__xludf.DUMMYFUNCTION("""COMPUTED_VALUE"""),"CE0534")</f>
        <v>CE0534</v>
      </c>
      <c r="E85" s="2" t="str">
        <f>IFERROR(__xludf.DUMMYFUNCTION("""COMPUTED_VALUE"""),"19CE534")</f>
        <v>19CE534</v>
      </c>
      <c r="F85" s="7" t="str">
        <f>IFERROR(__xludf.DUMMYFUNCTION("""COMPUTED_VALUE"""),"Analysis and Design of Deep Foundations")</f>
        <v>Analysis and Design of Deep Foundations</v>
      </c>
      <c r="G85" s="2" t="str">
        <f>IFERROR(__xludf.DUMMYFUNCTION("""COMPUTED_VALUE"""),"-")</f>
        <v>-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ht="48" customHeight="1" spans="1:26">
      <c r="A86" s="2">
        <f>IFERROR(__xludf.DUMMYFUNCTION("""COMPUTED_VALUE"""),84)</f>
        <v>84</v>
      </c>
      <c r="B86" s="2"/>
      <c r="C86" s="2" t="str">
        <f>IFERROR(__xludf.DUMMYFUNCTION("""COMPUTED_VALUE"""),"PE(Honours 1)")</f>
        <v>PE(Honours 1)</v>
      </c>
      <c r="D86" s="2" t="str">
        <f>IFERROR(__xludf.DUMMYFUNCTION("""COMPUTED_VALUE"""),"CE0535")</f>
        <v>CE0535</v>
      </c>
      <c r="E86" s="2" t="str">
        <f>IFERROR(__xludf.DUMMYFUNCTION("""COMPUTED_VALUE"""),"19CE535")</f>
        <v>19CE535</v>
      </c>
      <c r="F86" s="7" t="str">
        <f>IFERROR(__xludf.DUMMYFUNCTION("""COMPUTED_VALUE"""),"UAV and Drone Technology for Mapping")</f>
        <v>UAV and Drone Technology for Mapping</v>
      </c>
      <c r="G86" s="2" t="str">
        <f>IFERROR(__xludf.DUMMYFUNCTION("""COMPUTED_VALUE"""),"-")</f>
        <v>-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ht="48" customHeight="1" spans="1:26">
      <c r="A87" s="2">
        <f>IFERROR(__xludf.DUMMYFUNCTION("""COMPUTED_VALUE"""),85)</f>
        <v>85</v>
      </c>
      <c r="B87" s="2"/>
      <c r="C87" s="2" t="str">
        <f>IFERROR(__xludf.DUMMYFUNCTION("""COMPUTED_VALUE"""),"PE(Honours 1)")</f>
        <v>PE(Honours 1)</v>
      </c>
      <c r="D87" s="2" t="str">
        <f>IFERROR(__xludf.DUMMYFUNCTION("""COMPUTED_VALUE"""),"CE0536")</f>
        <v>CE0536</v>
      </c>
      <c r="E87" s="2" t="str">
        <f>IFERROR(__xludf.DUMMYFUNCTION("""COMPUTED_VALUE"""),"19CE536")</f>
        <v>19CE536</v>
      </c>
      <c r="F87" s="7" t="str">
        <f>IFERROR(__xludf.DUMMYFUNCTION("""COMPUTED_VALUE"""),"Solid and Hazardous Waste Management")</f>
        <v>Solid and Hazardous Waste Management</v>
      </c>
      <c r="G87" s="2" t="str">
        <f>IFERROR(__xludf.DUMMYFUNCTION("""COMPUTED_VALUE"""),"-")</f>
        <v>-</v>
      </c>
      <c r="H87" s="2">
        <f>IFERROR(__xludf.DUMMYFUNCTION("""COMPUTED_VALUE"""),3)</f>
        <v>3</v>
      </c>
      <c r="I87" s="2">
        <f>IFERROR(__xludf.DUMMYFUNCTION("""COMPUTED_VALUE"""),0)</f>
        <v>0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IFERROR(__xludf.DUMMYFUNCTION("""COMPUTED_VALUE"""),"Theory")</f>
        <v>Theory</v>
      </c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ht="48" customHeight="1" spans="1:26">
      <c r="A88" s="2">
        <f>IFERROR(__xludf.DUMMYFUNCTION("""COMPUTED_VALUE"""),86)</f>
        <v>86</v>
      </c>
      <c r="B88" s="2"/>
      <c r="C88" s="2" t="str">
        <f>IFERROR(__xludf.DUMMYFUNCTION("""COMPUTED_VALUE"""),"PE(Honours 1)")</f>
        <v>PE(Honours 1)</v>
      </c>
      <c r="D88" s="2" t="str">
        <f>IFERROR(__xludf.DUMMYFUNCTION("""COMPUTED_VALUE"""),"CE0537")</f>
        <v>CE0537</v>
      </c>
      <c r="E88" s="2" t="str">
        <f>IFERROR(__xludf.DUMMYFUNCTION("""COMPUTED_VALUE"""),"19CE537")</f>
        <v>19CE537</v>
      </c>
      <c r="F88" s="7" t="str">
        <f>IFERROR(__xludf.DUMMYFUNCTION("""COMPUTED_VALUE"""),"Intelligent Transport Systems")</f>
        <v>Intelligent Transport Systems</v>
      </c>
      <c r="G88" s="2" t="str">
        <f>IFERROR(__xludf.DUMMYFUNCTION("""COMPUTED_VALUE"""),"-")</f>
        <v>-</v>
      </c>
      <c r="H88" s="2">
        <f>IFERROR(__xludf.DUMMYFUNCTION("""COMPUTED_VALUE"""),3)</f>
        <v>3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IFERROR(__xludf.DUMMYFUNCTION("""COMPUTED_VALUE"""),"Theory")</f>
        <v>Theory</v>
      </c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ht="48" customHeight="1" spans="1:26">
      <c r="A89" s="2">
        <f>IFERROR(__xludf.DUMMYFUNCTION("""COMPUTED_VALUE"""),87)</f>
        <v>87</v>
      </c>
      <c r="B89" s="2"/>
      <c r="C89" s="2" t="str">
        <f>IFERROR(__xludf.DUMMYFUNCTION("""COMPUTED_VALUE"""),"PE(Honours 2)")</f>
        <v>PE(Honours 2)</v>
      </c>
      <c r="D89" s="2" t="str">
        <f>IFERROR(__xludf.DUMMYFUNCTION("""COMPUTED_VALUE"""),"CE0539")</f>
        <v>CE0539</v>
      </c>
      <c r="E89" s="2" t="str">
        <f>IFERROR(__xludf.DUMMYFUNCTION("""COMPUTED_VALUE"""),"19CE539")</f>
        <v>19CE539</v>
      </c>
      <c r="F89" s="7" t="str">
        <f>IFERROR(__xludf.DUMMYFUNCTION("""COMPUTED_VALUE"""),"Advanced Construction Techniques")</f>
        <v>Advanced Construction Techniques</v>
      </c>
      <c r="G89" s="2" t="str">
        <f>IFERROR(__xludf.DUMMYFUNCTION("""COMPUTED_VALUE"""),"-")</f>
        <v>-</v>
      </c>
      <c r="H89" s="2">
        <f>IFERROR(__xludf.DUMMYFUNCTION("""COMPUTED_VALUE"""),3)</f>
        <v>3</v>
      </c>
      <c r="I89" s="2">
        <f>IFERROR(__xludf.DUMMYFUNCTION("""COMPUTED_VALUE"""),0)</f>
        <v>0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IFERROR(__xludf.DUMMYFUNCTION("""COMPUTED_VALUE"""),"Theory")</f>
        <v>Theory</v>
      </c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ht="48" customHeight="1" spans="1:26">
      <c r="A90" s="2">
        <f>IFERROR(__xludf.DUMMYFUNCTION("""COMPUTED_VALUE"""),88)</f>
        <v>88</v>
      </c>
      <c r="B90" s="2"/>
      <c r="C90" s="2" t="str">
        <f>IFERROR(__xludf.DUMMYFUNCTION("""COMPUTED_VALUE"""),"PE(Honours 2)")</f>
        <v>PE(Honours 2)</v>
      </c>
      <c r="D90" s="2" t="str">
        <f>IFERROR(__xludf.DUMMYFUNCTION("""COMPUTED_VALUE"""),"CE0541")</f>
        <v>CE0541</v>
      </c>
      <c r="E90" s="2" t="str">
        <f>IFERROR(__xludf.DUMMYFUNCTION("""COMPUTED_VALUE"""),"19CE541")</f>
        <v>19CE541</v>
      </c>
      <c r="F90" s="7" t="str">
        <f>IFERROR(__xludf.DUMMYFUNCTION("""COMPUTED_VALUE"""),"Precast Technology")</f>
        <v>Precast Technology</v>
      </c>
      <c r="G90" s="2" t="str">
        <f>IFERROR(__xludf.DUMMYFUNCTION("""COMPUTED_VALUE"""),"-")</f>
        <v>-</v>
      </c>
      <c r="H90" s="2">
        <f>IFERROR(__xludf.DUMMYFUNCTION("""COMPUTED_VALUE"""),3)</f>
        <v>3</v>
      </c>
      <c r="I90" s="2">
        <f>IFERROR(__xludf.DUMMYFUNCTION("""COMPUTED_VALUE"""),0)</f>
        <v>0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IFERROR(__xludf.DUMMYFUNCTION("""COMPUTED_VALUE"""),"Theory")</f>
        <v>Theory</v>
      </c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ht="48" customHeight="1" spans="1:26">
      <c r="A91" s="2">
        <f>IFERROR(__xludf.DUMMYFUNCTION("""COMPUTED_VALUE"""),89)</f>
        <v>89</v>
      </c>
      <c r="B91" s="2"/>
      <c r="C91" s="2" t="str">
        <f>IFERROR(__xludf.DUMMYFUNCTION("""COMPUTED_VALUE"""),"PE(Honours 2)")</f>
        <v>PE(Honours 2)</v>
      </c>
      <c r="D91" s="2" t="str">
        <f>IFERROR(__xludf.DUMMYFUNCTION("""COMPUTED_VALUE"""),"CE0542")</f>
        <v>CE0542</v>
      </c>
      <c r="E91" s="2" t="str">
        <f>IFERROR(__xludf.DUMMYFUNCTION("""COMPUTED_VALUE"""),"19CE542")</f>
        <v>19CE542</v>
      </c>
      <c r="F91" s="7" t="str">
        <f>IFERROR(__xludf.DUMMYFUNCTION("""COMPUTED_VALUE"""),"Urban Water Infrastructure")</f>
        <v>Urban Water Infrastructure</v>
      </c>
      <c r="G91" s="2" t="str">
        <f>IFERROR(__xludf.DUMMYFUNCTION("""COMPUTED_VALUE"""),"-")</f>
        <v>-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ht="48" customHeight="1" spans="1:26">
      <c r="A92" s="2">
        <f>IFERROR(__xludf.DUMMYFUNCTION("""COMPUTED_VALUE"""),90)</f>
        <v>90</v>
      </c>
      <c r="B92" s="2"/>
      <c r="C92" s="2" t="str">
        <f>IFERROR(__xludf.DUMMYFUNCTION("""COMPUTED_VALUE"""),"PE(Honours 2)")</f>
        <v>PE(Honours 2)</v>
      </c>
      <c r="D92" s="2" t="str">
        <f>IFERROR(__xludf.DUMMYFUNCTION("""COMPUTED_VALUE"""),"CE0543")</f>
        <v>CE0543</v>
      </c>
      <c r="E92" s="2" t="str">
        <f>IFERROR(__xludf.DUMMYFUNCTION("""COMPUTED_VALUE"""),"19CE543")</f>
        <v>19CE543</v>
      </c>
      <c r="F92" s="7" t="str">
        <f>IFERROR(__xludf.DUMMYFUNCTION("""COMPUTED_VALUE"""),"Tunneling Engineering")</f>
        <v>Tunneling Engineering</v>
      </c>
      <c r="G92" s="2" t="str">
        <f>IFERROR(__xludf.DUMMYFUNCTION("""COMPUTED_VALUE"""),"-")</f>
        <v>-</v>
      </c>
      <c r="H92" s="2">
        <f>IFERROR(__xludf.DUMMYFUNCTION("""COMPUTED_VALUE"""),3)</f>
        <v>3</v>
      </c>
      <c r="I92" s="2">
        <f>IFERROR(__xludf.DUMMYFUNCTION("""COMPUTED_VALUE"""),0)</f>
        <v>0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IFERROR(__xludf.DUMMYFUNCTION("""COMPUTED_VALUE"""),"Theory")</f>
        <v>Theory</v>
      </c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ht="48" customHeight="1" spans="1:26">
      <c r="A93" s="2">
        <f>IFERROR(__xludf.DUMMYFUNCTION("""COMPUTED_VALUE"""),91)</f>
        <v>91</v>
      </c>
      <c r="B93" s="2"/>
      <c r="C93" s="2" t="str">
        <f>IFERROR(__xludf.DUMMYFUNCTION("""COMPUTED_VALUE"""),"PE(Honours 2)")</f>
        <v>PE(Honours 2)</v>
      </c>
      <c r="D93" s="2" t="str">
        <f>IFERROR(__xludf.DUMMYFUNCTION("""COMPUTED_VALUE"""),"CE0544")</f>
        <v>CE0544</v>
      </c>
      <c r="E93" s="2" t="str">
        <f>IFERROR(__xludf.DUMMYFUNCTION("""COMPUTED_VALUE"""),"19CE544")</f>
        <v>19CE544</v>
      </c>
      <c r="F93" s="7" t="str">
        <f>IFERROR(__xludf.DUMMYFUNCTION("""COMPUTED_VALUE"""),"Spatial Data Infrastructure and Management")</f>
        <v>Spatial Data Infrastructure and Management</v>
      </c>
      <c r="G93" s="2" t="str">
        <f>IFERROR(__xludf.DUMMYFUNCTION("""COMPUTED_VALUE"""),"-")</f>
        <v>-</v>
      </c>
      <c r="H93" s="2">
        <f>IFERROR(__xludf.DUMMYFUNCTION("""COMPUTED_VALUE"""),3)</f>
        <v>3</v>
      </c>
      <c r="I93" s="2">
        <f>IFERROR(__xludf.DUMMYFUNCTION("""COMPUTED_VALUE"""),0)</f>
        <v>0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IFERROR(__xludf.DUMMYFUNCTION("""COMPUTED_VALUE"""),"Theory")</f>
        <v>Theory</v>
      </c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ht="48" customHeight="1" spans="1:26">
      <c r="A94" s="2">
        <f>IFERROR(__xludf.DUMMYFUNCTION("""COMPUTED_VALUE"""),92)</f>
        <v>92</v>
      </c>
      <c r="B94" s="2"/>
      <c r="C94" s="2" t="str">
        <f>IFERROR(__xludf.DUMMYFUNCTION("""COMPUTED_VALUE"""),"PE(Honours 2)")</f>
        <v>PE(Honours 2)</v>
      </c>
      <c r="D94" s="2" t="str">
        <f>IFERROR(__xludf.DUMMYFUNCTION("""COMPUTED_VALUE"""),"CE0545")</f>
        <v>CE0545</v>
      </c>
      <c r="E94" s="2" t="str">
        <f>IFERROR(__xludf.DUMMYFUNCTION("""COMPUTED_VALUE"""),"19CE545")</f>
        <v>19CE545</v>
      </c>
      <c r="F94" s="7" t="str">
        <f>IFERROR(__xludf.DUMMYFUNCTION("""COMPUTED_VALUE"""),"Water Quality and Management")</f>
        <v>Water Quality and Management</v>
      </c>
      <c r="G94" s="2" t="str">
        <f>IFERROR(__xludf.DUMMYFUNCTION("""COMPUTED_VALUE"""),"-")</f>
        <v>-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ht="48" customHeight="1" spans="1:26">
      <c r="A95" s="2">
        <f>IFERROR(__xludf.DUMMYFUNCTION("""COMPUTED_VALUE"""),93)</f>
        <v>93</v>
      </c>
      <c r="B95" s="2"/>
      <c r="C95" s="2" t="str">
        <f>IFERROR(__xludf.DUMMYFUNCTION("""COMPUTED_VALUE"""),"PE(Honours 2)")</f>
        <v>PE(Honours 2)</v>
      </c>
      <c r="D95" s="2" t="str">
        <f>IFERROR(__xludf.DUMMYFUNCTION("""COMPUTED_VALUE"""),"CE0546")</f>
        <v>CE0546</v>
      </c>
      <c r="E95" s="2" t="str">
        <f>IFERROR(__xludf.DUMMYFUNCTION("""COMPUTED_VALUE"""),"19CE546")</f>
        <v>19CE546</v>
      </c>
      <c r="F95" s="7" t="str">
        <f>IFERROR(__xludf.DUMMYFUNCTION("""COMPUTED_VALUE"""),"Urban Infrastructure and Smart Cities")</f>
        <v>Urban Infrastructure and Smart Cities</v>
      </c>
      <c r="G95" s="2" t="str">
        <f>IFERROR(__xludf.DUMMYFUNCTION("""COMPUTED_VALUE"""),"-")</f>
        <v>-</v>
      </c>
      <c r="H95" s="2">
        <f>IFERROR(__xludf.DUMMYFUNCTION("""COMPUTED_VALUE"""),3)</f>
        <v>3</v>
      </c>
      <c r="I95" s="2">
        <f>IFERROR(__xludf.DUMMYFUNCTION("""COMPUTED_VALUE"""),0)</f>
        <v>0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IFERROR(__xludf.DUMMYFUNCTION("""COMPUTED_VALUE"""),"Theory")</f>
        <v>Theory</v>
      </c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ht="48" customHeight="1" spans="1:26">
      <c r="A96" s="2">
        <f>IFERROR(__xludf.DUMMYFUNCTION("""COMPUTED_VALUE"""),94)</f>
        <v>94</v>
      </c>
      <c r="B96" s="2"/>
      <c r="C96" s="2" t="str">
        <f>IFERROR(__xludf.DUMMYFUNCTION("""COMPUTED_VALUE"""),"PE(Honours 2)")</f>
        <v>PE(Honours 2)</v>
      </c>
      <c r="D96" s="2" t="str">
        <f>IFERROR(__xludf.DUMMYFUNCTION("""COMPUTED_VALUE"""),"CE0547")</f>
        <v>CE0547</v>
      </c>
      <c r="E96" s="2" t="str">
        <f>IFERROR(__xludf.DUMMYFUNCTION("""COMPUTED_VALUE"""),"19CE547")</f>
        <v>19CE547</v>
      </c>
      <c r="F96" s="7" t="str">
        <f>IFERROR(__xludf.DUMMYFUNCTION("""COMPUTED_VALUE"""),"Construction Equipment and Machinery")</f>
        <v>Construction Equipment and Machinery</v>
      </c>
      <c r="G96" s="2" t="str">
        <f>IFERROR(__xludf.DUMMYFUNCTION("""COMPUTED_VALUE"""),"-")</f>
        <v>-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ht="48" customHeight="1" spans="1:26">
      <c r="A97" s="2">
        <f>IFERROR(__xludf.DUMMYFUNCTION("""COMPUTED_VALUE"""),95)</f>
        <v>95</v>
      </c>
      <c r="B97" s="2"/>
      <c r="C97" s="2" t="str">
        <f>IFERROR(__xludf.DUMMYFUNCTION("""COMPUTED_VALUE"""),"OE")</f>
        <v>OE</v>
      </c>
      <c r="D97" s="2" t="str">
        <f>IFERROR(__xludf.DUMMYFUNCTION("""COMPUTED_VALUE"""),"XXXXXX")</f>
        <v>XXXXXX</v>
      </c>
      <c r="E97" s="2" t="str">
        <f>IFERROR(__xludf.DUMMYFUNCTION("""COMPUTED_VALUE"""),"19XXXXX")</f>
        <v>19XXXXX</v>
      </c>
      <c r="F97" s="3" t="str">
        <f>IFERROR(__xludf.DUMMYFUNCTION("""COMPUTED_VALUE"""),"Online Courses")</f>
        <v>Online Courses</v>
      </c>
      <c r="G97" s="2" t="str">
        <f>IFERROR(__xludf.DUMMYFUNCTION("""COMPUTED_VALUE"""),"-")</f>
        <v>-</v>
      </c>
      <c r="H97" s="2">
        <f>IFERROR(__xludf.DUMMYFUNCTION("""COMPUTED_VALUE"""),0)</f>
        <v>0</v>
      </c>
      <c r="I97" s="2">
        <f>IFERROR(__xludf.DUMMYFUNCTION("""COMPUTED_VALUE"""),0)</f>
        <v>0</v>
      </c>
      <c r="J97" s="2">
        <f>IFERROR(__xludf.DUMMYFUNCTION("""COMPUTED_VALUE"""),0)</f>
        <v>0</v>
      </c>
      <c r="K97" s="2" t="str">
        <f>IFERROR(__xludf.DUMMYFUNCTION("""COMPUTED_VALUE"""),"CGPA")</f>
        <v>CGPA</v>
      </c>
      <c r="L97" s="2" t="str">
        <f>IFERROR(__xludf.DUMMYFUNCTION("""COMPUTED_VALUE"""),"Experiential Learning")</f>
        <v>Experiential Learning</v>
      </c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ht="48" customHeight="1" spans="1:26">
      <c r="A98" s="2">
        <f>IFERROR(__xludf.DUMMYFUNCTION("""COMPUTED_VALUE"""),96)</f>
        <v>96</v>
      </c>
      <c r="B98" s="2"/>
      <c r="C98" s="2" t="str">
        <f>IFERROR(__xludf.DUMMYFUNCTION("""COMPUTED_VALUE"""),"OE")</f>
        <v>OE</v>
      </c>
      <c r="D98" s="2" t="str">
        <f>IFERROR(__xludf.DUMMYFUNCTION("""COMPUTED_VALUE"""),"XXXXXX")</f>
        <v>XXXXXX</v>
      </c>
      <c r="E98" s="2" t="str">
        <f>IFERROR(__xludf.DUMMYFUNCTION("""COMPUTED_VALUE"""),"19XXXXX")</f>
        <v>19XXXXX</v>
      </c>
      <c r="F98" s="3" t="str">
        <f>IFERROR(__xludf.DUMMYFUNCTION("""COMPUTED_VALUE"""),"Open Electives")</f>
        <v>Open Electives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 t="str">
        <f>IFERROR(__xludf.DUMMYFUNCTION("""COMPUTED_VALUE"""),"CGPA")</f>
        <v>CGPA</v>
      </c>
      <c r="L98" s="2" t="str">
        <f>IFERROR(__xludf.DUMMYFUNCTION("""COMPUTED_VALUE"""),"Theory")</f>
        <v>Theory</v>
      </c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ht="48" customHeight="1" spans="1:26">
      <c r="A99" s="2">
        <f>IFERROR(__xludf.DUMMYFUNCTION("""COMPUTED_VALUE"""),97)</f>
        <v>97</v>
      </c>
      <c r="B99" s="2"/>
      <c r="C99" s="2" t="str">
        <f>IFERROR(__xludf.DUMMYFUNCTION("""COMPUTED_VALUE"""),"EEC")</f>
        <v>EEC</v>
      </c>
      <c r="D99" s="2" t="str">
        <f>IFERROR(__xludf.DUMMYFUNCTION("""COMPUTED_VALUE"""),"CE0701")</f>
        <v>CE0701</v>
      </c>
      <c r="E99" s="2" t="str">
        <f>IFERROR(__xludf.DUMMYFUNCTION("""COMPUTED_VALUE"""),"19CE701")</f>
        <v>19CE701</v>
      </c>
      <c r="F99" s="7" t="str">
        <f>IFERROR(__xludf.DUMMYFUNCTION("""COMPUTED_VALUE"""),"Mini Project")</f>
        <v>Mini Project</v>
      </c>
      <c r="G99" s="2" t="str">
        <f>IFERROR(__xludf.DUMMYFUNCTION("""COMPUTED_VALUE"""),"-")</f>
        <v>-</v>
      </c>
      <c r="H99" s="2">
        <f>IFERROR(__xludf.DUMMYFUNCTION("""COMPUTED_VALUE"""),0)</f>
        <v>0</v>
      </c>
      <c r="I99" s="2">
        <f>IFERROR(__xludf.DUMMYFUNCTION("""COMPUTED_VALUE"""),2)</f>
        <v>2</v>
      </c>
      <c r="J99" s="2">
        <f>IFERROR(__xludf.DUMMYFUNCTION("""COMPUTED_VALUE"""),2)</f>
        <v>2</v>
      </c>
      <c r="K99" s="2" t="str">
        <f>IFERROR(__xludf.DUMMYFUNCTION("""COMPUTED_VALUE"""),"CGPA")</f>
        <v>CGPA</v>
      </c>
      <c r="L99" s="2" t="str">
        <f>IFERROR(__xludf.DUMMYFUNCTION("""COMPUTED_VALUE"""),"Project (Int Only)")</f>
        <v>Project (Int Only)</v>
      </c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ht="48" customHeight="1" spans="1:26">
      <c r="A100" s="2">
        <f>IFERROR(__xludf.DUMMYFUNCTION("""COMPUTED_VALUE"""),98)</f>
        <v>98</v>
      </c>
      <c r="B100" s="2"/>
      <c r="C100" s="2" t="str">
        <f>IFERROR(__xludf.DUMMYFUNCTION("""COMPUTED_VALUE"""),"EEC")</f>
        <v>EEC</v>
      </c>
      <c r="D100" s="2" t="str">
        <f>IFERROR(__xludf.DUMMYFUNCTION("""COMPUTED_VALUE"""),"CE0702")</f>
        <v>CE0702</v>
      </c>
      <c r="E100" s="2" t="str">
        <f>IFERROR(__xludf.DUMMYFUNCTION("""COMPUTED_VALUE"""),"19CE702")</f>
        <v>19CE702</v>
      </c>
      <c r="F100" s="7" t="str">
        <f>IFERROR(__xludf.DUMMYFUNCTION("""COMPUTED_VALUE"""),"Project Work Phase I")</f>
        <v>Project Work Phase I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IFERROR(__xludf.DUMMYFUNCTION("""COMPUTED_VALUE"""),2)</f>
        <v>2</v>
      </c>
      <c r="J100" s="2">
        <f>IFERROR(__xludf.DUMMYFUNCTION("""COMPUTED_VALUE"""),2)</f>
        <v>2</v>
      </c>
      <c r="K100" s="2" t="str">
        <f>IFERROR(__xludf.DUMMYFUNCTION("""COMPUTED_VALUE"""),"CGPA")</f>
        <v>CGPA</v>
      </c>
      <c r="L100" s="2" t="str">
        <f>IFERROR(__xludf.DUMMYFUNCTION("""COMPUTED_VALUE"""),"Project (Int Only)")</f>
        <v>Project (Int Only)</v>
      </c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ht="48" customHeight="1" spans="1:26">
      <c r="A101" s="2">
        <f>IFERROR(__xludf.DUMMYFUNCTION("""COMPUTED_VALUE"""),99)</f>
        <v>99</v>
      </c>
      <c r="B101" s="2"/>
      <c r="C101" s="2" t="str">
        <f>IFERROR(__xludf.DUMMYFUNCTION("""COMPUTED_VALUE"""),"EEC")</f>
        <v>EEC</v>
      </c>
      <c r="D101" s="2" t="str">
        <f>IFERROR(__xludf.DUMMYFUNCTION("""COMPUTED_VALUE"""),"CE0703")</f>
        <v>CE0703</v>
      </c>
      <c r="E101" s="2" t="str">
        <f>IFERROR(__xludf.DUMMYFUNCTION("""COMPUTED_VALUE"""),"19CE703")</f>
        <v>19CE703</v>
      </c>
      <c r="F101" s="7" t="str">
        <f>IFERROR(__xludf.DUMMYFUNCTION("""COMPUTED_VALUE"""),"Project Work Phase II")</f>
        <v>Project Work Phase II</v>
      </c>
      <c r="G101" s="2" t="str">
        <f>IFERROR(__xludf.DUMMYFUNCTION("""COMPUTED_VALUE"""),"19CE702 / CE0702")</f>
        <v>19CE702 / CE0702</v>
      </c>
      <c r="H101" s="2">
        <f>IFERROR(__xludf.DUMMYFUNCTION("""COMPUTED_VALUE"""),0)</f>
        <v>0</v>
      </c>
      <c r="I101" s="2">
        <f>IFERROR(__xludf.DUMMYFUNCTION("""COMPUTED_VALUE"""),6)</f>
        <v>6</v>
      </c>
      <c r="J101" s="2">
        <f>IFERROR(__xludf.DUMMYFUNCTION("""COMPUTED_VALUE"""),6)</f>
        <v>6</v>
      </c>
      <c r="K101" s="2" t="str">
        <f>IFERROR(__xludf.DUMMYFUNCTION("""COMPUTED_VALUE"""),"CGPA")</f>
        <v>CGPA</v>
      </c>
      <c r="L101" s="2" t="str">
        <f>IFERROR(__xludf.DUMMYFUNCTION("""COMPUTED_VALUE"""),"Project")</f>
        <v>Project</v>
      </c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ht="48" customHeight="1" spans="1:26">
      <c r="A102" s="2">
        <f>IFERROR(__xludf.DUMMYFUNCTION("""COMPUTED_VALUE"""),100)</f>
        <v>100</v>
      </c>
      <c r="B102" s="2" t="str">
        <f>IFERROR(__xludf.DUMMYFUNCTION("""COMPUTED_VALUE"""),"Any 1")</f>
        <v>Any 1</v>
      </c>
      <c r="C102" s="2" t="str">
        <f>IFERROR(__xludf.DUMMYFUNCTION("""COMPUTED_VALUE"""),"EEC")</f>
        <v>EEC</v>
      </c>
      <c r="D102" s="2" t="str">
        <f>IFERROR(__xludf.DUMMYFUNCTION("""COMPUTED_VALUE"""),"NA")</f>
        <v>NA</v>
      </c>
      <c r="E102" s="2" t="str">
        <f>IFERROR(__xludf.DUMMYFUNCTION("""COMPUTED_VALUE"""),"19EY701")</f>
        <v>19EY701</v>
      </c>
      <c r="F102" s="7" t="str">
        <f>IFERROR(__xludf.DUMMYFUNCTION("""COMPUTED_VALUE"""),"Softskills")</f>
        <v>Softskills</v>
      </c>
      <c r="G102" s="2" t="str">
        <f>IFERROR(__xludf.DUMMYFUNCTION("""COMPUTED_VALUE"""),"-")</f>
        <v>-</v>
      </c>
      <c r="H102" s="2">
        <f>IFERROR(__xludf.DUMMYFUNCTION("""COMPUTED_VALUE"""),0)</f>
        <v>0</v>
      </c>
      <c r="I102" s="2">
        <f>IFERROR(__xludf.DUMMYFUNCTION("""COMPUTED_VALUE"""),1)</f>
        <v>1</v>
      </c>
      <c r="J102" s="2">
        <f>IFERROR(__xludf.DUMMYFUNCTION("""COMPUTED_VALUE"""),1)</f>
        <v>1</v>
      </c>
      <c r="K102" s="2" t="str">
        <f>IFERROR(__xludf.DUMMYFUNCTION("""COMPUTED_VALUE"""),"CGPA")</f>
        <v>CGPA</v>
      </c>
      <c r="L102" s="2" t="str">
        <f>IFERROR(__xludf.DUMMYFUNCTION("""COMPUTED_VALUE"""),"Practical (6 Expts)")</f>
        <v>Practical (6 Expts)</v>
      </c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ht="48" customHeight="1" spans="1:26">
      <c r="A103" s="2">
        <f>IFERROR(__xludf.DUMMYFUNCTION("""COMPUTED_VALUE"""),101)</f>
        <v>101</v>
      </c>
      <c r="B103" s="2" t="str">
        <f>IFERROR(__xludf.DUMMYFUNCTION("""COMPUTED_VALUE"""),"Any 1")</f>
        <v>Any 1</v>
      </c>
      <c r="C103" s="2" t="str">
        <f>IFERROR(__xludf.DUMMYFUNCTION("""COMPUTED_VALUE"""),"EEC")</f>
        <v>EEC</v>
      </c>
      <c r="D103" s="2" t="str">
        <f>IFERROR(__xludf.DUMMYFUNCTION("""COMPUTED_VALUE"""),"SH6708")</f>
        <v>SH6708</v>
      </c>
      <c r="E103" s="2" t="str">
        <f>IFERROR(__xludf.DUMMYFUNCTION("""COMPUTED_VALUE"""),"19EY708")</f>
        <v>19EY708</v>
      </c>
      <c r="F103" s="7" t="str">
        <f>IFERROR(__xludf.DUMMYFUNCTION("""COMPUTED_VALUE"""),"Career Development Skills")</f>
        <v>Career Development Skills</v>
      </c>
      <c r="G103" s="2" t="str">
        <f>IFERROR(__xludf.DUMMYFUNCTION("""COMPUTED_VALUE"""),"NIL")</f>
        <v>NIL</v>
      </c>
      <c r="H103" s="2">
        <f>IFERROR(__xludf.DUMMYFUNCTION("""COMPUTED_VALUE"""),1)</f>
        <v>1</v>
      </c>
      <c r="I103" s="2">
        <f>IFERROR(__xludf.DUMMYFUNCTION("""COMPUTED_VALUE"""),0)</f>
        <v>0</v>
      </c>
      <c r="J103" s="2">
        <f>IFERROR(__xludf.DUMMYFUNCTION("""COMPUTED_VALUE"""),1)</f>
        <v>1</v>
      </c>
      <c r="K103" s="2" t="str">
        <f>IFERROR(__xludf.DUMMYFUNCTION("""COMPUTED_VALUE"""),"CGPA")</f>
        <v>CGPA</v>
      </c>
      <c r="L103" s="2" t="str">
        <f>IFERROR(__xludf.DUMMYFUNCTION("""COMPUTED_VALUE"""),"Theory (Int Only)")</f>
        <v>Theory (Int Only)</v>
      </c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ht="48" customHeight="1" spans="1:26">
      <c r="A104" s="2">
        <f>IFERROR(__xludf.DUMMYFUNCTION("""COMPUTED_VALUE"""),102)</f>
        <v>102</v>
      </c>
      <c r="B104" s="2" t="str">
        <f>IFERROR(__xludf.DUMMYFUNCTION("""COMPUTED_VALUE"""),"Any 1")</f>
        <v>Any 1</v>
      </c>
      <c r="C104" s="2" t="str">
        <f>IFERROR(__xludf.DUMMYFUNCTION("""COMPUTED_VALUE"""),"EEC")</f>
        <v>EEC</v>
      </c>
      <c r="D104" s="2" t="str">
        <f>IFERROR(__xludf.DUMMYFUNCTION("""COMPUTED_VALUE"""),"NA")</f>
        <v>NA</v>
      </c>
      <c r="E104" s="2" t="str">
        <f>IFERROR(__xludf.DUMMYFUNCTION("""COMPUTED_VALUE"""),"19EY702")</f>
        <v>19EY702</v>
      </c>
      <c r="F104" s="7" t="str">
        <f>IFERROR(__xludf.DUMMYFUNCTION("""COMPUTED_VALUE"""),"Creative Skills for Communication")</f>
        <v>Creative Skills for Communication</v>
      </c>
      <c r="G104" s="2" t="str">
        <f>IFERROR(__xludf.DUMMYFUNCTION("""COMPUTED_VALUE"""),"-")</f>
        <v>-</v>
      </c>
      <c r="H104" s="2">
        <f>IFERROR(__xludf.DUMMYFUNCTION("""COMPUTED_VALUE"""),0)</f>
        <v>0</v>
      </c>
      <c r="I104" s="2">
        <f>IFERROR(__xludf.DUMMYFUNCTION("""COMPUTED_VALUE"""),1)</f>
        <v>1</v>
      </c>
      <c r="J104" s="2">
        <f>IFERROR(__xludf.DUMMYFUNCTION("""COMPUTED_VALUE"""),1)</f>
        <v>1</v>
      </c>
      <c r="K104" s="2" t="str">
        <f>IFERROR(__xludf.DUMMYFUNCTION("""COMPUTED_VALUE"""),"CGPA")</f>
        <v>CGPA</v>
      </c>
      <c r="L104" s="2" t="str">
        <f>IFERROR(__xludf.DUMMYFUNCTION("""COMPUTED_VALUE"""),"Practical (6 Expts)")</f>
        <v>Practical (6 Expts)</v>
      </c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ht="48" customHeight="1" spans="1:26">
      <c r="A105" s="2">
        <f>IFERROR(__xludf.DUMMYFUNCTION("""COMPUTED_VALUE"""),103)</f>
        <v>103</v>
      </c>
      <c r="B105" s="2" t="str">
        <f>IFERROR(__xludf.DUMMYFUNCTION("""COMPUTED_VALUE"""),"Any 1")</f>
        <v>Any 1</v>
      </c>
      <c r="C105" s="2" t="str">
        <f>IFERROR(__xludf.DUMMYFUNCTION("""COMPUTED_VALUE"""),"EEC")</f>
        <v>EEC</v>
      </c>
      <c r="D105" s="2" t="str">
        <f>IFERROR(__xludf.DUMMYFUNCTION("""COMPUTED_VALUE"""),"SH6709")</f>
        <v>SH6709</v>
      </c>
      <c r="E105" s="2" t="str">
        <f>IFERROR(__xludf.DUMMYFUNCTION("""COMPUTED_VALUE"""),"19EY709")</f>
        <v>19EY709</v>
      </c>
      <c r="F105" s="7" t="str">
        <f>IFERROR(__xludf.DUMMYFUNCTION("""COMPUTED_VALUE"""),"Reasoning Ability")</f>
        <v>Reasoning Ability</v>
      </c>
      <c r="G105" s="2" t="str">
        <f>IFERROR(__xludf.DUMMYFUNCTION("""COMPUTED_VALUE"""),"NIL")</f>
        <v>NIL</v>
      </c>
      <c r="H105" s="2">
        <f>IFERROR(__xludf.DUMMYFUNCTION("""COMPUTED_VALUE"""),1)</f>
        <v>1</v>
      </c>
      <c r="I105" s="2">
        <f>IFERROR(__xludf.DUMMYFUNCTION("""COMPUTED_VALUE"""),0)</f>
        <v>0</v>
      </c>
      <c r="J105" s="2">
        <f>IFERROR(__xludf.DUMMYFUNCTION("""COMPUTED_VALUE"""),1)</f>
        <v>1</v>
      </c>
      <c r="K105" s="2" t="str">
        <f>IFERROR(__xludf.DUMMYFUNCTION("""COMPUTED_VALUE"""),"CGPA")</f>
        <v>CGPA</v>
      </c>
      <c r="L105" s="2" t="str">
        <f>IFERROR(__xludf.DUMMYFUNCTION("""COMPUTED_VALUE"""),"Theory (Int Only)")</f>
        <v>Theory (Int Only)</v>
      </c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ht="48" customHeight="1" spans="1:26">
      <c r="A106" s="2">
        <f>IFERROR(__xludf.DUMMYFUNCTION("""COMPUTED_VALUE"""),104)</f>
        <v>104</v>
      </c>
      <c r="B106" s="2" t="str">
        <f>IFERROR(__xludf.DUMMYFUNCTION("""COMPUTED_VALUE"""),"Option 1")</f>
        <v>Option 1</v>
      </c>
      <c r="C106" s="2" t="str">
        <f>IFERROR(__xludf.DUMMYFUNCTION("""COMPUTED_VALUE"""),"EEC")</f>
        <v>EEC</v>
      </c>
      <c r="D106" s="2" t="str">
        <f>IFERROR(__xludf.DUMMYFUNCTION("""COMPUTED_VALUE"""),"NA")</f>
        <v>NA</v>
      </c>
      <c r="E106" s="2" t="str">
        <f>IFERROR(__xludf.DUMMYFUNCTION("""COMPUTED_VALUE"""),"19EY703")</f>
        <v>19EY703</v>
      </c>
      <c r="F106" s="7" t="str">
        <f>IFERROR(__xludf.DUMMYFUNCTION("""COMPUTED_VALUE"""),"System of Numerical and Logical Terminologies")</f>
        <v>System of Numerical and Logical Terminologies</v>
      </c>
      <c r="G106" s="2" t="str">
        <f>IFERROR(__xludf.DUMMYFUNCTION("""COMPUTED_VALUE"""),"-")</f>
        <v>-</v>
      </c>
      <c r="H106" s="2">
        <f>IFERROR(__xludf.DUMMYFUNCTION("""COMPUTED_VALUE"""),0)</f>
        <v>0</v>
      </c>
      <c r="I106" s="2">
        <f>IFERROR(__xludf.DUMMYFUNCTION("""COMPUTED_VALUE"""),1)</f>
        <v>1</v>
      </c>
      <c r="J106" s="2">
        <f>IFERROR(__xludf.DUMMYFUNCTION("""COMPUTED_VALUE"""),1)</f>
        <v>1</v>
      </c>
      <c r="K106" s="2" t="str">
        <f>IFERROR(__xludf.DUMMYFUNCTION("""COMPUTED_VALUE"""),"CGPA")</f>
        <v>CGPA</v>
      </c>
      <c r="L106" s="2" t="str">
        <f>IFERROR(__xludf.DUMMYFUNCTION("""COMPUTED_VALUE"""),"Practical (6 Expts)")</f>
        <v>Practical (6 Expts)</v>
      </c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ht="48" customHeight="1" spans="1:26">
      <c r="A107" s="2">
        <f>IFERROR(__xludf.DUMMYFUNCTION("""COMPUTED_VALUE"""),105)</f>
        <v>105</v>
      </c>
      <c r="B107" s="2" t="str">
        <f>IFERROR(__xludf.DUMMYFUNCTION("""COMPUTED_VALUE"""),"Option 1")</f>
        <v>Option 1</v>
      </c>
      <c r="C107" s="2" t="str">
        <f>IFERROR(__xludf.DUMMYFUNCTION("""COMPUTED_VALUE"""),"EEC")</f>
        <v>EEC</v>
      </c>
      <c r="D107" s="2" t="str">
        <f>IFERROR(__xludf.DUMMYFUNCTION("""COMPUTED_VALUE"""),"NA")</f>
        <v>NA</v>
      </c>
      <c r="E107" s="2" t="str">
        <f>IFERROR(__xludf.DUMMYFUNCTION("""COMPUTED_VALUE"""),"19EY704")</f>
        <v>19EY704</v>
      </c>
      <c r="F107" s="7" t="str">
        <f>IFERROR(__xludf.DUMMYFUNCTION("""COMPUTED_VALUE"""),"Advanced Quantitative and Logical Reasoning")</f>
        <v>Advanced Quantitative and Logical Reasoning</v>
      </c>
      <c r="G107" s="2" t="str">
        <f>IFERROR(__xludf.DUMMYFUNCTION("""COMPUTED_VALUE"""),"-")</f>
        <v>-</v>
      </c>
      <c r="H107" s="2">
        <f>IFERROR(__xludf.DUMMYFUNCTION("""COMPUTED_VALUE"""),0)</f>
        <v>0</v>
      </c>
      <c r="I107" s="2">
        <f>IFERROR(__xludf.DUMMYFUNCTION("""COMPUTED_VALUE"""),1)</f>
        <v>1</v>
      </c>
      <c r="J107" s="2">
        <f>IFERROR(__xludf.DUMMYFUNCTION("""COMPUTED_VALUE"""),1)</f>
        <v>1</v>
      </c>
      <c r="K107" s="2" t="str">
        <f>IFERROR(__xludf.DUMMYFUNCTION("""COMPUTED_VALUE"""),"CGPA")</f>
        <v>CGPA</v>
      </c>
      <c r="L107" s="2" t="str">
        <f>IFERROR(__xludf.DUMMYFUNCTION("""COMPUTED_VALUE"""),"Practical (6 Expts)")</f>
        <v>Practical (6 Expts)</v>
      </c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ht="48" customHeight="1" spans="1:26">
      <c r="A108" s="2">
        <f>IFERROR(__xludf.DUMMYFUNCTION("""COMPUTED_VALUE"""),106)</f>
        <v>106</v>
      </c>
      <c r="B108" s="2" t="str">
        <f>IFERROR(__xludf.DUMMYFUNCTION("""COMPUTED_VALUE"""),"Option 2")</f>
        <v>Option 2</v>
      </c>
      <c r="C108" s="2" t="str">
        <f>IFERROR(__xludf.DUMMYFUNCTION("""COMPUTED_VALUE"""),"EEC")</f>
        <v>EEC</v>
      </c>
      <c r="D108" s="2" t="str">
        <f>IFERROR(__xludf.DUMMYFUNCTION("""COMPUTED_VALUE"""),"SH6710")</f>
        <v>SH6710</v>
      </c>
      <c r="E108" s="2" t="str">
        <f>IFERROR(__xludf.DUMMYFUNCTION("""COMPUTED_VALUE"""),"19EY710")</f>
        <v>19EY710</v>
      </c>
      <c r="F108" s="7" t="str">
        <f>IFERROR(__xludf.DUMMYFUNCTION("""COMPUTED_VALUE"""),"Quantitative Ability I")</f>
        <v>Quantitative Ability I</v>
      </c>
      <c r="G108" s="2" t="str">
        <f>IFERROR(__xludf.DUMMYFUNCTION("""COMPUTED_VALUE"""),"NIL")</f>
        <v>NIL</v>
      </c>
      <c r="H108" s="2">
        <f>IFERROR(__xludf.DUMMYFUNCTION("""COMPUTED_VALUE"""),1)</f>
        <v>1</v>
      </c>
      <c r="I108" s="2">
        <f>IFERROR(__xludf.DUMMYFUNCTION("""COMPUTED_VALUE"""),0)</f>
        <v>0</v>
      </c>
      <c r="J108" s="2">
        <f>IFERROR(__xludf.DUMMYFUNCTION("""COMPUTED_VALUE"""),1)</f>
        <v>1</v>
      </c>
      <c r="K108" s="2" t="str">
        <f>IFERROR(__xludf.DUMMYFUNCTION("""COMPUTED_VALUE"""),"CGPA")</f>
        <v>CGPA</v>
      </c>
      <c r="L108" s="2" t="str">
        <f>IFERROR(__xludf.DUMMYFUNCTION("""COMPUTED_VALUE"""),"Theory (Int Only)")</f>
        <v>Theory (Int Only)</v>
      </c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ht="48" customHeight="1" spans="1:26">
      <c r="A109" s="2">
        <f>IFERROR(__xludf.DUMMYFUNCTION("""COMPUTED_VALUE"""),107)</f>
        <v>107</v>
      </c>
      <c r="B109" s="2" t="str">
        <f>IFERROR(__xludf.DUMMYFUNCTION("""COMPUTED_VALUE"""),"Option 2")</f>
        <v>Option 2</v>
      </c>
      <c r="C109" s="2" t="str">
        <f>IFERROR(__xludf.DUMMYFUNCTION("""COMPUTED_VALUE"""),"EEC")</f>
        <v>EEC</v>
      </c>
      <c r="D109" s="2" t="str">
        <f>IFERROR(__xludf.DUMMYFUNCTION("""COMPUTED_VALUE"""),"SH6711")</f>
        <v>SH6711</v>
      </c>
      <c r="E109" s="2" t="str">
        <f>IFERROR(__xludf.DUMMYFUNCTION("""COMPUTED_VALUE"""),"19EY711")</f>
        <v>19EY711</v>
      </c>
      <c r="F109" s="7" t="str">
        <f>IFERROR(__xludf.DUMMYFUNCTION("""COMPUTED_VALUE"""),"Quantitative Ability II")</f>
        <v>Quantitative Ability II</v>
      </c>
      <c r="G109" s="2" t="str">
        <f>IFERROR(__xludf.DUMMYFUNCTION("""COMPUTED_VALUE"""),"SH6710 /19EY710")</f>
        <v>SH6710 /19EY710</v>
      </c>
      <c r="H109" s="2">
        <f>IFERROR(__xludf.DUMMYFUNCTION("""COMPUTED_VALUE"""),1)</f>
        <v>1</v>
      </c>
      <c r="I109" s="2">
        <f>IFERROR(__xludf.DUMMYFUNCTION("""COMPUTED_VALUE"""),0)</f>
        <v>0</v>
      </c>
      <c r="J109" s="2">
        <f>IFERROR(__xludf.DUMMYFUNCTION("""COMPUTED_VALUE"""),1)</f>
        <v>1</v>
      </c>
      <c r="K109" s="2" t="str">
        <f>IFERROR(__xludf.DUMMYFUNCTION("""COMPUTED_VALUE"""),"CGPA")</f>
        <v>CGPA</v>
      </c>
      <c r="L109" s="2" t="str">
        <f>IFERROR(__xludf.DUMMYFUNCTION("""COMPUTED_VALUE"""),"Theory (Int Only)")</f>
        <v>Theory (Int Only)</v>
      </c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ht="48" customHeight="1" spans="1:26">
      <c r="A110" s="2">
        <f>IFERROR(__xludf.DUMMYFUNCTION("""COMPUTED_VALUE"""),108)</f>
        <v>108</v>
      </c>
      <c r="B110" s="2" t="str">
        <f>IFERROR(__xludf.DUMMYFUNCTION("""COMPUTED_VALUE"""),"Any 1")</f>
        <v>Any 1</v>
      </c>
      <c r="C110" s="2" t="str">
        <f>IFERROR(__xludf.DUMMYFUNCTION("""COMPUTED_VALUE"""),"EEC")</f>
        <v>EEC</v>
      </c>
      <c r="D110" s="2" t="str">
        <f>IFERROR(__xludf.DUMMYFUNCTION("""COMPUTED_VALUE"""),"NA")</f>
        <v>NA</v>
      </c>
      <c r="E110" s="2" t="str">
        <f>IFERROR(__xludf.DUMMYFUNCTION("""COMPUTED_VALUE"""),"19EY705")</f>
        <v>19EY705</v>
      </c>
      <c r="F110" s="7" t="str">
        <f>IFERROR(__xludf.DUMMYFUNCTION("""COMPUTED_VALUE"""),"Employment Enhancement Skills")</f>
        <v>Employment Enhancement Skills</v>
      </c>
      <c r="G110" s="2" t="str">
        <f>IFERROR(__xludf.DUMMYFUNCTION("""COMPUTED_VALUE"""),"-")</f>
        <v>-</v>
      </c>
      <c r="H110" s="2">
        <f>IFERROR(__xludf.DUMMYFUNCTION("""COMPUTED_VALUE"""),0)</f>
        <v>0</v>
      </c>
      <c r="I110" s="2">
        <f>IFERROR(__xludf.DUMMYFUNCTION("""COMPUTED_VALUE"""),1)</f>
        <v>1</v>
      </c>
      <c r="J110" s="2">
        <f>IFERROR(__xludf.DUMMYFUNCTION("""COMPUTED_VALUE"""),1)</f>
        <v>1</v>
      </c>
      <c r="K110" s="2" t="str">
        <f>IFERROR(__xludf.DUMMYFUNCTION("""COMPUTED_VALUE"""),"CGPA")</f>
        <v>CGPA</v>
      </c>
      <c r="L110" s="2" t="str">
        <f>IFERROR(__xludf.DUMMYFUNCTION("""COMPUTED_VALUE"""),"Practical (6 Expts)")</f>
        <v>Practical (6 Expts)</v>
      </c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ht="48" customHeight="1" spans="1:26">
      <c r="A111" s="2">
        <f>IFERROR(__xludf.DUMMYFUNCTION("""COMPUTED_VALUE"""),109)</f>
        <v>109</v>
      </c>
      <c r="B111" s="2" t="str">
        <f>IFERROR(__xludf.DUMMYFUNCTION("""COMPUTED_VALUE"""),"Any 1")</f>
        <v>Any 1</v>
      </c>
      <c r="C111" s="2" t="str">
        <f>IFERROR(__xludf.DUMMYFUNCTION("""COMPUTED_VALUE"""),"EEC")</f>
        <v>EEC</v>
      </c>
      <c r="D111" s="2" t="str">
        <f>IFERROR(__xludf.DUMMYFUNCTION("""COMPUTED_VALUE"""),"SH6712")</f>
        <v>SH6712</v>
      </c>
      <c r="E111" s="2" t="str">
        <f>IFERROR(__xludf.DUMMYFUNCTION("""COMPUTED_VALUE"""),"19EY712")</f>
        <v>19EY712</v>
      </c>
      <c r="F111" s="7" t="str">
        <f>IFERROR(__xludf.DUMMYFUNCTION("""COMPUTED_VALUE"""),"Employment Enrichment Skills")</f>
        <v>Employment Enrichment Skills</v>
      </c>
      <c r="G111" s="2" t="str">
        <f>IFERROR(__xludf.DUMMYFUNCTION("""COMPUTED_VALUE"""),"19EY702 / 19EY709 / SH6709")</f>
        <v>19EY702 / 19EY709 / SH6709</v>
      </c>
      <c r="H111" s="2">
        <f>IFERROR(__xludf.DUMMYFUNCTION("""COMPUTED_VALUE"""),1)</f>
        <v>1</v>
      </c>
      <c r="I111" s="2">
        <f>IFERROR(__xludf.DUMMYFUNCTION("""COMPUTED_VALUE"""),0)</f>
        <v>0</v>
      </c>
      <c r="J111" s="2">
        <f>IFERROR(__xludf.DUMMYFUNCTION("""COMPUTED_VALUE"""),1)</f>
        <v>1</v>
      </c>
      <c r="K111" s="2" t="str">
        <f>IFERROR(__xludf.DUMMYFUNCTION("""COMPUTED_VALUE"""),"CGPA")</f>
        <v>CGPA</v>
      </c>
      <c r="L111" s="2" t="str">
        <f>IFERROR(__xludf.DUMMYFUNCTION("""COMPUTED_VALUE"""),"Theory (Int Only)")</f>
        <v>Theory (Int Only)</v>
      </c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ht="48" customHeight="1" spans="1:26">
      <c r="A112" s="2">
        <f>IFERROR(__xludf.DUMMYFUNCTION("""COMPUTED_VALUE"""),110)</f>
        <v>110</v>
      </c>
      <c r="B112" s="2" t="str">
        <f>IFERROR(__xludf.DUMMYFUNCTION("""COMPUTED_VALUE"""),"Any 1")</f>
        <v>Any 1</v>
      </c>
      <c r="C112" s="2" t="str">
        <f>IFERROR(__xludf.DUMMYFUNCTION("""COMPUTED_VALUE"""),"EEC")</f>
        <v>EEC</v>
      </c>
      <c r="D112" s="2" t="str">
        <f>IFERROR(__xludf.DUMMYFUNCTION("""COMPUTED_VALUE"""),"NA")</f>
        <v>NA</v>
      </c>
      <c r="E112" s="2" t="str">
        <f>IFERROR(__xludf.DUMMYFUNCTION("""COMPUTED_VALUE"""),"19EY706")</f>
        <v>19EY706</v>
      </c>
      <c r="F112" s="7" t="str">
        <f>IFERROR(__xludf.DUMMYFUNCTION("""COMPUTED_VALUE"""),"Company Specific Assessments For Employability")</f>
        <v>Company Specific Assessments For Employability</v>
      </c>
      <c r="G112" s="2" t="str">
        <f>IFERROR(__xludf.DUMMYFUNCTION("""COMPUTED_VALUE"""),"-")</f>
        <v>-</v>
      </c>
      <c r="H112" s="2">
        <f>IFERROR(__xludf.DUMMYFUNCTION("""COMPUTED_VALUE"""),0)</f>
        <v>0</v>
      </c>
      <c r="I112" s="2">
        <f>IFERROR(__xludf.DUMMYFUNCTION("""COMPUTED_VALUE"""),1)</f>
        <v>1</v>
      </c>
      <c r="J112" s="2">
        <f>IFERROR(__xludf.DUMMYFUNCTION("""COMPUTED_VALUE"""),1)</f>
        <v>1</v>
      </c>
      <c r="K112" s="2" t="str">
        <f>IFERROR(__xludf.DUMMYFUNCTION("""COMPUTED_VALUE"""),"CGPA")</f>
        <v>CGPA</v>
      </c>
      <c r="L112" s="2" t="str">
        <f>IFERROR(__xludf.DUMMYFUNCTION("""COMPUTED_VALUE"""),"Practical (6 Expts)")</f>
        <v>Practical (6 Expts)</v>
      </c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ht="48" customHeight="1" spans="1:26">
      <c r="A113" s="2">
        <f>IFERROR(__xludf.DUMMYFUNCTION("""COMPUTED_VALUE"""),111)</f>
        <v>111</v>
      </c>
      <c r="B113" s="2" t="str">
        <f>IFERROR(__xludf.DUMMYFUNCTION("""COMPUTED_VALUE"""),"Any 1")</f>
        <v>Any 1</v>
      </c>
      <c r="C113" s="2" t="str">
        <f>IFERROR(__xludf.DUMMYFUNCTION("""COMPUTED_VALUE"""),"EEC")</f>
        <v>EEC</v>
      </c>
      <c r="D113" s="2" t="str">
        <f>IFERROR(__xludf.DUMMYFUNCTION("""COMPUTED_VALUE"""),"SH6713")</f>
        <v>SH6713</v>
      </c>
      <c r="E113" s="2" t="str">
        <f>IFERROR(__xludf.DUMMYFUNCTION("""COMPUTED_VALUE"""),"19EY713")</f>
        <v>19EY713</v>
      </c>
      <c r="F113" s="7" t="str">
        <f>IFERROR(__xludf.DUMMYFUNCTION("""COMPUTED_VALUE"""),"Placement Readiness Assessment")</f>
        <v>Placement Readiness Assessment</v>
      </c>
      <c r="G113" s="2" t="str">
        <f>IFERROR(__xludf.DUMMYFUNCTION("""COMPUTED_VALUE"""),"19EY704 / 19EY711/SH6711")</f>
        <v>19EY704 / 19EY711/SH6711</v>
      </c>
      <c r="H113" s="2">
        <f>IFERROR(__xludf.DUMMYFUNCTION("""COMPUTED_VALUE"""),1)</f>
        <v>1</v>
      </c>
      <c r="I113" s="2">
        <f>IFERROR(__xludf.DUMMYFUNCTION("""COMPUTED_VALUE"""),0)</f>
        <v>0</v>
      </c>
      <c r="J113" s="2">
        <f>IFERROR(__xludf.DUMMYFUNCTION("""COMPUTED_VALUE"""),1)</f>
        <v>1</v>
      </c>
      <c r="K113" s="2" t="str">
        <f>IFERROR(__xludf.DUMMYFUNCTION("""COMPUTED_VALUE"""),"CGPA")</f>
        <v>CGPA</v>
      </c>
      <c r="L113" s="2" t="str">
        <f>IFERROR(__xludf.DUMMYFUNCTION("""COMPUTED_VALUE"""),"Theory (Int Only)")</f>
        <v>Theory (Int Only)</v>
      </c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ht="48" customHeight="1" spans="1:26">
      <c r="A114" s="2">
        <f>IFERROR(__xludf.DUMMYFUNCTION("""COMPUTED_VALUE"""),112)</f>
        <v>112</v>
      </c>
      <c r="B114" s="2"/>
      <c r="C114" s="2" t="str">
        <f>IFERROR(__xludf.DUMMYFUNCTION("""COMPUTED_VALUE"""),"MC")</f>
        <v>MC</v>
      </c>
      <c r="D114" s="2" t="str">
        <f>IFERROR(__xludf.DUMMYFUNCTION("""COMPUTED_VALUE"""),"SH6707")</f>
        <v>SH6707</v>
      </c>
      <c r="E114" s="2" t="str">
        <f>IFERROR(__xludf.DUMMYFUNCTION("""COMPUTED_VALUE"""),"19EY707")</f>
        <v>19EY707</v>
      </c>
      <c r="F114" s="7" t="str">
        <f>IFERROR(__xludf.DUMMYFUNCTION("""COMPUTED_VALUE"""),"Paper Publication")</f>
        <v>Paper Publication</v>
      </c>
      <c r="G114" s="2" t="str">
        <f>IFERROR(__xludf.DUMMYFUNCTION("""COMPUTED_VALUE"""),"-")</f>
        <v>-</v>
      </c>
      <c r="H114" s="2">
        <f>IFERROR(__xludf.DUMMYFUNCTION("""COMPUTED_VALUE"""),0)</f>
        <v>0</v>
      </c>
      <c r="I114" s="2">
        <f>IFERROR(__xludf.DUMMYFUNCTION("""COMPUTED_VALUE"""),0)</f>
        <v>0</v>
      </c>
      <c r="J114" s="2">
        <f>IFERROR(__xludf.DUMMYFUNCTION("""COMPUTED_VALUE"""),1)</f>
        <v>1</v>
      </c>
      <c r="K114" s="2" t="str">
        <f>IFERROR(__xludf.DUMMYFUNCTION("""COMPUTED_VALUE"""),"NON-CGPA")</f>
        <v>NON-CGPA</v>
      </c>
      <c r="L114" s="2" t="str">
        <f>IFERROR(__xludf.DUMMYFUNCTION("""COMPUTED_VALUE"""),"Experiential Learning (Int Only)")</f>
        <v>Experiential Learning (Int Only)</v>
      </c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ht="48" customHeight="1" spans="1:26">
      <c r="A115" s="2">
        <f>IFERROR(__xludf.DUMMYFUNCTION("""COMPUTED_VALUE"""),113)</f>
        <v>113</v>
      </c>
      <c r="B115" s="2"/>
      <c r="C115" s="2" t="str">
        <f>IFERROR(__xludf.DUMMYFUNCTION("""COMPUTED_VALUE"""),"MC")</f>
        <v>MC</v>
      </c>
      <c r="D115" s="2" t="str">
        <f>IFERROR(__xludf.DUMMYFUNCTION("""COMPUTED_VALUE"""),"NA")</f>
        <v>NA</v>
      </c>
      <c r="E115" s="2" t="str">
        <f>IFERROR(__xludf.DUMMYFUNCTION("""COMPUTED_VALUE"""),"19MC801")</f>
        <v>19MC801</v>
      </c>
      <c r="F115" s="7" t="str">
        <f>IFERROR(__xludf.DUMMYFUNCTION("""COMPUTED_VALUE"""),"Professional Ethics")</f>
        <v>Professional Ethics</v>
      </c>
      <c r="G115" s="2" t="str">
        <f>IFERROR(__xludf.DUMMYFUNCTION("""COMPUTED_VALUE"""),"-")</f>
        <v>-</v>
      </c>
      <c r="H115" s="2">
        <f>IFERROR(__xludf.DUMMYFUNCTION("""COMPUTED_VALUE"""),0)</f>
        <v>0</v>
      </c>
      <c r="I115" s="2">
        <f>IFERROR(__xludf.DUMMYFUNCTION("""COMPUTED_VALUE"""),0)</f>
        <v>0</v>
      </c>
      <c r="J115" s="2">
        <f>IFERROR(__xludf.DUMMYFUNCTION("""COMPUTED_VALUE"""),0)</f>
        <v>0</v>
      </c>
      <c r="K115" s="2" t="str">
        <f>IFERROR(__xludf.DUMMYFUNCTION("""COMPUTED_VALUE"""),"NON - CGPA")</f>
        <v>NON - CGPA</v>
      </c>
      <c r="L115" s="2" t="str">
        <f>IFERROR(__xludf.DUMMYFUNCTION("""COMPUTED_VALUE"""),"Theory (Int Only)")</f>
        <v>Theory (Int Only)</v>
      </c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ht="48" customHeight="1" spans="1:26">
      <c r="A116" s="2">
        <f>IFERROR(__xludf.DUMMYFUNCTION("""COMPUTED_VALUE"""),114)</f>
        <v>114</v>
      </c>
      <c r="B116" s="2"/>
      <c r="C116" s="2" t="str">
        <f>IFERROR(__xludf.DUMMYFUNCTION("""COMPUTED_VALUE"""),"MC")</f>
        <v>MC</v>
      </c>
      <c r="D116" s="2" t="str">
        <f>IFERROR(__xludf.DUMMYFUNCTION("""COMPUTED_VALUE"""),"NA")</f>
        <v>NA</v>
      </c>
      <c r="E116" s="2" t="str">
        <f>IFERROR(__xludf.DUMMYFUNCTION("""COMPUTED_VALUE"""),"19MC802")</f>
        <v>19MC802</v>
      </c>
      <c r="F116" s="7" t="str">
        <f>IFERROR(__xludf.DUMMYFUNCTION("""COMPUTED_VALUE"""),"Environmental Science")</f>
        <v>Environmental Science</v>
      </c>
      <c r="G116" s="2" t="str">
        <f>IFERROR(__xludf.DUMMYFUNCTION("""COMPUTED_VALUE"""),"-")</f>
        <v>-</v>
      </c>
      <c r="H116" s="2">
        <f>IFERROR(__xludf.DUMMYFUNCTION("""COMPUTED_VALUE"""),0)</f>
        <v>0</v>
      </c>
      <c r="I116" s="2">
        <f>IFERROR(__xludf.DUMMYFUNCTION("""COMPUTED_VALUE"""),0)</f>
        <v>0</v>
      </c>
      <c r="J116" s="2">
        <f>IFERROR(__xludf.DUMMYFUNCTION("""COMPUTED_VALUE"""),0)</f>
        <v>0</v>
      </c>
      <c r="K116" s="2" t="str">
        <f>IFERROR(__xludf.DUMMYFUNCTION("""COMPUTED_VALUE"""),"CGPA")</f>
        <v>CGPA</v>
      </c>
      <c r="L116" s="2" t="str">
        <f>IFERROR(__xludf.DUMMYFUNCTION("""COMPUTED_VALUE"""),"Theory (Int Only)")</f>
        <v>Theory (Int Only)</v>
      </c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ht="48" customHeight="1" spans="1:26">
      <c r="A117" s="2">
        <f>IFERROR(__xludf.DUMMYFUNCTION("""COMPUTED_VALUE"""),115)</f>
        <v>115</v>
      </c>
      <c r="B117" s="2"/>
      <c r="C117" s="2" t="str">
        <f>IFERROR(__xludf.DUMMYFUNCTION("""COMPUTED_VALUE"""),"MC")</f>
        <v>MC</v>
      </c>
      <c r="D117" s="2" t="str">
        <f>IFERROR(__xludf.DUMMYFUNCTION("""COMPUTED_VALUE"""),"NA")</f>
        <v>NA</v>
      </c>
      <c r="E117" s="2" t="str">
        <f>IFERROR(__xludf.DUMMYFUNCTION("""COMPUTED_VALUE"""),"19MC803")</f>
        <v>19MC803</v>
      </c>
      <c r="F117" s="7" t="str">
        <f>IFERROR(__xludf.DUMMYFUNCTION("""COMPUTED_VALUE"""),"Constitution of India")</f>
        <v>Constitution of India</v>
      </c>
      <c r="G117" s="2" t="str">
        <f>IFERROR(__xludf.DUMMYFUNCTION("""COMPUTED_VALUE"""),"-")</f>
        <v>-</v>
      </c>
      <c r="H117" s="2">
        <f>IFERROR(__xludf.DUMMYFUNCTION("""COMPUTED_VALUE"""),0)</f>
        <v>0</v>
      </c>
      <c r="I117" s="2">
        <f>IFERROR(__xludf.DUMMYFUNCTION("""COMPUTED_VALUE"""),0)</f>
        <v>0</v>
      </c>
      <c r="J117" s="2">
        <f>IFERROR(__xludf.DUMMYFUNCTION("""COMPUTED_VALUE"""),0)</f>
        <v>0</v>
      </c>
      <c r="K117" s="2" t="str">
        <f>IFERROR(__xludf.DUMMYFUNCTION("""COMPUTED_VALUE"""),"CGPA")</f>
        <v>CGPA</v>
      </c>
      <c r="L117" s="2" t="str">
        <f>IFERROR(__xludf.DUMMYFUNCTION("""COMPUTED_VALUE"""),"Theory (Int Only)")</f>
        <v>Theory (Int Only)</v>
      </c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ht="48" customHeight="1" spans="1:26">
      <c r="A118" s="2">
        <f>IFERROR(__xludf.DUMMYFUNCTION("""COMPUTED_VALUE"""),116)</f>
        <v>116</v>
      </c>
      <c r="B118" s="2"/>
      <c r="C118" s="2" t="str">
        <f>IFERROR(__xludf.DUMMYFUNCTION("""COMPUTED_VALUE"""),"MC")</f>
        <v>MC</v>
      </c>
      <c r="D118" s="2" t="str">
        <f>IFERROR(__xludf.DUMMYFUNCTION("""COMPUTED_VALUE"""),"NA")</f>
        <v>NA</v>
      </c>
      <c r="E118" s="2" t="str">
        <f>IFERROR(__xludf.DUMMYFUNCTION("""COMPUTED_VALUE"""),"19MC804")</f>
        <v>19MC804</v>
      </c>
      <c r="F118" s="3" t="str">
        <f>IFERROR(__xludf.DUMMYFUNCTION("""COMPUTED_VALUE"""),"Internship/Entrepreneurship/Consultancy")</f>
        <v>Internship/Entrepreneurship/Consultancy</v>
      </c>
      <c r="G118" s="2" t="str">
        <f>IFERROR(__xludf.DUMMYFUNCTION("""COMPUTED_VALUE"""),"-")</f>
        <v>-</v>
      </c>
      <c r="H118" s="2">
        <f>IFERROR(__xludf.DUMMYFUNCTION("""COMPUTED_VALUE"""),0)</f>
        <v>0</v>
      </c>
      <c r="I118" s="2">
        <f>IFERROR(__xludf.DUMMYFUNCTION("""COMPUTED_VALUE"""),0)</f>
        <v>0</v>
      </c>
      <c r="J118" s="2">
        <f>IFERROR(__xludf.DUMMYFUNCTION("""COMPUTED_VALUE"""),2)</f>
        <v>2</v>
      </c>
      <c r="K118" s="2" t="str">
        <f>IFERROR(__xludf.DUMMYFUNCTION("""COMPUTED_VALUE"""),"NON-CGPA")</f>
        <v>NON-CGPA</v>
      </c>
      <c r="L118" s="2" t="str">
        <f>IFERROR(__xludf.DUMMYFUNCTION("""COMPUTED_VALUE"""),"Experiential Learning (Int Only)")</f>
        <v>Experiential Learning (Int Only)</v>
      </c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ht="48" customHeight="1" spans="1:26">
      <c r="A119" s="2">
        <f>IFERROR(__xludf.DUMMYFUNCTION("""COMPUTED_VALUE"""),117)</f>
        <v>117</v>
      </c>
      <c r="B119" s="2"/>
      <c r="C119" s="2" t="str">
        <f>IFERROR(__xludf.DUMMYFUNCTION("""COMPUTED_VALUE"""),"MC")</f>
        <v>MC</v>
      </c>
      <c r="D119" s="2" t="str">
        <f>IFERROR(__xludf.DUMMYFUNCTION("""COMPUTED_VALUE"""),"NA")</f>
        <v>NA</v>
      </c>
      <c r="E119" s="2" t="str">
        <f>IFERROR(__xludf.DUMMYFUNCTION("""COMPUTED_VALUE"""),"19MC805")</f>
        <v>19MC805</v>
      </c>
      <c r="F119" s="7" t="str">
        <f>IFERROR(__xludf.DUMMYFUNCTION("""COMPUTED_VALUE"""),"Inplant Training")</f>
        <v>Inplant Training</v>
      </c>
      <c r="G119" s="2" t="str">
        <f>IFERROR(__xludf.DUMMYFUNCTION("""COMPUTED_VALUE"""),"-")</f>
        <v>-</v>
      </c>
      <c r="H119" s="2">
        <f>IFERROR(__xludf.DUMMYFUNCTION("""COMPUTED_VALUE"""),0)</f>
        <v>0</v>
      </c>
      <c r="I119" s="2">
        <f>IFERROR(__xludf.DUMMYFUNCTION("""COMPUTED_VALUE"""),0)</f>
        <v>0</v>
      </c>
      <c r="J119" s="2">
        <f>IFERROR(__xludf.DUMMYFUNCTION("""COMPUTED_VALUE"""),1)</f>
        <v>1</v>
      </c>
      <c r="K119" s="2" t="str">
        <f>IFERROR(__xludf.DUMMYFUNCTION("""COMPUTED_VALUE"""),"Non - CGPA")</f>
        <v>Non - CGPA</v>
      </c>
      <c r="L119" s="2" t="str">
        <f>IFERROR(__xludf.DUMMYFUNCTION("""COMPUTED_VALUE"""),"Experiential Learning (Int Only)")</f>
        <v>Experiential Learning (Int Only)</v>
      </c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ht="48" customHeight="1" spans="1:26">
      <c r="A120" s="2">
        <f>IFERROR(__xludf.DUMMYFUNCTION("""COMPUTED_VALUE"""),118)</f>
        <v>118</v>
      </c>
      <c r="B120" s="2" t="str">
        <f>IFERROR(__xludf.DUMMYFUNCTION("""COMPUTED_VALUE"""),"Any 1")</f>
        <v>Any 1</v>
      </c>
      <c r="C120" s="2" t="str">
        <f>IFERROR(__xludf.DUMMYFUNCTION("""COMPUTED_VALUE"""),"MC")</f>
        <v>MC</v>
      </c>
      <c r="D120" s="2" t="str">
        <f>IFERROR(__xludf.DUMMYFUNCTION("""COMPUTED_VALUE"""),"SH6803")</f>
        <v>SH6803</v>
      </c>
      <c r="E120" s="2" t="str">
        <f>IFERROR(__xludf.DUMMYFUNCTION("""COMPUTED_VALUE"""),"19MC807")</f>
        <v>19MC807</v>
      </c>
      <c r="F120" s="3" t="str">
        <f>IFERROR(__xludf.DUMMYFUNCTION("""COMPUTED_VALUE"""),"National Service Scheme")</f>
        <v>National Service Scheme</v>
      </c>
      <c r="G120" s="2" t="str">
        <f>IFERROR(__xludf.DUMMYFUNCTION("""COMPUTED_VALUE"""),"-")</f>
        <v>-</v>
      </c>
      <c r="H120" s="2">
        <f>IFERROR(__xludf.DUMMYFUNCTION("""COMPUTED_VALUE"""),0)</f>
        <v>0</v>
      </c>
      <c r="I120" s="2">
        <f>IFERROR(__xludf.DUMMYFUNCTION("""COMPUTED_VALUE"""),0)</f>
        <v>0</v>
      </c>
      <c r="J120" s="2">
        <f>IFERROR(__xludf.DUMMYFUNCTION("""COMPUTED_VALUE"""),0)</f>
        <v>0</v>
      </c>
      <c r="K120" s="2" t="str">
        <f>IFERROR(__xludf.DUMMYFUNCTION("""COMPUTED_VALUE"""),"NON-CGPA")</f>
        <v>NON-CGPA</v>
      </c>
      <c r="L120" s="2" t="str">
        <f>IFERROR(__xludf.DUMMYFUNCTION("""COMPUTED_VALUE"""),"Experiential Learning (Int Only)")</f>
        <v>Experiential Learning (Int Only)</v>
      </c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ht="48" customHeight="1" spans="1:26">
      <c r="A121" s="2">
        <f>IFERROR(__xludf.DUMMYFUNCTION("""COMPUTED_VALUE"""),119)</f>
        <v>119</v>
      </c>
      <c r="B121" s="2" t="str">
        <f>IFERROR(__xludf.DUMMYFUNCTION("""COMPUTED_VALUE"""),"Any 1")</f>
        <v>Any 1</v>
      </c>
      <c r="C121" s="2" t="str">
        <f>IFERROR(__xludf.DUMMYFUNCTION("""COMPUTED_VALUE"""),"MC")</f>
        <v>MC</v>
      </c>
      <c r="D121" s="2" t="str">
        <f>IFERROR(__xludf.DUMMYFUNCTION("""COMPUTED_VALUE"""),"SH8807")</f>
        <v>SH8807</v>
      </c>
      <c r="E121" s="2" t="str">
        <f>IFERROR(__xludf.DUMMYFUNCTION("""COMPUTED_VALUE"""),"19MC808")</f>
        <v>19MC808</v>
      </c>
      <c r="F121" s="3" t="str">
        <f>IFERROR(__xludf.DUMMYFUNCTION("""COMPUTED_VALUE"""),"National Sports Organization ")</f>
        <v>National Sports Organization </v>
      </c>
      <c r="G121" s="2" t="str">
        <f>IFERROR(__xludf.DUMMYFUNCTION("""COMPUTED_VALUE"""),"-")</f>
        <v>-</v>
      </c>
      <c r="H121" s="2">
        <f>IFERROR(__xludf.DUMMYFUNCTION("""COMPUTED_VALUE"""),0)</f>
        <v>0</v>
      </c>
      <c r="I121" s="2">
        <f>IFERROR(__xludf.DUMMYFUNCTION("""COMPUTED_VALUE"""),0)</f>
        <v>0</v>
      </c>
      <c r="J121" s="2">
        <f>IFERROR(__xludf.DUMMYFUNCTION("""COMPUTED_VALUE"""),0)</f>
        <v>0</v>
      </c>
      <c r="K121" s="2" t="str">
        <f>IFERROR(__xludf.DUMMYFUNCTION("""COMPUTED_VALUE"""),"NON-CGPA")</f>
        <v>NON-CGPA</v>
      </c>
      <c r="L121" s="2" t="str">
        <f>IFERROR(__xludf.DUMMYFUNCTION("""COMPUTED_VALUE"""),"Experiential Learning (Int Only)")</f>
        <v>Experiential Learning (Int Only)</v>
      </c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ht="48" customHeight="1" spans="1:26">
      <c r="A122" s="2">
        <f>IFERROR(__xludf.DUMMYFUNCTION("""COMPUTED_VALUE"""),120)</f>
        <v>120</v>
      </c>
      <c r="B122" s="2" t="str">
        <f>IFERROR(__xludf.DUMMYFUNCTION("""COMPUTED_VALUE"""),"Any 1")</f>
        <v>Any 1</v>
      </c>
      <c r="C122" s="2" t="str">
        <f>IFERROR(__xludf.DUMMYFUNCTION("""COMPUTED_VALUE"""),"MC")</f>
        <v>MC</v>
      </c>
      <c r="D122" s="2" t="str">
        <f>IFERROR(__xludf.DUMMYFUNCTION("""COMPUTED_VALUE"""),"SH8808")</f>
        <v>SH8808</v>
      </c>
      <c r="E122" s="2" t="str">
        <f>IFERROR(__xludf.DUMMYFUNCTION("""COMPUTED_VALUE"""),"19MC809")</f>
        <v>19MC809</v>
      </c>
      <c r="F122" s="3" t="str">
        <f>IFERROR(__xludf.DUMMYFUNCTION("""COMPUTED_VALUE"""),"Youth Red Cross")</f>
        <v>Youth Red Cross</v>
      </c>
      <c r="G122" s="2" t="str">
        <f>IFERROR(__xludf.DUMMYFUNCTION("""COMPUTED_VALUE"""),"-")</f>
        <v>-</v>
      </c>
      <c r="H122" s="2">
        <f>IFERROR(__xludf.DUMMYFUNCTION("""COMPUTED_VALUE"""),0)</f>
        <v>0</v>
      </c>
      <c r="I122" s="2">
        <f>IFERROR(__xludf.DUMMYFUNCTION("""COMPUTED_VALUE"""),0)</f>
        <v>0</v>
      </c>
      <c r="J122" s="2">
        <f>IFERROR(__xludf.DUMMYFUNCTION("""COMPUTED_VALUE"""),0)</f>
        <v>0</v>
      </c>
      <c r="K122" s="2" t="str">
        <f>IFERROR(__xludf.DUMMYFUNCTION("""COMPUTED_VALUE"""),"NON-CGPA")</f>
        <v>NON-CGPA</v>
      </c>
      <c r="L122" s="2" t="str">
        <f>IFERROR(__xludf.DUMMYFUNCTION("""COMPUTED_VALUE"""),"Experiential Learning (Int Only)")</f>
        <v>Experiential Learning (Int Only)</v>
      </c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ht="48" customHeight="1" spans="1:26">
      <c r="A123" s="9"/>
      <c r="B123" s="9"/>
      <c r="C123" s="9"/>
      <c r="D123" s="9"/>
      <c r="E123" s="9"/>
      <c r="F123" s="10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ht="48" customHeight="1" spans="1:26">
      <c r="A124" s="9"/>
      <c r="B124" s="9"/>
      <c r="C124" s="9"/>
      <c r="D124" s="9"/>
      <c r="E124" s="9"/>
      <c r="F124" s="10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ht="48" customHeight="1" spans="1:26">
      <c r="A125" s="9"/>
      <c r="B125" s="9"/>
      <c r="C125" s="9"/>
      <c r="D125" s="9"/>
      <c r="E125" s="9"/>
      <c r="F125" s="10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ht="48" customHeight="1" spans="1:26">
      <c r="A126" s="9"/>
      <c r="B126" s="9"/>
      <c r="C126" s="9"/>
      <c r="D126" s="9"/>
      <c r="E126" s="9"/>
      <c r="F126" s="10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ht="48" customHeight="1" spans="1:26">
      <c r="A127" s="9"/>
      <c r="B127" s="9"/>
      <c r="C127" s="9"/>
      <c r="D127" s="9"/>
      <c r="E127" s="9"/>
      <c r="F127" s="10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ht="48" customHeight="1" spans="1:26">
      <c r="A128" s="9"/>
      <c r="B128" s="9"/>
      <c r="C128" s="9"/>
      <c r="D128" s="9"/>
      <c r="E128" s="9"/>
      <c r="F128" s="10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ht="48" customHeight="1" spans="1:26">
      <c r="A129" s="9"/>
      <c r="B129" s="9"/>
      <c r="C129" s="9"/>
      <c r="D129" s="9"/>
      <c r="E129" s="9"/>
      <c r="F129" s="10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ht="48" customHeight="1" spans="1:26">
      <c r="A130" s="9"/>
      <c r="B130" s="9"/>
      <c r="C130" s="9"/>
      <c r="D130" s="9"/>
      <c r="E130" s="9"/>
      <c r="F130" s="10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ht="48" customHeight="1" spans="1:26">
      <c r="A131" s="9"/>
      <c r="B131" s="9"/>
      <c r="C131" s="9"/>
      <c r="D131" s="9"/>
      <c r="E131" s="9"/>
      <c r="F131" s="10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ht="48" customHeight="1" spans="1:26">
      <c r="A132" s="9"/>
      <c r="B132" s="9"/>
      <c r="C132" s="9"/>
      <c r="D132" s="9"/>
      <c r="E132" s="9"/>
      <c r="F132" s="10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ht="48" customHeight="1" spans="1:26">
      <c r="A133" s="9"/>
      <c r="B133" s="9"/>
      <c r="C133" s="9"/>
      <c r="D133" s="9"/>
      <c r="E133" s="9"/>
      <c r="F133" s="10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ht="48" customHeight="1" spans="1:26">
      <c r="A134" s="9"/>
      <c r="B134" s="9"/>
      <c r="C134" s="9"/>
      <c r="D134" s="9"/>
      <c r="E134" s="9"/>
      <c r="F134" s="10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ht="48" customHeight="1" spans="1:26">
      <c r="A135" s="9"/>
      <c r="B135" s="9"/>
      <c r="C135" s="9"/>
      <c r="D135" s="9"/>
      <c r="E135" s="9"/>
      <c r="F135" s="10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ht="48" customHeight="1" spans="1:26">
      <c r="A136" s="9"/>
      <c r="B136" s="9"/>
      <c r="C136" s="9"/>
      <c r="D136" s="9"/>
      <c r="E136" s="9"/>
      <c r="F136" s="10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ht="48" customHeight="1" spans="1:26">
      <c r="A137" s="9"/>
      <c r="B137" s="9"/>
      <c r="C137" s="9"/>
      <c r="D137" s="9"/>
      <c r="E137" s="9"/>
      <c r="F137" s="10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ht="48" customHeight="1" spans="1:26">
      <c r="A138" s="9"/>
      <c r="B138" s="9"/>
      <c r="C138" s="9"/>
      <c r="D138" s="9"/>
      <c r="E138" s="9"/>
      <c r="F138" s="10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ht="48" customHeight="1" spans="1:26">
      <c r="A139" s="9"/>
      <c r="B139" s="9"/>
      <c r="C139" s="9"/>
      <c r="D139" s="9"/>
      <c r="E139" s="9"/>
      <c r="F139" s="10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ht="48" customHeight="1" spans="1:26">
      <c r="A140" s="9"/>
      <c r="B140" s="9"/>
      <c r="C140" s="9"/>
      <c r="D140" s="9"/>
      <c r="E140" s="9"/>
      <c r="F140" s="10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ht="48" customHeight="1" spans="1:26">
      <c r="A141" s="9"/>
      <c r="B141" s="9"/>
      <c r="C141" s="9"/>
      <c r="D141" s="9"/>
      <c r="E141" s="9"/>
      <c r="F141" s="10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ht="48" customHeight="1" spans="1:26">
      <c r="A142" s="9"/>
      <c r="B142" s="9"/>
      <c r="C142" s="9"/>
      <c r="D142" s="9"/>
      <c r="E142" s="9"/>
      <c r="F142" s="10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ht="48" customHeight="1" spans="1:26">
      <c r="A143" s="9"/>
      <c r="B143" s="9"/>
      <c r="C143" s="9"/>
      <c r="D143" s="9"/>
      <c r="E143" s="9"/>
      <c r="F143" s="10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ht="48" customHeight="1" spans="1:26">
      <c r="A144" s="9"/>
      <c r="B144" s="9"/>
      <c r="C144" s="9"/>
      <c r="D144" s="9"/>
      <c r="E144" s="9"/>
      <c r="F144" s="10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ht="48" customHeight="1" spans="1:26">
      <c r="A145" s="9"/>
      <c r="B145" s="9"/>
      <c r="C145" s="9"/>
      <c r="D145" s="9"/>
      <c r="E145" s="9"/>
      <c r="F145" s="10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ht="48" customHeight="1" spans="1:26">
      <c r="A146" s="9"/>
      <c r="B146" s="9"/>
      <c r="C146" s="9"/>
      <c r="D146" s="9"/>
      <c r="E146" s="9"/>
      <c r="F146" s="10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ht="48" customHeight="1" spans="1:26">
      <c r="A147" s="9"/>
      <c r="B147" s="9"/>
      <c r="C147" s="9"/>
      <c r="D147" s="9"/>
      <c r="E147" s="9"/>
      <c r="F147" s="10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ht="48" customHeight="1" spans="1:26">
      <c r="A148" s="9"/>
      <c r="B148" s="9"/>
      <c r="C148" s="9"/>
      <c r="D148" s="9"/>
      <c r="E148" s="9"/>
      <c r="F148" s="10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ht="48" customHeight="1" spans="1:26">
      <c r="A149" s="9"/>
      <c r="B149" s="9"/>
      <c r="C149" s="9"/>
      <c r="D149" s="9"/>
      <c r="E149" s="9"/>
      <c r="F149" s="10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ht="48" customHeight="1" spans="1:26">
      <c r="A150" s="9"/>
      <c r="B150" s="9"/>
      <c r="C150" s="9"/>
      <c r="D150" s="9"/>
      <c r="E150" s="9"/>
      <c r="F150" s="10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ht="48" customHeight="1" spans="1:26">
      <c r="A151" s="9"/>
      <c r="B151" s="9"/>
      <c r="C151" s="9"/>
      <c r="D151" s="9"/>
      <c r="E151" s="9"/>
      <c r="F151" s="10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ht="48" customHeight="1" spans="1:26">
      <c r="A152" s="9"/>
      <c r="B152" s="9"/>
      <c r="C152" s="9"/>
      <c r="D152" s="9"/>
      <c r="E152" s="9"/>
      <c r="F152" s="10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ht="48" customHeight="1" spans="1:26">
      <c r="A153" s="9"/>
      <c r="B153" s="9"/>
      <c r="C153" s="9"/>
      <c r="D153" s="9"/>
      <c r="E153" s="9"/>
      <c r="F153" s="10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ht="48" customHeight="1" spans="1:26">
      <c r="A154" s="9"/>
      <c r="B154" s="9"/>
      <c r="C154" s="9"/>
      <c r="D154" s="9"/>
      <c r="E154" s="9"/>
      <c r="F154" s="10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ht="48" customHeight="1" spans="1:26">
      <c r="A155" s="9"/>
      <c r="B155" s="9"/>
      <c r="C155" s="9"/>
      <c r="D155" s="9"/>
      <c r="E155" s="9"/>
      <c r="F155" s="10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ht="48" customHeight="1" spans="1:26">
      <c r="A156" s="9"/>
      <c r="B156" s="9"/>
      <c r="C156" s="9"/>
      <c r="D156" s="9"/>
      <c r="E156" s="9"/>
      <c r="F156" s="10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ht="48" customHeight="1" spans="1:26">
      <c r="A157" s="9"/>
      <c r="B157" s="9"/>
      <c r="C157" s="9"/>
      <c r="D157" s="9"/>
      <c r="E157" s="9"/>
      <c r="F157" s="10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ht="48" customHeight="1" spans="1:26">
      <c r="A158" s="9"/>
      <c r="B158" s="9"/>
      <c r="C158" s="9"/>
      <c r="D158" s="9"/>
      <c r="E158" s="9"/>
      <c r="F158" s="10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ht="48" customHeight="1" spans="1:26">
      <c r="A159" s="9"/>
      <c r="B159" s="9"/>
      <c r="C159" s="9"/>
      <c r="D159" s="9"/>
      <c r="E159" s="9"/>
      <c r="F159" s="10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ht="48" customHeight="1" spans="1:26">
      <c r="A160" s="9"/>
      <c r="B160" s="9"/>
      <c r="C160" s="9"/>
      <c r="D160" s="9"/>
      <c r="E160" s="9"/>
      <c r="F160" s="10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ht="48" customHeight="1" spans="1:26">
      <c r="A161" s="9"/>
      <c r="B161" s="9"/>
      <c r="C161" s="9"/>
      <c r="D161" s="9"/>
      <c r="E161" s="9"/>
      <c r="F161" s="10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ht="48" customHeight="1" spans="1:26">
      <c r="A162" s="9"/>
      <c r="B162" s="9"/>
      <c r="C162" s="9"/>
      <c r="D162" s="9"/>
      <c r="E162" s="9"/>
      <c r="F162" s="10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ht="48" customHeight="1" spans="1:26">
      <c r="A163" s="9"/>
      <c r="B163" s="9"/>
      <c r="C163" s="9"/>
      <c r="D163" s="9"/>
      <c r="E163" s="9"/>
      <c r="F163" s="10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ht="48" customHeight="1" spans="1:26">
      <c r="A164" s="9"/>
      <c r="B164" s="9"/>
      <c r="C164" s="9"/>
      <c r="D164" s="9"/>
      <c r="E164" s="9"/>
      <c r="F164" s="10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ht="48" customHeight="1" spans="1:26">
      <c r="A165" s="9"/>
      <c r="B165" s="9"/>
      <c r="C165" s="9"/>
      <c r="D165" s="9"/>
      <c r="E165" s="9"/>
      <c r="F165" s="10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ht="48" customHeight="1" spans="1:26">
      <c r="A166" s="9"/>
      <c r="B166" s="9"/>
      <c r="C166" s="9"/>
      <c r="D166" s="9"/>
      <c r="E166" s="9"/>
      <c r="F166" s="10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ht="48" customHeight="1" spans="1:26">
      <c r="A167" s="9"/>
      <c r="B167" s="9"/>
      <c r="C167" s="9"/>
      <c r="D167" s="9"/>
      <c r="E167" s="9"/>
      <c r="F167" s="10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ht="48" customHeight="1" spans="1:26">
      <c r="A168" s="9"/>
      <c r="B168" s="9"/>
      <c r="C168" s="9"/>
      <c r="D168" s="9"/>
      <c r="E168" s="9"/>
      <c r="F168" s="10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ht="48" customHeight="1" spans="1:26">
      <c r="A169" s="9"/>
      <c r="B169" s="9"/>
      <c r="C169" s="9"/>
      <c r="D169" s="9"/>
      <c r="E169" s="9"/>
      <c r="F169" s="10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ht="48" customHeight="1" spans="1:26">
      <c r="A170" s="9"/>
      <c r="B170" s="9"/>
      <c r="C170" s="9"/>
      <c r="D170" s="9"/>
      <c r="E170" s="9"/>
      <c r="F170" s="10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ht="48" customHeight="1" spans="1:26">
      <c r="A171" s="9"/>
      <c r="B171" s="9"/>
      <c r="C171" s="9"/>
      <c r="D171" s="9"/>
      <c r="E171" s="9"/>
      <c r="F171" s="10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ht="48" customHeight="1" spans="1:26">
      <c r="A172" s="9"/>
      <c r="B172" s="9"/>
      <c r="C172" s="9"/>
      <c r="D172" s="9"/>
      <c r="E172" s="9"/>
      <c r="F172" s="10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ht="48" customHeight="1" spans="1:26">
      <c r="A173" s="9"/>
      <c r="B173" s="9"/>
      <c r="C173" s="9"/>
      <c r="D173" s="9"/>
      <c r="E173" s="9"/>
      <c r="F173" s="10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ht="48" customHeight="1" spans="1:26">
      <c r="A174" s="9"/>
      <c r="B174" s="9"/>
      <c r="C174" s="9"/>
      <c r="D174" s="9"/>
      <c r="E174" s="9"/>
      <c r="F174" s="10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ht="48" customHeight="1" spans="1:26">
      <c r="A175" s="9"/>
      <c r="B175" s="9"/>
      <c r="C175" s="9"/>
      <c r="D175" s="9"/>
      <c r="E175" s="9"/>
      <c r="F175" s="10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ht="48" customHeight="1" spans="1:26">
      <c r="A176" s="9"/>
      <c r="B176" s="9"/>
      <c r="C176" s="9"/>
      <c r="D176" s="9"/>
      <c r="E176" s="9"/>
      <c r="F176" s="10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ht="48" customHeight="1" spans="1:26">
      <c r="A177" s="9"/>
      <c r="B177" s="9"/>
      <c r="C177" s="9"/>
      <c r="D177" s="9"/>
      <c r="E177" s="9"/>
      <c r="F177" s="10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ht="48" customHeight="1" spans="1:26">
      <c r="A178" s="9"/>
      <c r="B178" s="9"/>
      <c r="C178" s="9"/>
      <c r="D178" s="9"/>
      <c r="E178" s="9"/>
      <c r="F178" s="10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ht="48" customHeight="1" spans="1:26">
      <c r="A179" s="9"/>
      <c r="B179" s="9"/>
      <c r="C179" s="9"/>
      <c r="D179" s="9"/>
      <c r="E179" s="9"/>
      <c r="F179" s="10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ht="48" customHeight="1" spans="1:26">
      <c r="A180" s="9"/>
      <c r="B180" s="9"/>
      <c r="C180" s="9"/>
      <c r="D180" s="9"/>
      <c r="E180" s="9"/>
      <c r="F180" s="10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ht="48" customHeight="1" spans="1:26">
      <c r="A181" s="9"/>
      <c r="B181" s="9"/>
      <c r="C181" s="9"/>
      <c r="D181" s="9"/>
      <c r="E181" s="9"/>
      <c r="F181" s="10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ht="48" customHeight="1" spans="1:26">
      <c r="A182" s="9"/>
      <c r="B182" s="9"/>
      <c r="C182" s="9"/>
      <c r="D182" s="9"/>
      <c r="E182" s="9"/>
      <c r="F182" s="10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ht="48" customHeight="1" spans="1:26">
      <c r="A183" s="9"/>
      <c r="B183" s="9"/>
      <c r="C183" s="9"/>
      <c r="D183" s="9"/>
      <c r="E183" s="9"/>
      <c r="F183" s="10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ht="48" customHeight="1" spans="1:26">
      <c r="A184" s="9"/>
      <c r="B184" s="9"/>
      <c r="C184" s="9"/>
      <c r="D184" s="9"/>
      <c r="E184" s="9"/>
      <c r="F184" s="10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ht="48" customHeight="1" spans="1:26">
      <c r="A185" s="9"/>
      <c r="B185" s="9"/>
      <c r="C185" s="9"/>
      <c r="D185" s="9"/>
      <c r="E185" s="9"/>
      <c r="F185" s="10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ht="48" customHeight="1" spans="1:26">
      <c r="A186" s="9"/>
      <c r="B186" s="9"/>
      <c r="C186" s="9"/>
      <c r="D186" s="9"/>
      <c r="E186" s="9"/>
      <c r="F186" s="10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ht="48" customHeight="1" spans="1:26">
      <c r="A187" s="9"/>
      <c r="B187" s="9"/>
      <c r="C187" s="9"/>
      <c r="D187" s="9"/>
      <c r="E187" s="9"/>
      <c r="F187" s="10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ht="48" customHeight="1" spans="1:26">
      <c r="A188" s="9"/>
      <c r="B188" s="9"/>
      <c r="C188" s="9"/>
      <c r="D188" s="9"/>
      <c r="E188" s="9"/>
      <c r="F188" s="10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ht="48" customHeight="1" spans="1:26">
      <c r="A189" s="9"/>
      <c r="B189" s="9"/>
      <c r="C189" s="9"/>
      <c r="D189" s="9"/>
      <c r="E189" s="9"/>
      <c r="F189" s="10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ht="48" customHeight="1" spans="1:26">
      <c r="A190" s="9"/>
      <c r="B190" s="9"/>
      <c r="C190" s="9"/>
      <c r="D190" s="9"/>
      <c r="E190" s="9"/>
      <c r="F190" s="10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ht="48" customHeight="1" spans="1:26">
      <c r="A191" s="9"/>
      <c r="B191" s="9"/>
      <c r="C191" s="9"/>
      <c r="D191" s="9"/>
      <c r="E191" s="9"/>
      <c r="F191" s="10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ht="48" customHeight="1" spans="1:26">
      <c r="A192" s="9"/>
      <c r="B192" s="9"/>
      <c r="C192" s="9"/>
      <c r="D192" s="9"/>
      <c r="E192" s="9"/>
      <c r="F192" s="10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ht="48" customHeight="1" spans="1:26">
      <c r="A193" s="9"/>
      <c r="B193" s="9"/>
      <c r="C193" s="9"/>
      <c r="D193" s="9"/>
      <c r="E193" s="9"/>
      <c r="F193" s="10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ht="48" customHeight="1" spans="1:26">
      <c r="A194" s="9"/>
      <c r="B194" s="9"/>
      <c r="C194" s="9"/>
      <c r="D194" s="9"/>
      <c r="E194" s="9"/>
      <c r="F194" s="10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ht="48" customHeight="1" spans="1:26">
      <c r="A195" s="9"/>
      <c r="B195" s="9"/>
      <c r="C195" s="9"/>
      <c r="D195" s="9"/>
      <c r="E195" s="9"/>
      <c r="F195" s="10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ht="48" customHeight="1" spans="1:26">
      <c r="A196" s="9"/>
      <c r="B196" s="9"/>
      <c r="C196" s="9"/>
      <c r="D196" s="9"/>
      <c r="E196" s="9"/>
      <c r="F196" s="10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ht="48" customHeight="1" spans="1:26">
      <c r="A197" s="9"/>
      <c r="B197" s="9"/>
      <c r="C197" s="9"/>
      <c r="D197" s="9"/>
      <c r="E197" s="9"/>
      <c r="F197" s="10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ht="48" customHeight="1" spans="1:26">
      <c r="A198" s="9"/>
      <c r="B198" s="9"/>
      <c r="C198" s="9"/>
      <c r="D198" s="9"/>
      <c r="E198" s="9"/>
      <c r="F198" s="10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ht="48" customHeight="1" spans="1:26">
      <c r="A199" s="9"/>
      <c r="B199" s="9"/>
      <c r="C199" s="9"/>
      <c r="D199" s="9"/>
      <c r="E199" s="9"/>
      <c r="F199" s="10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ht="48" customHeight="1" spans="1:26">
      <c r="A200" s="9"/>
      <c r="B200" s="9"/>
      <c r="C200" s="9"/>
      <c r="D200" s="9"/>
      <c r="E200" s="9"/>
      <c r="F200" s="10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ht="48" customHeight="1" spans="1:26">
      <c r="A201" s="9"/>
      <c r="B201" s="9"/>
      <c r="C201" s="9"/>
      <c r="D201" s="9"/>
      <c r="E201" s="9"/>
      <c r="F201" s="10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ht="48" customHeight="1" spans="1:26">
      <c r="A202" s="9"/>
      <c r="B202" s="9"/>
      <c r="C202" s="9"/>
      <c r="D202" s="9"/>
      <c r="E202" s="9"/>
      <c r="F202" s="10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ht="48" customHeight="1" spans="1:26">
      <c r="A203" s="9"/>
      <c r="B203" s="9"/>
      <c r="C203" s="9"/>
      <c r="D203" s="9"/>
      <c r="E203" s="9"/>
      <c r="F203" s="10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ht="48" customHeight="1" spans="1:26">
      <c r="A204" s="9"/>
      <c r="B204" s="9"/>
      <c r="C204" s="9"/>
      <c r="D204" s="9"/>
      <c r="E204" s="9"/>
      <c r="F204" s="10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ht="48" customHeight="1" spans="1:26">
      <c r="A205" s="9"/>
      <c r="B205" s="9"/>
      <c r="C205" s="9"/>
      <c r="D205" s="9"/>
      <c r="E205" s="9"/>
      <c r="F205" s="10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ht="48" customHeight="1" spans="1:26">
      <c r="A206" s="9"/>
      <c r="B206" s="9"/>
      <c r="C206" s="9"/>
      <c r="D206" s="9"/>
      <c r="E206" s="9"/>
      <c r="F206" s="10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ht="48" customHeight="1" spans="1:26">
      <c r="A207" s="9"/>
      <c r="B207" s="9"/>
      <c r="C207" s="9"/>
      <c r="D207" s="9"/>
      <c r="E207" s="9"/>
      <c r="F207" s="10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ht="48" customHeight="1" spans="1:26">
      <c r="A208" s="9"/>
      <c r="B208" s="9"/>
      <c r="C208" s="9"/>
      <c r="D208" s="9"/>
      <c r="E208" s="9"/>
      <c r="F208" s="10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ht="48" customHeight="1" spans="1:26">
      <c r="A209" s="9"/>
      <c r="B209" s="9"/>
      <c r="C209" s="9"/>
      <c r="D209" s="9"/>
      <c r="E209" s="9"/>
      <c r="F209" s="10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ht="48" customHeight="1" spans="1:26">
      <c r="A210" s="9"/>
      <c r="B210" s="9"/>
      <c r="C210" s="9"/>
      <c r="D210" s="9"/>
      <c r="E210" s="9"/>
      <c r="F210" s="10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ht="48" customHeight="1" spans="1:26">
      <c r="A211" s="9"/>
      <c r="B211" s="9"/>
      <c r="C211" s="9"/>
      <c r="D211" s="9"/>
      <c r="E211" s="9"/>
      <c r="F211" s="10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ht="48" customHeight="1" spans="1:26">
      <c r="A212" s="9"/>
      <c r="B212" s="9"/>
      <c r="C212" s="9"/>
      <c r="D212" s="9"/>
      <c r="E212" s="9"/>
      <c r="F212" s="10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ht="48" customHeight="1" spans="1:26">
      <c r="A213" s="9"/>
      <c r="B213" s="9"/>
      <c r="C213" s="9"/>
      <c r="D213" s="9"/>
      <c r="E213" s="9"/>
      <c r="F213" s="10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ht="48" customHeight="1" spans="1:26">
      <c r="A214" s="9"/>
      <c r="B214" s="9"/>
      <c r="C214" s="9"/>
      <c r="D214" s="9"/>
      <c r="E214" s="9"/>
      <c r="F214" s="10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ht="48" customHeight="1" spans="1:26">
      <c r="A215" s="9"/>
      <c r="B215" s="9"/>
      <c r="C215" s="9"/>
      <c r="D215" s="9"/>
      <c r="E215" s="9"/>
      <c r="F215" s="10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ht="48" customHeight="1" spans="1:26">
      <c r="A216" s="9"/>
      <c r="B216" s="9"/>
      <c r="C216" s="9"/>
      <c r="D216" s="9"/>
      <c r="E216" s="9"/>
      <c r="F216" s="10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ht="48" customHeight="1" spans="1:26">
      <c r="A217" s="9"/>
      <c r="B217" s="9"/>
      <c r="C217" s="9"/>
      <c r="D217" s="9"/>
      <c r="E217" s="9"/>
      <c r="F217" s="10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ht="48" customHeight="1" spans="1:26">
      <c r="A218" s="9"/>
      <c r="B218" s="9"/>
      <c r="C218" s="9"/>
      <c r="D218" s="9"/>
      <c r="E218" s="9"/>
      <c r="F218" s="10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ht="48" customHeight="1" spans="1:26">
      <c r="A219" s="9"/>
      <c r="B219" s="9"/>
      <c r="C219" s="9"/>
      <c r="D219" s="9"/>
      <c r="E219" s="9"/>
      <c r="F219" s="10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ht="48" customHeight="1" spans="1:26">
      <c r="A220" s="9"/>
      <c r="B220" s="9"/>
      <c r="C220" s="9"/>
      <c r="D220" s="9"/>
      <c r="E220" s="9"/>
      <c r="F220" s="10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ht="48" customHeight="1" spans="1:26">
      <c r="A221" s="9"/>
      <c r="B221" s="9"/>
      <c r="C221" s="9"/>
      <c r="D221" s="9"/>
      <c r="E221" s="9"/>
      <c r="F221" s="10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ht="48" customHeight="1" spans="1:26">
      <c r="A222" s="9"/>
      <c r="B222" s="9"/>
      <c r="C222" s="9"/>
      <c r="D222" s="9"/>
      <c r="E222" s="9"/>
      <c r="F222" s="10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ht="48" customHeight="1" spans="1:26">
      <c r="A223" s="9"/>
      <c r="B223" s="9"/>
      <c r="C223" s="9"/>
      <c r="D223" s="9"/>
      <c r="E223" s="9"/>
      <c r="F223" s="10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ht="48" customHeight="1" spans="1:26">
      <c r="A224" s="9"/>
      <c r="B224" s="9"/>
      <c r="C224" s="9"/>
      <c r="D224" s="9"/>
      <c r="E224" s="9"/>
      <c r="F224" s="10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ht="48" customHeight="1" spans="1:26">
      <c r="A225" s="9"/>
      <c r="B225" s="9"/>
      <c r="C225" s="9"/>
      <c r="D225" s="9"/>
      <c r="E225" s="9"/>
      <c r="F225" s="10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ht="48" customHeight="1" spans="1:26">
      <c r="A226" s="9"/>
      <c r="B226" s="9"/>
      <c r="C226" s="9"/>
      <c r="D226" s="9"/>
      <c r="E226" s="9"/>
      <c r="F226" s="10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ht="48" customHeight="1" spans="1:26">
      <c r="A227" s="9"/>
      <c r="B227" s="9"/>
      <c r="C227" s="9"/>
      <c r="D227" s="9"/>
      <c r="E227" s="9"/>
      <c r="F227" s="10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ht="48" customHeight="1" spans="1:26">
      <c r="A228" s="9"/>
      <c r="B228" s="9"/>
      <c r="C228" s="9"/>
      <c r="D228" s="9"/>
      <c r="E228" s="9"/>
      <c r="F228" s="10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ht="48" customHeight="1" spans="1:26">
      <c r="A229" s="9"/>
      <c r="B229" s="9"/>
      <c r="C229" s="9"/>
      <c r="D229" s="9"/>
      <c r="E229" s="9"/>
      <c r="F229" s="10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ht="48" customHeight="1" spans="1:26">
      <c r="A230" s="9"/>
      <c r="B230" s="9"/>
      <c r="C230" s="9"/>
      <c r="D230" s="9"/>
      <c r="E230" s="9"/>
      <c r="F230" s="10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ht="48" customHeight="1" spans="1:26">
      <c r="A231" s="9"/>
      <c r="B231" s="9"/>
      <c r="C231" s="9"/>
      <c r="D231" s="9"/>
      <c r="E231" s="9"/>
      <c r="F231" s="10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ht="48" customHeight="1" spans="1:26">
      <c r="A232" s="9"/>
      <c r="B232" s="9"/>
      <c r="C232" s="9"/>
      <c r="D232" s="9"/>
      <c r="E232" s="9"/>
      <c r="F232" s="10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ht="48" customHeight="1" spans="1:26">
      <c r="A233" s="9"/>
      <c r="B233" s="9"/>
      <c r="C233" s="9"/>
      <c r="D233" s="9"/>
      <c r="E233" s="9"/>
      <c r="F233" s="10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ht="48" customHeight="1" spans="1:26">
      <c r="A234" s="9"/>
      <c r="B234" s="9"/>
      <c r="C234" s="9"/>
      <c r="D234" s="9"/>
      <c r="E234" s="9"/>
      <c r="F234" s="10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ht="48" customHeight="1" spans="1:26">
      <c r="A235" s="9"/>
      <c r="B235" s="9"/>
      <c r="C235" s="9"/>
      <c r="D235" s="9"/>
      <c r="E235" s="9"/>
      <c r="F235" s="10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ht="48" customHeight="1" spans="1:26">
      <c r="A236" s="9"/>
      <c r="B236" s="9"/>
      <c r="C236" s="9"/>
      <c r="D236" s="9"/>
      <c r="E236" s="9"/>
      <c r="F236" s="10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ht="48" customHeight="1" spans="1:26">
      <c r="A237" s="9"/>
      <c r="B237" s="9"/>
      <c r="C237" s="9"/>
      <c r="D237" s="9"/>
      <c r="E237" s="9"/>
      <c r="F237" s="10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ht="48" customHeight="1" spans="1:26">
      <c r="A238" s="9"/>
      <c r="B238" s="9"/>
      <c r="C238" s="9"/>
      <c r="D238" s="9"/>
      <c r="E238" s="9"/>
      <c r="F238" s="10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ht="48" customHeight="1" spans="1:26">
      <c r="A239" s="9"/>
      <c r="B239" s="9"/>
      <c r="C239" s="9"/>
      <c r="D239" s="9"/>
      <c r="E239" s="9"/>
      <c r="F239" s="10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ht="48" customHeight="1" spans="1:26">
      <c r="A240" s="9"/>
      <c r="B240" s="9"/>
      <c r="C240" s="9"/>
      <c r="D240" s="9"/>
      <c r="E240" s="9"/>
      <c r="F240" s="10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ht="48" customHeight="1" spans="1:26">
      <c r="A241" s="9"/>
      <c r="B241" s="9"/>
      <c r="C241" s="9"/>
      <c r="D241" s="9"/>
      <c r="E241" s="9"/>
      <c r="F241" s="10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ht="48" customHeight="1" spans="1:26">
      <c r="A242" s="9"/>
      <c r="B242" s="9"/>
      <c r="C242" s="9"/>
      <c r="D242" s="9"/>
      <c r="E242" s="9"/>
      <c r="F242" s="10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ht="48" customHeight="1" spans="1:26">
      <c r="A243" s="9"/>
      <c r="B243" s="9"/>
      <c r="C243" s="9"/>
      <c r="D243" s="9"/>
      <c r="E243" s="9"/>
      <c r="F243" s="10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ht="48" customHeight="1" spans="1:26">
      <c r="A244" s="9"/>
      <c r="B244" s="9"/>
      <c r="C244" s="9"/>
      <c r="D244" s="9"/>
      <c r="E244" s="9"/>
      <c r="F244" s="10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ht="48" customHeight="1" spans="1:26">
      <c r="A245" s="9"/>
      <c r="B245" s="9"/>
      <c r="C245" s="9"/>
      <c r="D245" s="9"/>
      <c r="E245" s="9"/>
      <c r="F245" s="10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ht="48" customHeight="1" spans="1:26">
      <c r="A246" s="9"/>
      <c r="B246" s="9"/>
      <c r="C246" s="9"/>
      <c r="D246" s="9"/>
      <c r="E246" s="9"/>
      <c r="F246" s="10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ht="48" customHeight="1" spans="1:26">
      <c r="A247" s="9"/>
      <c r="B247" s="9"/>
      <c r="C247" s="9"/>
      <c r="D247" s="9"/>
      <c r="E247" s="9"/>
      <c r="F247" s="10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ht="48" customHeight="1" spans="1:26">
      <c r="A248" s="9"/>
      <c r="B248" s="9"/>
      <c r="C248" s="9"/>
      <c r="D248" s="9"/>
      <c r="E248" s="9"/>
      <c r="F248" s="10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ht="48" customHeight="1" spans="1:26">
      <c r="A249" s="9"/>
      <c r="B249" s="9"/>
      <c r="C249" s="9"/>
      <c r="D249" s="9"/>
      <c r="E249" s="9"/>
      <c r="F249" s="10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ht="48" customHeight="1" spans="1:26">
      <c r="A250" s="9"/>
      <c r="B250" s="9"/>
      <c r="C250" s="9"/>
      <c r="D250" s="9"/>
      <c r="E250" s="9"/>
      <c r="F250" s="10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ht="48" customHeight="1" spans="1:26">
      <c r="A251" s="9"/>
      <c r="B251" s="9"/>
      <c r="C251" s="9"/>
      <c r="D251" s="9"/>
      <c r="E251" s="9"/>
      <c r="F251" s="10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ht="48" customHeight="1" spans="1:26">
      <c r="A252" s="9"/>
      <c r="B252" s="9"/>
      <c r="C252" s="9"/>
      <c r="D252" s="9"/>
      <c r="E252" s="9"/>
      <c r="F252" s="10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ht="48" customHeight="1" spans="1:26">
      <c r="A253" s="9"/>
      <c r="B253" s="9"/>
      <c r="C253" s="9"/>
      <c r="D253" s="9"/>
      <c r="E253" s="9"/>
      <c r="F253" s="10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ht="48" customHeight="1" spans="1:26">
      <c r="A254" s="9"/>
      <c r="B254" s="9"/>
      <c r="C254" s="9"/>
      <c r="D254" s="9"/>
      <c r="E254" s="9"/>
      <c r="F254" s="10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ht="48" customHeight="1" spans="1:26">
      <c r="A255" s="9"/>
      <c r="B255" s="9"/>
      <c r="C255" s="9"/>
      <c r="D255" s="9"/>
      <c r="E255" s="9"/>
      <c r="F255" s="10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ht="48" customHeight="1" spans="1:26">
      <c r="A256" s="9"/>
      <c r="B256" s="9"/>
      <c r="C256" s="9"/>
      <c r="D256" s="9"/>
      <c r="E256" s="9"/>
      <c r="F256" s="10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ht="48" customHeight="1" spans="1:26">
      <c r="A257" s="9"/>
      <c r="B257" s="9"/>
      <c r="C257" s="9"/>
      <c r="D257" s="9"/>
      <c r="E257" s="9"/>
      <c r="F257" s="10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ht="48" customHeight="1" spans="1:26">
      <c r="A258" s="9"/>
      <c r="B258" s="9"/>
      <c r="C258" s="9"/>
      <c r="D258" s="9"/>
      <c r="E258" s="9"/>
      <c r="F258" s="10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ht="48" customHeight="1" spans="1:26">
      <c r="A259" s="9"/>
      <c r="B259" s="9"/>
      <c r="C259" s="9"/>
      <c r="D259" s="9"/>
      <c r="E259" s="9"/>
      <c r="F259" s="10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ht="48" customHeight="1" spans="1:26">
      <c r="A260" s="9"/>
      <c r="B260" s="9"/>
      <c r="C260" s="9"/>
      <c r="D260" s="9"/>
      <c r="E260" s="9"/>
      <c r="F260" s="10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ht="48" customHeight="1" spans="1:26">
      <c r="A261" s="9"/>
      <c r="B261" s="9"/>
      <c r="C261" s="9"/>
      <c r="D261" s="9"/>
      <c r="E261" s="9"/>
      <c r="F261" s="10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ht="48" customHeight="1" spans="1:26">
      <c r="A262" s="9"/>
      <c r="B262" s="9"/>
      <c r="C262" s="9"/>
      <c r="D262" s="9"/>
      <c r="E262" s="9"/>
      <c r="F262" s="10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ht="48" customHeight="1" spans="1:26">
      <c r="A263" s="9"/>
      <c r="B263" s="9"/>
      <c r="C263" s="9"/>
      <c r="D263" s="9"/>
      <c r="E263" s="9"/>
      <c r="F263" s="10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ht="48" customHeight="1" spans="1:26">
      <c r="A264" s="9"/>
      <c r="B264" s="9"/>
      <c r="C264" s="9"/>
      <c r="D264" s="9"/>
      <c r="E264" s="9"/>
      <c r="F264" s="10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ht="48" customHeight="1" spans="1:26">
      <c r="A265" s="9"/>
      <c r="B265" s="9"/>
      <c r="C265" s="9"/>
      <c r="D265" s="9"/>
      <c r="E265" s="9"/>
      <c r="F265" s="10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ht="48" customHeight="1" spans="1:26">
      <c r="A266" s="9"/>
      <c r="B266" s="9"/>
      <c r="C266" s="9"/>
      <c r="D266" s="9"/>
      <c r="E266" s="9"/>
      <c r="F266" s="10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ht="48" customHeight="1" spans="1:26">
      <c r="A267" s="9"/>
      <c r="B267" s="9"/>
      <c r="C267" s="9"/>
      <c r="D267" s="9"/>
      <c r="E267" s="9"/>
      <c r="F267" s="10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ht="48" customHeight="1" spans="1:26">
      <c r="A268" s="9"/>
      <c r="B268" s="9"/>
      <c r="C268" s="9"/>
      <c r="D268" s="9"/>
      <c r="E268" s="9"/>
      <c r="F268" s="10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ht="48" customHeight="1" spans="1:26">
      <c r="A269" s="9"/>
      <c r="B269" s="9"/>
      <c r="C269" s="9"/>
      <c r="D269" s="9"/>
      <c r="E269" s="9"/>
      <c r="F269" s="10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ht="48" customHeight="1" spans="1:26">
      <c r="A270" s="9"/>
      <c r="B270" s="9"/>
      <c r="C270" s="9"/>
      <c r="D270" s="9"/>
      <c r="E270" s="9"/>
      <c r="F270" s="10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ht="48" customHeight="1" spans="1:26">
      <c r="A271" s="9"/>
      <c r="B271" s="9"/>
      <c r="C271" s="9"/>
      <c r="D271" s="9"/>
      <c r="E271" s="9"/>
      <c r="F271" s="10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ht="48" customHeight="1" spans="1:26">
      <c r="A272" s="9"/>
      <c r="B272" s="9"/>
      <c r="C272" s="9"/>
      <c r="D272" s="9"/>
      <c r="E272" s="9"/>
      <c r="F272" s="10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ht="48" customHeight="1" spans="1:26">
      <c r="A273" s="9"/>
      <c r="B273" s="9"/>
      <c r="C273" s="9"/>
      <c r="D273" s="9"/>
      <c r="E273" s="9"/>
      <c r="F273" s="10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ht="48" customHeight="1" spans="1:26">
      <c r="A274" s="9"/>
      <c r="B274" s="9"/>
      <c r="C274" s="9"/>
      <c r="D274" s="9"/>
      <c r="E274" s="9"/>
      <c r="F274" s="10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ht="48" customHeight="1" spans="1:26">
      <c r="A275" s="9"/>
      <c r="B275" s="9"/>
      <c r="C275" s="9"/>
      <c r="D275" s="9"/>
      <c r="E275" s="9"/>
      <c r="F275" s="10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ht="48" customHeight="1" spans="1:26">
      <c r="A276" s="9"/>
      <c r="B276" s="9"/>
      <c r="C276" s="9"/>
      <c r="D276" s="9"/>
      <c r="E276" s="9"/>
      <c r="F276" s="10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ht="48" customHeight="1" spans="1:26">
      <c r="A277" s="9"/>
      <c r="B277" s="9"/>
      <c r="C277" s="9"/>
      <c r="D277" s="9"/>
      <c r="E277" s="9"/>
      <c r="F277" s="10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ht="48" customHeight="1" spans="1:26">
      <c r="A278" s="9"/>
      <c r="B278" s="9"/>
      <c r="C278" s="9"/>
      <c r="D278" s="9"/>
      <c r="E278" s="9"/>
      <c r="F278" s="10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ht="48" customHeight="1" spans="1:26">
      <c r="A279" s="9"/>
      <c r="B279" s="9"/>
      <c r="C279" s="9"/>
      <c r="D279" s="9"/>
      <c r="E279" s="9"/>
      <c r="F279" s="10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ht="48" customHeight="1" spans="1:26">
      <c r="A280" s="9"/>
      <c r="B280" s="9"/>
      <c r="C280" s="9"/>
      <c r="D280" s="9"/>
      <c r="E280" s="9"/>
      <c r="F280" s="10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ht="48" customHeight="1" spans="1:26">
      <c r="A281" s="9"/>
      <c r="B281" s="9"/>
      <c r="C281" s="9"/>
      <c r="D281" s="9"/>
      <c r="E281" s="9"/>
      <c r="F281" s="10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ht="48" customHeight="1" spans="1:26">
      <c r="A282" s="9"/>
      <c r="B282" s="9"/>
      <c r="C282" s="9"/>
      <c r="D282" s="9"/>
      <c r="E282" s="9"/>
      <c r="F282" s="10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ht="48" customHeight="1" spans="1:26">
      <c r="A283" s="9"/>
      <c r="B283" s="9"/>
      <c r="C283" s="9"/>
      <c r="D283" s="9"/>
      <c r="E283" s="9"/>
      <c r="F283" s="10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ht="48" customHeight="1" spans="1:26">
      <c r="A284" s="9"/>
      <c r="B284" s="9"/>
      <c r="C284" s="9"/>
      <c r="D284" s="9"/>
      <c r="E284" s="9"/>
      <c r="F284" s="10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ht="48" customHeight="1" spans="1:26">
      <c r="A285" s="9"/>
      <c r="B285" s="9"/>
      <c r="C285" s="9"/>
      <c r="D285" s="9"/>
      <c r="E285" s="9"/>
      <c r="F285" s="10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ht="48" customHeight="1" spans="1:26">
      <c r="A286" s="9"/>
      <c r="B286" s="9"/>
      <c r="C286" s="9"/>
      <c r="D286" s="9"/>
      <c r="E286" s="9"/>
      <c r="F286" s="10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ht="48" customHeight="1" spans="1:26">
      <c r="A287" s="9"/>
      <c r="B287" s="9"/>
      <c r="C287" s="9"/>
      <c r="D287" s="9"/>
      <c r="E287" s="9"/>
      <c r="F287" s="10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ht="48" customHeight="1" spans="1:26">
      <c r="A288" s="9"/>
      <c r="B288" s="9"/>
      <c r="C288" s="9"/>
      <c r="D288" s="9"/>
      <c r="E288" s="9"/>
      <c r="F288" s="10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ht="48" customHeight="1" spans="1:26">
      <c r="A289" s="9"/>
      <c r="B289" s="9"/>
      <c r="C289" s="9"/>
      <c r="D289" s="9"/>
      <c r="E289" s="9"/>
      <c r="F289" s="10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ht="48" customHeight="1" spans="1:26">
      <c r="A290" s="9"/>
      <c r="B290" s="9"/>
      <c r="C290" s="9"/>
      <c r="D290" s="9"/>
      <c r="E290" s="9"/>
      <c r="F290" s="10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ht="48" customHeight="1" spans="1:26">
      <c r="A291" s="9"/>
      <c r="B291" s="9"/>
      <c r="C291" s="9"/>
      <c r="D291" s="9"/>
      <c r="E291" s="9"/>
      <c r="F291" s="10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ht="48" customHeight="1" spans="1:26">
      <c r="A292" s="9"/>
      <c r="B292" s="9"/>
      <c r="C292" s="9"/>
      <c r="D292" s="9"/>
      <c r="E292" s="9"/>
      <c r="F292" s="10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ht="48" customHeight="1" spans="1:26">
      <c r="A293" s="9"/>
      <c r="B293" s="9"/>
      <c r="C293" s="9"/>
      <c r="D293" s="9"/>
      <c r="E293" s="9"/>
      <c r="F293" s="10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ht="48" customHeight="1" spans="1:26">
      <c r="A294" s="9"/>
      <c r="B294" s="9"/>
      <c r="C294" s="9"/>
      <c r="D294" s="9"/>
      <c r="E294" s="9"/>
      <c r="F294" s="10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ht="48" customHeight="1" spans="1:26">
      <c r="A295" s="9"/>
      <c r="B295" s="9"/>
      <c r="C295" s="9"/>
      <c r="D295" s="9"/>
      <c r="E295" s="9"/>
      <c r="F295" s="10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ht="48" customHeight="1" spans="1:26">
      <c r="A296" s="9"/>
      <c r="B296" s="9"/>
      <c r="C296" s="9"/>
      <c r="D296" s="9"/>
      <c r="E296" s="9"/>
      <c r="F296" s="10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ht="48" customHeight="1" spans="1:26">
      <c r="A297" s="9"/>
      <c r="B297" s="9"/>
      <c r="C297" s="9"/>
      <c r="D297" s="9"/>
      <c r="E297" s="9"/>
      <c r="F297" s="10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ht="48" customHeight="1" spans="1:26">
      <c r="A298" s="9"/>
      <c r="B298" s="9"/>
      <c r="C298" s="9"/>
      <c r="D298" s="9"/>
      <c r="E298" s="9"/>
      <c r="F298" s="10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ht="48" customHeight="1" spans="1:26">
      <c r="A299" s="9"/>
      <c r="B299" s="9"/>
      <c r="C299" s="9"/>
      <c r="D299" s="9"/>
      <c r="E299" s="9"/>
      <c r="F299" s="10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ht="48" customHeight="1" spans="1:26">
      <c r="A300" s="9"/>
      <c r="B300" s="9"/>
      <c r="C300" s="9"/>
      <c r="D300" s="9"/>
      <c r="E300" s="9"/>
      <c r="F300" s="10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ht="48" customHeight="1" spans="1:26">
      <c r="A301" s="9"/>
      <c r="B301" s="9"/>
      <c r="C301" s="9"/>
      <c r="D301" s="9"/>
      <c r="E301" s="9"/>
      <c r="F301" s="10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ht="48" customHeight="1" spans="1:26">
      <c r="A302" s="9"/>
      <c r="B302" s="9"/>
      <c r="C302" s="9"/>
      <c r="D302" s="9"/>
      <c r="E302" s="9"/>
      <c r="F302" s="10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ht="48" customHeight="1" spans="1:26">
      <c r="A303" s="9"/>
      <c r="B303" s="9"/>
      <c r="C303" s="9"/>
      <c r="D303" s="9"/>
      <c r="E303" s="9"/>
      <c r="F303" s="10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ht="48" customHeight="1" spans="1:26">
      <c r="A304" s="9"/>
      <c r="B304" s="9"/>
      <c r="C304" s="9"/>
      <c r="D304" s="9"/>
      <c r="E304" s="9"/>
      <c r="F304" s="10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ht="48" customHeight="1" spans="1:26">
      <c r="A305" s="9"/>
      <c r="B305" s="9"/>
      <c r="C305" s="9"/>
      <c r="D305" s="9"/>
      <c r="E305" s="9"/>
      <c r="F305" s="10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ht="48" customHeight="1" spans="1:26">
      <c r="A306" s="9"/>
      <c r="B306" s="9"/>
      <c r="C306" s="9"/>
      <c r="D306" s="9"/>
      <c r="E306" s="9"/>
      <c r="F306" s="10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ht="48" customHeight="1" spans="1:26">
      <c r="A307" s="9"/>
      <c r="B307" s="9"/>
      <c r="C307" s="9"/>
      <c r="D307" s="9"/>
      <c r="E307" s="9"/>
      <c r="F307" s="10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ht="48" customHeight="1" spans="1:26">
      <c r="A308" s="9"/>
      <c r="B308" s="9"/>
      <c r="C308" s="9"/>
      <c r="D308" s="9"/>
      <c r="E308" s="9"/>
      <c r="F308" s="10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ht="48" customHeight="1" spans="1:26">
      <c r="A309" s="9"/>
      <c r="B309" s="9"/>
      <c r="C309" s="9"/>
      <c r="D309" s="9"/>
      <c r="E309" s="9"/>
      <c r="F309" s="10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ht="48" customHeight="1" spans="1:26">
      <c r="A310" s="9"/>
      <c r="B310" s="9"/>
      <c r="C310" s="9"/>
      <c r="D310" s="9"/>
      <c r="E310" s="9"/>
      <c r="F310" s="10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ht="48" customHeight="1" spans="1:26">
      <c r="A311" s="9"/>
      <c r="B311" s="9"/>
      <c r="C311" s="9"/>
      <c r="D311" s="9"/>
      <c r="E311" s="9"/>
      <c r="F311" s="10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ht="48" customHeight="1" spans="1:26">
      <c r="A312" s="9"/>
      <c r="B312" s="9"/>
      <c r="C312" s="9"/>
      <c r="D312" s="9"/>
      <c r="E312" s="9"/>
      <c r="F312" s="10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ht="48" customHeight="1" spans="1:26">
      <c r="A313" s="9"/>
      <c r="B313" s="9"/>
      <c r="C313" s="9"/>
      <c r="D313" s="9"/>
      <c r="E313" s="9"/>
      <c r="F313" s="10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ht="48" customHeight="1" spans="1:26">
      <c r="A314" s="9"/>
      <c r="B314" s="9"/>
      <c r="C314" s="9"/>
      <c r="D314" s="9"/>
      <c r="E314" s="9"/>
      <c r="F314" s="10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ht="48" customHeight="1" spans="1:26">
      <c r="A315" s="9"/>
      <c r="B315" s="9"/>
      <c r="C315" s="9"/>
      <c r="D315" s="9"/>
      <c r="E315" s="9"/>
      <c r="F315" s="10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ht="48" customHeight="1" spans="1:26">
      <c r="A316" s="9"/>
      <c r="B316" s="9"/>
      <c r="C316" s="9"/>
      <c r="D316" s="9"/>
      <c r="E316" s="9"/>
      <c r="F316" s="10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ht="48" customHeight="1" spans="1:26">
      <c r="A317" s="9"/>
      <c r="B317" s="9"/>
      <c r="C317" s="9"/>
      <c r="D317" s="9"/>
      <c r="E317" s="9"/>
      <c r="F317" s="10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ht="48" customHeight="1" spans="1:26">
      <c r="A318" s="9"/>
      <c r="B318" s="9"/>
      <c r="C318" s="9"/>
      <c r="D318" s="9"/>
      <c r="E318" s="9"/>
      <c r="F318" s="10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ht="48" customHeight="1" spans="1:26">
      <c r="A319" s="9"/>
      <c r="B319" s="9"/>
      <c r="C319" s="9"/>
      <c r="D319" s="9"/>
      <c r="E319" s="9"/>
      <c r="F319" s="10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ht="48" customHeight="1" spans="1:26">
      <c r="A320" s="9"/>
      <c r="B320" s="9"/>
      <c r="C320" s="9"/>
      <c r="D320" s="9"/>
      <c r="E320" s="9"/>
      <c r="F320" s="10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ht="48" customHeight="1" spans="1:26">
      <c r="A321" s="9"/>
      <c r="B321" s="9"/>
      <c r="C321" s="9"/>
      <c r="D321" s="9"/>
      <c r="E321" s="9"/>
      <c r="F321" s="10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ht="48" customHeight="1" spans="1:26">
      <c r="A322" s="9"/>
      <c r="B322" s="9"/>
      <c r="C322" s="9"/>
      <c r="D322" s="9"/>
      <c r="E322" s="9"/>
      <c r="F322" s="10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ht="48" customHeight="1" spans="1:26">
      <c r="A323" s="9"/>
      <c r="B323" s="9"/>
      <c r="C323" s="9"/>
      <c r="D323" s="9"/>
      <c r="E323" s="9"/>
      <c r="F323" s="10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ht="48" customHeight="1" spans="1:26">
      <c r="A324" s="9"/>
      <c r="B324" s="9"/>
      <c r="C324" s="9"/>
      <c r="D324" s="9"/>
      <c r="E324" s="9"/>
      <c r="F324" s="10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ht="48" customHeight="1" spans="1:26">
      <c r="A325" s="9"/>
      <c r="B325" s="9"/>
      <c r="C325" s="9"/>
      <c r="D325" s="9"/>
      <c r="E325" s="9"/>
      <c r="F325" s="10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ht="48" customHeight="1" spans="1:26">
      <c r="A326" s="9"/>
      <c r="B326" s="9"/>
      <c r="C326" s="9"/>
      <c r="D326" s="9"/>
      <c r="E326" s="9"/>
      <c r="F326" s="10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ht="48" customHeight="1" spans="1:26">
      <c r="A327" s="9"/>
      <c r="B327" s="9"/>
      <c r="C327" s="9"/>
      <c r="D327" s="9"/>
      <c r="E327" s="9"/>
      <c r="F327" s="10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ht="48" customHeight="1" spans="1:26">
      <c r="A328" s="9"/>
      <c r="B328" s="9"/>
      <c r="C328" s="9"/>
      <c r="D328" s="9"/>
      <c r="E328" s="9"/>
      <c r="F328" s="10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ht="48" customHeight="1" spans="1:26">
      <c r="A329" s="9"/>
      <c r="B329" s="9"/>
      <c r="C329" s="9"/>
      <c r="D329" s="9"/>
      <c r="E329" s="9"/>
      <c r="F329" s="10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ht="48" customHeight="1" spans="1:26">
      <c r="A330" s="9"/>
      <c r="B330" s="9"/>
      <c r="C330" s="9"/>
      <c r="D330" s="9"/>
      <c r="E330" s="9"/>
      <c r="F330" s="10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ht="48" customHeight="1" spans="1:26">
      <c r="A331" s="9"/>
      <c r="B331" s="9"/>
      <c r="C331" s="9"/>
      <c r="D331" s="9"/>
      <c r="E331" s="9"/>
      <c r="F331" s="10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ht="48" customHeight="1" spans="1:26">
      <c r="A332" s="9"/>
      <c r="B332" s="9"/>
      <c r="C332" s="9"/>
      <c r="D332" s="9"/>
      <c r="E332" s="9"/>
      <c r="F332" s="10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ht="48" customHeight="1" spans="1:26">
      <c r="A333" s="9"/>
      <c r="B333" s="9"/>
      <c r="C333" s="9"/>
      <c r="D333" s="9"/>
      <c r="E333" s="9"/>
      <c r="F333" s="10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ht="48" customHeight="1" spans="1:26">
      <c r="A334" s="9"/>
      <c r="B334" s="9"/>
      <c r="C334" s="9"/>
      <c r="D334" s="9"/>
      <c r="E334" s="9"/>
      <c r="F334" s="10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ht="48" customHeight="1" spans="1:26">
      <c r="A335" s="9"/>
      <c r="B335" s="9"/>
      <c r="C335" s="9"/>
      <c r="D335" s="9"/>
      <c r="E335" s="9"/>
      <c r="F335" s="10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ht="48" customHeight="1" spans="1:26">
      <c r="A336" s="9"/>
      <c r="B336" s="9"/>
      <c r="C336" s="9"/>
      <c r="D336" s="9"/>
      <c r="E336" s="9"/>
      <c r="F336" s="10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ht="48" customHeight="1" spans="1:26">
      <c r="A337" s="9"/>
      <c r="B337" s="9"/>
      <c r="C337" s="9"/>
      <c r="D337" s="9"/>
      <c r="E337" s="9"/>
      <c r="F337" s="10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ht="48" customHeight="1" spans="1:26">
      <c r="A338" s="9"/>
      <c r="B338" s="9"/>
      <c r="C338" s="9"/>
      <c r="D338" s="9"/>
      <c r="E338" s="9"/>
      <c r="F338" s="10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ht="48" customHeight="1" spans="1:26">
      <c r="A339" s="9"/>
      <c r="B339" s="9"/>
      <c r="C339" s="9"/>
      <c r="D339" s="9"/>
      <c r="E339" s="9"/>
      <c r="F339" s="10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ht="48" customHeight="1" spans="1:26">
      <c r="A340" s="9"/>
      <c r="B340" s="9"/>
      <c r="C340" s="9"/>
      <c r="D340" s="9"/>
      <c r="E340" s="9"/>
      <c r="F340" s="10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ht="48" customHeight="1" spans="1:26">
      <c r="A341" s="9"/>
      <c r="B341" s="9"/>
      <c r="C341" s="9"/>
      <c r="D341" s="9"/>
      <c r="E341" s="9"/>
      <c r="F341" s="10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ht="48" customHeight="1" spans="1:26">
      <c r="A342" s="9"/>
      <c r="B342" s="9"/>
      <c r="C342" s="9"/>
      <c r="D342" s="9"/>
      <c r="E342" s="9"/>
      <c r="F342" s="10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ht="48" customHeight="1" spans="1:26">
      <c r="A343" s="9"/>
      <c r="B343" s="9"/>
      <c r="C343" s="9"/>
      <c r="D343" s="9"/>
      <c r="E343" s="9"/>
      <c r="F343" s="10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ht="48" customHeight="1" spans="1:26">
      <c r="A344" s="9"/>
      <c r="B344" s="9"/>
      <c r="C344" s="9"/>
      <c r="D344" s="9"/>
      <c r="E344" s="9"/>
      <c r="F344" s="10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ht="48" customHeight="1" spans="1:26">
      <c r="A345" s="9"/>
      <c r="B345" s="9"/>
      <c r="C345" s="9"/>
      <c r="D345" s="9"/>
      <c r="E345" s="9"/>
      <c r="F345" s="10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ht="48" customHeight="1" spans="1:26">
      <c r="A346" s="9"/>
      <c r="B346" s="9"/>
      <c r="C346" s="9"/>
      <c r="D346" s="9"/>
      <c r="E346" s="9"/>
      <c r="F346" s="10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ht="48" customHeight="1" spans="1:26">
      <c r="A347" s="9"/>
      <c r="B347" s="9"/>
      <c r="C347" s="9"/>
      <c r="D347" s="9"/>
      <c r="E347" s="9"/>
      <c r="F347" s="10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ht="48" customHeight="1" spans="1:26">
      <c r="A348" s="9"/>
      <c r="B348" s="9"/>
      <c r="C348" s="9"/>
      <c r="D348" s="9"/>
      <c r="E348" s="9"/>
      <c r="F348" s="10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ht="48" customHeight="1" spans="1:26">
      <c r="A349" s="9"/>
      <c r="B349" s="9"/>
      <c r="C349" s="9"/>
      <c r="D349" s="9"/>
      <c r="E349" s="9"/>
      <c r="F349" s="10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ht="48" customHeight="1" spans="1:26">
      <c r="A350" s="9"/>
      <c r="B350" s="9"/>
      <c r="C350" s="9"/>
      <c r="D350" s="9"/>
      <c r="E350" s="9"/>
      <c r="F350" s="10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ht="48" customHeight="1" spans="1:26">
      <c r="A351" s="9"/>
      <c r="B351" s="9"/>
      <c r="C351" s="9"/>
      <c r="D351" s="9"/>
      <c r="E351" s="9"/>
      <c r="F351" s="10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ht="48" customHeight="1" spans="1:26">
      <c r="A352" s="9"/>
      <c r="B352" s="9"/>
      <c r="C352" s="9"/>
      <c r="D352" s="9"/>
      <c r="E352" s="9"/>
      <c r="F352" s="10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ht="48" customHeight="1" spans="1:26">
      <c r="A353" s="9"/>
      <c r="B353" s="9"/>
      <c r="C353" s="9"/>
      <c r="D353" s="9"/>
      <c r="E353" s="9"/>
      <c r="F353" s="10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ht="48" customHeight="1" spans="1:26">
      <c r="A354" s="9"/>
      <c r="B354" s="9"/>
      <c r="C354" s="9"/>
      <c r="D354" s="9"/>
      <c r="E354" s="9"/>
      <c r="F354" s="10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ht="48" customHeight="1" spans="1:26">
      <c r="A355" s="9"/>
      <c r="B355" s="9"/>
      <c r="C355" s="9"/>
      <c r="D355" s="9"/>
      <c r="E355" s="9"/>
      <c r="F355" s="10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ht="48" customHeight="1" spans="1:26">
      <c r="A356" s="9"/>
      <c r="B356" s="9"/>
      <c r="C356" s="9"/>
      <c r="D356" s="9"/>
      <c r="E356" s="9"/>
      <c r="F356" s="10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ht="48" customHeight="1" spans="1:26">
      <c r="A357" s="9"/>
      <c r="B357" s="9"/>
      <c r="C357" s="9"/>
      <c r="D357" s="9"/>
      <c r="E357" s="9"/>
      <c r="F357" s="10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ht="48" customHeight="1" spans="1:26">
      <c r="A358" s="9"/>
      <c r="B358" s="9"/>
      <c r="C358" s="9"/>
      <c r="D358" s="9"/>
      <c r="E358" s="9"/>
      <c r="F358" s="10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ht="48" customHeight="1" spans="1:26">
      <c r="A359" s="9"/>
      <c r="B359" s="9"/>
      <c r="C359" s="9"/>
      <c r="D359" s="9"/>
      <c r="E359" s="9"/>
      <c r="F359" s="10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ht="48" customHeight="1" spans="1:26">
      <c r="A360" s="9"/>
      <c r="B360" s="9"/>
      <c r="C360" s="9"/>
      <c r="D360" s="9"/>
      <c r="E360" s="9"/>
      <c r="F360" s="10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ht="48" customHeight="1" spans="1:26">
      <c r="A361" s="9"/>
      <c r="B361" s="9"/>
      <c r="C361" s="9"/>
      <c r="D361" s="9"/>
      <c r="E361" s="9"/>
      <c r="F361" s="10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ht="48" customHeight="1" spans="1:26">
      <c r="A362" s="9"/>
      <c r="B362" s="9"/>
      <c r="C362" s="9"/>
      <c r="D362" s="9"/>
      <c r="E362" s="9"/>
      <c r="F362" s="10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ht="48" customHeight="1" spans="1:26">
      <c r="A363" s="9"/>
      <c r="B363" s="9"/>
      <c r="C363" s="9"/>
      <c r="D363" s="9"/>
      <c r="E363" s="9"/>
      <c r="F363" s="10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ht="48" customHeight="1" spans="1:26">
      <c r="A364" s="9"/>
      <c r="B364" s="9"/>
      <c r="C364" s="9"/>
      <c r="D364" s="9"/>
      <c r="E364" s="9"/>
      <c r="F364" s="10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ht="48" customHeight="1" spans="1:26">
      <c r="A365" s="9"/>
      <c r="B365" s="9"/>
      <c r="C365" s="9"/>
      <c r="D365" s="9"/>
      <c r="E365" s="9"/>
      <c r="F365" s="10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ht="48" customHeight="1" spans="1:26">
      <c r="A366" s="9"/>
      <c r="B366" s="9"/>
      <c r="C366" s="9"/>
      <c r="D366" s="9"/>
      <c r="E366" s="9"/>
      <c r="F366" s="10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ht="48" customHeight="1" spans="1:26">
      <c r="A367" s="9"/>
      <c r="B367" s="9"/>
      <c r="C367" s="9"/>
      <c r="D367" s="9"/>
      <c r="E367" s="9"/>
      <c r="F367" s="10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ht="48" customHeight="1" spans="1:26">
      <c r="A368" s="9"/>
      <c r="B368" s="9"/>
      <c r="C368" s="9"/>
      <c r="D368" s="9"/>
      <c r="E368" s="9"/>
      <c r="F368" s="10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ht="48" customHeight="1" spans="1:26">
      <c r="A369" s="9"/>
      <c r="B369" s="9"/>
      <c r="C369" s="9"/>
      <c r="D369" s="9"/>
      <c r="E369" s="9"/>
      <c r="F369" s="10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ht="48" customHeight="1" spans="1:26">
      <c r="A370" s="9"/>
      <c r="B370" s="9"/>
      <c r="C370" s="9"/>
      <c r="D370" s="9"/>
      <c r="E370" s="9"/>
      <c r="F370" s="10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ht="48" customHeight="1" spans="1:26">
      <c r="A371" s="9"/>
      <c r="B371" s="9"/>
      <c r="C371" s="9"/>
      <c r="D371" s="9"/>
      <c r="E371" s="9"/>
      <c r="F371" s="10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ht="48" customHeight="1" spans="1:26">
      <c r="A372" s="9"/>
      <c r="B372" s="9"/>
      <c r="C372" s="9"/>
      <c r="D372" s="9"/>
      <c r="E372" s="9"/>
      <c r="F372" s="10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ht="48" customHeight="1" spans="1:26">
      <c r="A373" s="9"/>
      <c r="B373" s="9"/>
      <c r="C373" s="9"/>
      <c r="D373" s="9"/>
      <c r="E373" s="9"/>
      <c r="F373" s="10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ht="48" customHeight="1" spans="1:26">
      <c r="A374" s="9"/>
      <c r="B374" s="9"/>
      <c r="C374" s="9"/>
      <c r="D374" s="9"/>
      <c r="E374" s="9"/>
      <c r="F374" s="10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ht="48" customHeight="1" spans="1:26">
      <c r="A375" s="9"/>
      <c r="B375" s="9"/>
      <c r="C375" s="9"/>
      <c r="D375" s="9"/>
      <c r="E375" s="9"/>
      <c r="F375" s="10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ht="48" customHeight="1" spans="1:26">
      <c r="A376" s="9"/>
      <c r="B376" s="9"/>
      <c r="C376" s="9"/>
      <c r="D376" s="9"/>
      <c r="E376" s="9"/>
      <c r="F376" s="10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ht="48" customHeight="1" spans="1:26">
      <c r="A377" s="9"/>
      <c r="B377" s="9"/>
      <c r="C377" s="9"/>
      <c r="D377" s="9"/>
      <c r="E377" s="9"/>
      <c r="F377" s="10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ht="48" customHeight="1" spans="1:26">
      <c r="A378" s="9"/>
      <c r="B378" s="9"/>
      <c r="C378" s="9"/>
      <c r="D378" s="9"/>
      <c r="E378" s="9"/>
      <c r="F378" s="10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ht="48" customHeight="1" spans="1:26">
      <c r="A379" s="9"/>
      <c r="B379" s="9"/>
      <c r="C379" s="9"/>
      <c r="D379" s="9"/>
      <c r="E379" s="9"/>
      <c r="F379" s="10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ht="48" customHeight="1" spans="1:26">
      <c r="A380" s="9"/>
      <c r="B380" s="9"/>
      <c r="C380" s="9"/>
      <c r="D380" s="9"/>
      <c r="E380" s="9"/>
      <c r="F380" s="10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ht="48" customHeight="1" spans="1:26">
      <c r="A381" s="9"/>
      <c r="B381" s="9"/>
      <c r="C381" s="9"/>
      <c r="D381" s="9"/>
      <c r="E381" s="9"/>
      <c r="F381" s="10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ht="48" customHeight="1" spans="1:26">
      <c r="A382" s="9"/>
      <c r="B382" s="9"/>
      <c r="C382" s="9"/>
      <c r="D382" s="9"/>
      <c r="E382" s="9"/>
      <c r="F382" s="10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ht="48" customHeight="1" spans="1:26">
      <c r="A383" s="9"/>
      <c r="B383" s="9"/>
      <c r="C383" s="9"/>
      <c r="D383" s="9"/>
      <c r="E383" s="9"/>
      <c r="F383" s="10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ht="48" customHeight="1" spans="1:26">
      <c r="A384" s="9"/>
      <c r="B384" s="9"/>
      <c r="C384" s="9"/>
      <c r="D384" s="9"/>
      <c r="E384" s="9"/>
      <c r="F384" s="10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ht="48" customHeight="1" spans="1:26">
      <c r="A385" s="9"/>
      <c r="B385" s="9"/>
      <c r="C385" s="9"/>
      <c r="D385" s="9"/>
      <c r="E385" s="9"/>
      <c r="F385" s="10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ht="48" customHeight="1" spans="1:26">
      <c r="A386" s="9"/>
      <c r="B386" s="9"/>
      <c r="C386" s="9"/>
      <c r="D386" s="9"/>
      <c r="E386" s="9"/>
      <c r="F386" s="10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ht="48" customHeight="1" spans="1:26">
      <c r="A387" s="9"/>
      <c r="B387" s="9"/>
      <c r="C387" s="9"/>
      <c r="D387" s="9"/>
      <c r="E387" s="9"/>
      <c r="F387" s="10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ht="48" customHeight="1" spans="1:26">
      <c r="A388" s="9"/>
      <c r="B388" s="9"/>
      <c r="C388" s="9"/>
      <c r="D388" s="9"/>
      <c r="E388" s="9"/>
      <c r="F388" s="10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ht="48" customHeight="1" spans="1:26">
      <c r="A389" s="9"/>
      <c r="B389" s="9"/>
      <c r="C389" s="9"/>
      <c r="D389" s="9"/>
      <c r="E389" s="9"/>
      <c r="F389" s="10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ht="48" customHeight="1" spans="1:26">
      <c r="A390" s="9"/>
      <c r="B390" s="9"/>
      <c r="C390" s="9"/>
      <c r="D390" s="9"/>
      <c r="E390" s="9"/>
      <c r="F390" s="10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ht="48" customHeight="1" spans="1:26">
      <c r="A391" s="9"/>
      <c r="B391" s="9"/>
      <c r="C391" s="9"/>
      <c r="D391" s="9"/>
      <c r="E391" s="9"/>
      <c r="F391" s="10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ht="48" customHeight="1" spans="1:26">
      <c r="A392" s="9"/>
      <c r="B392" s="9"/>
      <c r="C392" s="9"/>
      <c r="D392" s="9"/>
      <c r="E392" s="9"/>
      <c r="F392" s="10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ht="48" customHeight="1" spans="1:26">
      <c r="A393" s="9"/>
      <c r="B393" s="9"/>
      <c r="C393" s="9"/>
      <c r="D393" s="9"/>
      <c r="E393" s="9"/>
      <c r="F393" s="10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ht="48" customHeight="1" spans="1:26">
      <c r="A394" s="9"/>
      <c r="B394" s="9"/>
      <c r="C394" s="9"/>
      <c r="D394" s="9"/>
      <c r="E394" s="9"/>
      <c r="F394" s="10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ht="48" customHeight="1" spans="1:26">
      <c r="A395" s="9"/>
      <c r="B395" s="9"/>
      <c r="C395" s="9"/>
      <c r="D395" s="9"/>
      <c r="E395" s="9"/>
      <c r="F395" s="10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ht="48" customHeight="1" spans="1:26">
      <c r="A396" s="9"/>
      <c r="B396" s="9"/>
      <c r="C396" s="9"/>
      <c r="D396" s="9"/>
      <c r="E396" s="9"/>
      <c r="F396" s="10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ht="48" customHeight="1" spans="1:26">
      <c r="A397" s="9"/>
      <c r="B397" s="9"/>
      <c r="C397" s="9"/>
      <c r="D397" s="9"/>
      <c r="E397" s="9"/>
      <c r="F397" s="10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ht="48" customHeight="1" spans="1:26">
      <c r="A398" s="9"/>
      <c r="B398" s="9"/>
      <c r="C398" s="9"/>
      <c r="D398" s="9"/>
      <c r="E398" s="9"/>
      <c r="F398" s="10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ht="48" customHeight="1" spans="1:26">
      <c r="A399" s="9"/>
      <c r="B399" s="9"/>
      <c r="C399" s="9"/>
      <c r="D399" s="9"/>
      <c r="E399" s="9"/>
      <c r="F399" s="10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ht="48" customHeight="1" spans="1:26">
      <c r="A400" s="9"/>
      <c r="B400" s="9"/>
      <c r="C400" s="9"/>
      <c r="D400" s="9"/>
      <c r="E400" s="9"/>
      <c r="F400" s="10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ht="48" customHeight="1" spans="1:26">
      <c r="A401" s="9"/>
      <c r="B401" s="9"/>
      <c r="C401" s="9"/>
      <c r="D401" s="9"/>
      <c r="E401" s="9"/>
      <c r="F401" s="10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ht="48" customHeight="1" spans="1:26">
      <c r="A402" s="9"/>
      <c r="B402" s="9"/>
      <c r="C402" s="9"/>
      <c r="D402" s="9"/>
      <c r="E402" s="9"/>
      <c r="F402" s="10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ht="48" customHeight="1" spans="1:26">
      <c r="A403" s="9"/>
      <c r="B403" s="9"/>
      <c r="C403" s="9"/>
      <c r="D403" s="9"/>
      <c r="E403" s="9"/>
      <c r="F403" s="10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ht="48" customHeight="1" spans="1:26">
      <c r="A404" s="9"/>
      <c r="B404" s="9"/>
      <c r="C404" s="9"/>
      <c r="D404" s="9"/>
      <c r="E404" s="9"/>
      <c r="F404" s="10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ht="48" customHeight="1" spans="1:26">
      <c r="A405" s="9"/>
      <c r="B405" s="9"/>
      <c r="C405" s="9"/>
      <c r="D405" s="9"/>
      <c r="E405" s="9"/>
      <c r="F405" s="10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ht="48" customHeight="1" spans="1:26">
      <c r="A406" s="9"/>
      <c r="B406" s="9"/>
      <c r="C406" s="9"/>
      <c r="D406" s="9"/>
      <c r="E406" s="9"/>
      <c r="F406" s="10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ht="48" customHeight="1" spans="1:26">
      <c r="A407" s="9"/>
      <c r="B407" s="9"/>
      <c r="C407" s="9"/>
      <c r="D407" s="9"/>
      <c r="E407" s="9"/>
      <c r="F407" s="10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ht="48" customHeight="1" spans="1:26">
      <c r="A408" s="9"/>
      <c r="B408" s="9"/>
      <c r="C408" s="9"/>
      <c r="D408" s="9"/>
      <c r="E408" s="9"/>
      <c r="F408" s="10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ht="48" customHeight="1" spans="1:26">
      <c r="A409" s="9"/>
      <c r="B409" s="9"/>
      <c r="C409" s="9"/>
      <c r="D409" s="9"/>
      <c r="E409" s="9"/>
      <c r="F409" s="10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ht="48" customHeight="1" spans="1:26">
      <c r="A410" s="9"/>
      <c r="B410" s="9"/>
      <c r="C410" s="9"/>
      <c r="D410" s="9"/>
      <c r="E410" s="9"/>
      <c r="F410" s="10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ht="48" customHeight="1" spans="1:26">
      <c r="A411" s="9"/>
      <c r="B411" s="9"/>
      <c r="C411" s="9"/>
      <c r="D411" s="9"/>
      <c r="E411" s="9"/>
      <c r="F411" s="10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ht="48" customHeight="1" spans="1:26">
      <c r="A412" s="9"/>
      <c r="B412" s="9"/>
      <c r="C412" s="9"/>
      <c r="D412" s="9"/>
      <c r="E412" s="9"/>
      <c r="F412" s="10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ht="48" customHeight="1" spans="1:26">
      <c r="A413" s="9"/>
      <c r="B413" s="9"/>
      <c r="C413" s="9"/>
      <c r="D413" s="9"/>
      <c r="E413" s="9"/>
      <c r="F413" s="10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ht="48" customHeight="1" spans="1:26">
      <c r="A414" s="9"/>
      <c r="B414" s="9"/>
      <c r="C414" s="9"/>
      <c r="D414" s="9"/>
      <c r="E414" s="9"/>
      <c r="F414" s="10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ht="48" customHeight="1" spans="1:26">
      <c r="A415" s="9"/>
      <c r="B415" s="9"/>
      <c r="C415" s="9"/>
      <c r="D415" s="9"/>
      <c r="E415" s="9"/>
      <c r="F415" s="10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ht="48" customHeight="1" spans="1:26">
      <c r="A416" s="9"/>
      <c r="B416" s="9"/>
      <c r="C416" s="9"/>
      <c r="D416" s="9"/>
      <c r="E416" s="9"/>
      <c r="F416" s="10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ht="48" customHeight="1" spans="1:26">
      <c r="A417" s="9"/>
      <c r="B417" s="9"/>
      <c r="C417" s="9"/>
      <c r="D417" s="9"/>
      <c r="E417" s="9"/>
      <c r="F417" s="10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ht="48" customHeight="1" spans="1:26">
      <c r="A418" s="9"/>
      <c r="B418" s="9"/>
      <c r="C418" s="9"/>
      <c r="D418" s="9"/>
      <c r="E418" s="9"/>
      <c r="F418" s="10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ht="48" customHeight="1" spans="1:26">
      <c r="A419" s="9"/>
      <c r="B419" s="9"/>
      <c r="C419" s="9"/>
      <c r="D419" s="9"/>
      <c r="E419" s="9"/>
      <c r="F419" s="10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ht="48" customHeight="1" spans="1:26">
      <c r="A420" s="9"/>
      <c r="B420" s="9"/>
      <c r="C420" s="9"/>
      <c r="D420" s="9"/>
      <c r="E420" s="9"/>
      <c r="F420" s="10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ht="48" customHeight="1" spans="1:26">
      <c r="A421" s="9"/>
      <c r="B421" s="9"/>
      <c r="C421" s="9"/>
      <c r="D421" s="9"/>
      <c r="E421" s="9"/>
      <c r="F421" s="10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ht="48" customHeight="1" spans="1:26">
      <c r="A422" s="9"/>
      <c r="B422" s="9"/>
      <c r="C422" s="9"/>
      <c r="D422" s="9"/>
      <c r="E422" s="9"/>
      <c r="F422" s="10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ht="48" customHeight="1" spans="1:26">
      <c r="A423" s="9"/>
      <c r="B423" s="9"/>
      <c r="C423" s="9"/>
      <c r="D423" s="9"/>
      <c r="E423" s="9"/>
      <c r="F423" s="10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ht="48" customHeight="1" spans="1:26">
      <c r="A424" s="9"/>
      <c r="B424" s="9"/>
      <c r="C424" s="9"/>
      <c r="D424" s="9"/>
      <c r="E424" s="9"/>
      <c r="F424" s="10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ht="48" customHeight="1" spans="1:26">
      <c r="A425" s="9"/>
      <c r="B425" s="9"/>
      <c r="C425" s="9"/>
      <c r="D425" s="9"/>
      <c r="E425" s="9"/>
      <c r="F425" s="10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ht="48" customHeight="1" spans="1:26">
      <c r="A426" s="9"/>
      <c r="B426" s="9"/>
      <c r="C426" s="9"/>
      <c r="D426" s="9"/>
      <c r="E426" s="9"/>
      <c r="F426" s="10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ht="48" customHeight="1" spans="1:26">
      <c r="A427" s="9"/>
      <c r="B427" s="9"/>
      <c r="C427" s="9"/>
      <c r="D427" s="9"/>
      <c r="E427" s="9"/>
      <c r="F427" s="10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ht="48" customHeight="1" spans="1:26">
      <c r="A428" s="9"/>
      <c r="B428" s="9"/>
      <c r="C428" s="9"/>
      <c r="D428" s="9"/>
      <c r="E428" s="9"/>
      <c r="F428" s="10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ht="48" customHeight="1" spans="1:26">
      <c r="A429" s="9"/>
      <c r="B429" s="9"/>
      <c r="C429" s="9"/>
      <c r="D429" s="9"/>
      <c r="E429" s="9"/>
      <c r="F429" s="10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ht="48" customHeight="1" spans="1:26">
      <c r="A430" s="9"/>
      <c r="B430" s="9"/>
      <c r="C430" s="9"/>
      <c r="D430" s="9"/>
      <c r="E430" s="9"/>
      <c r="F430" s="10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ht="48" customHeight="1" spans="1:26">
      <c r="A431" s="9"/>
      <c r="B431" s="9"/>
      <c r="C431" s="9"/>
      <c r="D431" s="9"/>
      <c r="E431" s="9"/>
      <c r="F431" s="10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ht="48" customHeight="1" spans="1:26">
      <c r="A432" s="9"/>
      <c r="B432" s="9"/>
      <c r="C432" s="9"/>
      <c r="D432" s="9"/>
      <c r="E432" s="9"/>
      <c r="F432" s="10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ht="48" customHeight="1" spans="1:26">
      <c r="A433" s="9"/>
      <c r="B433" s="9"/>
      <c r="C433" s="9"/>
      <c r="D433" s="9"/>
      <c r="E433" s="9"/>
      <c r="F433" s="10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ht="48" customHeight="1" spans="1:26">
      <c r="A434" s="9"/>
      <c r="B434" s="9"/>
      <c r="C434" s="9"/>
      <c r="D434" s="9"/>
      <c r="E434" s="9"/>
      <c r="F434" s="10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ht="48" customHeight="1" spans="1:26">
      <c r="A435" s="9"/>
      <c r="B435" s="9"/>
      <c r="C435" s="9"/>
      <c r="D435" s="9"/>
      <c r="E435" s="9"/>
      <c r="F435" s="10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ht="48" customHeight="1" spans="1:26">
      <c r="A436" s="9"/>
      <c r="B436" s="9"/>
      <c r="C436" s="9"/>
      <c r="D436" s="9"/>
      <c r="E436" s="9"/>
      <c r="F436" s="10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ht="48" customHeight="1" spans="1:26">
      <c r="A437" s="9"/>
      <c r="B437" s="9"/>
      <c r="C437" s="9"/>
      <c r="D437" s="9"/>
      <c r="E437" s="9"/>
      <c r="F437" s="10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ht="48" customHeight="1" spans="1:26">
      <c r="A438" s="9"/>
      <c r="B438" s="9"/>
      <c r="C438" s="9"/>
      <c r="D438" s="9"/>
      <c r="E438" s="9"/>
      <c r="F438" s="10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ht="48" customHeight="1" spans="1:26">
      <c r="A439" s="9"/>
      <c r="B439" s="9"/>
      <c r="C439" s="9"/>
      <c r="D439" s="9"/>
      <c r="E439" s="9"/>
      <c r="F439" s="10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ht="48" customHeight="1" spans="1:26">
      <c r="A440" s="9"/>
      <c r="B440" s="9"/>
      <c r="C440" s="9"/>
      <c r="D440" s="9"/>
      <c r="E440" s="9"/>
      <c r="F440" s="10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ht="48" customHeight="1" spans="1:26">
      <c r="A441" s="9"/>
      <c r="B441" s="9"/>
      <c r="C441" s="9"/>
      <c r="D441" s="9"/>
      <c r="E441" s="9"/>
      <c r="F441" s="10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ht="48" customHeight="1" spans="1:26">
      <c r="A442" s="9"/>
      <c r="B442" s="9"/>
      <c r="C442" s="9"/>
      <c r="D442" s="9"/>
      <c r="E442" s="9"/>
      <c r="F442" s="10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ht="48" customHeight="1" spans="1:26">
      <c r="A443" s="9"/>
      <c r="B443" s="9"/>
      <c r="C443" s="9"/>
      <c r="D443" s="9"/>
      <c r="E443" s="9"/>
      <c r="F443" s="10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ht="48" customHeight="1" spans="1:26">
      <c r="A444" s="9"/>
      <c r="B444" s="9"/>
      <c r="C444" s="9"/>
      <c r="D444" s="9"/>
      <c r="E444" s="9"/>
      <c r="F444" s="10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ht="48" customHeight="1" spans="1:26">
      <c r="A445" s="9"/>
      <c r="B445" s="9"/>
      <c r="C445" s="9"/>
      <c r="D445" s="9"/>
      <c r="E445" s="9"/>
      <c r="F445" s="10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ht="48" customHeight="1" spans="1:26">
      <c r="A446" s="9"/>
      <c r="B446" s="9"/>
      <c r="C446" s="9"/>
      <c r="D446" s="9"/>
      <c r="E446" s="9"/>
      <c r="F446" s="10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ht="48" customHeight="1" spans="1:26">
      <c r="A447" s="9"/>
      <c r="B447" s="9"/>
      <c r="C447" s="9"/>
      <c r="D447" s="9"/>
      <c r="E447" s="9"/>
      <c r="F447" s="10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ht="48" customHeight="1" spans="1:26">
      <c r="A448" s="9"/>
      <c r="B448" s="9"/>
      <c r="C448" s="9"/>
      <c r="D448" s="9"/>
      <c r="E448" s="9"/>
      <c r="F448" s="10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ht="48" customHeight="1" spans="1:26">
      <c r="A449" s="9"/>
      <c r="B449" s="9"/>
      <c r="C449" s="9"/>
      <c r="D449" s="9"/>
      <c r="E449" s="9"/>
      <c r="F449" s="10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ht="48" customHeight="1" spans="1:26">
      <c r="A450" s="9"/>
      <c r="B450" s="9"/>
      <c r="C450" s="9"/>
      <c r="D450" s="9"/>
      <c r="E450" s="9"/>
      <c r="F450" s="10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ht="48" customHeight="1" spans="1:26">
      <c r="A451" s="9"/>
      <c r="B451" s="9"/>
      <c r="C451" s="9"/>
      <c r="D451" s="9"/>
      <c r="E451" s="9"/>
      <c r="F451" s="10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ht="48" customHeight="1" spans="1:26">
      <c r="A452" s="9"/>
      <c r="B452" s="9"/>
      <c r="C452" s="9"/>
      <c r="D452" s="9"/>
      <c r="E452" s="9"/>
      <c r="F452" s="10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ht="48" customHeight="1" spans="1:26">
      <c r="A453" s="9"/>
      <c r="B453" s="9"/>
      <c r="C453" s="9"/>
      <c r="D453" s="9"/>
      <c r="E453" s="9"/>
      <c r="F453" s="10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ht="48" customHeight="1" spans="1:26">
      <c r="A454" s="9"/>
      <c r="B454" s="9"/>
      <c r="C454" s="9"/>
      <c r="D454" s="9"/>
      <c r="E454" s="9"/>
      <c r="F454" s="10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ht="48" customHeight="1" spans="1:26">
      <c r="A455" s="9"/>
      <c r="B455" s="9"/>
      <c r="C455" s="9"/>
      <c r="D455" s="9"/>
      <c r="E455" s="9"/>
      <c r="F455" s="10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ht="48" customHeight="1" spans="1:26">
      <c r="A456" s="9"/>
      <c r="B456" s="9"/>
      <c r="C456" s="9"/>
      <c r="D456" s="9"/>
      <c r="E456" s="9"/>
      <c r="F456" s="10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ht="48" customHeight="1" spans="1:26">
      <c r="A457" s="9"/>
      <c r="B457" s="9"/>
      <c r="C457" s="9"/>
      <c r="D457" s="9"/>
      <c r="E457" s="9"/>
      <c r="F457" s="10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ht="48" customHeight="1" spans="1:26">
      <c r="A458" s="9"/>
      <c r="B458" s="9"/>
      <c r="C458" s="9"/>
      <c r="D458" s="9"/>
      <c r="E458" s="9"/>
      <c r="F458" s="10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ht="48" customHeight="1" spans="1:26">
      <c r="A459" s="9"/>
      <c r="B459" s="9"/>
      <c r="C459" s="9"/>
      <c r="D459" s="9"/>
      <c r="E459" s="9"/>
      <c r="F459" s="10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ht="48" customHeight="1" spans="1:26">
      <c r="A460" s="9"/>
      <c r="B460" s="9"/>
      <c r="C460" s="9"/>
      <c r="D460" s="9"/>
      <c r="E460" s="9"/>
      <c r="F460" s="10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ht="48" customHeight="1" spans="1:26">
      <c r="A461" s="9"/>
      <c r="B461" s="9"/>
      <c r="C461" s="9"/>
      <c r="D461" s="9"/>
      <c r="E461" s="9"/>
      <c r="F461" s="10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ht="48" customHeight="1" spans="1:26">
      <c r="A462" s="9"/>
      <c r="B462" s="9"/>
      <c r="C462" s="9"/>
      <c r="D462" s="9"/>
      <c r="E462" s="9"/>
      <c r="F462" s="10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ht="48" customHeight="1" spans="1:26">
      <c r="A463" s="9"/>
      <c r="B463" s="9"/>
      <c r="C463" s="9"/>
      <c r="D463" s="9"/>
      <c r="E463" s="9"/>
      <c r="F463" s="10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ht="48" customHeight="1" spans="1:26">
      <c r="A464" s="9"/>
      <c r="B464" s="9"/>
      <c r="C464" s="9"/>
      <c r="D464" s="9"/>
      <c r="E464" s="9"/>
      <c r="F464" s="10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ht="48" customHeight="1" spans="1:26">
      <c r="A465" s="9"/>
      <c r="B465" s="9"/>
      <c r="C465" s="9"/>
      <c r="D465" s="9"/>
      <c r="E465" s="9"/>
      <c r="F465" s="10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ht="48" customHeight="1" spans="1:26">
      <c r="A466" s="9"/>
      <c r="B466" s="9"/>
      <c r="C466" s="9"/>
      <c r="D466" s="9"/>
      <c r="E466" s="9"/>
      <c r="F466" s="10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ht="48" customHeight="1" spans="1:26">
      <c r="A467" s="9"/>
      <c r="B467" s="9"/>
      <c r="C467" s="9"/>
      <c r="D467" s="9"/>
      <c r="E467" s="9"/>
      <c r="F467" s="10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ht="48" customHeight="1" spans="1:26">
      <c r="A468" s="9"/>
      <c r="B468" s="9"/>
      <c r="C468" s="9"/>
      <c r="D468" s="9"/>
      <c r="E468" s="9"/>
      <c r="F468" s="10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ht="48" customHeight="1" spans="1:26">
      <c r="A469" s="9"/>
      <c r="B469" s="9"/>
      <c r="C469" s="9"/>
      <c r="D469" s="9"/>
      <c r="E469" s="9"/>
      <c r="F469" s="10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ht="48" customHeight="1" spans="1:26">
      <c r="A470" s="9"/>
      <c r="B470" s="9"/>
      <c r="C470" s="9"/>
      <c r="D470" s="9"/>
      <c r="E470" s="9"/>
      <c r="F470" s="10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ht="48" customHeight="1" spans="1:26">
      <c r="A471" s="9"/>
      <c r="B471" s="9"/>
      <c r="C471" s="9"/>
      <c r="D471" s="9"/>
      <c r="E471" s="9"/>
      <c r="F471" s="10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ht="48" customHeight="1" spans="1:26">
      <c r="A472" s="9"/>
      <c r="B472" s="9"/>
      <c r="C472" s="9"/>
      <c r="D472" s="9"/>
      <c r="E472" s="9"/>
      <c r="F472" s="10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ht="48" customHeight="1" spans="1:26">
      <c r="A473" s="9"/>
      <c r="B473" s="9"/>
      <c r="C473" s="9"/>
      <c r="D473" s="9"/>
      <c r="E473" s="9"/>
      <c r="F473" s="10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ht="48" customHeight="1" spans="1:26">
      <c r="A474" s="9"/>
      <c r="B474" s="9"/>
      <c r="C474" s="9"/>
      <c r="D474" s="9"/>
      <c r="E474" s="9"/>
      <c r="F474" s="10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ht="48" customHeight="1" spans="1:26">
      <c r="A475" s="9"/>
      <c r="B475" s="9"/>
      <c r="C475" s="9"/>
      <c r="D475" s="9"/>
      <c r="E475" s="9"/>
      <c r="F475" s="10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ht="48" customHeight="1" spans="1:26">
      <c r="A476" s="9"/>
      <c r="B476" s="9"/>
      <c r="C476" s="9"/>
      <c r="D476" s="9"/>
      <c r="E476" s="9"/>
      <c r="F476" s="10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ht="48" customHeight="1" spans="1:26">
      <c r="A477" s="9"/>
      <c r="B477" s="9"/>
      <c r="C477" s="9"/>
      <c r="D477" s="9"/>
      <c r="E477" s="9"/>
      <c r="F477" s="10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ht="48" customHeight="1" spans="1:26">
      <c r="A478" s="9"/>
      <c r="B478" s="9"/>
      <c r="C478" s="9"/>
      <c r="D478" s="9"/>
      <c r="E478" s="9"/>
      <c r="F478" s="10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ht="48" customHeight="1" spans="1:26">
      <c r="A479" s="9"/>
      <c r="B479" s="9"/>
      <c r="C479" s="9"/>
      <c r="D479" s="9"/>
      <c r="E479" s="9"/>
      <c r="F479" s="10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ht="48" customHeight="1" spans="1:26">
      <c r="A480" s="9"/>
      <c r="B480" s="9"/>
      <c r="C480" s="9"/>
      <c r="D480" s="9"/>
      <c r="E480" s="9"/>
      <c r="F480" s="10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ht="48" customHeight="1" spans="1:26">
      <c r="A481" s="9"/>
      <c r="B481" s="9"/>
      <c r="C481" s="9"/>
      <c r="D481" s="9"/>
      <c r="E481" s="9"/>
      <c r="F481" s="10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ht="48" customHeight="1" spans="1:26">
      <c r="A482" s="9"/>
      <c r="B482" s="9"/>
      <c r="C482" s="9"/>
      <c r="D482" s="9"/>
      <c r="E482" s="9"/>
      <c r="F482" s="10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ht="48" customHeight="1" spans="1:26">
      <c r="A483" s="9"/>
      <c r="B483" s="9"/>
      <c r="C483" s="9"/>
      <c r="D483" s="9"/>
      <c r="E483" s="9"/>
      <c r="F483" s="10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ht="48" customHeight="1" spans="1:26">
      <c r="A484" s="9"/>
      <c r="B484" s="9"/>
      <c r="C484" s="9"/>
      <c r="D484" s="9"/>
      <c r="E484" s="9"/>
      <c r="F484" s="10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ht="48" customHeight="1" spans="1:26">
      <c r="A485" s="9"/>
      <c r="B485" s="9"/>
      <c r="C485" s="9"/>
      <c r="D485" s="9"/>
      <c r="E485" s="9"/>
      <c r="F485" s="10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ht="48" customHeight="1" spans="1:26">
      <c r="A486" s="9"/>
      <c r="B486" s="9"/>
      <c r="C486" s="9"/>
      <c r="D486" s="9"/>
      <c r="E486" s="9"/>
      <c r="F486" s="10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ht="48" customHeight="1" spans="1:26">
      <c r="A487" s="9"/>
      <c r="B487" s="9"/>
      <c r="C487" s="9"/>
      <c r="D487" s="9"/>
      <c r="E487" s="9"/>
      <c r="F487" s="10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ht="48" customHeight="1" spans="1:26">
      <c r="A488" s="9"/>
      <c r="B488" s="9"/>
      <c r="C488" s="9"/>
      <c r="D488" s="9"/>
      <c r="E488" s="9"/>
      <c r="F488" s="10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ht="48" customHeight="1" spans="1:26">
      <c r="A489" s="9"/>
      <c r="B489" s="9"/>
      <c r="C489" s="9"/>
      <c r="D489" s="9"/>
      <c r="E489" s="9"/>
      <c r="F489" s="10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ht="48" customHeight="1" spans="1:26">
      <c r="A490" s="9"/>
      <c r="B490" s="9"/>
      <c r="C490" s="9"/>
      <c r="D490" s="9"/>
      <c r="E490" s="9"/>
      <c r="F490" s="10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ht="48" customHeight="1" spans="1:26">
      <c r="A491" s="9"/>
      <c r="B491" s="9"/>
      <c r="C491" s="9"/>
      <c r="D491" s="9"/>
      <c r="E491" s="9"/>
      <c r="F491" s="10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ht="48" customHeight="1" spans="1:26">
      <c r="A492" s="9"/>
      <c r="B492" s="9"/>
      <c r="C492" s="9"/>
      <c r="D492" s="9"/>
      <c r="E492" s="9"/>
      <c r="F492" s="10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ht="48" customHeight="1" spans="1:26">
      <c r="A493" s="9"/>
      <c r="B493" s="9"/>
      <c r="C493" s="9"/>
      <c r="D493" s="9"/>
      <c r="E493" s="9"/>
      <c r="F493" s="10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ht="48" customHeight="1" spans="1:26">
      <c r="A494" s="9"/>
      <c r="B494" s="9"/>
      <c r="C494" s="9"/>
      <c r="D494" s="9"/>
      <c r="E494" s="9"/>
      <c r="F494" s="10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ht="48" customHeight="1" spans="1:26">
      <c r="A495" s="9"/>
      <c r="B495" s="9"/>
      <c r="C495" s="9"/>
      <c r="D495" s="9"/>
      <c r="E495" s="9"/>
      <c r="F495" s="10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ht="48" customHeight="1" spans="1:26">
      <c r="A496" s="9"/>
      <c r="B496" s="9"/>
      <c r="C496" s="9"/>
      <c r="D496" s="9"/>
      <c r="E496" s="9"/>
      <c r="F496" s="10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ht="48" customHeight="1" spans="1:26">
      <c r="A497" s="9"/>
      <c r="B497" s="9"/>
      <c r="C497" s="9"/>
      <c r="D497" s="9"/>
      <c r="E497" s="9"/>
      <c r="F497" s="10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ht="48" customHeight="1" spans="1:26">
      <c r="A498" s="9"/>
      <c r="B498" s="9"/>
      <c r="C498" s="9"/>
      <c r="D498" s="9"/>
      <c r="E498" s="9"/>
      <c r="F498" s="10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ht="48" customHeight="1" spans="1:26">
      <c r="A499" s="9"/>
      <c r="B499" s="9"/>
      <c r="C499" s="9"/>
      <c r="D499" s="9"/>
      <c r="E499" s="9"/>
      <c r="F499" s="10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ht="48" customHeight="1" spans="1:26">
      <c r="A500" s="9"/>
      <c r="B500" s="9"/>
      <c r="C500" s="9"/>
      <c r="D500" s="9"/>
      <c r="E500" s="9"/>
      <c r="F500" s="10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ht="48" customHeight="1" spans="1:26">
      <c r="A501" s="9"/>
      <c r="B501" s="9"/>
      <c r="C501" s="9"/>
      <c r="D501" s="9"/>
      <c r="E501" s="9"/>
      <c r="F501" s="10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ht="48" customHeight="1" spans="1:26">
      <c r="A502" s="9"/>
      <c r="B502" s="9"/>
      <c r="C502" s="9"/>
      <c r="D502" s="9"/>
      <c r="E502" s="9"/>
      <c r="F502" s="10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ht="48" customHeight="1" spans="1:26">
      <c r="A503" s="9"/>
      <c r="B503" s="9"/>
      <c r="C503" s="9"/>
      <c r="D503" s="9"/>
      <c r="E503" s="9"/>
      <c r="F503" s="10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ht="48" customHeight="1" spans="1:26">
      <c r="A504" s="9"/>
      <c r="B504" s="9"/>
      <c r="C504" s="9"/>
      <c r="D504" s="9"/>
      <c r="E504" s="9"/>
      <c r="F504" s="10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ht="48" customHeight="1" spans="1:26">
      <c r="A505" s="9"/>
      <c r="B505" s="9"/>
      <c r="C505" s="9"/>
      <c r="D505" s="9"/>
      <c r="E505" s="9"/>
      <c r="F505" s="10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ht="48" customHeight="1" spans="1:26">
      <c r="A506" s="9"/>
      <c r="B506" s="9"/>
      <c r="C506" s="9"/>
      <c r="D506" s="9"/>
      <c r="E506" s="9"/>
      <c r="F506" s="10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ht="48" customHeight="1" spans="1:26">
      <c r="A507" s="9"/>
      <c r="B507" s="9"/>
      <c r="C507" s="9"/>
      <c r="D507" s="9"/>
      <c r="E507" s="9"/>
      <c r="F507" s="10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ht="48" customHeight="1" spans="1:26">
      <c r="A508" s="9"/>
      <c r="B508" s="9"/>
      <c r="C508" s="9"/>
      <c r="D508" s="9"/>
      <c r="E508" s="9"/>
      <c r="F508" s="10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ht="48" customHeight="1" spans="1:26">
      <c r="A509" s="9"/>
      <c r="B509" s="9"/>
      <c r="C509" s="9"/>
      <c r="D509" s="9"/>
      <c r="E509" s="9"/>
      <c r="F509" s="10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ht="48" customHeight="1" spans="1:26">
      <c r="A510" s="9"/>
      <c r="B510" s="9"/>
      <c r="C510" s="9"/>
      <c r="D510" s="9"/>
      <c r="E510" s="9"/>
      <c r="F510" s="10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ht="48" customHeight="1" spans="1:26">
      <c r="A511" s="9"/>
      <c r="B511" s="9"/>
      <c r="C511" s="9"/>
      <c r="D511" s="9"/>
      <c r="E511" s="9"/>
      <c r="F511" s="10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ht="48" customHeight="1" spans="1:26">
      <c r="A512" s="9"/>
      <c r="B512" s="9"/>
      <c r="C512" s="9"/>
      <c r="D512" s="9"/>
      <c r="E512" s="9"/>
      <c r="F512" s="10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ht="48" customHeight="1" spans="1:26">
      <c r="A513" s="9"/>
      <c r="B513" s="9"/>
      <c r="C513" s="9"/>
      <c r="D513" s="9"/>
      <c r="E513" s="9"/>
      <c r="F513" s="10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ht="48" customHeight="1" spans="1:26">
      <c r="A514" s="9"/>
      <c r="B514" s="9"/>
      <c r="C514" s="9"/>
      <c r="D514" s="9"/>
      <c r="E514" s="9"/>
      <c r="F514" s="10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ht="48" customHeight="1" spans="1:26">
      <c r="A515" s="9"/>
      <c r="B515" s="9"/>
      <c r="C515" s="9"/>
      <c r="D515" s="9"/>
      <c r="E515" s="9"/>
      <c r="F515" s="10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ht="48" customHeight="1" spans="1:26">
      <c r="A516" s="9"/>
      <c r="B516" s="9"/>
      <c r="C516" s="9"/>
      <c r="D516" s="9"/>
      <c r="E516" s="9"/>
      <c r="F516" s="10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ht="48" customHeight="1" spans="1:26">
      <c r="A517" s="9"/>
      <c r="B517" s="9"/>
      <c r="C517" s="9"/>
      <c r="D517" s="9"/>
      <c r="E517" s="9"/>
      <c r="F517" s="10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ht="48" customHeight="1" spans="1:26">
      <c r="A518" s="9"/>
      <c r="B518" s="9"/>
      <c r="C518" s="9"/>
      <c r="D518" s="9"/>
      <c r="E518" s="9"/>
      <c r="F518" s="10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ht="48" customHeight="1" spans="1:26">
      <c r="A519" s="9"/>
      <c r="B519" s="9"/>
      <c r="C519" s="9"/>
      <c r="D519" s="9"/>
      <c r="E519" s="9"/>
      <c r="F519" s="10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ht="48" customHeight="1" spans="1:26">
      <c r="A520" s="9"/>
      <c r="B520" s="9"/>
      <c r="C520" s="9"/>
      <c r="D520" s="9"/>
      <c r="E520" s="9"/>
      <c r="F520" s="10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ht="48" customHeight="1" spans="1:26">
      <c r="A521" s="9"/>
      <c r="B521" s="9"/>
      <c r="C521" s="9"/>
      <c r="D521" s="9"/>
      <c r="E521" s="9"/>
      <c r="F521" s="10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ht="48" customHeight="1" spans="1:26">
      <c r="A522" s="9"/>
      <c r="B522" s="9"/>
      <c r="C522" s="9"/>
      <c r="D522" s="9"/>
      <c r="E522" s="9"/>
      <c r="F522" s="10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ht="48" customHeight="1" spans="1:26">
      <c r="A523" s="9"/>
      <c r="B523" s="9"/>
      <c r="C523" s="9"/>
      <c r="D523" s="9"/>
      <c r="E523" s="9"/>
      <c r="F523" s="10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ht="48" customHeight="1" spans="1:26">
      <c r="A524" s="9"/>
      <c r="B524" s="9"/>
      <c r="C524" s="9"/>
      <c r="D524" s="9"/>
      <c r="E524" s="9"/>
      <c r="F524" s="10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ht="48" customHeight="1" spans="1:26">
      <c r="A525" s="9"/>
      <c r="B525" s="9"/>
      <c r="C525" s="9"/>
      <c r="D525" s="9"/>
      <c r="E525" s="9"/>
      <c r="F525" s="10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ht="48" customHeight="1" spans="1:26">
      <c r="A526" s="9"/>
      <c r="B526" s="9"/>
      <c r="C526" s="9"/>
      <c r="D526" s="9"/>
      <c r="E526" s="9"/>
      <c r="F526" s="10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ht="48" customHeight="1" spans="1:26">
      <c r="A527" s="9"/>
      <c r="B527" s="9"/>
      <c r="C527" s="9"/>
      <c r="D527" s="9"/>
      <c r="E527" s="9"/>
      <c r="F527" s="10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ht="48" customHeight="1" spans="1:26">
      <c r="A528" s="9"/>
      <c r="B528" s="9"/>
      <c r="C528" s="9"/>
      <c r="D528" s="9"/>
      <c r="E528" s="9"/>
      <c r="F528" s="10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ht="48" customHeight="1" spans="1:26">
      <c r="A529" s="9"/>
      <c r="B529" s="9"/>
      <c r="C529" s="9"/>
      <c r="D529" s="9"/>
      <c r="E529" s="9"/>
      <c r="F529" s="10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ht="48" customHeight="1" spans="1:26">
      <c r="A530" s="9"/>
      <c r="B530" s="9"/>
      <c r="C530" s="9"/>
      <c r="D530" s="9"/>
      <c r="E530" s="9"/>
      <c r="F530" s="10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ht="48" customHeight="1" spans="1:26">
      <c r="A531" s="9"/>
      <c r="B531" s="9"/>
      <c r="C531" s="9"/>
      <c r="D531" s="9"/>
      <c r="E531" s="9"/>
      <c r="F531" s="10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ht="48" customHeight="1" spans="1:26">
      <c r="A532" s="9"/>
      <c r="B532" s="9"/>
      <c r="C532" s="9"/>
      <c r="D532" s="9"/>
      <c r="E532" s="9"/>
      <c r="F532" s="10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ht="48" customHeight="1" spans="1:26">
      <c r="A533" s="9"/>
      <c r="B533" s="9"/>
      <c r="C533" s="9"/>
      <c r="D533" s="9"/>
      <c r="E533" s="9"/>
      <c r="F533" s="10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ht="48" customHeight="1" spans="1:26">
      <c r="A534" s="9"/>
      <c r="B534" s="9"/>
      <c r="C534" s="9"/>
      <c r="D534" s="9"/>
      <c r="E534" s="9"/>
      <c r="F534" s="10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ht="48" customHeight="1" spans="1:26">
      <c r="A535" s="9"/>
      <c r="B535" s="9"/>
      <c r="C535" s="9"/>
      <c r="D535" s="9"/>
      <c r="E535" s="9"/>
      <c r="F535" s="10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ht="48" customHeight="1" spans="1:26">
      <c r="A536" s="9"/>
      <c r="B536" s="9"/>
      <c r="C536" s="9"/>
      <c r="D536" s="9"/>
      <c r="E536" s="9"/>
      <c r="F536" s="10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ht="48" customHeight="1" spans="1:26">
      <c r="A537" s="9"/>
      <c r="B537" s="9"/>
      <c r="C537" s="9"/>
      <c r="D537" s="9"/>
      <c r="E537" s="9"/>
      <c r="F537" s="10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ht="48" customHeight="1" spans="1:26">
      <c r="A538" s="9"/>
      <c r="B538" s="9"/>
      <c r="C538" s="9"/>
      <c r="D538" s="9"/>
      <c r="E538" s="9"/>
      <c r="F538" s="10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ht="48" customHeight="1" spans="1:26">
      <c r="A539" s="9"/>
      <c r="B539" s="9"/>
      <c r="C539" s="9"/>
      <c r="D539" s="9"/>
      <c r="E539" s="9"/>
      <c r="F539" s="10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ht="48" customHeight="1" spans="1:26">
      <c r="A540" s="9"/>
      <c r="B540" s="9"/>
      <c r="C540" s="9"/>
      <c r="D540" s="9"/>
      <c r="E540" s="9"/>
      <c r="F540" s="10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ht="48" customHeight="1" spans="1:26">
      <c r="A541" s="9"/>
      <c r="B541" s="9"/>
      <c r="C541" s="9"/>
      <c r="D541" s="9"/>
      <c r="E541" s="9"/>
      <c r="F541" s="10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ht="48" customHeight="1" spans="1:26">
      <c r="A542" s="9"/>
      <c r="B542" s="9"/>
      <c r="C542" s="9"/>
      <c r="D542" s="9"/>
      <c r="E542" s="9"/>
      <c r="F542" s="10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ht="48" customHeight="1" spans="1:26">
      <c r="A543" s="9"/>
      <c r="B543" s="9"/>
      <c r="C543" s="9"/>
      <c r="D543" s="9"/>
      <c r="E543" s="9"/>
      <c r="F543" s="10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ht="48" customHeight="1" spans="1:26">
      <c r="A544" s="9"/>
      <c r="B544" s="9"/>
      <c r="C544" s="9"/>
      <c r="D544" s="9"/>
      <c r="E544" s="9"/>
      <c r="F544" s="10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ht="48" customHeight="1" spans="1:26">
      <c r="A545" s="9"/>
      <c r="B545" s="9"/>
      <c r="C545" s="9"/>
      <c r="D545" s="9"/>
      <c r="E545" s="9"/>
      <c r="F545" s="10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ht="48" customHeight="1" spans="1:26">
      <c r="A546" s="9"/>
      <c r="B546" s="9"/>
      <c r="C546" s="9"/>
      <c r="D546" s="9"/>
      <c r="E546" s="9"/>
      <c r="F546" s="10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ht="48" customHeight="1" spans="1:26">
      <c r="A547" s="9"/>
      <c r="B547" s="9"/>
      <c r="C547" s="9"/>
      <c r="D547" s="9"/>
      <c r="E547" s="9"/>
      <c r="F547" s="10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ht="48" customHeight="1" spans="1:26">
      <c r="A548" s="9"/>
      <c r="B548" s="9"/>
      <c r="C548" s="9"/>
      <c r="D548" s="9"/>
      <c r="E548" s="9"/>
      <c r="F548" s="10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ht="48" customHeight="1" spans="1:26">
      <c r="A549" s="9"/>
      <c r="B549" s="9"/>
      <c r="C549" s="9"/>
      <c r="D549" s="9"/>
      <c r="E549" s="9"/>
      <c r="F549" s="10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ht="48" customHeight="1" spans="1:26">
      <c r="A550" s="9"/>
      <c r="B550" s="9"/>
      <c r="C550" s="9"/>
      <c r="D550" s="9"/>
      <c r="E550" s="9"/>
      <c r="F550" s="10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ht="48" customHeight="1" spans="1:26">
      <c r="A551" s="9"/>
      <c r="B551" s="9"/>
      <c r="C551" s="9"/>
      <c r="D551" s="9"/>
      <c r="E551" s="9"/>
      <c r="F551" s="10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ht="48" customHeight="1" spans="1:26">
      <c r="A552" s="9"/>
      <c r="B552" s="9"/>
      <c r="C552" s="9"/>
      <c r="D552" s="9"/>
      <c r="E552" s="9"/>
      <c r="F552" s="10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ht="48" customHeight="1" spans="1:26">
      <c r="A553" s="9"/>
      <c r="B553" s="9"/>
      <c r="C553" s="9"/>
      <c r="D553" s="9"/>
      <c r="E553" s="9"/>
      <c r="F553" s="10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ht="48" customHeight="1" spans="1:26">
      <c r="A554" s="9"/>
      <c r="B554" s="9"/>
      <c r="C554" s="9"/>
      <c r="D554" s="9"/>
      <c r="E554" s="9"/>
      <c r="F554" s="10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ht="48" customHeight="1" spans="1:26">
      <c r="A555" s="9"/>
      <c r="B555" s="9"/>
      <c r="C555" s="9"/>
      <c r="D555" s="9"/>
      <c r="E555" s="9"/>
      <c r="F555" s="10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ht="48" customHeight="1" spans="1:26">
      <c r="A556" s="9"/>
      <c r="B556" s="9"/>
      <c r="C556" s="9"/>
      <c r="D556" s="9"/>
      <c r="E556" s="9"/>
      <c r="F556" s="10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ht="48" customHeight="1" spans="1:26">
      <c r="A557" s="9"/>
      <c r="B557" s="9"/>
      <c r="C557" s="9"/>
      <c r="D557" s="9"/>
      <c r="E557" s="9"/>
      <c r="F557" s="10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ht="48" customHeight="1" spans="1:26">
      <c r="A558" s="9"/>
      <c r="B558" s="9"/>
      <c r="C558" s="9"/>
      <c r="D558" s="9"/>
      <c r="E558" s="9"/>
      <c r="F558" s="10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ht="48" customHeight="1" spans="1:26">
      <c r="A559" s="9"/>
      <c r="B559" s="9"/>
      <c r="C559" s="9"/>
      <c r="D559" s="9"/>
      <c r="E559" s="9"/>
      <c r="F559" s="10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ht="48" customHeight="1" spans="1:26">
      <c r="A560" s="9"/>
      <c r="B560" s="9"/>
      <c r="C560" s="9"/>
      <c r="D560" s="9"/>
      <c r="E560" s="9"/>
      <c r="F560" s="10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ht="48" customHeight="1" spans="1:26">
      <c r="A561" s="9"/>
      <c r="B561" s="9"/>
      <c r="C561" s="9"/>
      <c r="D561" s="9"/>
      <c r="E561" s="9"/>
      <c r="F561" s="10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ht="48" customHeight="1" spans="1:26">
      <c r="A562" s="9"/>
      <c r="B562" s="9"/>
      <c r="C562" s="9"/>
      <c r="D562" s="9"/>
      <c r="E562" s="9"/>
      <c r="F562" s="10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ht="48" customHeight="1" spans="1:26">
      <c r="A563" s="9"/>
      <c r="B563" s="9"/>
      <c r="C563" s="9"/>
      <c r="D563" s="9"/>
      <c r="E563" s="9"/>
      <c r="F563" s="10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ht="48" customHeight="1" spans="1:26">
      <c r="A564" s="9"/>
      <c r="B564" s="9"/>
      <c r="C564" s="9"/>
      <c r="D564" s="9"/>
      <c r="E564" s="9"/>
      <c r="F564" s="10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ht="48" customHeight="1" spans="1:26">
      <c r="A565" s="9"/>
      <c r="B565" s="9"/>
      <c r="C565" s="9"/>
      <c r="D565" s="9"/>
      <c r="E565" s="9"/>
      <c r="F565" s="10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ht="48" customHeight="1" spans="1:26">
      <c r="A566" s="9"/>
      <c r="B566" s="9"/>
      <c r="C566" s="9"/>
      <c r="D566" s="9"/>
      <c r="E566" s="9"/>
      <c r="F566" s="10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ht="48" customHeight="1" spans="1:26">
      <c r="A567" s="9"/>
      <c r="B567" s="9"/>
      <c r="C567" s="9"/>
      <c r="D567" s="9"/>
      <c r="E567" s="9"/>
      <c r="F567" s="10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ht="48" customHeight="1" spans="1:26">
      <c r="A568" s="9"/>
      <c r="B568" s="9"/>
      <c r="C568" s="9"/>
      <c r="D568" s="9"/>
      <c r="E568" s="9"/>
      <c r="F568" s="10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ht="48" customHeight="1" spans="1:26">
      <c r="A569" s="9"/>
      <c r="B569" s="9"/>
      <c r="C569" s="9"/>
      <c r="D569" s="9"/>
      <c r="E569" s="9"/>
      <c r="F569" s="10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ht="48" customHeight="1" spans="1:26">
      <c r="A570" s="9"/>
      <c r="B570" s="9"/>
      <c r="C570" s="9"/>
      <c r="D570" s="9"/>
      <c r="E570" s="9"/>
      <c r="F570" s="10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ht="48" customHeight="1" spans="1:26">
      <c r="A571" s="9"/>
      <c r="B571" s="9"/>
      <c r="C571" s="9"/>
      <c r="D571" s="9"/>
      <c r="E571" s="9"/>
      <c r="F571" s="10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ht="48" customHeight="1" spans="1:26">
      <c r="A572" s="9"/>
      <c r="B572" s="9"/>
      <c r="C572" s="9"/>
      <c r="D572" s="9"/>
      <c r="E572" s="9"/>
      <c r="F572" s="10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ht="48" customHeight="1" spans="1:26">
      <c r="A573" s="9"/>
      <c r="B573" s="9"/>
      <c r="C573" s="9"/>
      <c r="D573" s="9"/>
      <c r="E573" s="9"/>
      <c r="F573" s="10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ht="48" customHeight="1" spans="1:26">
      <c r="A574" s="9"/>
      <c r="B574" s="9"/>
      <c r="C574" s="9"/>
      <c r="D574" s="9"/>
      <c r="E574" s="9"/>
      <c r="F574" s="10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ht="48" customHeight="1" spans="1:26">
      <c r="A575" s="9"/>
      <c r="B575" s="9"/>
      <c r="C575" s="9"/>
      <c r="D575" s="9"/>
      <c r="E575" s="9"/>
      <c r="F575" s="10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ht="48" customHeight="1" spans="1:26">
      <c r="A576" s="9"/>
      <c r="B576" s="9"/>
      <c r="C576" s="9"/>
      <c r="D576" s="9"/>
      <c r="E576" s="9"/>
      <c r="F576" s="10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ht="48" customHeight="1" spans="1:26">
      <c r="A577" s="9"/>
      <c r="B577" s="9"/>
      <c r="C577" s="9"/>
      <c r="D577" s="9"/>
      <c r="E577" s="9"/>
      <c r="F577" s="10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ht="48" customHeight="1" spans="1:26">
      <c r="A578" s="9"/>
      <c r="B578" s="9"/>
      <c r="C578" s="9"/>
      <c r="D578" s="9"/>
      <c r="E578" s="9"/>
      <c r="F578" s="10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ht="48" customHeight="1" spans="1:26">
      <c r="A579" s="9"/>
      <c r="B579" s="9"/>
      <c r="C579" s="9"/>
      <c r="D579" s="9"/>
      <c r="E579" s="9"/>
      <c r="F579" s="10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ht="48" customHeight="1" spans="1:26">
      <c r="A580" s="9"/>
      <c r="B580" s="9"/>
      <c r="C580" s="9"/>
      <c r="D580" s="9"/>
      <c r="E580" s="9"/>
      <c r="F580" s="10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ht="48" customHeight="1" spans="1:26">
      <c r="A581" s="9"/>
      <c r="B581" s="9"/>
      <c r="C581" s="9"/>
      <c r="D581" s="9"/>
      <c r="E581" s="9"/>
      <c r="F581" s="10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ht="48" customHeight="1" spans="1:26">
      <c r="A582" s="9"/>
      <c r="B582" s="9"/>
      <c r="C582" s="9"/>
      <c r="D582" s="9"/>
      <c r="E582" s="9"/>
      <c r="F582" s="10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ht="48" customHeight="1" spans="1:26">
      <c r="A583" s="9"/>
      <c r="B583" s="9"/>
      <c r="C583" s="9"/>
      <c r="D583" s="9"/>
      <c r="E583" s="9"/>
      <c r="F583" s="10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ht="48" customHeight="1" spans="1:26">
      <c r="A584" s="9"/>
      <c r="B584" s="9"/>
      <c r="C584" s="9"/>
      <c r="D584" s="9"/>
      <c r="E584" s="9"/>
      <c r="F584" s="10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ht="48" customHeight="1" spans="1:26">
      <c r="A585" s="9"/>
      <c r="B585" s="9"/>
      <c r="C585" s="9"/>
      <c r="D585" s="9"/>
      <c r="E585" s="9"/>
      <c r="F585" s="10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ht="48" customHeight="1" spans="1:26">
      <c r="A586" s="9"/>
      <c r="B586" s="9"/>
      <c r="C586" s="9"/>
      <c r="D586" s="9"/>
      <c r="E586" s="9"/>
      <c r="F586" s="10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ht="48" customHeight="1" spans="1:26">
      <c r="A587" s="9"/>
      <c r="B587" s="9"/>
      <c r="C587" s="9"/>
      <c r="D587" s="9"/>
      <c r="E587" s="9"/>
      <c r="F587" s="10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ht="48" customHeight="1" spans="1:26">
      <c r="A588" s="9"/>
      <c r="B588" s="9"/>
      <c r="C588" s="9"/>
      <c r="D588" s="9"/>
      <c r="E588" s="9"/>
      <c r="F588" s="10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ht="48" customHeight="1" spans="1:26">
      <c r="A589" s="9"/>
      <c r="B589" s="9"/>
      <c r="C589" s="9"/>
      <c r="D589" s="9"/>
      <c r="E589" s="9"/>
      <c r="F589" s="10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ht="48" customHeight="1" spans="1:26">
      <c r="A590" s="9"/>
      <c r="B590" s="9"/>
      <c r="C590" s="9"/>
      <c r="D590" s="9"/>
      <c r="E590" s="9"/>
      <c r="F590" s="10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ht="48" customHeight="1" spans="1:26">
      <c r="A591" s="9"/>
      <c r="B591" s="9"/>
      <c r="C591" s="9"/>
      <c r="D591" s="9"/>
      <c r="E591" s="9"/>
      <c r="F591" s="10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ht="48" customHeight="1" spans="1:26">
      <c r="A592" s="9"/>
      <c r="B592" s="9"/>
      <c r="C592" s="9"/>
      <c r="D592" s="9"/>
      <c r="E592" s="9"/>
      <c r="F592" s="10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ht="48" customHeight="1" spans="1:26">
      <c r="A593" s="9"/>
      <c r="B593" s="9"/>
      <c r="C593" s="9"/>
      <c r="D593" s="9"/>
      <c r="E593" s="9"/>
      <c r="F593" s="10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ht="48" customHeight="1" spans="1:26">
      <c r="A594" s="9"/>
      <c r="B594" s="9"/>
      <c r="C594" s="9"/>
      <c r="D594" s="9"/>
      <c r="E594" s="9"/>
      <c r="F594" s="10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ht="48" customHeight="1" spans="1:26">
      <c r="A595" s="9"/>
      <c r="B595" s="9"/>
      <c r="C595" s="9"/>
      <c r="D595" s="9"/>
      <c r="E595" s="9"/>
      <c r="F595" s="10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ht="48" customHeight="1" spans="1:26">
      <c r="A596" s="9"/>
      <c r="B596" s="9"/>
      <c r="C596" s="9"/>
      <c r="D596" s="9"/>
      <c r="E596" s="9"/>
      <c r="F596" s="10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ht="48" customHeight="1" spans="1:26">
      <c r="A597" s="9"/>
      <c r="B597" s="9"/>
      <c r="C597" s="9"/>
      <c r="D597" s="9"/>
      <c r="E597" s="9"/>
      <c r="F597" s="10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ht="48" customHeight="1" spans="1:26">
      <c r="A598" s="9"/>
      <c r="B598" s="9"/>
      <c r="C598" s="9"/>
      <c r="D598" s="9"/>
      <c r="E598" s="9"/>
      <c r="F598" s="10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ht="48" customHeight="1" spans="1:26">
      <c r="A599" s="9"/>
      <c r="B599" s="9"/>
      <c r="C599" s="9"/>
      <c r="D599" s="9"/>
      <c r="E599" s="9"/>
      <c r="F599" s="10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ht="48" customHeight="1" spans="1:26">
      <c r="A600" s="9"/>
      <c r="B600" s="9"/>
      <c r="C600" s="9"/>
      <c r="D600" s="9"/>
      <c r="E600" s="9"/>
      <c r="F600" s="10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ht="48" customHeight="1" spans="1:26">
      <c r="A601" s="9"/>
      <c r="B601" s="9"/>
      <c r="C601" s="9"/>
      <c r="D601" s="9"/>
      <c r="E601" s="9"/>
      <c r="F601" s="10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ht="48" customHeight="1" spans="1:26">
      <c r="A602" s="9"/>
      <c r="B602" s="9"/>
      <c r="C602" s="9"/>
      <c r="D602" s="9"/>
      <c r="E602" s="9"/>
      <c r="F602" s="10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ht="48" customHeight="1" spans="1:26">
      <c r="A603" s="9"/>
      <c r="B603" s="9"/>
      <c r="C603" s="9"/>
      <c r="D603" s="9"/>
      <c r="E603" s="9"/>
      <c r="F603" s="10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ht="48" customHeight="1" spans="1:26">
      <c r="A604" s="9"/>
      <c r="B604" s="9"/>
      <c r="C604" s="9"/>
      <c r="D604" s="9"/>
      <c r="E604" s="9"/>
      <c r="F604" s="10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ht="48" customHeight="1" spans="1:26">
      <c r="A605" s="9"/>
      <c r="B605" s="9"/>
      <c r="C605" s="9"/>
      <c r="D605" s="9"/>
      <c r="E605" s="9"/>
      <c r="F605" s="10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ht="48" customHeight="1" spans="1:26">
      <c r="A606" s="9"/>
      <c r="B606" s="9"/>
      <c r="C606" s="9"/>
      <c r="D606" s="9"/>
      <c r="E606" s="9"/>
      <c r="F606" s="10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ht="48" customHeight="1" spans="1:26">
      <c r="A607" s="9"/>
      <c r="B607" s="9"/>
      <c r="C607" s="9"/>
      <c r="D607" s="9"/>
      <c r="E607" s="9"/>
      <c r="F607" s="10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ht="48" customHeight="1" spans="1:26">
      <c r="A608" s="9"/>
      <c r="B608" s="9"/>
      <c r="C608" s="9"/>
      <c r="D608" s="9"/>
      <c r="E608" s="9"/>
      <c r="F608" s="10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ht="48" customHeight="1" spans="1:26">
      <c r="A609" s="9"/>
      <c r="B609" s="9"/>
      <c r="C609" s="9"/>
      <c r="D609" s="9"/>
      <c r="E609" s="9"/>
      <c r="F609" s="10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ht="48" customHeight="1" spans="1:26">
      <c r="A610" s="9"/>
      <c r="B610" s="9"/>
      <c r="C610" s="9"/>
      <c r="D610" s="9"/>
      <c r="E610" s="9"/>
      <c r="F610" s="10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ht="48" customHeight="1" spans="1:26">
      <c r="A611" s="9"/>
      <c r="B611" s="9"/>
      <c r="C611" s="9"/>
      <c r="D611" s="9"/>
      <c r="E611" s="9"/>
      <c r="F611" s="10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ht="48" customHeight="1" spans="1:26">
      <c r="A612" s="9"/>
      <c r="B612" s="9"/>
      <c r="C612" s="9"/>
      <c r="D612" s="9"/>
      <c r="E612" s="9"/>
      <c r="F612" s="10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ht="48" customHeight="1" spans="1:26">
      <c r="A613" s="9"/>
      <c r="B613" s="9"/>
      <c r="C613" s="9"/>
      <c r="D613" s="9"/>
      <c r="E613" s="9"/>
      <c r="F613" s="10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ht="48" customHeight="1" spans="1:26">
      <c r="A614" s="9"/>
      <c r="B614" s="9"/>
      <c r="C614" s="9"/>
      <c r="D614" s="9"/>
      <c r="E614" s="9"/>
      <c r="F614" s="10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ht="48" customHeight="1" spans="1:26">
      <c r="A615" s="9"/>
      <c r="B615" s="9"/>
      <c r="C615" s="9"/>
      <c r="D615" s="9"/>
      <c r="E615" s="9"/>
      <c r="F615" s="10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ht="48" customHeight="1" spans="1:26">
      <c r="A616" s="9"/>
      <c r="B616" s="9"/>
      <c r="C616" s="9"/>
      <c r="D616" s="9"/>
      <c r="E616" s="9"/>
      <c r="F616" s="10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ht="48" customHeight="1" spans="1:26">
      <c r="A617" s="9"/>
      <c r="B617" s="9"/>
      <c r="C617" s="9"/>
      <c r="D617" s="9"/>
      <c r="E617" s="9"/>
      <c r="F617" s="10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ht="48" customHeight="1" spans="1:26">
      <c r="A618" s="9"/>
      <c r="B618" s="9"/>
      <c r="C618" s="9"/>
      <c r="D618" s="9"/>
      <c r="E618" s="9"/>
      <c r="F618" s="10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ht="48" customHeight="1" spans="1:26">
      <c r="A619" s="9"/>
      <c r="B619" s="9"/>
      <c r="C619" s="9"/>
      <c r="D619" s="9"/>
      <c r="E619" s="9"/>
      <c r="F619" s="10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ht="48" customHeight="1" spans="1:26">
      <c r="A620" s="9"/>
      <c r="B620" s="9"/>
      <c r="C620" s="9"/>
      <c r="D620" s="9"/>
      <c r="E620" s="9"/>
      <c r="F620" s="10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ht="48" customHeight="1" spans="1:26">
      <c r="A621" s="9"/>
      <c r="B621" s="9"/>
      <c r="C621" s="9"/>
      <c r="D621" s="9"/>
      <c r="E621" s="9"/>
      <c r="F621" s="10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ht="48" customHeight="1" spans="1:26">
      <c r="A622" s="9"/>
      <c r="B622" s="9"/>
      <c r="C622" s="9"/>
      <c r="D622" s="9"/>
      <c r="E622" s="9"/>
      <c r="F622" s="10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ht="48" customHeight="1" spans="1:26">
      <c r="A623" s="9"/>
      <c r="B623" s="9"/>
      <c r="C623" s="9"/>
      <c r="D623" s="9"/>
      <c r="E623" s="9"/>
      <c r="F623" s="10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ht="48" customHeight="1" spans="1:26">
      <c r="A624" s="9"/>
      <c r="B624" s="9"/>
      <c r="C624" s="9"/>
      <c r="D624" s="9"/>
      <c r="E624" s="9"/>
      <c r="F624" s="10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ht="48" customHeight="1" spans="1:26">
      <c r="A625" s="9"/>
      <c r="B625" s="9"/>
      <c r="C625" s="9"/>
      <c r="D625" s="9"/>
      <c r="E625" s="9"/>
      <c r="F625" s="10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ht="48" customHeight="1" spans="1:26">
      <c r="A626" s="9"/>
      <c r="B626" s="9"/>
      <c r="C626" s="9"/>
      <c r="D626" s="9"/>
      <c r="E626" s="9"/>
      <c r="F626" s="10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ht="48" customHeight="1" spans="1:26">
      <c r="A627" s="9"/>
      <c r="B627" s="9"/>
      <c r="C627" s="9"/>
      <c r="D627" s="9"/>
      <c r="E627" s="9"/>
      <c r="F627" s="10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ht="48" customHeight="1" spans="1:26">
      <c r="A628" s="9"/>
      <c r="B628" s="9"/>
      <c r="C628" s="9"/>
      <c r="D628" s="9"/>
      <c r="E628" s="9"/>
      <c r="F628" s="10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ht="48" customHeight="1" spans="1:26">
      <c r="A629" s="9"/>
      <c r="B629" s="9"/>
      <c r="C629" s="9"/>
      <c r="D629" s="9"/>
      <c r="E629" s="9"/>
      <c r="F629" s="10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ht="48" customHeight="1" spans="1:26">
      <c r="A630" s="9"/>
      <c r="B630" s="9"/>
      <c r="C630" s="9"/>
      <c r="D630" s="9"/>
      <c r="E630" s="9"/>
      <c r="F630" s="10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ht="48" customHeight="1" spans="1:26">
      <c r="A631" s="9"/>
      <c r="B631" s="9"/>
      <c r="C631" s="9"/>
      <c r="D631" s="9"/>
      <c r="E631" s="9"/>
      <c r="F631" s="10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ht="48" customHeight="1" spans="1:26">
      <c r="A632" s="9"/>
      <c r="B632" s="9"/>
      <c r="C632" s="9"/>
      <c r="D632" s="9"/>
      <c r="E632" s="9"/>
      <c r="F632" s="10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ht="48" customHeight="1" spans="1:26">
      <c r="A633" s="9"/>
      <c r="B633" s="9"/>
      <c r="C633" s="9"/>
      <c r="D633" s="9"/>
      <c r="E633" s="9"/>
      <c r="F633" s="10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ht="48" customHeight="1" spans="1:26">
      <c r="A634" s="9"/>
      <c r="B634" s="9"/>
      <c r="C634" s="9"/>
      <c r="D634" s="9"/>
      <c r="E634" s="9"/>
      <c r="F634" s="10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ht="48" customHeight="1" spans="1:26">
      <c r="A635" s="9"/>
      <c r="B635" s="9"/>
      <c r="C635" s="9"/>
      <c r="D635" s="9"/>
      <c r="E635" s="9"/>
      <c r="F635" s="10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ht="48" customHeight="1" spans="1:26">
      <c r="A636" s="9"/>
      <c r="B636" s="9"/>
      <c r="C636" s="9"/>
      <c r="D636" s="9"/>
      <c r="E636" s="9"/>
      <c r="F636" s="10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ht="48" customHeight="1" spans="1:26">
      <c r="A637" s="9"/>
      <c r="B637" s="9"/>
      <c r="C637" s="9"/>
      <c r="D637" s="9"/>
      <c r="E637" s="9"/>
      <c r="F637" s="10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ht="48" customHeight="1" spans="1:26">
      <c r="A638" s="9"/>
      <c r="B638" s="9"/>
      <c r="C638" s="9"/>
      <c r="D638" s="9"/>
      <c r="E638" s="9"/>
      <c r="F638" s="10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ht="48" customHeight="1" spans="1:26">
      <c r="A639" s="9"/>
      <c r="B639" s="9"/>
      <c r="C639" s="9"/>
      <c r="D639" s="9"/>
      <c r="E639" s="9"/>
      <c r="F639" s="10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ht="48" customHeight="1" spans="1:26">
      <c r="A640" s="9"/>
      <c r="B640" s="9"/>
      <c r="C640" s="9"/>
      <c r="D640" s="9"/>
      <c r="E640" s="9"/>
      <c r="F640" s="10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ht="48" customHeight="1" spans="1:26">
      <c r="A641" s="9"/>
      <c r="B641" s="9"/>
      <c r="C641" s="9"/>
      <c r="D641" s="9"/>
      <c r="E641" s="9"/>
      <c r="F641" s="10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ht="48" customHeight="1" spans="1:26">
      <c r="A642" s="9"/>
      <c r="B642" s="9"/>
      <c r="C642" s="9"/>
      <c r="D642" s="9"/>
      <c r="E642" s="9"/>
      <c r="F642" s="10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ht="48" customHeight="1" spans="1:26">
      <c r="A643" s="9"/>
      <c r="B643" s="9"/>
      <c r="C643" s="9"/>
      <c r="D643" s="9"/>
      <c r="E643" s="9"/>
      <c r="F643" s="10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ht="48" customHeight="1" spans="1:26">
      <c r="A644" s="9"/>
      <c r="B644" s="9"/>
      <c r="C644" s="9"/>
      <c r="D644" s="9"/>
      <c r="E644" s="9"/>
      <c r="F644" s="10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ht="48" customHeight="1" spans="1:26">
      <c r="A645" s="9"/>
      <c r="B645" s="9"/>
      <c r="C645" s="9"/>
      <c r="D645" s="9"/>
      <c r="E645" s="9"/>
      <c r="F645" s="10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ht="48" customHeight="1" spans="1:26">
      <c r="A646" s="9"/>
      <c r="B646" s="9"/>
      <c r="C646" s="9"/>
      <c r="D646" s="9"/>
      <c r="E646" s="9"/>
      <c r="F646" s="10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ht="48" customHeight="1" spans="1:26">
      <c r="A647" s="9"/>
      <c r="B647" s="9"/>
      <c r="C647" s="9"/>
      <c r="D647" s="9"/>
      <c r="E647" s="9"/>
      <c r="F647" s="10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ht="48" customHeight="1" spans="1:26">
      <c r="A648" s="9"/>
      <c r="B648" s="9"/>
      <c r="C648" s="9"/>
      <c r="D648" s="9"/>
      <c r="E648" s="9"/>
      <c r="F648" s="10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ht="48" customHeight="1" spans="1:26">
      <c r="A649" s="9"/>
      <c r="B649" s="9"/>
      <c r="C649" s="9"/>
      <c r="D649" s="9"/>
      <c r="E649" s="9"/>
      <c r="F649" s="10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ht="48" customHeight="1" spans="1:26">
      <c r="A650" s="9"/>
      <c r="B650" s="9"/>
      <c r="C650" s="9"/>
      <c r="D650" s="9"/>
      <c r="E650" s="9"/>
      <c r="F650" s="10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ht="48" customHeight="1" spans="1:26">
      <c r="A651" s="9"/>
      <c r="B651" s="9"/>
      <c r="C651" s="9"/>
      <c r="D651" s="9"/>
      <c r="E651" s="9"/>
      <c r="F651" s="10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ht="48" customHeight="1" spans="1:26">
      <c r="A652" s="9"/>
      <c r="B652" s="9"/>
      <c r="C652" s="9"/>
      <c r="D652" s="9"/>
      <c r="E652" s="9"/>
      <c r="F652" s="10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ht="48" customHeight="1" spans="1:26">
      <c r="A653" s="9"/>
      <c r="B653" s="9"/>
      <c r="C653" s="9"/>
      <c r="D653" s="9"/>
      <c r="E653" s="9"/>
      <c r="F653" s="10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ht="48" customHeight="1" spans="1:26">
      <c r="A654" s="9"/>
      <c r="B654" s="9"/>
      <c r="C654" s="9"/>
      <c r="D654" s="9"/>
      <c r="E654" s="9"/>
      <c r="F654" s="10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ht="48" customHeight="1" spans="1:26">
      <c r="A655" s="9"/>
      <c r="B655" s="9"/>
      <c r="C655" s="9"/>
      <c r="D655" s="9"/>
      <c r="E655" s="9"/>
      <c r="F655" s="10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ht="48" customHeight="1" spans="1:26">
      <c r="A656" s="9"/>
      <c r="B656" s="9"/>
      <c r="C656" s="9"/>
      <c r="D656" s="9"/>
      <c r="E656" s="9"/>
      <c r="F656" s="10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ht="48" customHeight="1" spans="1:26">
      <c r="A657" s="9"/>
      <c r="B657" s="9"/>
      <c r="C657" s="9"/>
      <c r="D657" s="9"/>
      <c r="E657" s="9"/>
      <c r="F657" s="10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ht="48" customHeight="1" spans="1:26">
      <c r="A658" s="9"/>
      <c r="B658" s="9"/>
      <c r="C658" s="9"/>
      <c r="D658" s="9"/>
      <c r="E658" s="9"/>
      <c r="F658" s="10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ht="48" customHeight="1" spans="1:26">
      <c r="A659" s="9"/>
      <c r="B659" s="9"/>
      <c r="C659" s="9"/>
      <c r="D659" s="9"/>
      <c r="E659" s="9"/>
      <c r="F659" s="10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ht="48" customHeight="1" spans="1:26">
      <c r="A660" s="9"/>
      <c r="B660" s="9"/>
      <c r="C660" s="9"/>
      <c r="D660" s="9"/>
      <c r="E660" s="9"/>
      <c r="F660" s="10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ht="48" customHeight="1" spans="1:26">
      <c r="A661" s="9"/>
      <c r="B661" s="9"/>
      <c r="C661" s="9"/>
      <c r="D661" s="9"/>
      <c r="E661" s="9"/>
      <c r="F661" s="10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ht="48" customHeight="1" spans="1:26">
      <c r="A662" s="9"/>
      <c r="B662" s="9"/>
      <c r="C662" s="9"/>
      <c r="D662" s="9"/>
      <c r="E662" s="9"/>
      <c r="F662" s="10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ht="48" customHeight="1" spans="1:26">
      <c r="A663" s="9"/>
      <c r="B663" s="9"/>
      <c r="C663" s="9"/>
      <c r="D663" s="9"/>
      <c r="E663" s="9"/>
      <c r="F663" s="10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ht="48" customHeight="1" spans="1:26">
      <c r="A664" s="9"/>
      <c r="B664" s="9"/>
      <c r="C664" s="9"/>
      <c r="D664" s="9"/>
      <c r="E664" s="9"/>
      <c r="F664" s="10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ht="48" customHeight="1" spans="1:26">
      <c r="A665" s="9"/>
      <c r="B665" s="9"/>
      <c r="C665" s="9"/>
      <c r="D665" s="9"/>
      <c r="E665" s="9"/>
      <c r="F665" s="10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ht="48" customHeight="1" spans="1:26">
      <c r="A666" s="9"/>
      <c r="B666" s="9"/>
      <c r="C666" s="9"/>
      <c r="D666" s="9"/>
      <c r="E666" s="9"/>
      <c r="F666" s="10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ht="48" customHeight="1" spans="1:26">
      <c r="A667" s="9"/>
      <c r="B667" s="9"/>
      <c r="C667" s="9"/>
      <c r="D667" s="9"/>
      <c r="E667" s="9"/>
      <c r="F667" s="10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ht="48" customHeight="1" spans="1:26">
      <c r="A668" s="9"/>
      <c r="B668" s="9"/>
      <c r="C668" s="9"/>
      <c r="D668" s="9"/>
      <c r="E668" s="9"/>
      <c r="F668" s="10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ht="48" customHeight="1" spans="1:26">
      <c r="A669" s="9"/>
      <c r="B669" s="9"/>
      <c r="C669" s="9"/>
      <c r="D669" s="9"/>
      <c r="E669" s="9"/>
      <c r="F669" s="10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ht="48" customHeight="1" spans="1:26">
      <c r="A670" s="9"/>
      <c r="B670" s="9"/>
      <c r="C670" s="9"/>
      <c r="D670" s="9"/>
      <c r="E670" s="9"/>
      <c r="F670" s="10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ht="48" customHeight="1" spans="1:26">
      <c r="A671" s="9"/>
      <c r="B671" s="9"/>
      <c r="C671" s="9"/>
      <c r="D671" s="9"/>
      <c r="E671" s="9"/>
      <c r="F671" s="10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ht="48" customHeight="1" spans="1:26">
      <c r="A672" s="9"/>
      <c r="B672" s="9"/>
      <c r="C672" s="9"/>
      <c r="D672" s="9"/>
      <c r="E672" s="9"/>
      <c r="F672" s="10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ht="48" customHeight="1" spans="1:26">
      <c r="A673" s="9"/>
      <c r="B673" s="9"/>
      <c r="C673" s="9"/>
      <c r="D673" s="9"/>
      <c r="E673" s="9"/>
      <c r="F673" s="10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ht="48" customHeight="1" spans="1:26">
      <c r="A674" s="9"/>
      <c r="B674" s="9"/>
      <c r="C674" s="9"/>
      <c r="D674" s="9"/>
      <c r="E674" s="9"/>
      <c r="F674" s="10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ht="48" customHeight="1" spans="1:26">
      <c r="A675" s="9"/>
      <c r="B675" s="9"/>
      <c r="C675" s="9"/>
      <c r="D675" s="9"/>
      <c r="E675" s="9"/>
      <c r="F675" s="10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ht="48" customHeight="1" spans="1:26">
      <c r="A676" s="9"/>
      <c r="B676" s="9"/>
      <c r="C676" s="9"/>
      <c r="D676" s="9"/>
      <c r="E676" s="9"/>
      <c r="F676" s="10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ht="48" customHeight="1" spans="1:26">
      <c r="A677" s="9"/>
      <c r="B677" s="9"/>
      <c r="C677" s="9"/>
      <c r="D677" s="9"/>
      <c r="E677" s="9"/>
      <c r="F677" s="10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ht="48" customHeight="1" spans="1:26">
      <c r="A678" s="9"/>
      <c r="B678" s="9"/>
      <c r="C678" s="9"/>
      <c r="D678" s="9"/>
      <c r="E678" s="9"/>
      <c r="F678" s="10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ht="48" customHeight="1" spans="1:26">
      <c r="A679" s="9"/>
      <c r="B679" s="9"/>
      <c r="C679" s="9"/>
      <c r="D679" s="9"/>
      <c r="E679" s="9"/>
      <c r="F679" s="10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ht="48" customHeight="1" spans="1:26">
      <c r="A680" s="9"/>
      <c r="B680" s="9"/>
      <c r="C680" s="9"/>
      <c r="D680" s="9"/>
      <c r="E680" s="9"/>
      <c r="F680" s="10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ht="48" customHeight="1" spans="1:26">
      <c r="A681" s="9"/>
      <c r="B681" s="9"/>
      <c r="C681" s="9"/>
      <c r="D681" s="9"/>
      <c r="E681" s="9"/>
      <c r="F681" s="10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ht="48" customHeight="1" spans="1:26">
      <c r="A682" s="9"/>
      <c r="B682" s="9"/>
      <c r="C682" s="9"/>
      <c r="D682" s="9"/>
      <c r="E682" s="9"/>
      <c r="F682" s="10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ht="48" customHeight="1" spans="1:26">
      <c r="A683" s="9"/>
      <c r="B683" s="9"/>
      <c r="C683" s="9"/>
      <c r="D683" s="9"/>
      <c r="E683" s="9"/>
      <c r="F683" s="10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ht="48" customHeight="1" spans="1:26">
      <c r="A684" s="9"/>
      <c r="B684" s="9"/>
      <c r="C684" s="9"/>
      <c r="D684" s="9"/>
      <c r="E684" s="9"/>
      <c r="F684" s="10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ht="48" customHeight="1" spans="1:26">
      <c r="A685" s="9"/>
      <c r="B685" s="9"/>
      <c r="C685" s="9"/>
      <c r="D685" s="9"/>
      <c r="E685" s="9"/>
      <c r="F685" s="10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ht="48" customHeight="1" spans="1:26">
      <c r="A686" s="9"/>
      <c r="B686" s="9"/>
      <c r="C686" s="9"/>
      <c r="D686" s="9"/>
      <c r="E686" s="9"/>
      <c r="F686" s="10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ht="48" customHeight="1" spans="1:26">
      <c r="A687" s="9"/>
      <c r="B687" s="9"/>
      <c r="C687" s="9"/>
      <c r="D687" s="9"/>
      <c r="E687" s="9"/>
      <c r="F687" s="10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ht="48" customHeight="1" spans="1:26">
      <c r="A688" s="9"/>
      <c r="B688" s="9"/>
      <c r="C688" s="9"/>
      <c r="D688" s="9"/>
      <c r="E688" s="9"/>
      <c r="F688" s="10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ht="48" customHeight="1" spans="1:26">
      <c r="A689" s="9"/>
      <c r="B689" s="9"/>
      <c r="C689" s="9"/>
      <c r="D689" s="9"/>
      <c r="E689" s="9"/>
      <c r="F689" s="10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ht="48" customHeight="1" spans="1:26">
      <c r="A690" s="9"/>
      <c r="B690" s="9"/>
      <c r="C690" s="9"/>
      <c r="D690" s="9"/>
      <c r="E690" s="9"/>
      <c r="F690" s="10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ht="48" customHeight="1" spans="1:26">
      <c r="A691" s="9"/>
      <c r="B691" s="9"/>
      <c r="C691" s="9"/>
      <c r="D691" s="9"/>
      <c r="E691" s="9"/>
      <c r="F691" s="10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ht="48" customHeight="1" spans="1:26">
      <c r="A692" s="9"/>
      <c r="B692" s="9"/>
      <c r="C692" s="9"/>
      <c r="D692" s="9"/>
      <c r="E692" s="9"/>
      <c r="F692" s="10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ht="48" customHeight="1" spans="1:26">
      <c r="A693" s="9"/>
      <c r="B693" s="9"/>
      <c r="C693" s="9"/>
      <c r="D693" s="9"/>
      <c r="E693" s="9"/>
      <c r="F693" s="10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ht="48" customHeight="1" spans="1:26">
      <c r="A694" s="9"/>
      <c r="B694" s="9"/>
      <c r="C694" s="9"/>
      <c r="D694" s="9"/>
      <c r="E694" s="9"/>
      <c r="F694" s="10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ht="48" customHeight="1" spans="1:26">
      <c r="A695" s="9"/>
      <c r="B695" s="9"/>
      <c r="C695" s="9"/>
      <c r="D695" s="9"/>
      <c r="E695" s="9"/>
      <c r="F695" s="10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ht="48" customHeight="1" spans="1:26">
      <c r="A696" s="9"/>
      <c r="B696" s="9"/>
      <c r="C696" s="9"/>
      <c r="D696" s="9"/>
      <c r="E696" s="9"/>
      <c r="F696" s="10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ht="48" customHeight="1" spans="1:26">
      <c r="A697" s="9"/>
      <c r="B697" s="9"/>
      <c r="C697" s="9"/>
      <c r="D697" s="9"/>
      <c r="E697" s="9"/>
      <c r="F697" s="10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ht="48" customHeight="1" spans="1:26">
      <c r="A698" s="9"/>
      <c r="B698" s="9"/>
      <c r="C698" s="9"/>
      <c r="D698" s="9"/>
      <c r="E698" s="9"/>
      <c r="F698" s="10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ht="48" customHeight="1" spans="1:26">
      <c r="A699" s="9"/>
      <c r="B699" s="9"/>
      <c r="C699" s="9"/>
      <c r="D699" s="9"/>
      <c r="E699" s="9"/>
      <c r="F699" s="10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ht="48" customHeight="1" spans="1:26">
      <c r="A700" s="9"/>
      <c r="B700" s="9"/>
      <c r="C700" s="9"/>
      <c r="D700" s="9"/>
      <c r="E700" s="9"/>
      <c r="F700" s="10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ht="48" customHeight="1" spans="1:26">
      <c r="A701" s="9"/>
      <c r="B701" s="9"/>
      <c r="C701" s="9"/>
      <c r="D701" s="9"/>
      <c r="E701" s="9"/>
      <c r="F701" s="10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ht="48" customHeight="1" spans="1:26">
      <c r="A702" s="9"/>
      <c r="B702" s="9"/>
      <c r="C702" s="9"/>
      <c r="D702" s="9"/>
      <c r="E702" s="9"/>
      <c r="F702" s="10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ht="48" customHeight="1" spans="1:26">
      <c r="A703" s="9"/>
      <c r="B703" s="9"/>
      <c r="C703" s="9"/>
      <c r="D703" s="9"/>
      <c r="E703" s="9"/>
      <c r="F703" s="10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ht="48" customHeight="1" spans="1:26">
      <c r="A704" s="9"/>
      <c r="B704" s="9"/>
      <c r="C704" s="9"/>
      <c r="D704" s="9"/>
      <c r="E704" s="9"/>
      <c r="F704" s="10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ht="48" customHeight="1" spans="1:26">
      <c r="A705" s="9"/>
      <c r="B705" s="9"/>
      <c r="C705" s="9"/>
      <c r="D705" s="9"/>
      <c r="E705" s="9"/>
      <c r="F705" s="10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ht="48" customHeight="1" spans="1:26">
      <c r="A706" s="9"/>
      <c r="B706" s="9"/>
      <c r="C706" s="9"/>
      <c r="D706" s="9"/>
      <c r="E706" s="9"/>
      <c r="F706" s="10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ht="48" customHeight="1" spans="1:26">
      <c r="A707" s="9"/>
      <c r="B707" s="9"/>
      <c r="C707" s="9"/>
      <c r="D707" s="9"/>
      <c r="E707" s="9"/>
      <c r="F707" s="10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ht="48" customHeight="1" spans="1:26">
      <c r="A708" s="9"/>
      <c r="B708" s="9"/>
      <c r="C708" s="9"/>
      <c r="D708" s="9"/>
      <c r="E708" s="9"/>
      <c r="F708" s="10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ht="48" customHeight="1" spans="1:26">
      <c r="A709" s="9"/>
      <c r="B709" s="9"/>
      <c r="C709" s="9"/>
      <c r="D709" s="9"/>
      <c r="E709" s="9"/>
      <c r="F709" s="10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ht="48" customHeight="1" spans="1:26">
      <c r="A710" s="9"/>
      <c r="B710" s="9"/>
      <c r="C710" s="9"/>
      <c r="D710" s="9"/>
      <c r="E710" s="9"/>
      <c r="F710" s="10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ht="48" customHeight="1" spans="1:26">
      <c r="A711" s="9"/>
      <c r="B711" s="9"/>
      <c r="C711" s="9"/>
      <c r="D711" s="9"/>
      <c r="E711" s="9"/>
      <c r="F711" s="10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ht="48" customHeight="1" spans="1:26">
      <c r="A712" s="9"/>
      <c r="B712" s="9"/>
      <c r="C712" s="9"/>
      <c r="D712" s="9"/>
      <c r="E712" s="9"/>
      <c r="F712" s="10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ht="48" customHeight="1" spans="1:26">
      <c r="A713" s="9"/>
      <c r="B713" s="9"/>
      <c r="C713" s="9"/>
      <c r="D713" s="9"/>
      <c r="E713" s="9"/>
      <c r="F713" s="10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ht="48" customHeight="1" spans="1:26">
      <c r="A714" s="9"/>
      <c r="B714" s="9"/>
      <c r="C714" s="9"/>
      <c r="D714" s="9"/>
      <c r="E714" s="9"/>
      <c r="F714" s="10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ht="48" customHeight="1" spans="1:26">
      <c r="A715" s="9"/>
      <c r="B715" s="9"/>
      <c r="C715" s="9"/>
      <c r="D715" s="9"/>
      <c r="E715" s="9"/>
      <c r="F715" s="10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ht="48" customHeight="1" spans="1:26">
      <c r="A716" s="9"/>
      <c r="B716" s="9"/>
      <c r="C716" s="9"/>
      <c r="D716" s="9"/>
      <c r="E716" s="9"/>
      <c r="F716" s="10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ht="48" customHeight="1" spans="1:26">
      <c r="A717" s="9"/>
      <c r="B717" s="9"/>
      <c r="C717" s="9"/>
      <c r="D717" s="9"/>
      <c r="E717" s="9"/>
      <c r="F717" s="10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ht="48" customHeight="1" spans="1:26">
      <c r="A718" s="9"/>
      <c r="B718" s="9"/>
      <c r="C718" s="9"/>
      <c r="D718" s="9"/>
      <c r="E718" s="9"/>
      <c r="F718" s="10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ht="48" customHeight="1" spans="1:26">
      <c r="A719" s="9"/>
      <c r="B719" s="9"/>
      <c r="C719" s="9"/>
      <c r="D719" s="9"/>
      <c r="E719" s="9"/>
      <c r="F719" s="10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ht="48" customHeight="1" spans="1:26">
      <c r="A720" s="9"/>
      <c r="B720" s="9"/>
      <c r="C720" s="9"/>
      <c r="D720" s="9"/>
      <c r="E720" s="9"/>
      <c r="F720" s="10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ht="48" customHeight="1" spans="1:26">
      <c r="A721" s="9"/>
      <c r="B721" s="9"/>
      <c r="C721" s="9"/>
      <c r="D721" s="9"/>
      <c r="E721" s="9"/>
      <c r="F721" s="10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ht="48" customHeight="1" spans="1:26">
      <c r="A722" s="9"/>
      <c r="B722" s="9"/>
      <c r="C722" s="9"/>
      <c r="D722" s="9"/>
      <c r="E722" s="9"/>
      <c r="F722" s="10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ht="48" customHeight="1" spans="1:26">
      <c r="A723" s="9"/>
      <c r="B723" s="9"/>
      <c r="C723" s="9"/>
      <c r="D723" s="9"/>
      <c r="E723" s="9"/>
      <c r="F723" s="10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ht="48" customHeight="1" spans="1:26">
      <c r="A724" s="9"/>
      <c r="B724" s="9"/>
      <c r="C724" s="9"/>
      <c r="D724" s="9"/>
      <c r="E724" s="9"/>
      <c r="F724" s="10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ht="48" customHeight="1" spans="1:26">
      <c r="A725" s="9"/>
      <c r="B725" s="9"/>
      <c r="C725" s="9"/>
      <c r="D725" s="9"/>
      <c r="E725" s="9"/>
      <c r="F725" s="10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ht="48" customHeight="1" spans="1:26">
      <c r="A726" s="9"/>
      <c r="B726" s="9"/>
      <c r="C726" s="9"/>
      <c r="D726" s="9"/>
      <c r="E726" s="9"/>
      <c r="F726" s="10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ht="48" customHeight="1" spans="1:26">
      <c r="A727" s="9"/>
      <c r="B727" s="9"/>
      <c r="C727" s="9"/>
      <c r="D727" s="9"/>
      <c r="E727" s="9"/>
      <c r="F727" s="10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ht="48" customHeight="1" spans="1:26">
      <c r="A728" s="9"/>
      <c r="B728" s="9"/>
      <c r="C728" s="9"/>
      <c r="D728" s="9"/>
      <c r="E728" s="9"/>
      <c r="F728" s="10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ht="48" customHeight="1" spans="1:26">
      <c r="A729" s="9"/>
      <c r="B729" s="9"/>
      <c r="C729" s="9"/>
      <c r="D729" s="9"/>
      <c r="E729" s="9"/>
      <c r="F729" s="10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ht="48" customHeight="1" spans="1:26">
      <c r="A730" s="9"/>
      <c r="B730" s="9"/>
      <c r="C730" s="9"/>
      <c r="D730" s="9"/>
      <c r="E730" s="9"/>
      <c r="F730" s="10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ht="48" customHeight="1" spans="1:26">
      <c r="A731" s="9"/>
      <c r="B731" s="9"/>
      <c r="C731" s="9"/>
      <c r="D731" s="9"/>
      <c r="E731" s="9"/>
      <c r="F731" s="10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ht="48" customHeight="1" spans="1:26">
      <c r="A732" s="9"/>
      <c r="B732" s="9"/>
      <c r="C732" s="9"/>
      <c r="D732" s="9"/>
      <c r="E732" s="9"/>
      <c r="F732" s="10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ht="48" customHeight="1" spans="1:26">
      <c r="A733" s="9"/>
      <c r="B733" s="9"/>
      <c r="C733" s="9"/>
      <c r="D733" s="9"/>
      <c r="E733" s="9"/>
      <c r="F733" s="10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ht="48" customHeight="1" spans="1:26">
      <c r="A734" s="9"/>
      <c r="B734" s="9"/>
      <c r="C734" s="9"/>
      <c r="D734" s="9"/>
      <c r="E734" s="9"/>
      <c r="F734" s="10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ht="48" customHeight="1" spans="1:26">
      <c r="A735" s="9"/>
      <c r="B735" s="9"/>
      <c r="C735" s="9"/>
      <c r="D735" s="9"/>
      <c r="E735" s="9"/>
      <c r="F735" s="10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ht="48" customHeight="1" spans="1:26">
      <c r="A736" s="9"/>
      <c r="B736" s="9"/>
      <c r="C736" s="9"/>
      <c r="D736" s="9"/>
      <c r="E736" s="9"/>
      <c r="F736" s="10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ht="48" customHeight="1" spans="1:26">
      <c r="A737" s="9"/>
      <c r="B737" s="9"/>
      <c r="C737" s="9"/>
      <c r="D737" s="9"/>
      <c r="E737" s="9"/>
      <c r="F737" s="10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ht="48" customHeight="1" spans="1:26">
      <c r="A738" s="9"/>
      <c r="B738" s="9"/>
      <c r="C738" s="9"/>
      <c r="D738" s="9"/>
      <c r="E738" s="9"/>
      <c r="F738" s="10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ht="48" customHeight="1" spans="1:26">
      <c r="A739" s="9"/>
      <c r="B739" s="9"/>
      <c r="C739" s="9"/>
      <c r="D739" s="9"/>
      <c r="E739" s="9"/>
      <c r="F739" s="10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ht="48" customHeight="1" spans="1:26">
      <c r="A740" s="9"/>
      <c r="B740" s="9"/>
      <c r="C740" s="9"/>
      <c r="D740" s="9"/>
      <c r="E740" s="9"/>
      <c r="F740" s="10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ht="48" customHeight="1" spans="1:26">
      <c r="A741" s="9"/>
      <c r="B741" s="9"/>
      <c r="C741" s="9"/>
      <c r="D741" s="9"/>
      <c r="E741" s="9"/>
      <c r="F741" s="10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ht="48" customHeight="1" spans="1:26">
      <c r="A742" s="9"/>
      <c r="B742" s="9"/>
      <c r="C742" s="9"/>
      <c r="D742" s="9"/>
      <c r="E742" s="9"/>
      <c r="F742" s="10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ht="48" customHeight="1" spans="1:26">
      <c r="A743" s="9"/>
      <c r="B743" s="9"/>
      <c r="C743" s="9"/>
      <c r="D743" s="9"/>
      <c r="E743" s="9"/>
      <c r="F743" s="10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ht="48" customHeight="1" spans="1:26">
      <c r="A744" s="9"/>
      <c r="B744" s="9"/>
      <c r="C744" s="9"/>
      <c r="D744" s="9"/>
      <c r="E744" s="9"/>
      <c r="F744" s="10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ht="48" customHeight="1" spans="1:26">
      <c r="A745" s="9"/>
      <c r="B745" s="9"/>
      <c r="C745" s="9"/>
      <c r="D745" s="9"/>
      <c r="E745" s="9"/>
      <c r="F745" s="10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ht="48" customHeight="1" spans="1:26">
      <c r="A746" s="9"/>
      <c r="B746" s="9"/>
      <c r="C746" s="9"/>
      <c r="D746" s="9"/>
      <c r="E746" s="9"/>
      <c r="F746" s="10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ht="48" customHeight="1" spans="1:26">
      <c r="A747" s="9"/>
      <c r="B747" s="9"/>
      <c r="C747" s="9"/>
      <c r="D747" s="9"/>
      <c r="E747" s="9"/>
      <c r="F747" s="10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ht="48" customHeight="1" spans="1:26">
      <c r="A748" s="9"/>
      <c r="B748" s="9"/>
      <c r="C748" s="9"/>
      <c r="D748" s="9"/>
      <c r="E748" s="9"/>
      <c r="F748" s="10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ht="48" customHeight="1" spans="1:26">
      <c r="A749" s="9"/>
      <c r="B749" s="9"/>
      <c r="C749" s="9"/>
      <c r="D749" s="9"/>
      <c r="E749" s="9"/>
      <c r="F749" s="10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ht="48" customHeight="1" spans="1:26">
      <c r="A750" s="9"/>
      <c r="B750" s="9"/>
      <c r="C750" s="9"/>
      <c r="D750" s="9"/>
      <c r="E750" s="9"/>
      <c r="F750" s="10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ht="48" customHeight="1" spans="1:26">
      <c r="A751" s="9"/>
      <c r="B751" s="9"/>
      <c r="C751" s="9"/>
      <c r="D751" s="9"/>
      <c r="E751" s="9"/>
      <c r="F751" s="10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ht="48" customHeight="1" spans="1:26">
      <c r="A752" s="9"/>
      <c r="B752" s="9"/>
      <c r="C752" s="9"/>
      <c r="D752" s="9"/>
      <c r="E752" s="9"/>
      <c r="F752" s="10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ht="48" customHeight="1" spans="1:26">
      <c r="A753" s="9"/>
      <c r="B753" s="9"/>
      <c r="C753" s="9"/>
      <c r="D753" s="9"/>
      <c r="E753" s="9"/>
      <c r="F753" s="10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ht="48" customHeight="1" spans="1:26">
      <c r="A754" s="9"/>
      <c r="B754" s="9"/>
      <c r="C754" s="9"/>
      <c r="D754" s="9"/>
      <c r="E754" s="9"/>
      <c r="F754" s="10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ht="48" customHeight="1" spans="1:26">
      <c r="A755" s="9"/>
      <c r="B755" s="9"/>
      <c r="C755" s="9"/>
      <c r="D755" s="9"/>
      <c r="E755" s="9"/>
      <c r="F755" s="10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ht="48" customHeight="1" spans="1:26">
      <c r="A756" s="9"/>
      <c r="B756" s="9"/>
      <c r="C756" s="9"/>
      <c r="D756" s="9"/>
      <c r="E756" s="9"/>
      <c r="F756" s="10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ht="48" customHeight="1" spans="1:26">
      <c r="A757" s="9"/>
      <c r="B757" s="9"/>
      <c r="C757" s="9"/>
      <c r="D757" s="9"/>
      <c r="E757" s="9"/>
      <c r="F757" s="10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ht="48" customHeight="1" spans="1:26">
      <c r="A758" s="9"/>
      <c r="B758" s="9"/>
      <c r="C758" s="9"/>
      <c r="D758" s="9"/>
      <c r="E758" s="9"/>
      <c r="F758" s="10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ht="48" customHeight="1" spans="1:26">
      <c r="A759" s="9"/>
      <c r="B759" s="9"/>
      <c r="C759" s="9"/>
      <c r="D759" s="9"/>
      <c r="E759" s="9"/>
      <c r="F759" s="10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ht="48" customHeight="1" spans="1:26">
      <c r="A760" s="9"/>
      <c r="B760" s="9"/>
      <c r="C760" s="9"/>
      <c r="D760" s="9"/>
      <c r="E760" s="9"/>
      <c r="F760" s="10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ht="48" customHeight="1" spans="1:26">
      <c r="A761" s="9"/>
      <c r="B761" s="9"/>
      <c r="C761" s="9"/>
      <c r="D761" s="9"/>
      <c r="E761" s="9"/>
      <c r="F761" s="10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ht="48" customHeight="1" spans="1:26">
      <c r="A762" s="9"/>
      <c r="B762" s="9"/>
      <c r="C762" s="9"/>
      <c r="D762" s="9"/>
      <c r="E762" s="9"/>
      <c r="F762" s="10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ht="48" customHeight="1" spans="1:26">
      <c r="A763" s="9"/>
      <c r="B763" s="9"/>
      <c r="C763" s="9"/>
      <c r="D763" s="9"/>
      <c r="E763" s="9"/>
      <c r="F763" s="10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ht="48" customHeight="1" spans="1:26">
      <c r="A764" s="9"/>
      <c r="B764" s="9"/>
      <c r="C764" s="9"/>
      <c r="D764" s="9"/>
      <c r="E764" s="9"/>
      <c r="F764" s="10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ht="48" customHeight="1" spans="1:26">
      <c r="A765" s="9"/>
      <c r="B765" s="9"/>
      <c r="C765" s="9"/>
      <c r="D765" s="9"/>
      <c r="E765" s="9"/>
      <c r="F765" s="10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ht="48" customHeight="1" spans="1:26">
      <c r="A766" s="9"/>
      <c r="B766" s="9"/>
      <c r="C766" s="9"/>
      <c r="D766" s="9"/>
      <c r="E766" s="9"/>
      <c r="F766" s="10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ht="48" customHeight="1" spans="1:26">
      <c r="A767" s="9"/>
      <c r="B767" s="9"/>
      <c r="C767" s="9"/>
      <c r="D767" s="9"/>
      <c r="E767" s="9"/>
      <c r="F767" s="10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ht="48" customHeight="1" spans="1:26">
      <c r="A768" s="9"/>
      <c r="B768" s="9"/>
      <c r="C768" s="9"/>
      <c r="D768" s="9"/>
      <c r="E768" s="9"/>
      <c r="F768" s="10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ht="48" customHeight="1" spans="1:26">
      <c r="A769" s="9"/>
      <c r="B769" s="9"/>
      <c r="C769" s="9"/>
      <c r="D769" s="9"/>
      <c r="E769" s="9"/>
      <c r="F769" s="10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ht="48" customHeight="1" spans="1:26">
      <c r="A770" s="9"/>
      <c r="B770" s="9"/>
      <c r="C770" s="9"/>
      <c r="D770" s="9"/>
      <c r="E770" s="9"/>
      <c r="F770" s="10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ht="48" customHeight="1" spans="1:26">
      <c r="A771" s="9"/>
      <c r="B771" s="9"/>
      <c r="C771" s="9"/>
      <c r="D771" s="9"/>
      <c r="E771" s="9"/>
      <c r="F771" s="10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ht="48" customHeight="1" spans="1:26">
      <c r="A772" s="9"/>
      <c r="B772" s="9"/>
      <c r="C772" s="9"/>
      <c r="D772" s="9"/>
      <c r="E772" s="9"/>
      <c r="F772" s="10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ht="48" customHeight="1" spans="1:26">
      <c r="A773" s="9"/>
      <c r="B773" s="9"/>
      <c r="C773" s="9"/>
      <c r="D773" s="9"/>
      <c r="E773" s="9"/>
      <c r="F773" s="10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ht="48" customHeight="1" spans="1:26">
      <c r="A774" s="9"/>
      <c r="B774" s="9"/>
      <c r="C774" s="9"/>
      <c r="D774" s="9"/>
      <c r="E774" s="9"/>
      <c r="F774" s="10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ht="48" customHeight="1" spans="1:26">
      <c r="A775" s="9"/>
      <c r="B775" s="9"/>
      <c r="C775" s="9"/>
      <c r="D775" s="9"/>
      <c r="E775" s="9"/>
      <c r="F775" s="10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ht="48" customHeight="1" spans="1:26">
      <c r="A776" s="9"/>
      <c r="B776" s="9"/>
      <c r="C776" s="9"/>
      <c r="D776" s="9"/>
      <c r="E776" s="9"/>
      <c r="F776" s="10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ht="48" customHeight="1" spans="1:26">
      <c r="A777" s="9"/>
      <c r="B777" s="9"/>
      <c r="C777" s="9"/>
      <c r="D777" s="9"/>
      <c r="E777" s="9"/>
      <c r="F777" s="10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ht="48" customHeight="1" spans="1:26">
      <c r="A778" s="9"/>
      <c r="B778" s="9"/>
      <c r="C778" s="9"/>
      <c r="D778" s="9"/>
      <c r="E778" s="9"/>
      <c r="F778" s="10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ht="48" customHeight="1" spans="1:26">
      <c r="A779" s="9"/>
      <c r="B779" s="9"/>
      <c r="C779" s="9"/>
      <c r="D779" s="9"/>
      <c r="E779" s="9"/>
      <c r="F779" s="10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ht="48" customHeight="1" spans="1:26">
      <c r="A780" s="9"/>
      <c r="B780" s="9"/>
      <c r="C780" s="9"/>
      <c r="D780" s="9"/>
      <c r="E780" s="9"/>
      <c r="F780" s="10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ht="48" customHeight="1" spans="1:26">
      <c r="A781" s="9"/>
      <c r="B781" s="9"/>
      <c r="C781" s="9"/>
      <c r="D781" s="9"/>
      <c r="E781" s="9"/>
      <c r="F781" s="10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ht="48" customHeight="1" spans="1:26">
      <c r="A782" s="9"/>
      <c r="B782" s="9"/>
      <c r="C782" s="9"/>
      <c r="D782" s="9"/>
      <c r="E782" s="9"/>
      <c r="F782" s="10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ht="48" customHeight="1" spans="1:26">
      <c r="A783" s="9"/>
      <c r="B783" s="9"/>
      <c r="C783" s="9"/>
      <c r="D783" s="9"/>
      <c r="E783" s="9"/>
      <c r="F783" s="10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ht="48" customHeight="1" spans="1:26">
      <c r="A784" s="9"/>
      <c r="B784" s="9"/>
      <c r="C784" s="9"/>
      <c r="D784" s="9"/>
      <c r="E784" s="9"/>
      <c r="F784" s="10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ht="48" customHeight="1" spans="1:26">
      <c r="A785" s="9"/>
      <c r="B785" s="9"/>
      <c r="C785" s="9"/>
      <c r="D785" s="9"/>
      <c r="E785" s="9"/>
      <c r="F785" s="10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ht="48" customHeight="1" spans="1:26">
      <c r="A786" s="9"/>
      <c r="B786" s="9"/>
      <c r="C786" s="9"/>
      <c r="D786" s="9"/>
      <c r="E786" s="9"/>
      <c r="F786" s="10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ht="48" customHeight="1" spans="1:26">
      <c r="A787" s="9"/>
      <c r="B787" s="9"/>
      <c r="C787" s="9"/>
      <c r="D787" s="9"/>
      <c r="E787" s="9"/>
      <c r="F787" s="10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ht="48" customHeight="1" spans="1:26">
      <c r="A788" s="9"/>
      <c r="B788" s="9"/>
      <c r="C788" s="9"/>
      <c r="D788" s="9"/>
      <c r="E788" s="9"/>
      <c r="F788" s="10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ht="48" customHeight="1" spans="1:26">
      <c r="A789" s="9"/>
      <c r="B789" s="9"/>
      <c r="C789" s="9"/>
      <c r="D789" s="9"/>
      <c r="E789" s="9"/>
      <c r="F789" s="10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ht="48" customHeight="1" spans="1:26">
      <c r="A790" s="9"/>
      <c r="B790" s="9"/>
      <c r="C790" s="9"/>
      <c r="D790" s="9"/>
      <c r="E790" s="9"/>
      <c r="F790" s="10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ht="48" customHeight="1" spans="1:26">
      <c r="A791" s="9"/>
      <c r="B791" s="9"/>
      <c r="C791" s="9"/>
      <c r="D791" s="9"/>
      <c r="E791" s="9"/>
      <c r="F791" s="10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ht="48" customHeight="1" spans="1:26">
      <c r="A792" s="9"/>
      <c r="B792" s="9"/>
      <c r="C792" s="9"/>
      <c r="D792" s="9"/>
      <c r="E792" s="9"/>
      <c r="F792" s="10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ht="48" customHeight="1" spans="1:26">
      <c r="A793" s="9"/>
      <c r="B793" s="9"/>
      <c r="C793" s="9"/>
      <c r="D793" s="9"/>
      <c r="E793" s="9"/>
      <c r="F793" s="10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ht="48" customHeight="1" spans="1:26">
      <c r="A794" s="9"/>
      <c r="B794" s="9"/>
      <c r="C794" s="9"/>
      <c r="D794" s="9"/>
      <c r="E794" s="9"/>
      <c r="F794" s="10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ht="48" customHeight="1" spans="1:26">
      <c r="A795" s="9"/>
      <c r="B795" s="9"/>
      <c r="C795" s="9"/>
      <c r="D795" s="9"/>
      <c r="E795" s="9"/>
      <c r="F795" s="10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ht="48" customHeight="1" spans="1:26">
      <c r="A796" s="9"/>
      <c r="B796" s="9"/>
      <c r="C796" s="9"/>
      <c r="D796" s="9"/>
      <c r="E796" s="9"/>
      <c r="F796" s="10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ht="48" customHeight="1" spans="1:26">
      <c r="A797" s="9"/>
      <c r="B797" s="9"/>
      <c r="C797" s="9"/>
      <c r="D797" s="9"/>
      <c r="E797" s="9"/>
      <c r="F797" s="10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ht="48" customHeight="1" spans="1:26">
      <c r="A798" s="9"/>
      <c r="B798" s="9"/>
      <c r="C798" s="9"/>
      <c r="D798" s="9"/>
      <c r="E798" s="9"/>
      <c r="F798" s="10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ht="48" customHeight="1" spans="1:26">
      <c r="A799" s="9"/>
      <c r="B799" s="9"/>
      <c r="C799" s="9"/>
      <c r="D799" s="9"/>
      <c r="E799" s="9"/>
      <c r="F799" s="10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ht="48" customHeight="1" spans="1:26">
      <c r="A800" s="9"/>
      <c r="B800" s="9"/>
      <c r="C800" s="9"/>
      <c r="D800" s="9"/>
      <c r="E800" s="9"/>
      <c r="F800" s="10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ht="48" customHeight="1" spans="1:26">
      <c r="A801" s="9"/>
      <c r="B801" s="9"/>
      <c r="C801" s="9"/>
      <c r="D801" s="9"/>
      <c r="E801" s="9"/>
      <c r="F801" s="10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ht="48" customHeight="1" spans="1:26">
      <c r="A802" s="9"/>
      <c r="B802" s="9"/>
      <c r="C802" s="9"/>
      <c r="D802" s="9"/>
      <c r="E802" s="9"/>
      <c r="F802" s="10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ht="48" customHeight="1" spans="1:26">
      <c r="A803" s="9"/>
      <c r="B803" s="9"/>
      <c r="C803" s="9"/>
      <c r="D803" s="9"/>
      <c r="E803" s="9"/>
      <c r="F803" s="10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ht="48" customHeight="1" spans="1:26">
      <c r="A804" s="9"/>
      <c r="B804" s="9"/>
      <c r="C804" s="9"/>
      <c r="D804" s="9"/>
      <c r="E804" s="9"/>
      <c r="F804" s="10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ht="48" customHeight="1" spans="1:26">
      <c r="A805" s="9"/>
      <c r="B805" s="9"/>
      <c r="C805" s="9"/>
      <c r="D805" s="9"/>
      <c r="E805" s="9"/>
      <c r="F805" s="10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ht="48" customHeight="1" spans="1:26">
      <c r="A806" s="9"/>
      <c r="B806" s="9"/>
      <c r="C806" s="9"/>
      <c r="D806" s="9"/>
      <c r="E806" s="9"/>
      <c r="F806" s="10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ht="48" customHeight="1" spans="1:26">
      <c r="A807" s="9"/>
      <c r="B807" s="9"/>
      <c r="C807" s="9"/>
      <c r="D807" s="9"/>
      <c r="E807" s="9"/>
      <c r="F807" s="10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ht="48" customHeight="1" spans="1:26">
      <c r="A808" s="9"/>
      <c r="B808" s="9"/>
      <c r="C808" s="9"/>
      <c r="D808" s="9"/>
      <c r="E808" s="9"/>
      <c r="F808" s="10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ht="48" customHeight="1" spans="1:26">
      <c r="A809" s="9"/>
      <c r="B809" s="9"/>
      <c r="C809" s="9"/>
      <c r="D809" s="9"/>
      <c r="E809" s="9"/>
      <c r="F809" s="10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ht="48" customHeight="1" spans="1:26">
      <c r="A810" s="9"/>
      <c r="B810" s="9"/>
      <c r="C810" s="9"/>
      <c r="D810" s="9"/>
      <c r="E810" s="9"/>
      <c r="F810" s="10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ht="48" customHeight="1" spans="1:26">
      <c r="A811" s="9"/>
      <c r="B811" s="9"/>
      <c r="C811" s="9"/>
      <c r="D811" s="9"/>
      <c r="E811" s="9"/>
      <c r="F811" s="10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ht="48" customHeight="1" spans="1:26">
      <c r="A812" s="9"/>
      <c r="B812" s="9"/>
      <c r="C812" s="9"/>
      <c r="D812" s="9"/>
      <c r="E812" s="9"/>
      <c r="F812" s="10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ht="48" customHeight="1" spans="1:26">
      <c r="A813" s="9"/>
      <c r="B813" s="9"/>
      <c r="C813" s="9"/>
      <c r="D813" s="9"/>
      <c r="E813" s="9"/>
      <c r="F813" s="10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ht="48" customHeight="1" spans="1:26">
      <c r="A814" s="9"/>
      <c r="B814" s="9"/>
      <c r="C814" s="9"/>
      <c r="D814" s="9"/>
      <c r="E814" s="9"/>
      <c r="F814" s="10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ht="48" customHeight="1" spans="1:26">
      <c r="A815" s="9"/>
      <c r="B815" s="9"/>
      <c r="C815" s="9"/>
      <c r="D815" s="9"/>
      <c r="E815" s="9"/>
      <c r="F815" s="10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ht="48" customHeight="1" spans="1:26">
      <c r="A816" s="9"/>
      <c r="B816" s="9"/>
      <c r="C816" s="9"/>
      <c r="D816" s="9"/>
      <c r="E816" s="9"/>
      <c r="F816" s="10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ht="48" customHeight="1" spans="1:26">
      <c r="A817" s="9"/>
      <c r="B817" s="9"/>
      <c r="C817" s="9"/>
      <c r="D817" s="9"/>
      <c r="E817" s="9"/>
      <c r="F817" s="10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ht="48" customHeight="1" spans="1:26">
      <c r="A818" s="9"/>
      <c r="B818" s="9"/>
      <c r="C818" s="9"/>
      <c r="D818" s="9"/>
      <c r="E818" s="9"/>
      <c r="F818" s="10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ht="48" customHeight="1" spans="1:26">
      <c r="A819" s="9"/>
      <c r="B819" s="9"/>
      <c r="C819" s="9"/>
      <c r="D819" s="9"/>
      <c r="E819" s="9"/>
      <c r="F819" s="10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ht="48" customHeight="1" spans="1:26">
      <c r="A820" s="9"/>
      <c r="B820" s="9"/>
      <c r="C820" s="9"/>
      <c r="D820" s="9"/>
      <c r="E820" s="9"/>
      <c r="F820" s="10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ht="48" customHeight="1" spans="1:26">
      <c r="A821" s="9"/>
      <c r="B821" s="9"/>
      <c r="C821" s="9"/>
      <c r="D821" s="9"/>
      <c r="E821" s="9"/>
      <c r="F821" s="10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ht="48" customHeight="1" spans="1:26">
      <c r="A822" s="9"/>
      <c r="B822" s="9"/>
      <c r="C822" s="9"/>
      <c r="D822" s="9"/>
      <c r="E822" s="9"/>
      <c r="F822" s="10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ht="48" customHeight="1" spans="1:26">
      <c r="A823" s="9"/>
      <c r="B823" s="9"/>
      <c r="C823" s="9"/>
      <c r="D823" s="9"/>
      <c r="E823" s="9"/>
      <c r="F823" s="10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ht="48" customHeight="1" spans="1:26">
      <c r="A824" s="9"/>
      <c r="B824" s="9"/>
      <c r="C824" s="9"/>
      <c r="D824" s="9"/>
      <c r="E824" s="9"/>
      <c r="F824" s="10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ht="48" customHeight="1" spans="1:26">
      <c r="A825" s="9"/>
      <c r="B825" s="9"/>
      <c r="C825" s="9"/>
      <c r="D825" s="9"/>
      <c r="E825" s="9"/>
      <c r="F825" s="10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ht="48" customHeight="1" spans="1:26">
      <c r="A826" s="9"/>
      <c r="B826" s="9"/>
      <c r="C826" s="9"/>
      <c r="D826" s="9"/>
      <c r="E826" s="9"/>
      <c r="F826" s="10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ht="48" customHeight="1" spans="1:26">
      <c r="A827" s="9"/>
      <c r="B827" s="9"/>
      <c r="C827" s="9"/>
      <c r="D827" s="9"/>
      <c r="E827" s="9"/>
      <c r="F827" s="10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ht="48" customHeight="1" spans="1:26">
      <c r="A828" s="9"/>
      <c r="B828" s="9"/>
      <c r="C828" s="9"/>
      <c r="D828" s="9"/>
      <c r="E828" s="9"/>
      <c r="F828" s="10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ht="48" customHeight="1" spans="1:26">
      <c r="A829" s="9"/>
      <c r="B829" s="9"/>
      <c r="C829" s="9"/>
      <c r="D829" s="9"/>
      <c r="E829" s="9"/>
      <c r="F829" s="10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ht="48" customHeight="1" spans="1:26">
      <c r="A830" s="9"/>
      <c r="B830" s="9"/>
      <c r="C830" s="9"/>
      <c r="D830" s="9"/>
      <c r="E830" s="9"/>
      <c r="F830" s="10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ht="48" customHeight="1" spans="1:26">
      <c r="A831" s="9"/>
      <c r="B831" s="9"/>
      <c r="C831" s="9"/>
      <c r="D831" s="9"/>
      <c r="E831" s="9"/>
      <c r="F831" s="10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ht="48" customHeight="1" spans="1:26">
      <c r="A832" s="9"/>
      <c r="B832" s="9"/>
      <c r="C832" s="9"/>
      <c r="D832" s="9"/>
      <c r="E832" s="9"/>
      <c r="F832" s="10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ht="48" customHeight="1" spans="1:26">
      <c r="A833" s="9"/>
      <c r="B833" s="9"/>
      <c r="C833" s="9"/>
      <c r="D833" s="9"/>
      <c r="E833" s="9"/>
      <c r="F833" s="10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ht="48" customHeight="1" spans="1:26">
      <c r="A834" s="9"/>
      <c r="B834" s="9"/>
      <c r="C834" s="9"/>
      <c r="D834" s="9"/>
      <c r="E834" s="9"/>
      <c r="F834" s="10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ht="48" customHeight="1" spans="1:26">
      <c r="A835" s="9"/>
      <c r="B835" s="9"/>
      <c r="C835" s="9"/>
      <c r="D835" s="9"/>
      <c r="E835" s="9"/>
      <c r="F835" s="10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ht="48" customHeight="1" spans="1:26">
      <c r="A836" s="9"/>
      <c r="B836" s="9"/>
      <c r="C836" s="9"/>
      <c r="D836" s="9"/>
      <c r="E836" s="9"/>
      <c r="F836" s="10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ht="48" customHeight="1" spans="1:26">
      <c r="A837" s="9"/>
      <c r="B837" s="9"/>
      <c r="C837" s="9"/>
      <c r="D837" s="9"/>
      <c r="E837" s="9"/>
      <c r="F837" s="10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ht="48" customHeight="1" spans="1:26">
      <c r="A838" s="9"/>
      <c r="B838" s="9"/>
      <c r="C838" s="9"/>
      <c r="D838" s="9"/>
      <c r="E838" s="9"/>
      <c r="F838" s="10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ht="48" customHeight="1" spans="1:26">
      <c r="A839" s="9"/>
      <c r="B839" s="9"/>
      <c r="C839" s="9"/>
      <c r="D839" s="9"/>
      <c r="E839" s="9"/>
      <c r="F839" s="10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ht="48" customHeight="1" spans="1:26">
      <c r="A840" s="9"/>
      <c r="B840" s="9"/>
      <c r="C840" s="9"/>
      <c r="D840" s="9"/>
      <c r="E840" s="9"/>
      <c r="F840" s="10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ht="48" customHeight="1" spans="1:26">
      <c r="A841" s="9"/>
      <c r="B841" s="9"/>
      <c r="C841" s="9"/>
      <c r="D841" s="9"/>
      <c r="E841" s="9"/>
      <c r="F841" s="10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ht="48" customHeight="1" spans="1:26">
      <c r="A842" s="9"/>
      <c r="B842" s="9"/>
      <c r="C842" s="9"/>
      <c r="D842" s="9"/>
      <c r="E842" s="9"/>
      <c r="F842" s="10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ht="48" customHeight="1" spans="1:26">
      <c r="A843" s="9"/>
      <c r="B843" s="9"/>
      <c r="C843" s="9"/>
      <c r="D843" s="9"/>
      <c r="E843" s="9"/>
      <c r="F843" s="10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ht="48" customHeight="1" spans="1:26">
      <c r="A844" s="9"/>
      <c r="B844" s="9"/>
      <c r="C844" s="9"/>
      <c r="D844" s="9"/>
      <c r="E844" s="9"/>
      <c r="F844" s="10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ht="48" customHeight="1" spans="1:26">
      <c r="A845" s="9"/>
      <c r="B845" s="9"/>
      <c r="C845" s="9"/>
      <c r="D845" s="9"/>
      <c r="E845" s="9"/>
      <c r="F845" s="10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ht="48" customHeight="1" spans="1:26">
      <c r="A846" s="9"/>
      <c r="B846" s="9"/>
      <c r="C846" s="9"/>
      <c r="D846" s="9"/>
      <c r="E846" s="9"/>
      <c r="F846" s="10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ht="48" customHeight="1" spans="1:26">
      <c r="A847" s="9"/>
      <c r="B847" s="9"/>
      <c r="C847" s="9"/>
      <c r="D847" s="9"/>
      <c r="E847" s="9"/>
      <c r="F847" s="10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ht="48" customHeight="1" spans="1:26">
      <c r="A848" s="9"/>
      <c r="B848" s="9"/>
      <c r="C848" s="9"/>
      <c r="D848" s="9"/>
      <c r="E848" s="9"/>
      <c r="F848" s="10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ht="48" customHeight="1" spans="1:26">
      <c r="A849" s="9"/>
      <c r="B849" s="9"/>
      <c r="C849" s="9"/>
      <c r="D849" s="9"/>
      <c r="E849" s="9"/>
      <c r="F849" s="10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ht="48" customHeight="1" spans="1:26">
      <c r="A850" s="9"/>
      <c r="B850" s="9"/>
      <c r="C850" s="9"/>
      <c r="D850" s="9"/>
      <c r="E850" s="9"/>
      <c r="F850" s="10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ht="48" customHeight="1" spans="1:26">
      <c r="A851" s="9"/>
      <c r="B851" s="9"/>
      <c r="C851" s="9"/>
      <c r="D851" s="9"/>
      <c r="E851" s="9"/>
      <c r="F851" s="10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ht="48" customHeight="1" spans="1:26">
      <c r="A852" s="9"/>
      <c r="B852" s="9"/>
      <c r="C852" s="9"/>
      <c r="D852" s="9"/>
      <c r="E852" s="9"/>
      <c r="F852" s="10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ht="48" customHeight="1" spans="1:26">
      <c r="A853" s="9"/>
      <c r="B853" s="9"/>
      <c r="C853" s="9"/>
      <c r="D853" s="9"/>
      <c r="E853" s="9"/>
      <c r="F853" s="10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ht="48" customHeight="1" spans="1:26">
      <c r="A854" s="9"/>
      <c r="B854" s="9"/>
      <c r="C854" s="9"/>
      <c r="D854" s="9"/>
      <c r="E854" s="9"/>
      <c r="F854" s="10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ht="48" customHeight="1" spans="1:26">
      <c r="A855" s="9"/>
      <c r="B855" s="9"/>
      <c r="C855" s="9"/>
      <c r="D855" s="9"/>
      <c r="E855" s="9"/>
      <c r="F855" s="10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ht="48" customHeight="1" spans="1:26">
      <c r="A856" s="9"/>
      <c r="B856" s="9"/>
      <c r="C856" s="9"/>
      <c r="D856" s="9"/>
      <c r="E856" s="9"/>
      <c r="F856" s="10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ht="48" customHeight="1" spans="1:26">
      <c r="A857" s="9"/>
      <c r="B857" s="9"/>
      <c r="C857" s="9"/>
      <c r="D857" s="9"/>
      <c r="E857" s="9"/>
      <c r="F857" s="10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ht="48" customHeight="1" spans="1:26">
      <c r="A858" s="9"/>
      <c r="B858" s="9"/>
      <c r="C858" s="9"/>
      <c r="D858" s="9"/>
      <c r="E858" s="9"/>
      <c r="F858" s="10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ht="48" customHeight="1" spans="1:26">
      <c r="A859" s="9"/>
      <c r="B859" s="9"/>
      <c r="C859" s="9"/>
      <c r="D859" s="9"/>
      <c r="E859" s="9"/>
      <c r="F859" s="10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ht="48" customHeight="1" spans="1:26">
      <c r="A860" s="9"/>
      <c r="B860" s="9"/>
      <c r="C860" s="9"/>
      <c r="D860" s="9"/>
      <c r="E860" s="9"/>
      <c r="F860" s="10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ht="48" customHeight="1" spans="1:26">
      <c r="A861" s="9"/>
      <c r="B861" s="9"/>
      <c r="C861" s="9"/>
      <c r="D861" s="9"/>
      <c r="E861" s="9"/>
      <c r="F861" s="10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ht="48" customHeight="1" spans="1:26">
      <c r="A862" s="9"/>
      <c r="B862" s="9"/>
      <c r="C862" s="9"/>
      <c r="D862" s="9"/>
      <c r="E862" s="9"/>
      <c r="F862" s="10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ht="48" customHeight="1" spans="1:26">
      <c r="A863" s="9"/>
      <c r="B863" s="9"/>
      <c r="C863" s="9"/>
      <c r="D863" s="9"/>
      <c r="E863" s="9"/>
      <c r="F863" s="10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ht="48" customHeight="1" spans="1:26">
      <c r="A864" s="9"/>
      <c r="B864" s="9"/>
      <c r="C864" s="9"/>
      <c r="D864" s="9"/>
      <c r="E864" s="9"/>
      <c r="F864" s="10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ht="48" customHeight="1" spans="1:26">
      <c r="A865" s="9"/>
      <c r="B865" s="9"/>
      <c r="C865" s="9"/>
      <c r="D865" s="9"/>
      <c r="E865" s="9"/>
      <c r="F865" s="10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ht="48" customHeight="1" spans="1:26">
      <c r="A866" s="9"/>
      <c r="B866" s="9"/>
      <c r="C866" s="9"/>
      <c r="D866" s="9"/>
      <c r="E866" s="9"/>
      <c r="F866" s="10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ht="48" customHeight="1" spans="1:26">
      <c r="A867" s="9"/>
      <c r="B867" s="9"/>
      <c r="C867" s="9"/>
      <c r="D867" s="9"/>
      <c r="E867" s="9"/>
      <c r="F867" s="10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ht="48" customHeight="1" spans="1:26">
      <c r="A868" s="9"/>
      <c r="B868" s="9"/>
      <c r="C868" s="9"/>
      <c r="D868" s="9"/>
      <c r="E868" s="9"/>
      <c r="F868" s="10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ht="48" customHeight="1" spans="1:26">
      <c r="A869" s="9"/>
      <c r="B869" s="9"/>
      <c r="C869" s="9"/>
      <c r="D869" s="9"/>
      <c r="E869" s="9"/>
      <c r="F869" s="10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ht="48" customHeight="1" spans="1:26">
      <c r="A870" s="9"/>
      <c r="B870" s="9"/>
      <c r="C870" s="9"/>
      <c r="D870" s="9"/>
      <c r="E870" s="9"/>
      <c r="F870" s="10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ht="48" customHeight="1" spans="1:26">
      <c r="A871" s="9"/>
      <c r="B871" s="9"/>
      <c r="C871" s="9"/>
      <c r="D871" s="9"/>
      <c r="E871" s="9"/>
      <c r="F871" s="10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ht="48" customHeight="1" spans="1:26">
      <c r="A872" s="9"/>
      <c r="B872" s="9"/>
      <c r="C872" s="9"/>
      <c r="D872" s="9"/>
      <c r="E872" s="9"/>
      <c r="F872" s="10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ht="48" customHeight="1" spans="1:26">
      <c r="A873" s="9"/>
      <c r="B873" s="9"/>
      <c r="C873" s="9"/>
      <c r="D873" s="9"/>
      <c r="E873" s="9"/>
      <c r="F873" s="10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ht="48" customHeight="1" spans="1:26">
      <c r="A874" s="9"/>
      <c r="B874" s="9"/>
      <c r="C874" s="9"/>
      <c r="D874" s="9"/>
      <c r="E874" s="9"/>
      <c r="F874" s="10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ht="48" customHeight="1" spans="1:26">
      <c r="A875" s="9"/>
      <c r="B875" s="9"/>
      <c r="C875" s="9"/>
      <c r="D875" s="9"/>
      <c r="E875" s="9"/>
      <c r="F875" s="10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ht="48" customHeight="1" spans="1:26">
      <c r="A876" s="9"/>
      <c r="B876" s="9"/>
      <c r="C876" s="9"/>
      <c r="D876" s="9"/>
      <c r="E876" s="9"/>
      <c r="F876" s="10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ht="48" customHeight="1" spans="1:26">
      <c r="A877" s="9"/>
      <c r="B877" s="9"/>
      <c r="C877" s="9"/>
      <c r="D877" s="9"/>
      <c r="E877" s="9"/>
      <c r="F877" s="10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ht="48" customHeight="1" spans="1:26">
      <c r="A878" s="9"/>
      <c r="B878" s="9"/>
      <c r="C878" s="9"/>
      <c r="D878" s="9"/>
      <c r="E878" s="9"/>
      <c r="F878" s="10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ht="48" customHeight="1" spans="1:26">
      <c r="A879" s="9"/>
      <c r="B879" s="9"/>
      <c r="C879" s="9"/>
      <c r="D879" s="9"/>
      <c r="E879" s="9"/>
      <c r="F879" s="10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ht="48" customHeight="1" spans="1:26">
      <c r="A880" s="9"/>
      <c r="B880" s="9"/>
      <c r="C880" s="9"/>
      <c r="D880" s="9"/>
      <c r="E880" s="9"/>
      <c r="F880" s="10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ht="48" customHeight="1" spans="1:26">
      <c r="A881" s="9"/>
      <c r="B881" s="9"/>
      <c r="C881" s="9"/>
      <c r="D881" s="9"/>
      <c r="E881" s="9"/>
      <c r="F881" s="10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ht="48" customHeight="1" spans="1:26">
      <c r="A882" s="9"/>
      <c r="B882" s="9"/>
      <c r="C882" s="9"/>
      <c r="D882" s="9"/>
      <c r="E882" s="9"/>
      <c r="F882" s="10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ht="48" customHeight="1" spans="1:26">
      <c r="A883" s="9"/>
      <c r="B883" s="9"/>
      <c r="C883" s="9"/>
      <c r="D883" s="9"/>
      <c r="E883" s="9"/>
      <c r="F883" s="10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ht="48" customHeight="1" spans="1:26">
      <c r="A884" s="9"/>
      <c r="B884" s="9"/>
      <c r="C884" s="9"/>
      <c r="D884" s="9"/>
      <c r="E884" s="9"/>
      <c r="F884" s="10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ht="48" customHeight="1" spans="1:26">
      <c r="A885" s="9"/>
      <c r="B885" s="9"/>
      <c r="C885" s="9"/>
      <c r="D885" s="9"/>
      <c r="E885" s="9"/>
      <c r="F885" s="10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ht="48" customHeight="1" spans="1:26">
      <c r="A886" s="9"/>
      <c r="B886" s="9"/>
      <c r="C886" s="9"/>
      <c r="D886" s="9"/>
      <c r="E886" s="9"/>
      <c r="F886" s="10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ht="48" customHeight="1" spans="1:26">
      <c r="A887" s="9"/>
      <c r="B887" s="9"/>
      <c r="C887" s="9"/>
      <c r="D887" s="9"/>
      <c r="E887" s="9"/>
      <c r="F887" s="10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ht="48" customHeight="1" spans="1:26">
      <c r="A888" s="9"/>
      <c r="B888" s="9"/>
      <c r="C888" s="9"/>
      <c r="D888" s="9"/>
      <c r="E888" s="9"/>
      <c r="F888" s="10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ht="48" customHeight="1" spans="1:26">
      <c r="A889" s="9"/>
      <c r="B889" s="9"/>
      <c r="C889" s="9"/>
      <c r="D889" s="9"/>
      <c r="E889" s="9"/>
      <c r="F889" s="10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ht="48" customHeight="1" spans="1:26">
      <c r="A890" s="9"/>
      <c r="B890" s="9"/>
      <c r="C890" s="9"/>
      <c r="D890" s="9"/>
      <c r="E890" s="9"/>
      <c r="F890" s="10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ht="48" customHeight="1" spans="1:26">
      <c r="A891" s="9"/>
      <c r="B891" s="9"/>
      <c r="C891" s="9"/>
      <c r="D891" s="9"/>
      <c r="E891" s="9"/>
      <c r="F891" s="10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ht="48" customHeight="1" spans="1:26">
      <c r="A892" s="9"/>
      <c r="B892" s="9"/>
      <c r="C892" s="9"/>
      <c r="D892" s="9"/>
      <c r="E892" s="9"/>
      <c r="F892" s="10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ht="48" customHeight="1" spans="1:26">
      <c r="A893" s="9"/>
      <c r="B893" s="9"/>
      <c r="C893" s="9"/>
      <c r="D893" s="9"/>
      <c r="E893" s="9"/>
      <c r="F893" s="10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ht="48" customHeight="1" spans="1:26">
      <c r="A894" s="9"/>
      <c r="B894" s="9"/>
      <c r="C894" s="9"/>
      <c r="D894" s="9"/>
      <c r="E894" s="9"/>
      <c r="F894" s="10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ht="48" customHeight="1" spans="1:26">
      <c r="A895" s="9"/>
      <c r="B895" s="9"/>
      <c r="C895" s="9"/>
      <c r="D895" s="9"/>
      <c r="E895" s="9"/>
      <c r="F895" s="10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ht="48" customHeight="1" spans="1:26">
      <c r="A896" s="9"/>
      <c r="B896" s="9"/>
      <c r="C896" s="9"/>
      <c r="D896" s="9"/>
      <c r="E896" s="9"/>
      <c r="F896" s="10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ht="48" customHeight="1" spans="1:26">
      <c r="A897" s="9"/>
      <c r="B897" s="9"/>
      <c r="C897" s="9"/>
      <c r="D897" s="9"/>
      <c r="E897" s="9"/>
      <c r="F897" s="10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ht="48" customHeight="1" spans="1:26">
      <c r="A898" s="9"/>
      <c r="B898" s="9"/>
      <c r="C898" s="9"/>
      <c r="D898" s="9"/>
      <c r="E898" s="9"/>
      <c r="F898" s="10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ht="48" customHeight="1" spans="1:26">
      <c r="A899" s="9"/>
      <c r="B899" s="9"/>
      <c r="C899" s="9"/>
      <c r="D899" s="9"/>
      <c r="E899" s="9"/>
      <c r="F899" s="10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ht="48" customHeight="1" spans="1:26">
      <c r="A900" s="9"/>
      <c r="B900" s="9"/>
      <c r="C900" s="9"/>
      <c r="D900" s="9"/>
      <c r="E900" s="9"/>
      <c r="F900" s="10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ht="48" customHeight="1" spans="1:26">
      <c r="A901" s="9"/>
      <c r="B901" s="9"/>
      <c r="C901" s="9"/>
      <c r="D901" s="9"/>
      <c r="E901" s="9"/>
      <c r="F901" s="10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ht="48" customHeight="1" spans="1:26">
      <c r="A902" s="9"/>
      <c r="B902" s="9"/>
      <c r="C902" s="9"/>
      <c r="D902" s="9"/>
      <c r="E902" s="9"/>
      <c r="F902" s="10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ht="48" customHeight="1" spans="1:26">
      <c r="A903" s="9"/>
      <c r="B903" s="9"/>
      <c r="C903" s="9"/>
      <c r="D903" s="9"/>
      <c r="E903" s="9"/>
      <c r="F903" s="10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ht="48" customHeight="1" spans="1:26">
      <c r="A904" s="9"/>
      <c r="B904" s="9"/>
      <c r="C904" s="9"/>
      <c r="D904" s="9"/>
      <c r="E904" s="9"/>
      <c r="F904" s="10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ht="48" customHeight="1" spans="1:26">
      <c r="A905" s="9"/>
      <c r="B905" s="9"/>
      <c r="C905" s="9"/>
      <c r="D905" s="9"/>
      <c r="E905" s="9"/>
      <c r="F905" s="10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ht="48" customHeight="1" spans="1:26">
      <c r="A906" s="9"/>
      <c r="B906" s="9"/>
      <c r="C906" s="9"/>
      <c r="D906" s="9"/>
      <c r="E906" s="9"/>
      <c r="F906" s="10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ht="48" customHeight="1" spans="1:26">
      <c r="A907" s="9"/>
      <c r="B907" s="9"/>
      <c r="C907" s="9"/>
      <c r="D907" s="9"/>
      <c r="E907" s="9"/>
      <c r="F907" s="10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ht="48" customHeight="1" spans="1:26">
      <c r="A908" s="9"/>
      <c r="B908" s="9"/>
      <c r="C908" s="9"/>
      <c r="D908" s="9"/>
      <c r="E908" s="9"/>
      <c r="F908" s="10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ht="48" customHeight="1" spans="1:26">
      <c r="A909" s="9"/>
      <c r="B909" s="9"/>
      <c r="C909" s="9"/>
      <c r="D909" s="9"/>
      <c r="E909" s="9"/>
      <c r="F909" s="10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ht="48" customHeight="1" spans="1:26">
      <c r="A910" s="9"/>
      <c r="B910" s="9"/>
      <c r="C910" s="9"/>
      <c r="D910" s="9"/>
      <c r="E910" s="9"/>
      <c r="F910" s="10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ht="48" customHeight="1" spans="1:26">
      <c r="A911" s="9"/>
      <c r="B911" s="9"/>
      <c r="C911" s="9"/>
      <c r="D911" s="9"/>
      <c r="E911" s="9"/>
      <c r="F911" s="10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ht="48" customHeight="1" spans="1:26">
      <c r="A912" s="9"/>
      <c r="B912" s="9"/>
      <c r="C912" s="9"/>
      <c r="D912" s="9"/>
      <c r="E912" s="9"/>
      <c r="F912" s="10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ht="48" customHeight="1" spans="1:26">
      <c r="A913" s="9"/>
      <c r="B913" s="9"/>
      <c r="C913" s="9"/>
      <c r="D913" s="9"/>
      <c r="E913" s="9"/>
      <c r="F913" s="10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ht="48" customHeight="1" spans="1:26">
      <c r="A914" s="9"/>
      <c r="B914" s="9"/>
      <c r="C914" s="9"/>
      <c r="D914" s="9"/>
      <c r="E914" s="9"/>
      <c r="F914" s="10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ht="48" customHeight="1" spans="1:26">
      <c r="A915" s="9"/>
      <c r="B915" s="9"/>
      <c r="C915" s="9"/>
      <c r="D915" s="9"/>
      <c r="E915" s="9"/>
      <c r="F915" s="10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ht="48" customHeight="1" spans="1:26">
      <c r="A916" s="9"/>
      <c r="B916" s="9"/>
      <c r="C916" s="9"/>
      <c r="D916" s="9"/>
      <c r="E916" s="9"/>
      <c r="F916" s="10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ht="48" customHeight="1" spans="1:26">
      <c r="A917" s="9"/>
      <c r="B917" s="9"/>
      <c r="C917" s="9"/>
      <c r="D917" s="9"/>
      <c r="E917" s="9"/>
      <c r="F917" s="10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ht="48" customHeight="1" spans="1:26">
      <c r="A918" s="9"/>
      <c r="B918" s="9"/>
      <c r="C918" s="9"/>
      <c r="D918" s="9"/>
      <c r="E918" s="9"/>
      <c r="F918" s="10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ht="48" customHeight="1" spans="1:26">
      <c r="A919" s="9"/>
      <c r="B919" s="9"/>
      <c r="C919" s="9"/>
      <c r="D919" s="9"/>
      <c r="E919" s="9"/>
      <c r="F919" s="10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ht="48" customHeight="1" spans="1:26">
      <c r="A920" s="9"/>
      <c r="B920" s="9"/>
      <c r="C920" s="9"/>
      <c r="D920" s="9"/>
      <c r="E920" s="9"/>
      <c r="F920" s="10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ht="48" customHeight="1" spans="1:26">
      <c r="A921" s="9"/>
      <c r="B921" s="9"/>
      <c r="C921" s="9"/>
      <c r="D921" s="9"/>
      <c r="E921" s="9"/>
      <c r="F921" s="10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ht="48" customHeight="1" spans="1:26">
      <c r="A922" s="9"/>
      <c r="B922" s="9"/>
      <c r="C922" s="9"/>
      <c r="D922" s="9"/>
      <c r="E922" s="9"/>
      <c r="F922" s="10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ht="48" customHeight="1" spans="1:26">
      <c r="A923" s="9"/>
      <c r="B923" s="9"/>
      <c r="C923" s="9"/>
      <c r="D923" s="9"/>
      <c r="E923" s="9"/>
      <c r="F923" s="10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ht="48" customHeight="1" spans="1:26">
      <c r="A924" s="9"/>
      <c r="B924" s="9"/>
      <c r="C924" s="9"/>
      <c r="D924" s="9"/>
      <c r="E924" s="9"/>
      <c r="F924" s="10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ht="48" customHeight="1" spans="1:26">
      <c r="A925" s="9"/>
      <c r="B925" s="9"/>
      <c r="C925" s="9"/>
      <c r="D925" s="9"/>
      <c r="E925" s="9"/>
      <c r="F925" s="10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ht="48" customHeight="1" spans="1:26">
      <c r="A926" s="9"/>
      <c r="B926" s="9"/>
      <c r="C926" s="9"/>
      <c r="D926" s="9"/>
      <c r="E926" s="9"/>
      <c r="F926" s="10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ht="48" customHeight="1" spans="1:26">
      <c r="A927" s="9"/>
      <c r="B927" s="9"/>
      <c r="C927" s="9"/>
      <c r="D927" s="9"/>
      <c r="E927" s="9"/>
      <c r="F927" s="10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ht="48" customHeight="1" spans="1:26">
      <c r="A928" s="9"/>
      <c r="B928" s="9"/>
      <c r="C928" s="9"/>
      <c r="D928" s="9"/>
      <c r="E928" s="9"/>
      <c r="F928" s="10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ht="48" customHeight="1" spans="1:26">
      <c r="A929" s="9"/>
      <c r="B929" s="9"/>
      <c r="C929" s="9"/>
      <c r="D929" s="9"/>
      <c r="E929" s="9"/>
      <c r="F929" s="10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ht="48" customHeight="1" spans="1:26">
      <c r="A930" s="9"/>
      <c r="B930" s="9"/>
      <c r="C930" s="9"/>
      <c r="D930" s="9"/>
      <c r="E930" s="9"/>
      <c r="F930" s="10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ht="48" customHeight="1" spans="1:26">
      <c r="A931" s="9"/>
      <c r="B931" s="9"/>
      <c r="C931" s="9"/>
      <c r="D931" s="9"/>
      <c r="E931" s="9"/>
      <c r="F931" s="10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ht="48" customHeight="1" spans="1:26">
      <c r="A932" s="9"/>
      <c r="B932" s="9"/>
      <c r="C932" s="9"/>
      <c r="D932" s="9"/>
      <c r="E932" s="9"/>
      <c r="F932" s="10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ht="48" customHeight="1" spans="1:26">
      <c r="A933" s="9"/>
      <c r="B933" s="9"/>
      <c r="C933" s="9"/>
      <c r="D933" s="9"/>
      <c r="E933" s="9"/>
      <c r="F933" s="10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ht="48" customHeight="1" spans="1:26">
      <c r="A934" s="9"/>
      <c r="B934" s="9"/>
      <c r="C934" s="9"/>
      <c r="D934" s="9"/>
      <c r="E934" s="9"/>
      <c r="F934" s="10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ht="48" customHeight="1" spans="1:26">
      <c r="A935" s="9"/>
      <c r="B935" s="9"/>
      <c r="C935" s="9"/>
      <c r="D935" s="9"/>
      <c r="E935" s="9"/>
      <c r="F935" s="10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ht="48" customHeight="1" spans="1:26">
      <c r="A936" s="9"/>
      <c r="B936" s="9"/>
      <c r="C936" s="9"/>
      <c r="D936" s="9"/>
      <c r="E936" s="9"/>
      <c r="F936" s="10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ht="48" customHeight="1" spans="1:26">
      <c r="A937" s="9"/>
      <c r="B937" s="9"/>
      <c r="C937" s="9"/>
      <c r="D937" s="9"/>
      <c r="E937" s="9"/>
      <c r="F937" s="10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ht="48" customHeight="1" spans="1:26">
      <c r="A938" s="9"/>
      <c r="B938" s="9"/>
      <c r="C938" s="9"/>
      <c r="D938" s="9"/>
      <c r="E938" s="9"/>
      <c r="F938" s="10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ht="48" customHeight="1" spans="1:26">
      <c r="A939" s="9"/>
      <c r="B939" s="9"/>
      <c r="C939" s="9"/>
      <c r="D939" s="9"/>
      <c r="E939" s="9"/>
      <c r="F939" s="10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ht="48" customHeight="1" spans="1:26">
      <c r="A940" s="9"/>
      <c r="B940" s="9"/>
      <c r="C940" s="9"/>
      <c r="D940" s="9"/>
      <c r="E940" s="9"/>
      <c r="F940" s="10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ht="48" customHeight="1" spans="1:26">
      <c r="A941" s="9"/>
      <c r="B941" s="9"/>
      <c r="C941" s="9"/>
      <c r="D941" s="9"/>
      <c r="E941" s="9"/>
      <c r="F941" s="10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ht="48" customHeight="1" spans="1:26">
      <c r="A942" s="9"/>
      <c r="B942" s="9"/>
      <c r="C942" s="9"/>
      <c r="D942" s="9"/>
      <c r="E942" s="9"/>
      <c r="F942" s="10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ht="48" customHeight="1" spans="1:26">
      <c r="A943" s="9"/>
      <c r="B943" s="9"/>
      <c r="C943" s="9"/>
      <c r="D943" s="9"/>
      <c r="E943" s="9"/>
      <c r="F943" s="10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ht="48" customHeight="1" spans="1:26">
      <c r="A944" s="9"/>
      <c r="B944" s="9"/>
      <c r="C944" s="9"/>
      <c r="D944" s="9"/>
      <c r="E944" s="9"/>
      <c r="F944" s="10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ht="48" customHeight="1" spans="1:26">
      <c r="A945" s="9"/>
      <c r="B945" s="9"/>
      <c r="C945" s="9"/>
      <c r="D945" s="9"/>
      <c r="E945" s="9"/>
      <c r="F945" s="10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ht="48" customHeight="1" spans="1:26">
      <c r="A946" s="9"/>
      <c r="B946" s="9"/>
      <c r="C946" s="9"/>
      <c r="D946" s="9"/>
      <c r="E946" s="9"/>
      <c r="F946" s="10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ht="48" customHeight="1" spans="1:26">
      <c r="A947" s="9"/>
      <c r="B947" s="9"/>
      <c r="C947" s="9"/>
      <c r="D947" s="9"/>
      <c r="E947" s="9"/>
      <c r="F947" s="10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ht="48" customHeight="1" spans="1:26">
      <c r="A948" s="9"/>
      <c r="B948" s="9"/>
      <c r="C948" s="9"/>
      <c r="D948" s="9"/>
      <c r="E948" s="9"/>
      <c r="F948" s="10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ht="48" customHeight="1" spans="1:26">
      <c r="A949" s="9"/>
      <c r="B949" s="9"/>
      <c r="C949" s="9"/>
      <c r="D949" s="9"/>
      <c r="E949" s="9"/>
      <c r="F949" s="10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ht="48" customHeight="1" spans="1:26">
      <c r="A950" s="9"/>
      <c r="B950" s="9"/>
      <c r="C950" s="9"/>
      <c r="D950" s="9"/>
      <c r="E950" s="9"/>
      <c r="F950" s="10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ht="48" customHeight="1" spans="1:26">
      <c r="A951" s="9"/>
      <c r="B951" s="9"/>
      <c r="C951" s="9"/>
      <c r="D951" s="9"/>
      <c r="E951" s="9"/>
      <c r="F951" s="10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ht="48" customHeight="1" spans="1:26">
      <c r="A952" s="9"/>
      <c r="B952" s="9"/>
      <c r="C952" s="9"/>
      <c r="D952" s="9"/>
      <c r="E952" s="9"/>
      <c r="F952" s="10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ht="48" customHeight="1" spans="1:26">
      <c r="A953" s="9"/>
      <c r="B953" s="9"/>
      <c r="C953" s="9"/>
      <c r="D953" s="9"/>
      <c r="E953" s="9"/>
      <c r="F953" s="10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ht="48" customHeight="1" spans="1:26">
      <c r="A954" s="9"/>
      <c r="B954" s="9"/>
      <c r="C954" s="9"/>
      <c r="D954" s="9"/>
      <c r="E954" s="9"/>
      <c r="F954" s="10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ht="48" customHeight="1" spans="1:26">
      <c r="A955" s="9"/>
      <c r="B955" s="9"/>
      <c r="C955" s="9"/>
      <c r="D955" s="9"/>
      <c r="E955" s="9"/>
      <c r="F955" s="10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ht="48" customHeight="1" spans="1:26">
      <c r="A956" s="9"/>
      <c r="B956" s="9"/>
      <c r="C956" s="9"/>
      <c r="D956" s="9"/>
      <c r="E956" s="9"/>
      <c r="F956" s="10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ht="48" customHeight="1" spans="1:26">
      <c r="A957" s="9"/>
      <c r="B957" s="9"/>
      <c r="C957" s="9"/>
      <c r="D957" s="9"/>
      <c r="E957" s="9"/>
      <c r="F957" s="10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ht="48" customHeight="1" spans="1:26">
      <c r="A958" s="9"/>
      <c r="B958" s="9"/>
      <c r="C958" s="9"/>
      <c r="D958" s="9"/>
      <c r="E958" s="9"/>
      <c r="F958" s="10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ht="48" customHeight="1" spans="1:26">
      <c r="A959" s="9"/>
      <c r="B959" s="9"/>
      <c r="C959" s="9"/>
      <c r="D959" s="9"/>
      <c r="E959" s="9"/>
      <c r="F959" s="10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ht="48" customHeight="1" spans="1:26">
      <c r="A960" s="9"/>
      <c r="B960" s="9"/>
      <c r="C960" s="9"/>
      <c r="D960" s="9"/>
      <c r="E960" s="9"/>
      <c r="F960" s="10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ht="48" customHeight="1" spans="1:26">
      <c r="A961" s="9"/>
      <c r="B961" s="9"/>
      <c r="C961" s="9"/>
      <c r="D961" s="9"/>
      <c r="E961" s="9"/>
      <c r="F961" s="10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ht="48" customHeight="1" spans="1:26">
      <c r="A962" s="9"/>
      <c r="B962" s="9"/>
      <c r="C962" s="9"/>
      <c r="D962" s="9"/>
      <c r="E962" s="9"/>
      <c r="F962" s="10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ht="48" customHeight="1" spans="1:26">
      <c r="A963" s="9"/>
      <c r="B963" s="9"/>
      <c r="C963" s="9"/>
      <c r="D963" s="9"/>
      <c r="E963" s="9"/>
      <c r="F963" s="10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ht="48" customHeight="1" spans="1:26">
      <c r="A964" s="9"/>
      <c r="B964" s="9"/>
      <c r="C964" s="9"/>
      <c r="D964" s="9"/>
      <c r="E964" s="9"/>
      <c r="F964" s="10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ht="48" customHeight="1" spans="1:26">
      <c r="A965" s="9"/>
      <c r="B965" s="9"/>
      <c r="C965" s="9"/>
      <c r="D965" s="9"/>
      <c r="E965" s="9"/>
      <c r="F965" s="10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ht="48" customHeight="1" spans="1:26">
      <c r="A966" s="9"/>
      <c r="B966" s="9"/>
      <c r="C966" s="9"/>
      <c r="D966" s="9"/>
      <c r="E966" s="9"/>
      <c r="F966" s="10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ht="48" customHeight="1" spans="1:26">
      <c r="A967" s="9"/>
      <c r="B967" s="9"/>
      <c r="C967" s="9"/>
      <c r="D967" s="9"/>
      <c r="E967" s="9"/>
      <c r="F967" s="10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ht="48" customHeight="1" spans="1:26">
      <c r="A968" s="9"/>
      <c r="B968" s="9"/>
      <c r="C968" s="9"/>
      <c r="D968" s="9"/>
      <c r="E968" s="9"/>
      <c r="F968" s="10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ht="48" customHeight="1" spans="1:26">
      <c r="A969" s="9"/>
      <c r="B969" s="9"/>
      <c r="C969" s="9"/>
      <c r="D969" s="9"/>
      <c r="E969" s="9"/>
      <c r="F969" s="10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ht="48" customHeight="1" spans="1:26">
      <c r="A970" s="9"/>
      <c r="B970" s="9"/>
      <c r="C970" s="9"/>
      <c r="D970" s="9"/>
      <c r="E970" s="9"/>
      <c r="F970" s="10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ht="48" customHeight="1" spans="1:26">
      <c r="A971" s="9"/>
      <c r="B971" s="9"/>
      <c r="C971" s="9"/>
      <c r="D971" s="9"/>
      <c r="E971" s="9"/>
      <c r="F971" s="10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ht="48" customHeight="1" spans="1:26">
      <c r="A972" s="9"/>
      <c r="B972" s="9"/>
      <c r="C972" s="9"/>
      <c r="D972" s="9"/>
      <c r="E972" s="9"/>
      <c r="F972" s="10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ht="48" customHeight="1" spans="1:26">
      <c r="A973" s="9"/>
      <c r="B973" s="9"/>
      <c r="C973" s="9"/>
      <c r="D973" s="9"/>
      <c r="E973" s="9"/>
      <c r="F973" s="10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ht="48" customHeight="1" spans="1:26">
      <c r="A974" s="9"/>
      <c r="B974" s="9"/>
      <c r="C974" s="9"/>
      <c r="D974" s="9"/>
      <c r="E974" s="9"/>
      <c r="F974" s="10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ht="48" customHeight="1" spans="1:26">
      <c r="A975" s="9"/>
      <c r="B975" s="9"/>
      <c r="C975" s="9"/>
      <c r="D975" s="9"/>
      <c r="E975" s="9"/>
      <c r="F975" s="10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ht="48" customHeight="1" spans="1:26">
      <c r="A976" s="9"/>
      <c r="B976" s="9"/>
      <c r="C976" s="9"/>
      <c r="D976" s="9"/>
      <c r="E976" s="9"/>
      <c r="F976" s="10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ht="48" customHeight="1" spans="1:26">
      <c r="A977" s="9"/>
      <c r="B977" s="9"/>
      <c r="C977" s="9"/>
      <c r="D977" s="9"/>
      <c r="E977" s="9"/>
      <c r="F977" s="10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ht="48" customHeight="1" spans="1:26">
      <c r="A978" s="9"/>
      <c r="B978" s="9"/>
      <c r="C978" s="9"/>
      <c r="D978" s="9"/>
      <c r="E978" s="9"/>
      <c r="F978" s="10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ht="48" customHeight="1" spans="1:26">
      <c r="A979" s="9"/>
      <c r="B979" s="9"/>
      <c r="C979" s="9"/>
      <c r="D979" s="9"/>
      <c r="E979" s="9"/>
      <c r="F979" s="10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ht="48" customHeight="1" spans="1:26">
      <c r="A980" s="9"/>
      <c r="B980" s="9"/>
      <c r="C980" s="9"/>
      <c r="D980" s="9"/>
      <c r="E980" s="9"/>
      <c r="F980" s="10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ht="48" customHeight="1" spans="1:26">
      <c r="A981" s="9"/>
      <c r="B981" s="9"/>
      <c r="C981" s="9"/>
      <c r="D981" s="9"/>
      <c r="E981" s="9"/>
      <c r="F981" s="10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ht="48" customHeight="1" spans="1:26">
      <c r="A982" s="9"/>
      <c r="B982" s="9"/>
      <c r="C982" s="9"/>
      <c r="D982" s="9"/>
      <c r="E982" s="9"/>
      <c r="F982" s="10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ht="48" customHeight="1" spans="1:26">
      <c r="A983" s="9"/>
      <c r="B983" s="9"/>
      <c r="C983" s="9"/>
      <c r="D983" s="9"/>
      <c r="E983" s="9"/>
      <c r="F983" s="10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ht="48" customHeight="1" spans="1:26">
      <c r="A984" s="9"/>
      <c r="B984" s="9"/>
      <c r="C984" s="9"/>
      <c r="D984" s="9"/>
      <c r="E984" s="9"/>
      <c r="F984" s="10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ht="48" customHeight="1" spans="1:26">
      <c r="A985" s="9"/>
      <c r="B985" s="9"/>
      <c r="C985" s="9"/>
      <c r="D985" s="9"/>
      <c r="E985" s="9"/>
      <c r="F985" s="10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ht="48" customHeight="1" spans="1:26">
      <c r="A986" s="9"/>
      <c r="B986" s="9"/>
      <c r="C986" s="9"/>
      <c r="D986" s="9"/>
      <c r="E986" s="9"/>
      <c r="F986" s="10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ht="48" customHeight="1" spans="1:26">
      <c r="A987" s="9"/>
      <c r="B987" s="9"/>
      <c r="C987" s="9"/>
      <c r="D987" s="9"/>
      <c r="E987" s="9"/>
      <c r="F987" s="10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ht="48" customHeight="1" spans="1:26">
      <c r="A988" s="9"/>
      <c r="B988" s="9"/>
      <c r="C988" s="9"/>
      <c r="D988" s="9"/>
      <c r="E988" s="9"/>
      <c r="F988" s="10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ht="48" customHeight="1" spans="1:26">
      <c r="A989" s="9"/>
      <c r="B989" s="9"/>
      <c r="C989" s="9"/>
      <c r="D989" s="9"/>
      <c r="E989" s="9"/>
      <c r="F989" s="10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ht="48" customHeight="1" spans="1:26">
      <c r="A990" s="9"/>
      <c r="B990" s="9"/>
      <c r="C990" s="9"/>
      <c r="D990" s="9"/>
      <c r="E990" s="9"/>
      <c r="F990" s="10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ht="48" customHeight="1" spans="1:26">
      <c r="A991" s="9"/>
      <c r="B991" s="9"/>
      <c r="C991" s="9"/>
      <c r="D991" s="9"/>
      <c r="E991" s="9"/>
      <c r="F991" s="10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ht="48" customHeight="1" spans="1:26">
      <c r="A992" s="9"/>
      <c r="B992" s="9"/>
      <c r="C992" s="9"/>
      <c r="D992" s="9"/>
      <c r="E992" s="9"/>
      <c r="F992" s="10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ht="48" customHeight="1" spans="1:26">
      <c r="A993" s="9"/>
      <c r="B993" s="9"/>
      <c r="C993" s="9"/>
      <c r="D993" s="9"/>
      <c r="E993" s="9"/>
      <c r="F993" s="10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ht="48" customHeight="1" spans="1:26">
      <c r="A994" s="9"/>
      <c r="B994" s="9"/>
      <c r="C994" s="9"/>
      <c r="D994" s="9"/>
      <c r="E994" s="9"/>
      <c r="F994" s="10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ht="48" customHeight="1" spans="1:26">
      <c r="A995" s="9"/>
      <c r="B995" s="9"/>
      <c r="C995" s="9"/>
      <c r="D995" s="9"/>
      <c r="E995" s="9"/>
      <c r="F995" s="10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ht="48" customHeight="1" spans="1:26">
      <c r="A996" s="9"/>
      <c r="B996" s="9"/>
      <c r="C996" s="9"/>
      <c r="D996" s="9"/>
      <c r="E996" s="9"/>
      <c r="F996" s="10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ht="48" customHeight="1" spans="1:26">
      <c r="A997" s="9"/>
      <c r="B997" s="9"/>
      <c r="C997" s="9"/>
      <c r="D997" s="9"/>
      <c r="E997" s="9"/>
      <c r="F997" s="10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ht="48" customHeight="1" spans="1:26">
      <c r="A998" s="9"/>
      <c r="B998" s="9"/>
      <c r="C998" s="9"/>
      <c r="D998" s="9"/>
      <c r="E998" s="9"/>
      <c r="F998" s="10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ht="48" customHeight="1" spans="1:26">
      <c r="A999" s="9"/>
      <c r="B999" s="9"/>
      <c r="C999" s="9"/>
      <c r="D999" s="9"/>
      <c r="E999" s="9"/>
      <c r="F999" s="10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ht="48" customHeight="1" spans="1:26">
      <c r="A1000" s="9"/>
      <c r="B1000" s="9"/>
      <c r="C1000" s="9"/>
      <c r="D1000" s="9"/>
      <c r="E1000" s="9"/>
      <c r="F1000" s="10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ve English&quot;)"/>
    <hyperlink ref="F4" r:id="rId3" display="=IFERROR(@__xludf.DUMMYFUNCTION(&quot;&quot;&quot;COMPUTED_VALUE&quot;&quot;&quot;),&quot;English for Engineers&quot;)"/>
    <hyperlink ref="F5" r:id="rId4" display="=IFERROR(@__xludf.DUMMYFUNCTION(&quot;&quot;&quot;COMPUTED_VALUE&quot;&quot;&quot;),&quot;Technical English&quot;)"/>
    <hyperlink ref="F6" r:id="rId5" display="=IFERROR(@__xludf.DUMMYFUNCTION(&quot;&quot;&quot;COMPUTED_VALUE&quot;&quot;&quot;),&quot;Technical Writing and Presentation&quot;)"/>
    <hyperlink ref="F7" r:id="rId6" display="=IFERROR(@__xludf.DUMMYFUNCTION(&quot;&quot;&quot;COMPUTED_VALUE&quot;&quot;&quot;),&quot;Public Speaking&quot;)"/>
    <hyperlink ref="F8" r:id="rId7" display="=IFERROR(@__xludf.DUMMYFUNCTION(&quot;&quot;&quot;COMPUTED_VALUE&quot;&quot;&quot;),&quot;Principles of Management&quot;)"/>
    <hyperlink ref="F9" r:id="rId8" display="=IFERROR(@__xludf.DUMMYFUNCTION(&quot;&quot;&quot;COMPUTED_VALUE&quot;&quot;&quot;),&quot;Total Quality Management&quot;)"/>
    <hyperlink ref="F10" r:id="rId9" display="=IFERROR(@__xludf.DUMMYFUNCTION(&quot;&quot;&quot;COMPUTED_VALUE&quot;&quot;&quot;),&quot;தமிழர் மரபு/ Heritage of Tamils&quot;)"/>
    <hyperlink ref="F11" r:id="rId10" display="=IFERROR(@__xludf.DUMMYFUNCTION(&quot;&quot;&quot;COMPUTED_VALUE&quot;&quot;&quot;),&quot;தமிழரும் தொழில்நுட்பமும்/ Tamils and Technology&quot;)"/>
    <hyperlink ref="F12" r:id="rId11" display="=IFERROR(@__xludf.DUMMYFUNCTION(&quot;&quot;&quot;COMPUTED_VALUE&quot;&quot;&quot;),&quot;Calculus and Matrix Algebra&quot;)"/>
    <hyperlink ref="F13" r:id="rId12" display="=IFERROR(@__xludf.DUMMYFUNCTION(&quot;&quot;&quot;COMPUTED_VALUE&quot;&quot;&quot;),&quot;Statistics and Numerical Methods&quot;)"/>
    <hyperlink ref="F14" r:id="rId13" display="=IFERROR(@__xludf.DUMMYFUNCTION(&quot;&quot;&quot;COMPUTED_VALUE&quot;&quot;&quot;),&quot;Differential Equations and Laplace Transforms&quot;)"/>
    <hyperlink ref="F15" r:id="rId14" display="=IFERROR(@__xludf.DUMMYFUNCTION(&quot;&quot;&quot;COMPUTED_VALUE&quot;&quot;&quot;),&quot;Transforms and Differential Equations&quot;)"/>
    <hyperlink ref="F16" r:id="rId15" display="=IFERROR(@__xludf.DUMMYFUNCTION(&quot;&quot;&quot;COMPUTED_VALUE&quot;&quot;&quot;),&quot;Basics of Engineering Physics&quot;)"/>
    <hyperlink ref="F17" r:id="rId16" display="=IFERROR(@__xludf.DUMMYFUNCTION(&quot;&quot;&quot;COMPUTED_VALUE&quot;&quot;&quot;),&quot;Physics for Civil Engineering&quot;)"/>
    <hyperlink ref="F18" r:id="rId17" display="=IFERROR(@__xludf.DUMMYFUNCTION(&quot;&quot;&quot;COMPUTED_VALUE&quot;&quot;&quot;),&quot;Chemistry for Civil Engineering&quot;)"/>
    <hyperlink ref="F19" r:id="rId18" display="=IFERROR(@__xludf.DUMMYFUNCTION(&quot;&quot;&quot;COMPUTED_VALUE&quot;&quot;&quot;),&quot;Introduction to Ecology&quot;)"/>
    <hyperlink ref="F20" r:id="rId19" display="=IFERROR(@__xludf.DUMMYFUNCTION(&quot;&quot;&quot;COMPUTED_VALUE&quot;&quot;&quot;),&quot;Problem Solving and Python Programming&quot;)"/>
    <hyperlink ref="F21" r:id="rId20" display="=IFERROR(@__xludf.DUMMYFUNCTION(&quot;&quot;&quot;COMPUTED_VALUE&quot;&quot;&quot;),&quot;Basic Electrical Electronics and Instrumentation Engineering&quot;)"/>
    <hyperlink ref="F22" r:id="rId21" display="=IFERROR(@__xludf.DUMMYFUNCTION(&quot;&quot;&quot;COMPUTED_VALUE&quot;&quot;&quot;),&quot;Engineering Drawing and Modeling&quot;)"/>
    <hyperlink ref="F23" r:id="rId22" display="=IFERROR(@__xludf.DUMMYFUNCTION(&quot;&quot;&quot;COMPUTED_VALUE&quot;&quot;&quot;),&quot;Applied Mechanics&quot;)"/>
    <hyperlink ref="F24" r:id="rId23" display="=IFERROR(@__xludf.DUMMYFUNCTION(&quot;&quot;&quot;COMPUTED_VALUE&quot;&quot;&quot;),&quot;Engineering Mechanics&quot;)"/>
    <hyperlink ref="F25" r:id="rId24" display="=IFERROR(@__xludf.DUMMYFUNCTION(&quot;&quot;&quot;COMPUTED_VALUE&quot;&quot;&quot;),&quot;Fluid Mechanics&quot;)"/>
    <hyperlink ref="F26" r:id="rId25" display="=IFERROR(@__xludf.DUMMYFUNCTION(&quot;&quot;&quot;COMPUTED_VALUE&quot;&quot;&quot;),&quot;Building Science and Technology&quot;)"/>
    <hyperlink ref="F27" r:id="rId26" display="=IFERROR(@__xludf.DUMMYFUNCTION(&quot;&quot;&quot;COMPUTED_VALUE&quot;&quot;&quot;),&quot;Engineering Geology&quot;)"/>
    <hyperlink ref="F28" r:id="rId27" display="=IFERROR(@__xludf.DUMMYFUNCTION(&quot;&quot;&quot;COMPUTED_VALUE&quot;&quot;&quot;),&quot;Mechanics of Materials&quot;)"/>
    <hyperlink ref="F29" r:id="rId28" display="=IFERROR(@__xludf.DUMMYFUNCTION(&quot;&quot;&quot;COMPUTED_VALUE&quot;&quot;&quot;),&quot;Surveying&quot;)"/>
    <hyperlink ref="F30" r:id="rId29" display="=IFERROR(@__xludf.DUMMYFUNCTION(&quot;&quot;&quot;COMPUTED_VALUE&quot;&quot;&quot;),&quot;Soil Mechanics&quot;)"/>
    <hyperlink ref="F31" r:id="rId30" display="=IFERROR(@__xludf.DUMMYFUNCTION(&quot;&quot;&quot;COMPUTED_VALUE&quot;&quot;&quot;),&quot;Applied Hydraulic Engineering&quot;)"/>
    <hyperlink ref="F32" r:id="rId31" display="=IFERROR(@__xludf.DUMMYFUNCTION(&quot;&quot;&quot;COMPUTED_VALUE&quot;&quot;&quot;),&quot;Concrete Technology&quot;)"/>
    <hyperlink ref="F33" r:id="rId32" display="=IFERROR(@__xludf.DUMMYFUNCTION(&quot;&quot;&quot;COMPUTED_VALUE&quot;&quot;&quot;),&quot;Structural Analysis&quot;)"/>
    <hyperlink ref="F34" r:id="rId33" display="=IFERROR(@__xludf.DUMMYFUNCTION(&quot;&quot;&quot;COMPUTED_VALUE&quot;&quot;&quot;),&quot;Transportation Engineering&quot;)"/>
    <hyperlink ref="F35" r:id="rId34" display="=IFERROR(@__xludf.DUMMYFUNCTION(&quot;&quot;&quot;COMPUTED_VALUE&quot;&quot;&quot;),&quot;Environmental Engineering I&quot;)"/>
    <hyperlink ref="F36" r:id="rId35" display="=IFERROR(@__xludf.DUMMYFUNCTION(&quot;&quot;&quot;COMPUTED_VALUE&quot;&quot;&quot;),&quot;Environmental Engineering II&quot;)"/>
    <hyperlink ref="F37" r:id="rId36" display="=IFERROR(@__xludf.DUMMYFUNCTION(&quot;&quot;&quot;COMPUTED_VALUE&quot;&quot;&quot;),&quot;Environmental Engineering&quot;)"/>
    <hyperlink ref="F38" r:id="rId37" display="=IFERROR(@__xludf.DUMMYFUNCTION(&quot;&quot;&quot;COMPUTED_VALUE&quot;&quot;&quot;),&quot;Water and Wastewater Analysis Laboratory&quot;)"/>
    <hyperlink ref="F39" r:id="rId38" display="=IFERROR(@__xludf.DUMMYFUNCTION(&quot;&quot;&quot;COMPUTED_VALUE&quot;&quot;&quot;),&quot;Foundation Engineering&quot;)"/>
    <hyperlink ref="F40" r:id="rId39" display="=IFERROR(@__xludf.DUMMYFUNCTION(&quot;&quot;&quot;COMPUTED_VALUE&quot;&quot;&quot;),&quot;Water Resources Engineering&quot;)"/>
    <hyperlink ref="F41" r:id="rId40" display="=IFERROR(@__xludf.DUMMYFUNCTION(&quot;&quot;&quot;COMPUTED_VALUE&quot;&quot;&quot;),&quot;Design of Reinforced Concrete Elements&quot;)"/>
    <hyperlink ref="F42" r:id="rId41" display="=IFERROR(@__xludf.DUMMYFUNCTION(&quot;&quot;&quot;COMPUTED_VALUE&quot;&quot;&quot;),&quot;Survey Camp&quot;)"/>
    <hyperlink ref="F43" r:id="rId42" display="=IFERROR(@__xludf.DUMMYFUNCTION(&quot;&quot;&quot;COMPUTED_VALUE&quot;&quot;&quot;),&quot;Advanced Mechanics of Materials&quot;)"/>
    <hyperlink ref="F44" r:id="rId43" display="=IFERROR(@__xludf.DUMMYFUNCTION(&quot;&quot;&quot;COMPUTED_VALUE&quot;&quot;&quot;),&quot;Design of Steel Structures&quot;)"/>
    <hyperlink ref="F45" r:id="rId44" display="=IFERROR(@__xludf.DUMMYFUNCTION(&quot;&quot;&quot;COMPUTED_VALUE&quot;&quot;&quot;),&quot;Estimation, Costing and Valuation&quot;)"/>
    <hyperlink ref="F46" r:id="rId45" display="=IFERROR(@__xludf.DUMMYFUNCTION(&quot;&quot;&quot;COMPUTED_VALUE&quot;&quot;&quot;),&quot;Computer Aided Building Drawing&quot;)"/>
    <hyperlink ref="F47" r:id="rId46" display="=IFERROR(@__xludf.DUMMYFUNCTION(&quot;&quot;&quot;COMPUTED_VALUE&quot;&quot;&quot;),&quot;Building Information and  Modeling&quot;)"/>
    <hyperlink ref="F48" r:id="rId47" display="=IFERROR(@__xludf.DUMMYFUNCTION(&quot;&quot;&quot;COMPUTED_VALUE&quot;&quot;&quot;),&quot;Advanced Structural Analysis&quot;)"/>
    <hyperlink ref="F49" r:id="rId48" display="=IFERROR(@__xludf.DUMMYFUNCTION(&quot;&quot;&quot;COMPUTED_VALUE&quot;&quot;&quot;),&quot;Prestressed Concrete Structures&quot;)"/>
    <hyperlink ref="F50" r:id="rId49" display="=IFERROR(@__xludf.DUMMYFUNCTION(&quot;&quot;&quot;COMPUTED_VALUE&quot;&quot;&quot;),&quot;Design Studio and Detailing&quot;)"/>
    <hyperlink ref="F51" r:id="rId50" display="=IFERROR(@__xludf.DUMMYFUNCTION(&quot;&quot;&quot;COMPUTED_VALUE&quot;&quot;&quot;),&quot;Design of Tall Buildings&quot;)"/>
    <hyperlink ref="F52" r:id="rId51" display="=IFERROR(@__xludf.DUMMYFUNCTION(&quot;&quot;&quot;COMPUTED_VALUE&quot;&quot;&quot;),&quot;Industrial Structures&quot;)"/>
    <hyperlink ref="F53" r:id="rId52" display="=IFERROR(@__xludf.DUMMYFUNCTION(&quot;&quot;&quot;COMPUTED_VALUE&quot;&quot;&quot;),&quot;Irrigation Engineering and Drawing&quot;)"/>
    <hyperlink ref="F54" r:id="rId53" display="=IFERROR(@__xludf.DUMMYFUNCTION(&quot;&quot;&quot;COMPUTED_VALUE&quot;&quot;&quot;),&quot;Groundwater Engineering&quot;)"/>
    <hyperlink ref="F55" r:id="rId54" display="=IFERROR(@__xludf.DUMMYFUNCTION(&quot;&quot;&quot;COMPUTED_VALUE&quot;&quot;&quot;),&quot;Coastal Engineering&quot;)"/>
    <hyperlink ref="F56" r:id="rId55" display="=IFERROR(@__xludf.DUMMYFUNCTION(&quot;&quot;&quot;COMPUTED_VALUE&quot;&quot;&quot;),&quot;Integrated Water Resources Management&quot;)"/>
    <hyperlink ref="F57" r:id="rId56" display="=IFERROR(@__xludf.DUMMYFUNCTION(&quot;&quot;&quot;COMPUTED_VALUE&quot;&quot;&quot;),&quot;Water Resources Systems&quot;)"/>
    <hyperlink ref="F58" r:id="rId57" display="=IFERROR(@__xludf.DUMMYFUNCTION(&quot;&quot;&quot;COMPUTED_VALUE&quot;&quot;&quot;),&quot;Geoinformatics Applications&quot;)"/>
    <hyperlink ref="F59" r:id="rId58" display="=IFERROR(@__xludf.DUMMYFUNCTION(&quot;&quot;&quot;COMPUTED_VALUE&quot;&quot;&quot;),&quot;Geographical Information System&quot;)"/>
    <hyperlink ref="F60" r:id="rId59" display="=IFERROR(@__xludf.DUMMYFUNCTION(&quot;&quot;&quot;COMPUTED_VALUE&quot;&quot;&quot;),&quot;Advanced Surveying&quot;)"/>
    <hyperlink ref="F61" r:id="rId60" display="=IFERROR(@__xludf.DUMMYFUNCTION(&quot;&quot;&quot;COMPUTED_VALUE&quot;&quot;&quot;),&quot;Digital Cadastre&quot;)"/>
    <hyperlink ref="F62" r:id="rId61" display="=IFERROR(@__xludf.DUMMYFUNCTION(&quot;&quot;&quot;COMPUTED_VALUE&quot;&quot;&quot;),&quot;Ground Improvement Techniques&quot;)"/>
    <hyperlink ref="F63" r:id="rId62" display="=IFERROR(@__xludf.DUMMYFUNCTION(&quot;&quot;&quot;COMPUTED_VALUE&quot;&quot;&quot;),&quot;Advanced Foundation Engineering&quot;)"/>
    <hyperlink ref="F64" r:id="rId63" display="=IFERROR(@__xludf.DUMMYFUNCTION(&quot;&quot;&quot;COMPUTED_VALUE&quot;&quot;&quot;),&quot;Municipal Solid Waste Management&quot;)"/>
    <hyperlink ref="F65" r:id="rId64" display="=IFERROR(@__xludf.DUMMYFUNCTION(&quot;&quot;&quot;COMPUTED_VALUE&quot;&quot;&quot;),&quot;Hazardous Waste Management&quot;)"/>
    <hyperlink ref="F66" r:id="rId65" display="=IFERROR(@__xludf.DUMMYFUNCTION(&quot;&quot;&quot;COMPUTED_VALUE&quot;&quot;&quot;),&quot;Environmental Impact Assessment&quot;)"/>
    <hyperlink ref="F67" r:id="rId66" display="=IFERROR(@__xludf.DUMMYFUNCTION(&quot;&quot;&quot;COMPUTED_VALUE&quot;&quot;&quot;),&quot;Air Pollution Engineering&quot;)"/>
    <hyperlink ref="F68" r:id="rId67" display="=IFERROR(@__xludf.DUMMYFUNCTION(&quot;&quot;&quot;COMPUTED_VALUE&quot;&quot;&quot;),&quot;Data Analytics in Environmental Engineering&quot;)"/>
    <hyperlink ref="F69" r:id="rId68" display="=IFERROR(@__xludf.DUMMYFUNCTION(&quot;&quot;&quot;COMPUTED_VALUE&quot;&quot;&quot;),&quot;Instrumentation for Pollution Monitoring and Management&quot;)"/>
    <hyperlink ref="F70" r:id="rId69" display="=IFERROR(@__xludf.DUMMYFUNCTION(&quot;&quot;&quot;COMPUTED_VALUE&quot;&quot;&quot;),&quot;Airport Engineering&quot;)"/>
    <hyperlink ref="F71" r:id="rId70" display="=IFERROR(@__xludf.DUMMYFUNCTION(&quot;&quot;&quot;COMPUTED_VALUE&quot;&quot;&quot;),&quot;Traffic Engineering&quot;)"/>
    <hyperlink ref="F72" r:id="rId71" display="=IFERROR(@__xludf.DUMMYFUNCTION(&quot;&quot;&quot;COMPUTED_VALUE&quot;&quot;&quot;),&quot;Port and Harbour Engineering&quot;)"/>
    <hyperlink ref="F73" r:id="rId72" display="=IFERROR(@__xludf.DUMMYFUNCTION(&quot;&quot;&quot;COMPUTED_VALUE&quot;&quot;&quot;),&quot;Contract Laws and Regulations&quot;)"/>
    <hyperlink ref="F74" r:id="rId73" display="=IFERROR(@__xludf.DUMMYFUNCTION(&quot;&quot;&quot;COMPUTED_VALUE&quot;&quot;&quot;),&quot;Construction Planning and Scheduling&quot;)"/>
    <hyperlink ref="F75" r:id="rId74" display="=IFERROR(@__xludf.DUMMYFUNCTION(&quot;&quot;&quot;COMPUTED_VALUE&quot;&quot;&quot;),&quot;Construction Equipment and Techniques&quot;)"/>
    <hyperlink ref="F76" r:id="rId75" display="=IFERROR(@__xludf.DUMMYFUNCTION(&quot;&quot;&quot;COMPUTED_VALUE&quot;&quot;&quot;),&quot;Material Science and Engineering&quot;)"/>
    <hyperlink ref="F77" r:id="rId76" display="=IFERROR(@__xludf.DUMMYFUNCTION(&quot;&quot;&quot;COMPUTED_VALUE&quot;&quot;&quot;),&quot;Machine Learning&quot;)"/>
    <hyperlink ref="F79" r:id="rId77" display="=IFERROR(@__xludf.DUMMYFUNCTION(&quot;&quot;&quot;COMPUTED_VALUE&quot;&quot;&quot;),&quot;Data Science&quot;)"/>
    <hyperlink ref="F80" r:id="rId78" display="=IFERROR(@__xludf.DUMMYFUNCTION(&quot;&quot;&quot;COMPUTED_VALUE&quot;&quot;&quot;),&quot;Quantum Computing&quot;)"/>
    <hyperlink ref="F81" r:id="rId79" display="=IFERROR(@__xludf.DUMMYFUNCTION(&quot;&quot;&quot;COMPUTED_VALUE&quot;&quot;&quot;),&quot;Construction Engineering and Occupational Safety&quot;)"/>
    <hyperlink ref="F82" r:id="rId80" display="=IFERROR(@__xludf.DUMMYFUNCTION(&quot;&quot;&quot;COMPUTED_VALUE&quot;&quot;&quot;),&quot;Construction Project Management&quot;)"/>
    <hyperlink ref="F83" r:id="rId81" display="=IFERROR(@__xludf.DUMMYFUNCTION(&quot;&quot;&quot;COMPUTED_VALUE&quot;&quot;&quot;),&quot;Prefabricated Structures&quot;)"/>
    <hyperlink ref="F84" r:id="rId82" display="=IFERROR(@__xludf.DUMMYFUNCTION(&quot;&quot;&quot;COMPUTED_VALUE&quot;&quot;&quot;),&quot;Watershed Conservation and Management&quot;)"/>
    <hyperlink ref="F85" r:id="rId83" display="=IFERROR(@__xludf.DUMMYFUNCTION(&quot;&quot;&quot;COMPUTED_VALUE&quot;&quot;&quot;),&quot;Analysis and Design of Deep Foundations&quot;)"/>
    <hyperlink ref="F86" r:id="rId84" display="=IFERROR(@__xludf.DUMMYFUNCTION(&quot;&quot;&quot;COMPUTED_VALUE&quot;&quot;&quot;),&quot;UAV and Drone Technology for Mapping&quot;)"/>
    <hyperlink ref="F87" r:id="rId85" display="=IFERROR(@__xludf.DUMMYFUNCTION(&quot;&quot;&quot;COMPUTED_VALUE&quot;&quot;&quot;),&quot;Solid and Hazardous Waste Management&quot;)"/>
    <hyperlink ref="F88" r:id="rId86" display="=IFERROR(@__xludf.DUMMYFUNCTION(&quot;&quot;&quot;COMPUTED_VALUE&quot;&quot;&quot;),&quot;Intelligent Transport Systems&quot;)"/>
    <hyperlink ref="F89" r:id="rId87" display="=IFERROR(@__xludf.DUMMYFUNCTION(&quot;&quot;&quot;COMPUTED_VALUE&quot;&quot;&quot;),&quot;Advanced Construction Techniques&quot;)"/>
    <hyperlink ref="F90" r:id="rId88" display="=IFERROR(@__xludf.DUMMYFUNCTION(&quot;&quot;&quot;COMPUTED_VALUE&quot;&quot;&quot;),&quot;Precast Technology&quot;)"/>
    <hyperlink ref="F91" r:id="rId89" display="=IFERROR(@__xludf.DUMMYFUNCTION(&quot;&quot;&quot;COMPUTED_VALUE&quot;&quot;&quot;),&quot;Urban Water Infrastructure&quot;)"/>
    <hyperlink ref="F92" r:id="rId90" display="=IFERROR(@__xludf.DUMMYFUNCTION(&quot;&quot;&quot;COMPUTED_VALUE&quot;&quot;&quot;),&quot;Tunneling Engineering&quot;)"/>
    <hyperlink ref="F93" r:id="rId91" display="=IFERROR(@__xludf.DUMMYFUNCTION(&quot;&quot;&quot;COMPUTED_VALUE&quot;&quot;&quot;),&quot;Spatial Data Infrastructure and Management&quot;)"/>
    <hyperlink ref="F94" r:id="rId92" display="=IFERROR(@__xludf.DUMMYFUNCTION(&quot;&quot;&quot;COMPUTED_VALUE&quot;&quot;&quot;),&quot;Water Quality and Management&quot;)"/>
    <hyperlink ref="F95" r:id="rId93" display="=IFERROR(@__xludf.DUMMYFUNCTION(&quot;&quot;&quot;COMPUTED_VALUE&quot;&quot;&quot;),&quot;Urban Infrastructure and Smart Cities&quot;)"/>
    <hyperlink ref="F96" r:id="rId94" display="=IFERROR(@__xludf.DUMMYFUNCTION(&quot;&quot;&quot;COMPUTED_VALUE&quot;&quot;&quot;),&quot;Construction Equipment and Machinery&quot;)"/>
    <hyperlink ref="F99" r:id="rId95" display="=IFERROR(@__xludf.DUMMYFUNCTION(&quot;&quot;&quot;COMPUTED_VALUE&quot;&quot;&quot;),&quot;Mini Project&quot;)"/>
    <hyperlink ref="F100" r:id="rId96" display="=IFERROR(@__xludf.DUMMYFUNCTION(&quot;&quot;&quot;COMPUTED_VALUE&quot;&quot;&quot;),&quot;Project Work Phase I&quot;)"/>
    <hyperlink ref="F101" r:id="rId97" display="=IFERROR(@__xludf.DUMMYFUNCTION(&quot;&quot;&quot;COMPUTED_VALUE&quot;&quot;&quot;),&quot;Project Work Phase II&quot;)"/>
    <hyperlink ref="F102" r:id="rId98" display="=IFERROR(@__xludf.DUMMYFUNCTION(&quot;&quot;&quot;COMPUTED_VALUE&quot;&quot;&quot;),&quot;Softskills&quot;)"/>
    <hyperlink ref="F103" r:id="rId99" display="=IFERROR(@__xludf.DUMMYFUNCTION(&quot;&quot;&quot;COMPUTED_VALUE&quot;&quot;&quot;),&quot;Career Development Skills&quot;)"/>
    <hyperlink ref="F104" r:id="rId100" display="=IFERROR(@__xludf.DUMMYFUNCTION(&quot;&quot;&quot;COMPUTED_VALUE&quot;&quot;&quot;),&quot;Creative Skills for Communication&quot;)"/>
    <hyperlink ref="F105" r:id="rId101" display="=IFERROR(@__xludf.DUMMYFUNCTION(&quot;&quot;&quot;COMPUTED_VALUE&quot;&quot;&quot;),&quot;Reasoning Ability&quot;)"/>
    <hyperlink ref="F106" r:id="rId102" display="=IFERROR(@__xludf.DUMMYFUNCTION(&quot;&quot;&quot;COMPUTED_VALUE&quot;&quot;&quot;),&quot;System of Numerical and Logical Terminologies&quot;)"/>
    <hyperlink ref="F107" r:id="rId103" display="=IFERROR(@__xludf.DUMMYFUNCTION(&quot;&quot;&quot;COMPUTED_VALUE&quot;&quot;&quot;),&quot;Advanced Quantitative and Logical Reasoning&quot;)"/>
    <hyperlink ref="F108" r:id="rId104" display="=IFERROR(@__xludf.DUMMYFUNCTION(&quot;&quot;&quot;COMPUTED_VALUE&quot;&quot;&quot;),&quot;Quantitative Ability I&quot;)"/>
    <hyperlink ref="F109" r:id="rId105" display="=IFERROR(@__xludf.DUMMYFUNCTION(&quot;&quot;&quot;COMPUTED_VALUE&quot;&quot;&quot;),&quot;Quantitative Ability II&quot;)"/>
    <hyperlink ref="F110" r:id="rId106" display="=IFERROR(@__xludf.DUMMYFUNCTION(&quot;&quot;&quot;COMPUTED_VALUE&quot;&quot;&quot;),&quot;Employment Enhancement Skills&quot;)"/>
    <hyperlink ref="F111" r:id="rId107" display="=IFERROR(@__xludf.DUMMYFUNCTION(&quot;&quot;&quot;COMPUTED_VALUE&quot;&quot;&quot;),&quot;Employment Enrichment Skills&quot;)"/>
    <hyperlink ref="F112" r:id="rId108" display="=IFERROR(@__xludf.DUMMYFUNCTION(&quot;&quot;&quot;COMPUTED_VALUE&quot;&quot;&quot;),&quot;Company Specific Assessments For Employability&quot;)"/>
    <hyperlink ref="F113" r:id="rId109" display="=IFERROR(@__xludf.DUMMYFUNCTION(&quot;&quot;&quot;COMPUTED_VALUE&quot;&quot;&quot;),&quot;Placement Readiness Assessment&quot;)"/>
    <hyperlink ref="F114" r:id="rId110" display="=IFERROR(@__xludf.DUMMYFUNCTION(&quot;&quot;&quot;COMPUTED_VALUE&quot;&quot;&quot;),&quot;Paper Publication&quot;)"/>
    <hyperlink ref="F115" r:id="rId111" display="=IFERROR(@__xludf.DUMMYFUNCTION(&quot;&quot;&quot;COMPUTED_VALUE&quot;&quot;&quot;),&quot;Professional Ethics&quot;)"/>
    <hyperlink ref="F116" r:id="rId112" display="=IFERROR(@__xludf.DUMMYFUNCTION(&quot;&quot;&quot;COMPUTED_VALUE&quot;&quot;&quot;),&quot;Environmental Science&quot;)"/>
    <hyperlink ref="F117" r:id="rId113" display="=IFERROR(@__xludf.DUMMYFUNCTION(&quot;&quot;&quot;COMPUTED_VALUE&quot;&quot;&quot;),&quot;Constitution of India&quot;)"/>
    <hyperlink ref="F119" r:id="rId114" display="=IFERROR(@__xludf.DUMMYFUNCTION(&quot;&quot;&quot;COMPUTED_VALUE&quot;&quot;&quot;),&quot;Inplant Training&quot;)"/>
  </hyperlinks>
  <printOptions horizontalCentered="1"/>
  <pageMargins left="0.7" right="0.7" top="0.75" bottom="0.75" header="0" footer="0"/>
  <pageSetup paperSize="9" fitToHeight="0" pageOrder="overThenDown" orientation="landscape" cellComments="atEnd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67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60.75" customHeight="1" spans="1:18">
      <c r="A1" s="1" t="str">
        <f>IFERROR(__xludf.DUMMYFUNCTION("ARRAYFORMULA({
IMPORTRANGE(""https://docs.google.com/spreadsheets/d/1UvPg-G_Bj-UNhLC2uL8tntfYsnld_PABqE3impzOchM/edit"", ""R2024-Civil!A:A""),
IMPORTRANGE(""https://docs.google.com/spreadsheets/d/1UvPg-G_Bj-UNhLC2uL8tntfYsnld_PABqE3impzOchM/edit"", ""R202"&amp;"4-Civil!D:D""),
IMPORTRANGE(""https://docs.google.com/spreadsheets/d/1UvPg-G_Bj-UNhLC2uL8tntfYsnld_PABqE3impzOchM/edit"", ""R2024-Civil!E:E""),
IMPORTRANGE(""https://docs.google.com/spreadsheets/d/1UvPg-G_Bj-UNhLC2uL8tntfYsnld_PABqE3impzOchM/edit"", ""R20"&amp;"24-Civil!F:F""),
IMPORTRANGE(""https://docs.google.com/spreadsheets/d/1UvPg-G_Bj-UNhLC2uL8tntfYsnld_PABqE3impzOchM/edit"", ""R2024-Civil!G:G""),
IMPORTRANGE(""https://docs.google.com/spreadsheets/d/1UvPg-G_Bj-UNhLC2uL8tntfYsnld_PABqE3impzOchM/edit"", ""R2"&amp;"024-Civil!I:I""),
IMPORTRANGE(""https://docs.google.com/spreadsheets/d/1UvPg-G_Bj-UNhLC2uL8tntfYsnld_PABqE3impzOchM/edit"", ""R2024-Civil!N:N""),
IMPORTRANGE(""https://docs.google.com/spreadsheets/d/1UvPg-G_Bj-UNhLC2uL8tntfYsnld_PABqE3impzOchM/edit"", ""R"&amp;"2024-Civil!O:O""),
IMPORTRANGE(""https://docs.google.com/spreadsheets/d/1UvPg-G_Bj-UNhLC2uL8tntfYsnld_PABqE3impzOchM/edit"", ""R2024-Civil!P:P""),
IMPORTRANGE(""https://docs.google.com/spreadsheets/d/1UvPg-G_Bj-UNhLC2uL8tntfYsnld_PABqE3impzOchM/edit"", """&amp;"R2024-Civil!Q:Q""),
IMPORTRANGE(""https://docs.google.com/spreadsheets/d/1UvPg-G_Bj-UNhLC2uL8tntfYsnld_PABqE3impzOchM/edit"", ""R2024-Civil!R:R""),
IMPORTRANGE(""https://docs.google.com/spreadsheets/d/1UvPg-G_Bj-UNhLC2uL8tntfYsnld_PABqE3impzOchM/edit"", "&amp;"""R2024-Civil!S:S""),
IMPORTRANGE(""https://docs.google.com/spreadsheets/d/1UvPg-G_Bj-UNhLC2uL8tntfYsnld_PABqE3impzOchM/edit"", ""R2024-Civil!V:V""),
IMPORTRANGE(""https://docs.google.com/spreadsheets/d/1UvPg-G_Bj-UNhLC2uL8tntfYsnld_PABqE3impzOchM/edit"","&amp;" ""R2024-Civil!X:X""),
IMPORTRANGE(""https://docs.google.com/spreadsheets/d/1UvPg-G_Bj-UNhLC2uL8tntfYsnld_PABqE3impzOchM/edit"", ""R2024-Civil!Y:Y""),
IMPORTRANGE(""https://docs.google.com/spreadsheets/d/1UvPg-G_Bj-UNhLC2uL8tntfYsnld_PABqE3impzOchM/edit"""&amp;", ""R2024-Civil!AA:AA""),
IMPORTRANGE(""https://docs.google.com/spreadsheets/d/1UvPg-G_Bj-UNhLC2uL8tntfYsnld_PABqE3impzOchM/edit"", ""R2024-Civil!AC:AC""),
IMPORTRANGE(""https://docs.google.com/spreadsheets/d/1UvPg-G_Bj-UNhLC2uL8tntfYsnld_PABqE3impzOchM/e"&amp;"dit"", ""R2024-Civil!AD:AD"")
})"),"")</f>
        <v/>
      </c>
      <c r="B1" s="1"/>
      <c r="C1" s="1"/>
      <c r="D1" s="1"/>
      <c r="E1" s="1"/>
      <c r="F1" s="1"/>
      <c r="G1" s="1"/>
      <c r="H1" s="1"/>
      <c r="I1" s="1"/>
      <c r="J1" s="1"/>
      <c r="K1" s="1"/>
      <c r="L1" s="15"/>
      <c r="M1" s="16" t="str">
        <f>IFERROR(__xludf.DUMMYFUNCTION("""COMPUTED_VALUE"""),"BATCH: 2024- 2028")</f>
        <v>BATCH: 2024- 2028</v>
      </c>
      <c r="N1" s="1"/>
      <c r="O1" s="17"/>
      <c r="P1" s="16"/>
      <c r="Q1" s="1"/>
      <c r="R1" s="17"/>
    </row>
    <row r="2" ht="48" customHeight="1" spans="1:18">
      <c r="A2" s="28" t="str">
        <f>IFERROR(__xludf.DUMMYFUNCTION("""COMPUTED_VALUE"""),"S.No.")</f>
        <v>S.No.</v>
      </c>
      <c r="B2" s="2" t="str">
        <f>IFERROR(__xludf.DUMMYFUNCTION("""COMPUTED_VALUE"""),"Remarks ")</f>
        <v>Remarks </v>
      </c>
      <c r="C2" s="2" t="str">
        <f>IFERROR(__xludf.DUMMYFUNCTION("""COMPUTED_VALUE"""),"Category")</f>
        <v>Category</v>
      </c>
      <c r="D2" s="2" t="str">
        <f>IFERROR(__xludf.DUMMYFUNCTION("""COMPUTED_VALUE"""),"Course Code R2024")</f>
        <v>Course Code R2024</v>
      </c>
      <c r="E2" s="2" t="str">
        <f>IFERROR(__xludf.DUMMYFUNCTION("""COMPUTED_VALUE"""),"Course Code R2019")</f>
        <v>Course Code R2019</v>
      </c>
      <c r="F2" s="3" t="str">
        <f>IFERROR(__xludf.DUMMYFUNCTION("""COMPUTED_VALUE"""),"Course Title")</f>
        <v>Course Title</v>
      </c>
      <c r="G2" s="2" t="str">
        <f>IFERROR(__xludf.DUMMYFUNCTION("""COMPUTED_VALUE"""),"Prerequisite")</f>
        <v>Prerequisite</v>
      </c>
      <c r="H2" s="2" t="str">
        <f>IFERROR(__xludf.DUMMYFUNCTION("""COMPUTED_VALUE"""),"Theory Credits ")</f>
        <v>Theory Credits </v>
      </c>
      <c r="I2" s="2" t="str">
        <f>IFERROR(__xludf.DUMMYFUNCTION("""COMPUTED_VALUE"""),"Practical Credits")</f>
        <v>Practical Credits</v>
      </c>
      <c r="J2" s="2" t="str">
        <f>IFERROR(__xludf.DUMMYFUNCTION("""COMPUTED_VALUE"""),"Total Credits")</f>
        <v>Total Credits</v>
      </c>
      <c r="K2" s="2" t="str">
        <f>IFERROR(__xludf.DUMMYFUNCTION("""COMPUTED_VALUE"""),"CGPA /          Non - CGPA")</f>
        <v>CGPA /          Non - CGPA</v>
      </c>
      <c r="L2" s="18" t="str">
        <f>IFERROR(__xludf.DUMMYFUNCTION("""COMPUTED_VALUE"""),"Course Type
")</f>
        <v>Course Type
</v>
      </c>
      <c r="M2" s="19" t="str">
        <f>IFERROR(__xludf.DUMMYFUNCTION("""COMPUTED_VALUE"""),"Category")</f>
        <v>Category</v>
      </c>
      <c r="N2" s="2" t="str">
        <f>IFERROR(__xludf.DUMMYFUNCTION("""COMPUTED_VALUE"""),"Credits to be Earned (Regular)")</f>
        <v>Credits to be Earned (Regular)</v>
      </c>
      <c r="O2" s="20" t="str">
        <f>IFERROR(__xludf.DUMMYFUNCTION("""COMPUTED_VALUE"""),"Credits to be Earned (Lateral Entry)")</f>
        <v>Credits to be Earned (Lateral Entry)</v>
      </c>
      <c r="P2" s="19"/>
      <c r="Q2" s="2"/>
      <c r="R2" s="20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IFERROR(__xludf.DUMMYFUNCTION("""COMPUTED_VALUE"""),"SH1106")</f>
        <v>SH1106</v>
      </c>
      <c r="E3" s="2" t="str">
        <f>IFERROR(__xludf.DUMMYFUNCTION("""COMPUTED_VALUE"""),"19EN106")</f>
        <v>19EN106</v>
      </c>
      <c r="F3" s="7" t="str">
        <f>IFERROR(__xludf.DUMMYFUNCTION("""COMPUTED_VALUE"""),"English for Engineers")</f>
        <v>English for Engineers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IFERROR(__xludf.DUMMYFUNCTION("""COMPUTED_VALUE"""),10)</f>
        <v>10</v>
      </c>
      <c r="O3" s="20">
        <f>IFERROR(__xludf.DUMMYFUNCTION("""COMPUTED_VALUE"""),2)</f>
        <v>2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LE")</f>
        <v>Exempted for LE</v>
      </c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IFERROR(__xludf.DUMMYFUNCTION("""COMPUTED_VALUE"""),22)</f>
        <v>22</v>
      </c>
      <c r="O4" s="20">
        <f>IFERROR(__xludf.DUMMYFUNCTION("""COMPUTED_VALUE"""),6)</f>
        <v>6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/>
      <c r="C5" s="2" t="str">
        <f>IFERROR(__xludf.DUMMYFUNCTION("""COMPUTED_VALUE"""),"HS")</f>
        <v>HS</v>
      </c>
      <c r="D5" s="2" t="str">
        <f>IFERROR(__xludf.DUMMYFUNCTION("""COMPUTED_VALUE"""),"SH7801")</f>
        <v>SH7801</v>
      </c>
      <c r="E5" s="2" t="str">
        <f>IFERROR(__xludf.DUMMYFUNCTION("""COMPUTED_VALUE"""),"NA")</f>
        <v>NA</v>
      </c>
      <c r="F5" s="7" t="str">
        <f>IFERROR(__xludf.DUMMYFUNCTION("""COMPUTED_VALUE"""),"Human Values and Professional Ethics")</f>
        <v>Human Values and Professional Ethics</v>
      </c>
      <c r="G5" s="2" t="str">
        <f>IFERROR(__xludf.DUMMYFUNCTION("""COMPUTED_VALUE"""),"-")</f>
        <v>-</v>
      </c>
      <c r="H5" s="2">
        <f>IFERROR(__xludf.DUMMYFUNCTION("""COMPUTED_VALUE"""),2)</f>
        <v>2</v>
      </c>
      <c r="I5" s="2">
        <f>IFERROR(__xludf.DUMMYFUNCTION("""COMPUTED_VALUE"""),0)</f>
        <v>0</v>
      </c>
      <c r="J5" s="2">
        <f>IFERROR(__xludf.DUMMYFUNCTION("""COMPUTED_VALUE"""),2)</f>
        <v>2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IFERROR(__xludf.DUMMYFUNCTION("""COMPUTED_VALUE"""),25)</f>
        <v>25</v>
      </c>
      <c r="O5" s="20">
        <f>IFERROR(__xludf.DUMMYFUNCTION("""COMPUTED_VALUE"""),16)</f>
        <v>16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IFERROR(__xludf.DUMMYFUNCTION("""COMPUTED_VALUE"""),"SH7101")</f>
        <v>SH7101</v>
      </c>
      <c r="E6" s="2" t="str">
        <f>IFERROR(__xludf.DUMMYFUNCTION("""COMPUTED_VALUE"""),"22HS101")</f>
        <v>22HS101</v>
      </c>
      <c r="F6" s="7" t="str">
        <f>IFERROR(__xludf.DUMMYFUNCTION("""COMPUTED_VALUE"""),"தமிழர் மரபு/ Heritage of Tamils")</f>
        <v>தமிழர் மரபு/ Heritage of Tamils</v>
      </c>
      <c r="G6" s="2" t="str">
        <f>IFERROR(__xludf.DUMMYFUNCTION("""COMPUTED_VALUE"""),"-")</f>
        <v>-</v>
      </c>
      <c r="H6" s="2">
        <f>IFERROR(__xludf.DUMMYFUNCTION("""COMPUTED_VALUE"""),1)</f>
        <v>1</v>
      </c>
      <c r="I6" s="2">
        <f>IFERROR(__xludf.DUMMYFUNCTION("""COMPUTED_VALUE"""),0)</f>
        <v>0</v>
      </c>
      <c r="J6" s="2">
        <f>IFERROR(__xludf.DUMMYFUNCTION("""COMPUTED_VALUE"""),1)</f>
        <v>1</v>
      </c>
      <c r="K6" s="2" t="str">
        <f>IFERROR(__xludf.DUMMYFUNCTION("""COMPUTED_VALUE"""),"CGPA")</f>
        <v>CGPA</v>
      </c>
      <c r="L6" s="18" t="str">
        <f>IFERROR(__xludf.DUMMYFUNCTION("""COMPUTED_VALUE"""),"Theory (Int Only)")</f>
        <v>Theory (Int Only)</v>
      </c>
      <c r="M6" s="19" t="str">
        <f>IFERROR(__xludf.DUMMYFUNCTION("""COMPUTED_VALUE"""),"PC")</f>
        <v>PC</v>
      </c>
      <c r="N6" s="2">
        <f>IFERROR(__xludf.DUMMYFUNCTION("""COMPUTED_VALUE"""),62)</f>
        <v>62</v>
      </c>
      <c r="O6" s="20">
        <f>IFERROR(__xludf.DUMMYFUNCTION("""COMPUTED_VALUE"""),62)</f>
        <v>62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IFERROR(__xludf.DUMMYFUNCTION("""COMPUTED_VALUE"""),"SH7102")</f>
        <v>SH7102</v>
      </c>
      <c r="E7" s="2" t="str">
        <f>IFERROR(__xludf.DUMMYFUNCTION("""COMPUTED_VALUE"""),"22HS102")</f>
        <v>22HS102</v>
      </c>
      <c r="F7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7" s="2" t="str">
        <f>IFERROR(__xludf.DUMMYFUNCTION("""COMPUTED_VALUE"""),"-")</f>
        <v>-</v>
      </c>
      <c r="H7" s="2">
        <f>IFERROR(__xludf.DUMMYFUNCTION("""COMPUTED_VALUE"""),1)</f>
        <v>1</v>
      </c>
      <c r="I7" s="2">
        <f>IFERROR(__xludf.DUMMYFUNCTION("""COMPUTED_VALUE"""),0)</f>
        <v>0</v>
      </c>
      <c r="J7" s="2">
        <f>IFERROR(__xludf.DUMMYFUNCTION("""COMPUTED_VALUE"""),1)</f>
        <v>1</v>
      </c>
      <c r="K7" s="2" t="str">
        <f>IFERROR(__xludf.DUMMYFUNCTION("""COMPUTED_VALUE"""),"CGPA")</f>
        <v>CGPA</v>
      </c>
      <c r="L7" s="18" t="str">
        <f>IFERROR(__xludf.DUMMYFUNCTION("""COMPUTED_VALUE"""),"Theory (Int Only)")</f>
        <v>Theory (Int Only)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IFERROR(__xludf.DUMMYFUNCTION("""COMPUTED_VALUE"""),"BS")</f>
        <v>BS</v>
      </c>
      <c r="D8" s="2" t="str">
        <f>IFERROR(__xludf.DUMMYFUNCTION("""COMPUTED_VALUE"""),"SH2201")</f>
        <v>SH2201</v>
      </c>
      <c r="E8" s="2" t="str">
        <f>IFERROR(__xludf.DUMMYFUNCTION("""COMPUTED_VALUE"""),"19MA201")</f>
        <v>19MA201</v>
      </c>
      <c r="F8" s="7" t="str">
        <f>IFERROR(__xludf.DUMMYFUNCTION("""COMPUTED_VALUE"""),"Calculus and Matrix Algebra")</f>
        <v>Calculus and Matrix Algebra</v>
      </c>
      <c r="G8" s="2" t="str">
        <f>IFERROR(__xludf.DUMMYFUNCTION("""COMPUTED_VALUE"""),"-")</f>
        <v>-</v>
      </c>
      <c r="H8" s="2">
        <f>IFERROR(__xludf.DUMMYFUNCTION("""COMPUTED_VALUE"""),4)</f>
        <v>4</v>
      </c>
      <c r="I8" s="2">
        <f>IFERROR(__xludf.DUMMYFUNCTION("""COMPUTED_VALUE"""),0)</f>
        <v>0</v>
      </c>
      <c r="J8" s="2">
        <f>IFERROR(__xludf.DUMMYFUNCTION("""COMPUTED_VALUE"""),4)</f>
        <v>4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/>
      <c r="C9" s="2" t="str">
        <f>IFERROR(__xludf.DUMMYFUNCTION("""COMPUTED_VALUE"""),"BS")</f>
        <v>BS</v>
      </c>
      <c r="D9" s="2" t="str">
        <f>IFERROR(__xludf.DUMMYFUNCTION("""COMPUTED_VALUE"""),"SH2211")</f>
        <v>SH2211</v>
      </c>
      <c r="E9" s="2" t="str">
        <f>IFERROR(__xludf.DUMMYFUNCTION("""COMPUTED_VALUE"""),"19MA211")</f>
        <v>19MA211</v>
      </c>
      <c r="F9" s="7" t="str">
        <f>IFERROR(__xludf.DUMMYFUNCTION("""COMPUTED_VALUE"""),"Statistics and Numerical Methods")</f>
        <v>Statistics and Numerical Methods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IFERROR(__xludf.DUMMYFUNCTION("""COMPUTED_VALUE"""),1)</f>
        <v>1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IFERROR(__xludf.DUMMYFUNCTION("""COMPUTED_VALUE"""),"TIP (6 Expts)")</f>
        <v>TIP (6 Expts)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IFERROR(__xludf.DUMMYFUNCTION("""COMPUTED_VALUE"""),"BS")</f>
        <v>BS</v>
      </c>
      <c r="D10" s="2" t="str">
        <f>IFERROR(__xludf.DUMMYFUNCTION("""COMPUTED_VALUE"""),"SH2224")</f>
        <v>SH2224</v>
      </c>
      <c r="E10" s="2" t="str">
        <f>IFERROR(__xludf.DUMMYFUNCTION("""COMPUTED_VALUE"""),"19MA224")</f>
        <v>19MA224</v>
      </c>
      <c r="F10" s="7" t="str">
        <f>IFERROR(__xludf.DUMMYFUNCTION("""COMPUTED_VALUE"""),"Transforms and Differential Equations")</f>
        <v>Transforms and Differential Equations</v>
      </c>
      <c r="G10" s="2" t="str">
        <f>IFERROR(__xludf.DUMMYFUNCTION("""COMPUTED_VALUE"""),"-")</f>
        <v>-</v>
      </c>
      <c r="H10" s="2">
        <f>IFERROR(__xludf.DUMMYFUNCTION("""COMPUTED_VALUE"""),4)</f>
        <v>4</v>
      </c>
      <c r="I10" s="2">
        <f>IFERROR(__xludf.DUMMYFUNCTION("""COMPUTED_VALUE"""),0)</f>
        <v>0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IFERROR(__xludf.DUMMYFUNCTION("""COMPUTED_VALUE"""),"Theory")</f>
        <v>Theory</v>
      </c>
      <c r="M10" s="21" t="str">
        <f>IFERROR(__xludf.DUMMYFUNCTION("""COMPUTED_VALUE"""),"MC")</f>
        <v>MC</v>
      </c>
      <c r="N10" s="22">
        <f>IFERROR(__xludf.DUMMYFUNCTION("""COMPUTED_VALUE"""),3)</f>
        <v>3</v>
      </c>
      <c r="O10" s="23">
        <f>IFERROR(__xludf.DUMMYFUNCTION("""COMPUTED_VALUE"""),3)</f>
        <v>3</v>
      </c>
      <c r="P10" s="21"/>
      <c r="Q10" s="22"/>
      <c r="R10" s="23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IFERROR(__xludf.DUMMYFUNCTION("""COMPUTED_VALUE"""),"SH3209")</f>
        <v>SH3209</v>
      </c>
      <c r="E11" s="2" t="str">
        <f>IFERROR(__xludf.DUMMYFUNCTION("""COMPUTED_VALUE"""),"19PH209")</f>
        <v>19PH209</v>
      </c>
      <c r="F11" s="7" t="str">
        <f>IFERROR(__xludf.DUMMYFUNCTION("""COMPUTED_VALUE"""),"Physics for Civil Engineering")</f>
        <v>Physics for Civil Engineering</v>
      </c>
      <c r="G11" s="2" t="str">
        <f>IFERROR(__xludf.DUMMYFUNCTION("""COMPUTED_VALUE"""),"19PH201 / NA")</f>
        <v>19PH201 / NA</v>
      </c>
      <c r="H11" s="2">
        <f>IFERROR(__xludf.DUMMYFUNCTION("""COMPUTED_VALUE"""),3)</f>
        <v>3</v>
      </c>
      <c r="I11" s="2">
        <f>IFERROR(__xludf.DUMMYFUNCTION("""COMPUTED_VALUE"""),1)</f>
        <v>1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2" t="str">
        <f>IFERROR(__xludf.DUMMYFUNCTION("""COMPUTED_VALUE"""),"TIP (6 Expts)")</f>
        <v>TIP (6 Expts)</v>
      </c>
      <c r="M11" s="9" t="str">
        <f>IFERROR(__xludf.DUMMYFUNCTION("""COMPUTED_VALUE"""),"TOTAL")</f>
        <v>TOTAL</v>
      </c>
      <c r="N11" s="9">
        <f>IFERROR(__xludf.DUMMYFUNCTION("""COMPUTED_VALUE"""),165)</f>
        <v>165</v>
      </c>
      <c r="O11" s="9">
        <f>IFERROR(__xludf.DUMMYFUNCTION("""COMPUTED_VALUE"""),132)</f>
        <v>132</v>
      </c>
      <c r="P11" s="9"/>
      <c r="Q11" s="9"/>
      <c r="R11" s="9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IFERROR(__xludf.DUMMYFUNCTION("""COMPUTED_VALUE"""),"SH4208")</f>
        <v>SH4208</v>
      </c>
      <c r="E12" s="2" t="str">
        <f>IFERROR(__xludf.DUMMYFUNCTION("""COMPUTED_VALUE"""),"19CY208")</f>
        <v>19CY208</v>
      </c>
      <c r="F12" s="7" t="str">
        <f>IFERROR(__xludf.DUMMYFUNCTION("""COMPUTED_VALUE"""),"Basic Engineering Chemistry")</f>
        <v>Basic Engineering Chemistry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IFERROR(__xludf.DUMMYFUNCTION("""COMPUTED_VALUE"""),"ES")</f>
        <v>ES</v>
      </c>
      <c r="D13" s="2" t="str">
        <f>IFERROR(__xludf.DUMMYFUNCTION("""COMPUTED_VALUE"""),"SH4801")</f>
        <v>SH4801</v>
      </c>
      <c r="E13" s="2" t="str">
        <f>IFERROR(__xludf.DUMMYFUNCTION("""COMPUTED_VALUE"""),"NA")</f>
        <v>NA</v>
      </c>
      <c r="F13" s="7" t="str">
        <f>IFERROR(__xludf.DUMMYFUNCTION("""COMPUTED_VALUE"""),"Environmental Sciences and Sustainability")</f>
        <v>Environmental Sciences and Sustainability</v>
      </c>
      <c r="G13" s="2" t="str">
        <f>IFERROR(__xludf.DUMMYFUNCTION("""COMPUTED_VALUE"""),"-")</f>
        <v>-</v>
      </c>
      <c r="H13" s="2">
        <f>IFERROR(__xludf.DUMMYFUNCTION("""COMPUTED_VALUE"""),2)</f>
        <v>2</v>
      </c>
      <c r="I13" s="2">
        <f>IFERROR(__xludf.DUMMYFUNCTION("""COMPUTED_VALUE"""),0)</f>
        <v>0</v>
      </c>
      <c r="J13" s="2">
        <f>IFERROR(__xludf.DUMMYFUNCTION("""COMPUTED_VALUE"""),2)</f>
        <v>2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IFERROR(__xludf.DUMMYFUNCTION("""COMPUTED_VALUE"""),"ES")</f>
        <v>ES</v>
      </c>
      <c r="D14" s="2" t="str">
        <f>IFERROR(__xludf.DUMMYFUNCTION("""COMPUTED_VALUE"""),"CE0801")</f>
        <v>CE0801</v>
      </c>
      <c r="E14" s="2" t="str">
        <f>IFERROR(__xludf.DUMMYFUNCTION("""COMPUTED_VALUE"""),"NA")</f>
        <v>NA</v>
      </c>
      <c r="F14" s="7" t="str">
        <f>IFERROR(__xludf.DUMMYFUNCTION("""COMPUTED_VALUE"""),"Engineering Graphics")</f>
        <v>Engineering Graphics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IFERROR(__xludf.DUMMYFUNCTION("""COMPUTED_VALUE"""),0)</f>
        <v>0</v>
      </c>
      <c r="J14" s="2">
        <f>IFERROR(__xludf.DUMMYFUNCTION("""COMPUTED_VALUE"""),3)</f>
        <v>3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IFERROR(__xludf.DUMMYFUNCTION("""COMPUTED_VALUE"""),"ES")</f>
        <v>ES</v>
      </c>
      <c r="D15" s="2" t="str">
        <f>IFERROR(__xludf.DUMMYFUNCTION("""COMPUTED_VALUE"""),"CE0802")</f>
        <v>CE0802</v>
      </c>
      <c r="E15" s="2" t="str">
        <f>IFERROR(__xludf.DUMMYFUNCTION("""COMPUTED_VALUE"""),"NA")</f>
        <v>NA</v>
      </c>
      <c r="F15" s="7" t="str">
        <f>IFERROR(__xludf.DUMMYFUNCTION("""COMPUTED_VALUE"""),"Engineering Practices Laboratory")</f>
        <v>Engineering Practices Laboratory</v>
      </c>
      <c r="G15" s="2" t="str">
        <f>IFERROR(__xludf.DUMMYFUNCTION("""COMPUTED_VALUE"""),"-")</f>
        <v>-</v>
      </c>
      <c r="H15" s="2">
        <f>IFERROR(__xludf.DUMMYFUNCTION("""COMPUTED_VALUE"""),0)</f>
        <v>0</v>
      </c>
      <c r="I15" s="2">
        <f>IFERROR(__xludf.DUMMYFUNCTION("""COMPUTED_VALUE"""),2)</f>
        <v>2</v>
      </c>
      <c r="J15" s="2">
        <f>IFERROR(__xludf.DUMMYFUNCTION("""COMPUTED_VALUE"""),2)</f>
        <v>2</v>
      </c>
      <c r="K15" s="2" t="str">
        <f>IFERROR(__xludf.DUMMYFUNCTION("""COMPUTED_VALUE"""),"CGPA")</f>
        <v>CGPA</v>
      </c>
      <c r="L15" s="2" t="str">
        <f>IFERROR(__xludf.DUMMYFUNCTION("""COMPUTED_VALUE"""),"Practical (10 Expts)")</f>
        <v>Practical (10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IFERROR(__xludf.DUMMYFUNCTION("""COMPUTED_VALUE"""),"ES")</f>
        <v>ES</v>
      </c>
      <c r="D16" s="2" t="str">
        <f>IFERROR(__xludf.DUMMYFUNCTION("""COMPUTED_VALUE"""),"CE0306")</f>
        <v>CE0306</v>
      </c>
      <c r="E16" s="2" t="str">
        <f>IFERROR(__xludf.DUMMYFUNCTION("""COMPUTED_VALUE"""),"19CE306")</f>
        <v>19CE306</v>
      </c>
      <c r="F16" s="7" t="str">
        <f>IFERROR(__xludf.DUMMYFUNCTION("""COMPUTED_VALUE"""),"Engineering Mechanics")</f>
        <v>Engineering Mechanics</v>
      </c>
      <c r="G16" s="2" t="str">
        <f>IFERROR(__xludf.DUMMYFUNCTION("""COMPUTED_VALUE"""),"-")</f>
        <v>-</v>
      </c>
      <c r="H16" s="2">
        <f>IFERROR(__xludf.DUMMYFUNCTION("""COMPUTED_VALUE"""),4)</f>
        <v>4</v>
      </c>
      <c r="I16" s="2">
        <f>IFERROR(__xludf.DUMMYFUNCTION("""COMPUTED_VALUE"""),0)</f>
        <v>0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IFERROR(__xludf.DUMMYFUNCTION("""COMPUTED_VALUE"""),"Theory")</f>
        <v>Theory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IFERROR(__xludf.DUMMYFUNCTION("""COMPUTED_VALUE"""),"ES")</f>
        <v>ES</v>
      </c>
      <c r="D17" s="2" t="str">
        <f>IFERROR(__xludf.DUMMYFUNCTION("""COMPUTED_VALUE"""),"CE0303")</f>
        <v>CE0303</v>
      </c>
      <c r="E17" s="2" t="str">
        <f>IFERROR(__xludf.DUMMYFUNCTION("""COMPUTED_VALUE"""),"19CE303")</f>
        <v>19CE303</v>
      </c>
      <c r="F17" s="7" t="str">
        <f>IFERROR(__xludf.DUMMYFUNCTION("""COMPUTED_VALUE"""),"Fluid Mechanics")</f>
        <v>Fluid Mechanics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IFERROR(__xludf.DUMMYFUNCTION("""COMPUTED_VALUE"""),"ES")</f>
        <v>ES</v>
      </c>
      <c r="D18" s="2" t="str">
        <f>IFERROR(__xludf.DUMMYFUNCTION("""COMPUTED_VALUE"""),"CE0803")</f>
        <v>CE0803</v>
      </c>
      <c r="E18" s="2" t="str">
        <f>IFERROR(__xludf.DUMMYFUNCTION("""COMPUTED_VALUE"""),"NA")</f>
        <v>NA</v>
      </c>
      <c r="F18" s="7" t="str">
        <f>IFERROR(__xludf.DUMMYFUNCTION("""COMPUTED_VALUE"""),"Construction Materials and Technology")</f>
        <v>Construction Materials and Technology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IFERROR(__xludf.DUMMYFUNCTION("""COMPUTED_VALUE"""),"CE0804")</f>
        <v>CE0804</v>
      </c>
      <c r="E19" s="2" t="str">
        <f>IFERROR(__xludf.DUMMYFUNCTION("""COMPUTED_VALUE"""),"NA")</f>
        <v>NA</v>
      </c>
      <c r="F19" s="7" t="str">
        <f>IFERROR(__xludf.DUMMYFUNCTION("""COMPUTED_VALUE"""),"Engineering Geology")</f>
        <v>Engineering Geology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IFERROR(__xludf.DUMMYFUNCTION("""COMPUTED_VALUE"""),"CS3301")</f>
        <v>CS3301</v>
      </c>
      <c r="E20" s="2" t="str">
        <f>IFERROR(__xludf.DUMMYFUNCTION("""COMPUTED_VALUE"""),"19AI301")</f>
        <v>19AI301</v>
      </c>
      <c r="F20" s="7" t="str">
        <f>IFERROR(__xludf.DUMMYFUNCTION("""COMPUTED_VALUE"""),"Python Programming")</f>
        <v>Python Programming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IFERROR(__xludf.DUMMYFUNCTION("""COMPUTED_VALUE"""),"Any 1")</f>
        <v>Any 1</v>
      </c>
      <c r="C21" s="2" t="str">
        <f>IFERROR(__xludf.DUMMYFUNCTION("""COMPUTED_VALUE"""),"ES")</f>
        <v>ES</v>
      </c>
      <c r="D21" s="2" t="str">
        <f>IFERROR(__xludf.DUMMYFUNCTION("""COMPUTED_VALUE"""),"CS3410")</f>
        <v>CS3410</v>
      </c>
      <c r="E21" s="2" t="str">
        <f>IFERROR(__xludf.DUMMYFUNCTION("""COMPUTED_VALUE"""),"19AI410")</f>
        <v>19AI410</v>
      </c>
      <c r="F21" s="7" t="str">
        <f>IFERROR(__xludf.DUMMYFUNCTION("""COMPUTED_VALUE"""),"Introduction to Machine Learning")</f>
        <v>Introduction to Machine Learning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IFERROR(__xludf.DUMMYFUNCTION("""COMPUTED_VALUE"""),"Any 1")</f>
        <v>Any 1</v>
      </c>
      <c r="C22" s="2" t="str">
        <f>IFERROR(__xludf.DUMMYFUNCTION("""COMPUTED_VALUE"""),"ES")</f>
        <v>ES</v>
      </c>
      <c r="D22" s="2" t="str">
        <f>IFERROR(__xludf.DUMMYFUNCTION("""COMPUTED_VALUE"""),"CS3801")</f>
        <v>CS3801</v>
      </c>
      <c r="E22" s="2" t="str">
        <f>IFERROR(__xludf.DUMMYFUNCTION("""COMPUTED_VALUE"""),"NA")</f>
        <v>NA</v>
      </c>
      <c r="F22" s="7" t="str">
        <f>IFERROR(__xludf.DUMMYFUNCTION("""COMPUTED_VALUE"""),"Artificial Intelligence and Applications")</f>
        <v>Artificial Intelligence and Applications</v>
      </c>
      <c r="G22" s="2" t="str">
        <f>IFERROR(__xludf.DUMMYFUNCTION("""COMPUTED_VALUE"""),"-")</f>
        <v>-</v>
      </c>
      <c r="H22" s="2">
        <f>IFERROR(__xludf.DUMMYFUNCTION("""COMPUTED_VALUE"""),1)</f>
        <v>1</v>
      </c>
      <c r="I22" s="2">
        <f>IFERROR(__xludf.DUMMYFUNCTION("""COMPUTED_VALUE"""),2)</f>
        <v>2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IFERROR(__xludf.DUMMYFUNCTION("""COMPUTED_VALUE"""),"Theory (Int Only) and Practical (10 Expts)")</f>
        <v>Theory (Int Only) and Practical (10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IFERROR(__xludf.DUMMYFUNCTION("""COMPUTED_VALUE"""),"PC")</f>
        <v>PC</v>
      </c>
      <c r="D23" s="2" t="str">
        <f>IFERROR(__xludf.DUMMYFUNCTION("""COMPUTED_VALUE"""),"CE0401")</f>
        <v>CE0401</v>
      </c>
      <c r="E23" s="2" t="str">
        <f>IFERROR(__xludf.DUMMYFUNCTION("""COMPUTED_VALUE"""),"19CE401")</f>
        <v>19CE401</v>
      </c>
      <c r="F23" s="7" t="str">
        <f>IFERROR(__xludf.DUMMYFUNCTION("""COMPUTED_VALUE"""),"Mechanics of Materials")</f>
        <v>Mechanics of Materials</v>
      </c>
      <c r="G23" s="2" t="str">
        <f>IFERROR(__xludf.DUMMYFUNCTION("""COMPUTED_VALUE"""),"19CE302 / 19CE306 / CE0306")</f>
        <v>19CE302 / 19CE306 / CE0306</v>
      </c>
      <c r="H23" s="2">
        <f>IFERROR(__xludf.DUMMYFUNCTION("""COMPUTED_VALUE"""),3)</f>
        <v>3</v>
      </c>
      <c r="I23" s="2">
        <f>IFERROR(__xludf.DUMMYFUNCTION("""COMPUTED_VALUE"""),1)</f>
        <v>1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IFERROR(__xludf.DUMMYFUNCTION("""COMPUTED_VALUE"""),"CE0402")</f>
        <v>CE0402</v>
      </c>
      <c r="E24" s="2" t="str">
        <f>IFERROR(__xludf.DUMMYFUNCTION("""COMPUTED_VALUE"""),"19CE402")</f>
        <v>19CE402</v>
      </c>
      <c r="F24" s="7" t="str">
        <f>IFERROR(__xludf.DUMMYFUNCTION("""COMPUTED_VALUE"""),"Surveying")</f>
        <v>Surveying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IFERROR(__xludf.DUMMYFUNCTION("""COMPUTED_VALUE"""),"CE0403")</f>
        <v>CE0403</v>
      </c>
      <c r="E25" s="2" t="str">
        <f>IFERROR(__xludf.DUMMYFUNCTION("""COMPUTED_VALUE"""),"19CE403")</f>
        <v>19CE403</v>
      </c>
      <c r="F25" s="7" t="str">
        <f>IFERROR(__xludf.DUMMYFUNCTION("""COMPUTED_VALUE"""),"Soil Mechanics")</f>
        <v>Soil Mechanics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IFERROR(__xludf.DUMMYFUNCTION("""COMPUTED_VALUE"""),"CE0404")</f>
        <v>CE0404</v>
      </c>
      <c r="E26" s="2" t="str">
        <f>IFERROR(__xludf.DUMMYFUNCTION("""COMPUTED_VALUE"""),"19CE404")</f>
        <v>19CE404</v>
      </c>
      <c r="F26" s="7" t="str">
        <f>IFERROR(__xludf.DUMMYFUNCTION("""COMPUTED_VALUE"""),"Applied Hydraulic Engineering")</f>
        <v>Applied Hydraulic Engineering</v>
      </c>
      <c r="G26" s="2" t="str">
        <f>IFERROR(__xludf.DUMMYFUNCTION("""COMPUTED_VALUE"""),"19CE303 / CE0303")</f>
        <v>19CE303 / CE0303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IFERROR(__xludf.DUMMYFUNCTION("""COMPUTED_VALUE"""),"CE0805")</f>
        <v>CE0805</v>
      </c>
      <c r="E27" s="2" t="str">
        <f>IFERROR(__xludf.DUMMYFUNCTION("""COMPUTED_VALUE"""),"NA")</f>
        <v>NA</v>
      </c>
      <c r="F27" s="7" t="str">
        <f>IFERROR(__xludf.DUMMYFUNCTION("""COMPUTED_VALUE"""),"Concrete Technology")</f>
        <v>Concrete Technology</v>
      </c>
      <c r="G27" s="2" t="str">
        <f>IFERROR(__xludf.DUMMYFUNCTION("""COMPUTED_VALUE"""),"CE0803")</f>
        <v>CE0803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IFERROR(__xludf.DUMMYFUNCTION("""COMPUTED_VALUE"""),"CE0806")</f>
        <v>CE0806</v>
      </c>
      <c r="E28" s="2" t="str">
        <f>IFERROR(__xludf.DUMMYFUNCTION("""COMPUTED_VALUE"""),"NA")</f>
        <v>NA</v>
      </c>
      <c r="F28" s="7" t="str">
        <f>IFERROR(__xludf.DUMMYFUNCTION("""COMPUTED_VALUE"""),"Structural Analysis")</f>
        <v>Structural Analysis</v>
      </c>
      <c r="G28" s="2" t="str">
        <f>IFERROR(__xludf.DUMMYFUNCTION("""COMPUTED_VALUE"""),"CE0401")</f>
        <v>CE0401</v>
      </c>
      <c r="H28" s="2">
        <f>IFERROR(__xludf.DUMMYFUNCTION("""COMPUTED_VALUE"""),3)</f>
        <v>3</v>
      </c>
      <c r="I28" s="2">
        <f>IFERROR(__xludf.DUMMYFUNCTION("""COMPUTED_VALUE"""),0)</f>
        <v>0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IFERROR(__xludf.DUMMYFUNCTION("""COMPUTED_VALUE"""),"Theory")</f>
        <v>Theory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IFERROR(__xludf.DUMMYFUNCTION("""COMPUTED_VALUE"""),"CE0407")</f>
        <v>CE0407</v>
      </c>
      <c r="E29" s="2" t="str">
        <f>IFERROR(__xludf.DUMMYFUNCTION("""COMPUTED_VALUE"""),"19CE407")</f>
        <v>19CE407</v>
      </c>
      <c r="F29" s="7" t="str">
        <f>IFERROR(__xludf.DUMMYFUNCTION("""COMPUTED_VALUE"""),"Transportation Engineering")</f>
        <v>Transportation Engineering</v>
      </c>
      <c r="G29" s="2" t="str">
        <f>IFERROR(__xludf.DUMMYFUNCTION("""COMPUTED_VALUE"""),"-")</f>
        <v>-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IFERROR(__xludf.DUMMYFUNCTION("""COMPUTED_VALUE"""),"CE0418")</f>
        <v>CE0418</v>
      </c>
      <c r="E30" s="2" t="str">
        <f>IFERROR(__xludf.DUMMYFUNCTION("""COMPUTED_VALUE"""),"19CE418")</f>
        <v>19CE418</v>
      </c>
      <c r="F30" s="7" t="str">
        <f>IFERROR(__xludf.DUMMYFUNCTION("""COMPUTED_VALUE"""),"Environmental Engineering")</f>
        <v>Environmental Engineering</v>
      </c>
      <c r="G30" s="2" t="str">
        <f>IFERROR(__xludf.DUMMYFUNCTION("""COMPUTED_VALUE"""),"19CE303 / CE0303")</f>
        <v>19CE303 / CE0303</v>
      </c>
      <c r="H30" s="2">
        <f>IFERROR(__xludf.DUMMYFUNCTION("""COMPUTED_VALUE"""),3)</f>
        <v>3</v>
      </c>
      <c r="I30" s="2">
        <f>IFERROR(__xludf.DUMMYFUNCTION("""COMPUTED_VALUE"""),0)</f>
        <v>0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IFERROR(__xludf.DUMMYFUNCTION("""COMPUTED_VALUE"""),"CE0419")</f>
        <v>CE0419</v>
      </c>
      <c r="E31" s="2" t="str">
        <f>IFERROR(__xludf.DUMMYFUNCTION("""COMPUTED_VALUE"""),"19CE419")</f>
        <v>19CE419</v>
      </c>
      <c r="F31" s="7" t="str">
        <f>IFERROR(__xludf.DUMMYFUNCTION("""COMPUTED_VALUE"""),"Water and Wastewater Analysis Laboratory")</f>
        <v>Water and Wastewater Analysis Laboratory</v>
      </c>
      <c r="G31" s="2" t="str">
        <f>IFERROR(__xludf.DUMMYFUNCTION("""COMPUTED_VALUE"""),"-")</f>
        <v>-</v>
      </c>
      <c r="H31" s="2">
        <f>IFERROR(__xludf.DUMMYFUNCTION("""COMPUTED_VALUE"""),0)</f>
        <v>0</v>
      </c>
      <c r="I31" s="2">
        <f>IFERROR(__xludf.DUMMYFUNCTION("""COMPUTED_VALUE"""),2)</f>
        <v>2</v>
      </c>
      <c r="J31" s="2">
        <f>IFERROR(__xludf.DUMMYFUNCTION("""COMPUTED_VALUE"""),2)</f>
        <v>2</v>
      </c>
      <c r="K31" s="2" t="str">
        <f>IFERROR(__xludf.DUMMYFUNCTION("""COMPUTED_VALUE"""),"CGPA")</f>
        <v>CGPA</v>
      </c>
      <c r="L31" s="2" t="str">
        <f>IFERROR(__xludf.DUMMYFUNCTION("""COMPUTED_VALUE"""),"Practical (10 Expts)")</f>
        <v>Practical (10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IFERROR(__xludf.DUMMYFUNCTION("""COMPUTED_VALUE"""),"CE0807")</f>
        <v>CE0807</v>
      </c>
      <c r="E32" s="2" t="str">
        <f>IFERROR(__xludf.DUMMYFUNCTION("""COMPUTED_VALUE"""),"NA")</f>
        <v>NA</v>
      </c>
      <c r="F32" s="7" t="str">
        <f>IFERROR(__xludf.DUMMYFUNCTION("""COMPUTED_VALUE"""),"Foundation Engineering")</f>
        <v>Foundation Engineering</v>
      </c>
      <c r="G32" s="2" t="str">
        <f>IFERROR(__xludf.DUMMYFUNCTION("""COMPUTED_VALUE"""),"CE0403")</f>
        <v>CE0403</v>
      </c>
      <c r="H32" s="2">
        <f>IFERROR(__xludf.DUMMYFUNCTION("""COMPUTED_VALUE"""),3)</f>
        <v>3</v>
      </c>
      <c r="I32" s="2">
        <f>IFERROR(__xludf.DUMMYFUNCTION("""COMPUTED_VALUE"""),0)</f>
        <v>0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IFERROR(__xludf.DUMMYFUNCTION("""COMPUTED_VALUE"""),"Theory")</f>
        <v>Theory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IFERROR(__xludf.DUMMYFUNCTION("""COMPUTED_VALUE"""),"CE0410")</f>
        <v>CE0410</v>
      </c>
      <c r="E33" s="2" t="str">
        <f>IFERROR(__xludf.DUMMYFUNCTION("""COMPUTED_VALUE"""),"19CE410")</f>
        <v>19CE410</v>
      </c>
      <c r="F33" s="7" t="str">
        <f>IFERROR(__xludf.DUMMYFUNCTION("""COMPUTED_VALUE"""),"Water Resources Engineering")</f>
        <v>Water Resources Engineering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IFERROR(__xludf.DUMMYFUNCTION("""COMPUTED_VALUE"""),0)</f>
        <v>0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IFERROR(__xludf.DUMMYFUNCTION("""COMPUTED_VALUE"""),"Theory")</f>
        <v>Theory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IFERROR(__xludf.DUMMYFUNCTION("""COMPUTED_VALUE"""),"CE0808")</f>
        <v>CE0808</v>
      </c>
      <c r="E34" s="2" t="str">
        <f>IFERROR(__xludf.DUMMYFUNCTION("""COMPUTED_VALUE"""),"NA")</f>
        <v>NA</v>
      </c>
      <c r="F34" s="7" t="str">
        <f>IFERROR(__xludf.DUMMYFUNCTION("""COMPUTED_VALUE"""),"Design of Reinforced Concrete Elements")</f>
        <v>Design of Reinforced Concrete Elements</v>
      </c>
      <c r="G34" s="2" t="str">
        <f>IFERROR(__xludf.DUMMYFUNCTION("""COMPUTED_VALUE"""),"CE0806")</f>
        <v>CE0806</v>
      </c>
      <c r="H34" s="2">
        <f>IFERROR(__xludf.DUMMYFUNCTION("""COMPUTED_VALUE"""),3)</f>
        <v>3</v>
      </c>
      <c r="I34" s="2">
        <f>IFERROR(__xludf.DUMMYFUNCTION("""COMPUTED_VALUE"""),0)</f>
        <v>0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IFERROR(__xludf.DUMMYFUNCTION("""COMPUTED_VALUE"""),"Theory")</f>
        <v>Theory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IFERROR(__xludf.DUMMYFUNCTION("""COMPUTED_VALUE"""),"CE0412")</f>
        <v>CE0412</v>
      </c>
      <c r="E35" s="2" t="str">
        <f>IFERROR(__xludf.DUMMYFUNCTION("""COMPUTED_VALUE"""),"19CE412")</f>
        <v>19CE412</v>
      </c>
      <c r="F35" s="7" t="str">
        <f>IFERROR(__xludf.DUMMYFUNCTION("""COMPUTED_VALUE"""),"Survey Camp")</f>
        <v>Survey Camp</v>
      </c>
      <c r="G35" s="2" t="str">
        <f>IFERROR(__xludf.DUMMYFUNCTION("""COMPUTED_VALUE"""),"19CE402 / CE0402")</f>
        <v>19CE402 / CE0402</v>
      </c>
      <c r="H35" s="2">
        <f>IFERROR(__xludf.DUMMYFUNCTION("""COMPUTED_VALUE"""),0)</f>
        <v>0</v>
      </c>
      <c r="I35" s="2">
        <f>IFERROR(__xludf.DUMMYFUNCTION("""COMPUTED_VALUE"""),2)</f>
        <v>2</v>
      </c>
      <c r="J35" s="2">
        <f>IFERROR(__xludf.DUMMYFUNCTION("""COMPUTED_VALUE"""),2)</f>
        <v>2</v>
      </c>
      <c r="K35" s="2" t="str">
        <f>IFERROR(__xludf.DUMMYFUNCTION("""COMPUTED_VALUE"""),"CGPA")</f>
        <v>CGPA</v>
      </c>
      <c r="L35" s="2" t="str">
        <f>IFERROR(__xludf.DUMMYFUNCTION("""COMPUTED_VALUE"""),"Practical (10 Expts)")</f>
        <v>Practical (10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IFERROR(__xludf.DUMMYFUNCTION("""COMPUTED_VALUE"""),"CE0809")</f>
        <v>CE0809</v>
      </c>
      <c r="E36" s="2" t="str">
        <f>IFERROR(__xludf.DUMMYFUNCTION("""COMPUTED_VALUE"""),"NA")</f>
        <v>NA</v>
      </c>
      <c r="F36" s="7" t="str">
        <f>IFERROR(__xludf.DUMMYFUNCTION("""COMPUTED_VALUE"""),"Advanced Structural Analysis")</f>
        <v>Advanced Structural Analysis</v>
      </c>
      <c r="G36" s="2" t="str">
        <f>IFERROR(__xludf.DUMMYFUNCTION("""COMPUTED_VALUE"""),"CE0806")</f>
        <v>CE0806</v>
      </c>
      <c r="H36" s="2">
        <f>IFERROR(__xludf.DUMMYFUNCTION("""COMPUTED_VALUE"""),3)</f>
        <v>3</v>
      </c>
      <c r="I36" s="2">
        <f>IFERROR(__xludf.DUMMYFUNCTION("""COMPUTED_VALUE"""),0)</f>
        <v>0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IFERROR(__xludf.DUMMYFUNCTION("""COMPUTED_VALUE"""),"Theory")</f>
        <v>Theory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IFERROR(__xludf.DUMMYFUNCTION("""COMPUTED_VALUE"""),"CE0414")</f>
        <v>CE0414</v>
      </c>
      <c r="E37" s="2" t="str">
        <f>IFERROR(__xludf.DUMMYFUNCTION("""COMPUTED_VALUE"""),"19CE414")</f>
        <v>19CE414</v>
      </c>
      <c r="F37" s="7" t="str">
        <f>IFERROR(__xludf.DUMMYFUNCTION("""COMPUTED_VALUE"""),"Design of Steel Structures")</f>
        <v>Design of Steel Structures</v>
      </c>
      <c r="G37" s="2" t="str">
        <f>IFERROR(__xludf.DUMMYFUNCTION("""COMPUTED_VALUE"""),"19CE406 / CE0806")</f>
        <v>19CE406 / CE0806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IFERROR(__xludf.DUMMYFUNCTION("""COMPUTED_VALUE"""),"CE0416")</f>
        <v>CE0416</v>
      </c>
      <c r="E38" s="2" t="str">
        <f>IFERROR(__xludf.DUMMYFUNCTION("""COMPUTED_VALUE"""),"19CE416")</f>
        <v>19CE416</v>
      </c>
      <c r="F38" s="7" t="str">
        <f>IFERROR(__xludf.DUMMYFUNCTION("""COMPUTED_VALUE"""),"Estimation, Costing and Valuation")</f>
        <v>Estimation, Costing and Valuation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IFERROR(__xludf.DUMMYFUNCTION("""COMPUTED_VALUE"""),0)</f>
        <v>0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IFERROR(__xludf.DUMMYFUNCTION("""COMPUTED_VALUE"""),"Theory")</f>
        <v>Theory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IFERROR(__xludf.DUMMYFUNCTION("""COMPUTED_VALUE"""),"CE0420")</f>
        <v>CE0420</v>
      </c>
      <c r="E39" s="2" t="str">
        <f>IFERROR(__xludf.DUMMYFUNCTION("""COMPUTED_VALUE"""),"19CE420")</f>
        <v>19CE420</v>
      </c>
      <c r="F39" s="7" t="str">
        <f>IFERROR(__xludf.DUMMYFUNCTION("""COMPUTED_VALUE"""),"Building Information and  Modeling")</f>
        <v>Building Information and  Modeling</v>
      </c>
      <c r="G39" s="2" t="str">
        <f>IFERROR(__xludf.DUMMYFUNCTION("""COMPUTED_VALUE"""),"-")</f>
        <v>-</v>
      </c>
      <c r="H39" s="2">
        <f>IFERROR(__xludf.DUMMYFUNCTION("""COMPUTED_VALUE"""),0)</f>
        <v>0</v>
      </c>
      <c r="I39" s="2">
        <f>IFERROR(__xludf.DUMMYFUNCTION("""COMPUTED_VALUE"""),3)</f>
        <v>3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IFERROR(__xludf.DUMMYFUNCTION("""COMPUTED_VALUE"""),"Practical (10 Expts)")</f>
        <v>Practical (10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IFERROR(__xludf.DUMMYFUNCTION("""COMPUTED_VALUE"""),"CE0810")</f>
        <v>CE0810</v>
      </c>
      <c r="E40" s="2" t="str">
        <f>IFERROR(__xludf.DUMMYFUNCTION("""COMPUTED_VALUE"""),"NA")</f>
        <v>NA</v>
      </c>
      <c r="F40" s="7" t="str">
        <f>IFERROR(__xludf.DUMMYFUNCTION("""COMPUTED_VALUE"""),"Computer Aided Plumbing Drawing")</f>
        <v>Computer Aided Plumbing Drawing</v>
      </c>
      <c r="G40" s="2" t="str">
        <f>IFERROR(__xludf.DUMMYFUNCTION("""COMPUTED_VALUE"""),"-")</f>
        <v>-</v>
      </c>
      <c r="H40" s="2">
        <f>IFERROR(__xludf.DUMMYFUNCTION("""COMPUTED_VALUE"""),0)</f>
        <v>0</v>
      </c>
      <c r="I40" s="2">
        <f>IFERROR(__xludf.DUMMYFUNCTION("""COMPUTED_VALUE"""),2)</f>
        <v>2</v>
      </c>
      <c r="J40" s="2">
        <f>IFERROR(__xludf.DUMMYFUNCTION("""COMPUTED_VALUE"""),2)</f>
        <v>2</v>
      </c>
      <c r="K40" s="2" t="str">
        <f>IFERROR(__xludf.DUMMYFUNCTION("""COMPUTED_VALUE"""),"CGPA")</f>
        <v>CGPA</v>
      </c>
      <c r="L40" s="2" t="str">
        <f>IFERROR(__xludf.DUMMYFUNCTION("""COMPUTED_VALUE"""),"Practical (10 Expts)")</f>
        <v>Practical (10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IFERROR(__xludf.DUMMYFUNCTION("""COMPUTED_VALUE"""),"CE0811")</f>
        <v>CE0811</v>
      </c>
      <c r="E41" s="2" t="str">
        <f>IFERROR(__xludf.DUMMYFUNCTION("""COMPUTED_VALUE"""),"NA")</f>
        <v>NA</v>
      </c>
      <c r="F41" s="7" t="str">
        <f>IFERROR(__xludf.DUMMYFUNCTION("""COMPUTED_VALUE"""),"Prestressed Concrete Structures")</f>
        <v>Prestressed Concrete Structures</v>
      </c>
      <c r="G41" s="2" t="str">
        <f>IFERROR(__xludf.DUMMYFUNCTION("""COMPUTED_VALUE"""),"CE0808")</f>
        <v>CE0808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IFERROR(__xludf.DUMMYFUNCTION("""COMPUTED_VALUE"""),"CE0812")</f>
        <v>CE0812</v>
      </c>
      <c r="E42" s="2" t="str">
        <f>IFERROR(__xludf.DUMMYFUNCTION("""COMPUTED_VALUE"""),"NA")</f>
        <v>NA</v>
      </c>
      <c r="F42" s="7" t="str">
        <f>IFERROR(__xludf.DUMMYFUNCTION("""COMPUTED_VALUE"""),"Robotics and Automation in Construction")</f>
        <v>Robotics and Automation in Construction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IFERROR(__xludf.DUMMYFUNCTION("""COMPUTED_VALUE"""),0)</f>
        <v>0</v>
      </c>
      <c r="J42" s="2">
        <f>IFERROR(__xludf.DUMMYFUNCTION("""COMPUTED_VALUE"""),2)</f>
        <v>2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IFERROR(__xludf.DUMMYFUNCTION("""COMPUTED_VALUE"""),"CE0813")</f>
        <v>CE0813</v>
      </c>
      <c r="E43" s="2" t="str">
        <f>IFERROR(__xludf.DUMMYFUNCTION("""COMPUTED_VALUE"""),"NA")</f>
        <v>NA</v>
      </c>
      <c r="F43" s="7" t="str">
        <f>IFERROR(__xludf.DUMMYFUNCTION("""COMPUTED_VALUE"""),"Advanced Material Science and 3D Printing")</f>
        <v>Advanced Material Science and 3D Printing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IFERROR(__xludf.DUMMYFUNCTION("""COMPUTED_VALUE"""),0)</f>
        <v>0</v>
      </c>
      <c r="J43" s="2">
        <f>IFERROR(__xludf.DUMMYFUNCTION("""COMPUTED_VALUE"""),2)</f>
        <v>2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IFERROR(__xludf.DUMMYFUNCTION("""COMPUTED_VALUE"""),"CE0504")</f>
        <v>CE0504</v>
      </c>
      <c r="E44" s="2" t="str">
        <f>IFERROR(__xludf.DUMMYFUNCTION("""COMPUTED_VALUE"""),"19CE504")</f>
        <v>19CE504</v>
      </c>
      <c r="F44" s="7" t="str">
        <f>IFERROR(__xludf.DUMMYFUNCTION("""COMPUTED_VALUE"""),"Design Studio and Detailing")</f>
        <v>Design Studio and Detailing</v>
      </c>
      <c r="G44" s="2" t="str">
        <f>IFERROR(__xludf.DUMMYFUNCTION("""COMPUTED_VALUE"""),"-")</f>
        <v>-</v>
      </c>
      <c r="H44" s="2">
        <f>IFERROR(__xludf.DUMMYFUNCTION("""COMPUTED_VALUE"""),1)</f>
        <v>1</v>
      </c>
      <c r="I44" s="2">
        <f>IFERROR(__xludf.DUMMYFUNCTION("""COMPUTED_VALUE"""),2)</f>
        <v>2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 (Int Only) and Practical (10 Expts)")</f>
        <v>Theory (Int Only) and Practical (10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IFERROR(__xludf.DUMMYFUNCTION("""COMPUTED_VALUE"""),"CE0814")</f>
        <v>CE0814</v>
      </c>
      <c r="E45" s="2" t="str">
        <f>IFERROR(__xludf.DUMMYFUNCTION("""COMPUTED_VALUE"""),"NA")</f>
        <v>NA</v>
      </c>
      <c r="F45" s="7" t="str">
        <f>IFERROR(__xludf.DUMMYFUNCTION("""COMPUTED_VALUE"""),"Advanced Mechanics of Materials")</f>
        <v>Advanced Mechanics of Materials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IFERROR(__xludf.DUMMYFUNCTION("""COMPUTED_VALUE"""),"CE0506")</f>
        <v>CE0506</v>
      </c>
      <c r="E46" s="2" t="str">
        <f>IFERROR(__xludf.DUMMYFUNCTION("""COMPUTED_VALUE"""),"19CE506")</f>
        <v>19CE506</v>
      </c>
      <c r="F46" s="7" t="str">
        <f>IFERROR(__xludf.DUMMYFUNCTION("""COMPUTED_VALUE"""),"Industrial Structures")</f>
        <v>Industrial Structures</v>
      </c>
      <c r="G46" s="2" t="str">
        <f>IFERROR(__xludf.DUMMYFUNCTION("""COMPUTED_VALUE"""),"19CE413")</f>
        <v>19CE413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IFERROR(__xludf.DUMMYFUNCTION("""COMPUTED_VALUE"""),"CE0815")</f>
        <v>CE0815</v>
      </c>
      <c r="E47" s="2" t="str">
        <f>IFERROR(__xludf.DUMMYFUNCTION("""COMPUTED_VALUE"""),"NA")</f>
        <v>NA</v>
      </c>
      <c r="F47" s="7" t="str">
        <f>IFERROR(__xludf.DUMMYFUNCTION("""COMPUTED_VALUE"""),"Structural Dynamics and Earthquake Engineering")</f>
        <v>Structural Dynamics and Earthquake Engineering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IFERROR(__xludf.DUMMYFUNCTION("""COMPUTED_VALUE"""),"CE0816")</f>
        <v>CE0816</v>
      </c>
      <c r="E48" s="2" t="str">
        <f>IFERROR(__xludf.DUMMYFUNCTION("""COMPUTED_VALUE"""),"NA")</f>
        <v>NA</v>
      </c>
      <c r="F48" s="7" t="str">
        <f>IFERROR(__xludf.DUMMYFUNCTION("""COMPUTED_VALUE"""),"Bridge Engineering")</f>
        <v>Bridge Engineering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IFERROR(__xludf.DUMMYFUNCTION("""COMPUTED_VALUE"""),"CE0817")</f>
        <v>CE0817</v>
      </c>
      <c r="E49" s="2" t="str">
        <f>IFERROR(__xludf.DUMMYFUNCTION("""COMPUTED_VALUE"""),"NA")</f>
        <v>NA</v>
      </c>
      <c r="F49" s="7" t="str">
        <f>IFERROR(__xludf.DUMMYFUNCTION("""COMPUTED_VALUE"""),"Rehabilitation and Heritage Restoration")</f>
        <v>Rehabilitation and Heritage Restoration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IFERROR(__xludf.DUMMYFUNCTION("""COMPUTED_VALUE"""),"CE0507")</f>
        <v>CE0507</v>
      </c>
      <c r="E50" s="2" t="str">
        <f>IFERROR(__xludf.DUMMYFUNCTION("""COMPUTED_VALUE"""),"19CE507")</f>
        <v>19CE507</v>
      </c>
      <c r="F50" s="7" t="str">
        <f>IFERROR(__xludf.DUMMYFUNCTION("""COMPUTED_VALUE"""),"Irrigation Engineering and Drawing")</f>
        <v>Irrigation Engineering and Drawing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IFERROR(__xludf.DUMMYFUNCTION("""COMPUTED_VALUE"""),"CE0508")</f>
        <v>CE0508</v>
      </c>
      <c r="E51" s="2" t="str">
        <f>IFERROR(__xludf.DUMMYFUNCTION("""COMPUTED_VALUE"""),"19CE508")</f>
        <v>19CE508</v>
      </c>
      <c r="F51" s="7" t="str">
        <f>IFERROR(__xludf.DUMMYFUNCTION("""COMPUTED_VALUE"""),"Groundwater Engineering")</f>
        <v>Groundwater Engineering</v>
      </c>
      <c r="G51" s="2" t="str">
        <f>IFERROR(__xludf.DUMMYFUNCTION("""COMPUTED_VALUE"""),"19CE410 / CE0410")</f>
        <v>19CE410 / CE0410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IFERROR(__xludf.DUMMYFUNCTION("""COMPUTED_VALUE"""),"CE0510")</f>
        <v>CE0510</v>
      </c>
      <c r="E52" s="2" t="str">
        <f>IFERROR(__xludf.DUMMYFUNCTION("""COMPUTED_VALUE"""),"19CE510")</f>
        <v>19CE510</v>
      </c>
      <c r="F52" s="7" t="str">
        <f>IFERROR(__xludf.DUMMYFUNCTION("""COMPUTED_VALUE"""),"Integrated Water Resources Management")</f>
        <v>Integrated Water Resources Management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IFERROR(__xludf.DUMMYFUNCTION("""COMPUTED_VALUE"""),"CE0511")</f>
        <v>CE0511</v>
      </c>
      <c r="E53" s="2" t="str">
        <f>IFERROR(__xludf.DUMMYFUNCTION("""COMPUTED_VALUE"""),"19CE511")</f>
        <v>19CE511</v>
      </c>
      <c r="F53" s="7" t="str">
        <f>IFERROR(__xludf.DUMMYFUNCTION("""COMPUTED_VALUE"""),"Water Resources Systems")</f>
        <v>Water Resources Systems</v>
      </c>
      <c r="G53" s="2" t="str">
        <f>IFERROR(__xludf.DUMMYFUNCTION("""COMPUTED_VALUE"""),"19CE410 / CE0410")</f>
        <v>19CE410 / CE0410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IFERROR(__xludf.DUMMYFUNCTION("""COMPUTED_VALUE"""),"CE0818")</f>
        <v>CE0818</v>
      </c>
      <c r="E54" s="2" t="str">
        <f>IFERROR(__xludf.DUMMYFUNCTION("""COMPUTED_VALUE"""),"NA")</f>
        <v>NA</v>
      </c>
      <c r="F54" s="7" t="str">
        <f>IFERROR(__xludf.DUMMYFUNCTION("""COMPUTED_VALUE"""),"Advanced Hydrology and Flood Risk Management")</f>
        <v>Advanced Hydrology and Flood Risk Management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IFERROR(__xludf.DUMMYFUNCTION("""COMPUTED_VALUE"""),"CE0819")</f>
        <v>CE0819</v>
      </c>
      <c r="E55" s="2" t="str">
        <f>IFERROR(__xludf.DUMMYFUNCTION("""COMPUTED_VALUE"""),"NA")</f>
        <v>NA</v>
      </c>
      <c r="F55" s="7" t="str">
        <f>IFERROR(__xludf.DUMMYFUNCTION("""COMPUTED_VALUE"""),"Hydraulic Modeling and Water Infrastructure Simulation")</f>
        <v>Hydraulic Modeling and Water Infrastructure Simulation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IFERROR(__xludf.DUMMYFUNCTION("""COMPUTED_VALUE"""),"CE0820")</f>
        <v>CE0820</v>
      </c>
      <c r="E56" s="2" t="str">
        <f>IFERROR(__xludf.DUMMYFUNCTION("""COMPUTED_VALUE"""),"NA")</f>
        <v>NA</v>
      </c>
      <c r="F56" s="7" t="str">
        <f>IFERROR(__xludf.DUMMYFUNCTION("""COMPUTED_VALUE"""),"Geo-Environmental Engineering")</f>
        <v>Geo-Environmental Engineering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IFERROR(__xludf.DUMMYFUNCTION("""COMPUTED_VALUE"""),"CE0516")</f>
        <v>CE0516</v>
      </c>
      <c r="E57" s="2" t="str">
        <f>IFERROR(__xludf.DUMMYFUNCTION("""COMPUTED_VALUE"""),"19CE516")</f>
        <v>19CE516</v>
      </c>
      <c r="F57" s="7" t="str">
        <f>IFERROR(__xludf.DUMMYFUNCTION("""COMPUTED_VALUE"""),"Ground Improvement Techniques")</f>
        <v>Ground Improvement Techniques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IFERROR(__xludf.DUMMYFUNCTION("""COMPUTED_VALUE"""),"CE0821")</f>
        <v>CE0821</v>
      </c>
      <c r="E58" s="2" t="str">
        <f>IFERROR(__xludf.DUMMYFUNCTION("""COMPUTED_VALUE"""),"NA")</f>
        <v>NA</v>
      </c>
      <c r="F58" s="7" t="str">
        <f>IFERROR(__xludf.DUMMYFUNCTION("""COMPUTED_VALUE"""),"Soil Dynamics and Machine Foundations")</f>
        <v>Soil Dynamics and Machine Foundations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IFERROR(__xludf.DUMMYFUNCTION("""COMPUTED_VALUE"""),"CE0822")</f>
        <v>CE0822</v>
      </c>
      <c r="E59" s="2" t="str">
        <f>IFERROR(__xludf.DUMMYFUNCTION("""COMPUTED_VALUE"""),"NA")</f>
        <v>NA</v>
      </c>
      <c r="F59" s="7" t="str">
        <f>IFERROR(__xludf.DUMMYFUNCTION("""COMPUTED_VALUE"""),"Rock Mechanics and Tunneling Technology")</f>
        <v>Rock Mechanics and Tunneling Technology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IFERROR(__xludf.DUMMYFUNCTION("""COMPUTED_VALUE"""),"CE0823")</f>
        <v>CE0823</v>
      </c>
      <c r="E60" s="2" t="str">
        <f>IFERROR(__xludf.DUMMYFUNCTION("""COMPUTED_VALUE"""),"NA")</f>
        <v>NA</v>
      </c>
      <c r="F60" s="7" t="str">
        <f>IFERROR(__xludf.DUMMYFUNCTION("""COMPUTED_VALUE"""),"Geosynthetics and Reinforced Soil Structures")</f>
        <v>Geosynthetics and Reinforced Soil Structures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IFERROR(__xludf.DUMMYFUNCTION("""COMPUTED_VALUE"""),"CE0824")</f>
        <v>CE0824</v>
      </c>
      <c r="E61" s="2" t="str">
        <f>IFERROR(__xludf.DUMMYFUNCTION("""COMPUTED_VALUE"""),"NA")</f>
        <v>NA</v>
      </c>
      <c r="F61" s="7" t="str">
        <f>IFERROR(__xludf.DUMMYFUNCTION("""COMPUTED_VALUE"""),"Slope Stability and Landslide Management")</f>
        <v>Slope Stability and Landslide Management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IFERROR(__xludf.DUMMYFUNCTION("""COMPUTED_VALUE"""),"CE0512")</f>
        <v>CE0512</v>
      </c>
      <c r="E62" s="2" t="str">
        <f>IFERROR(__xludf.DUMMYFUNCTION("""COMPUTED_VALUE"""),"19CE512")</f>
        <v>19CE512</v>
      </c>
      <c r="F62" s="7" t="str">
        <f>IFERROR(__xludf.DUMMYFUNCTION("""COMPUTED_VALUE"""),"Geoinformatics Applications")</f>
        <v>Geoinformatics Applications</v>
      </c>
      <c r="G62" s="2" t="str">
        <f>IFERROR(__xludf.DUMMYFUNCTION("""COMPUTED_VALUE"""),"19CE402 / CE0402")</f>
        <v>19CE402 / CE0402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IFERROR(__xludf.DUMMYFUNCTION("""COMPUTED_VALUE"""),"CE0513")</f>
        <v>CE0513</v>
      </c>
      <c r="E63" s="2" t="str">
        <f>IFERROR(__xludf.DUMMYFUNCTION("""COMPUTED_VALUE"""),"19CE513")</f>
        <v>19CE513</v>
      </c>
      <c r="F63" s="7" t="str">
        <f>IFERROR(__xludf.DUMMYFUNCTION("""COMPUTED_VALUE"""),"Geographical Information System")</f>
        <v>Geographical Information System</v>
      </c>
      <c r="G63" s="2" t="str">
        <f>IFERROR(__xludf.DUMMYFUNCTION("""COMPUTED_VALUE"""),"19CE402 / CE0402")</f>
        <v>19CE402 / CE0402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IFERROR(__xludf.DUMMYFUNCTION("""COMPUTED_VALUE"""),"CE0515")</f>
        <v>CE0515</v>
      </c>
      <c r="E64" s="2" t="str">
        <f>IFERROR(__xludf.DUMMYFUNCTION("""COMPUTED_VALUE"""),"19CE515")</f>
        <v>19CE515</v>
      </c>
      <c r="F64" s="7" t="str">
        <f>IFERROR(__xludf.DUMMYFUNCTION("""COMPUTED_VALUE"""),"Digital Cadastre")</f>
        <v>Digital Cadastre</v>
      </c>
      <c r="G64" s="2" t="str">
        <f>IFERROR(__xludf.DUMMYFUNCTION("""COMPUTED_VALUE"""),"19CE402 / CE0402")</f>
        <v>19CE402 / CE0402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IFERROR(__xludf.DUMMYFUNCTION("""COMPUTED_VALUE"""),"CE0825")</f>
        <v>CE0825</v>
      </c>
      <c r="E65" s="2" t="str">
        <f>IFERROR(__xludf.DUMMYFUNCTION("""COMPUTED_VALUE"""),"NA")</f>
        <v>NA</v>
      </c>
      <c r="F65" s="7" t="str">
        <f>IFERROR(__xludf.DUMMYFUNCTION("""COMPUTED_VALUE"""),"Remote Sensing and Image Processing")</f>
        <v>Remote Sensing and Image Processing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IFERROR(__xludf.DUMMYFUNCTION("""COMPUTED_VALUE"""),"CE0826")</f>
        <v>CE0826</v>
      </c>
      <c r="E66" s="2" t="str">
        <f>IFERROR(__xludf.DUMMYFUNCTION("""COMPUTED_VALUE"""),"NA")</f>
        <v>NA</v>
      </c>
      <c r="F66" s="7" t="str">
        <f>IFERROR(__xludf.DUMMYFUNCTION("""COMPUTED_VALUE"""),"Hydrographic Surveying")</f>
        <v>Hydrographic Surveying</v>
      </c>
      <c r="G66" s="2" t="str">
        <f>IFERROR(__xludf.DUMMYFUNCTION("""COMPUTED_VALUE"""),"-")</f>
        <v>-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IFERROR(__xludf.DUMMYFUNCTION("""COMPUTED_VALUE"""),"CE0827")</f>
        <v>CE0827</v>
      </c>
      <c r="E67" s="2" t="str">
        <f>IFERROR(__xludf.DUMMYFUNCTION("""COMPUTED_VALUE"""),"NA")</f>
        <v>NA</v>
      </c>
      <c r="F67" s="7" t="str">
        <f>IFERROR(__xludf.DUMMYFUNCTION("""COMPUTED_VALUE"""),"Photogrammetry")</f>
        <v>Photogrammetry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IFERROR(__xludf.DUMMYFUNCTION("""COMPUTED_VALUE"""),"CE0828")</f>
        <v>CE0828</v>
      </c>
      <c r="E68" s="2" t="str">
        <f>IFERROR(__xludf.DUMMYFUNCTION("""COMPUTED_VALUE"""),"NA")</f>
        <v>NA</v>
      </c>
      <c r="F68" s="7" t="str">
        <f>IFERROR(__xludf.DUMMYFUNCTION("""COMPUTED_VALUE"""),"Industrial Wastewater Management")</f>
        <v>Industrial Wastewater Management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IFERROR(__xludf.DUMMYFUNCTION("""COMPUTED_VALUE"""),"CE0829")</f>
        <v>CE0829</v>
      </c>
      <c r="E69" s="2" t="str">
        <f>IFERROR(__xludf.DUMMYFUNCTION("""COMPUTED_VALUE"""),"NA")</f>
        <v>NA</v>
      </c>
      <c r="F69" s="7" t="str">
        <f>IFERROR(__xludf.DUMMYFUNCTION("""COMPUTED_VALUE"""),"Environmental Quality Monitoring")</f>
        <v>Environmental Quality Monitoring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IFERROR(__xludf.DUMMYFUNCTION("""COMPUTED_VALUE"""),"CE0520")</f>
        <v>CE0520</v>
      </c>
      <c r="E70" s="2" t="str">
        <f>IFERROR(__xludf.DUMMYFUNCTION("""COMPUTED_VALUE"""),"19CE520")</f>
        <v>19CE520</v>
      </c>
      <c r="F70" s="7" t="str">
        <f>IFERROR(__xludf.DUMMYFUNCTION("""COMPUTED_VALUE"""),"Environmental Impact Assessment")</f>
        <v>Environmental Impact Assessment</v>
      </c>
      <c r="G70" s="2" t="str">
        <f>IFERROR(__xludf.DUMMYFUNCTION("""COMPUTED_VALUE"""),"19CE410 / CE0410")</f>
        <v>19CE410 / CE0410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IFERROR(__xludf.DUMMYFUNCTION("""COMPUTED_VALUE"""),"CE0521")</f>
        <v>CE0521</v>
      </c>
      <c r="E71" s="2" t="str">
        <f>IFERROR(__xludf.DUMMYFUNCTION("""COMPUTED_VALUE"""),"19CE521")</f>
        <v>19CE521</v>
      </c>
      <c r="F71" s="7" t="str">
        <f>IFERROR(__xludf.DUMMYFUNCTION("""COMPUTED_VALUE"""),"Air Pollution Engineering")</f>
        <v>Air Pollution Engineering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IFERROR(__xludf.DUMMYFUNCTION("""COMPUTED_VALUE"""),"CE0522")</f>
        <v>CE0522</v>
      </c>
      <c r="E72" s="2" t="str">
        <f>IFERROR(__xludf.DUMMYFUNCTION("""COMPUTED_VALUE"""),"19CE522")</f>
        <v>19CE522</v>
      </c>
      <c r="F72" s="7" t="str">
        <f>IFERROR(__xludf.DUMMYFUNCTION("""COMPUTED_VALUE"""),"Data Analytics in Environmental Engineering")</f>
        <v>Data Analytics in Environmental Engineering</v>
      </c>
      <c r="G72" s="2" t="str">
        <f>IFERROR(__xludf.DUMMYFUNCTION("""COMPUTED_VALUE"""),"19CE408")</f>
        <v>19CE408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IFERROR(__xludf.DUMMYFUNCTION("""COMPUTED_VALUE"""),"CE0523")</f>
        <v>CE0523</v>
      </c>
      <c r="E73" s="2" t="str">
        <f>IFERROR(__xludf.DUMMYFUNCTION("""COMPUTED_VALUE"""),"19CE523")</f>
        <v>19CE523</v>
      </c>
      <c r="F73" s="7" t="str">
        <f>IFERROR(__xludf.DUMMYFUNCTION("""COMPUTED_VALUE"""),"Instrumentation for Pollution Monitoring and Management")</f>
        <v>Instrumentation for Pollution Monitoring and Management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IFERROR(__xludf.DUMMYFUNCTION("""COMPUTED_VALUE"""),"CE0524")</f>
        <v>CE0524</v>
      </c>
      <c r="E74" s="2" t="str">
        <f>IFERROR(__xludf.DUMMYFUNCTION("""COMPUTED_VALUE"""),"19CE524")</f>
        <v>19CE524</v>
      </c>
      <c r="F74" s="7" t="str">
        <f>IFERROR(__xludf.DUMMYFUNCTION("""COMPUTED_VALUE"""),"Airport Engineering")</f>
        <v>Airport Engineering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IFERROR(__xludf.DUMMYFUNCTION("""COMPUTED_VALUE"""),"CE0830")</f>
        <v>CE0830</v>
      </c>
      <c r="E75" s="2" t="str">
        <f>IFERROR(__xludf.DUMMYFUNCTION("""COMPUTED_VALUE"""),"NA")</f>
        <v>NA</v>
      </c>
      <c r="F75" s="7" t="str">
        <f>IFERROR(__xludf.DUMMYFUNCTION("""COMPUTED_VALUE"""),"Traffic Engineering and Management")</f>
        <v>Traffic Engineering and Management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IFERROR(__xludf.DUMMYFUNCTION("""COMPUTED_VALUE"""),"CE0526")</f>
        <v>CE0526</v>
      </c>
      <c r="E76" s="2" t="str">
        <f>IFERROR(__xludf.DUMMYFUNCTION("""COMPUTED_VALUE"""),"19CE526")</f>
        <v>19CE526</v>
      </c>
      <c r="F76" s="7" t="str">
        <f>IFERROR(__xludf.DUMMYFUNCTION("""COMPUTED_VALUE"""),"Port and Harbour Engineering")</f>
        <v>Port and Harbour Engineering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IFERROR(__xludf.DUMMYFUNCTION("""COMPUTED_VALUE"""),"CE0831")</f>
        <v>CE0831</v>
      </c>
      <c r="E77" s="2" t="str">
        <f>IFERROR(__xludf.DUMMYFUNCTION("""COMPUTED_VALUE"""),"NA")</f>
        <v>NA</v>
      </c>
      <c r="F77" s="7" t="str">
        <f>IFERROR(__xludf.DUMMYFUNCTION("""COMPUTED_VALUE"""),"Railway Engineering")</f>
        <v>Railway Engineering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IFERROR(__xludf.DUMMYFUNCTION("""COMPUTED_VALUE"""),"CE0832")</f>
        <v>CE0832</v>
      </c>
      <c r="E78" s="2" t="str">
        <f>IFERROR(__xludf.DUMMYFUNCTION("""COMPUTED_VALUE"""),"NA")</f>
        <v>NA</v>
      </c>
      <c r="F78" s="7" t="str">
        <f>IFERROR(__xludf.DUMMYFUNCTION("""COMPUTED_VALUE"""),"Pavement Engineering")</f>
        <v>Pavement Engineering</v>
      </c>
      <c r="G78" s="2" t="str">
        <f>IFERROR(__xludf.DUMMYFUNCTION("""COMPUTED_VALUE"""),"-")</f>
        <v>-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IFERROR(__xludf.DUMMYFUNCTION("""COMPUTED_VALUE"""),"CE0833")</f>
        <v>CE0833</v>
      </c>
      <c r="E79" s="2" t="str">
        <f>IFERROR(__xludf.DUMMYFUNCTION("""COMPUTED_VALUE"""),"NA")</f>
        <v>NA</v>
      </c>
      <c r="F79" s="7" t="str">
        <f>IFERROR(__xludf.DUMMYFUNCTION("""COMPUTED_VALUE"""),"Transportation Planning Process")</f>
        <v>Transportation Planning Process</v>
      </c>
      <c r="G79" s="2" t="str">
        <f>IFERROR(__xludf.DUMMYFUNCTION("""COMPUTED_VALUE"""),"-")</f>
        <v>-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IFERROR(__xludf.DUMMYFUNCTION("""COMPUTED_VALUE"""),"CE0834")</f>
        <v>CE0834</v>
      </c>
      <c r="E80" s="2" t="str">
        <f>IFERROR(__xludf.DUMMYFUNCTION("""COMPUTED_VALUE"""),"NA")</f>
        <v>NA</v>
      </c>
      <c r="F80" s="7" t="str">
        <f>IFERROR(__xludf.DUMMYFUNCTION("""COMPUTED_VALUE"""),"Sustainable Construction and Lean Construction")</f>
        <v>Sustainable Construction and Lean Construction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IFERROR(__xludf.DUMMYFUNCTION("""COMPUTED_VALUE"""),"CE0835")</f>
        <v>CE0835</v>
      </c>
      <c r="E81" s="2" t="str">
        <f>IFERROR(__xludf.DUMMYFUNCTION("""COMPUTED_VALUE"""),"NA")</f>
        <v>NA</v>
      </c>
      <c r="F81" s="7" t="str">
        <f>IFERROR(__xludf.DUMMYFUNCTION("""COMPUTED_VALUE"""),"Formwork Engineering")</f>
        <v>Formwork Engineering</v>
      </c>
      <c r="G81" s="2" t="str">
        <f>IFERROR(__xludf.DUMMYFUNCTION("""COMPUTED_VALUE"""),"-")</f>
        <v>-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IFERROR(__xludf.DUMMYFUNCTION("""COMPUTED_VALUE"""),"CE0527")</f>
        <v>CE0527</v>
      </c>
      <c r="E82" s="2" t="str">
        <f>IFERROR(__xludf.DUMMYFUNCTION("""COMPUTED_VALUE"""),"19CE527")</f>
        <v>19CE527</v>
      </c>
      <c r="F82" s="7" t="str">
        <f>IFERROR(__xludf.DUMMYFUNCTION("""COMPUTED_VALUE"""),"Construction Engineering and Occupational Safety")</f>
        <v>Construction Engineering and Occupational Safety</v>
      </c>
      <c r="G82" s="2" t="str">
        <f>IFERROR(__xludf.DUMMYFUNCTION("""COMPUTED_VALUE"""),"-")</f>
        <v>-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IFERROR(__xludf.DUMMYFUNCTION("""COMPUTED_VALUE"""),"CE0528")</f>
        <v>CE0528</v>
      </c>
      <c r="E83" s="2" t="str">
        <f>IFERROR(__xludf.DUMMYFUNCTION("""COMPUTED_VALUE"""),"19CE528")</f>
        <v>19CE528</v>
      </c>
      <c r="F83" s="7" t="str">
        <f>IFERROR(__xludf.DUMMYFUNCTION("""COMPUTED_VALUE"""),"Contract Laws and Regulations")</f>
        <v>Contract Laws and Regulations</v>
      </c>
      <c r="G83" s="2" t="str">
        <f>IFERROR(__xludf.DUMMYFUNCTION("""COMPUTED_VALUE"""),"-")</f>
        <v>-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IFERROR(__xludf.DUMMYFUNCTION("""COMPUTED_VALUE"""),"CE0531")</f>
        <v>CE0531</v>
      </c>
      <c r="E84" s="2" t="str">
        <f>IFERROR(__xludf.DUMMYFUNCTION("""COMPUTED_VALUE"""),"19CE531")</f>
        <v>19CE531</v>
      </c>
      <c r="F84" s="7" t="str">
        <f>IFERROR(__xludf.DUMMYFUNCTION("""COMPUTED_VALUE"""),"Construction Project Management")</f>
        <v>Construction Project Management</v>
      </c>
      <c r="G84" s="2" t="str">
        <f>IFERROR(__xludf.DUMMYFUNCTION("""COMPUTED_VALUE"""),"-")</f>
        <v>-</v>
      </c>
      <c r="H84" s="2">
        <f>IFERROR(__xludf.DUMMYFUNCTION("""COMPUTED_VALUE"""),3)</f>
        <v>3</v>
      </c>
      <c r="I84" s="2">
        <f>IFERROR(__xludf.DUMMYFUNCTION("""COMPUTED_VALUE"""),0)</f>
        <v>0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IFERROR(__xludf.DUMMYFUNCTION("""COMPUTED_VALUE"""),"Theory")</f>
        <v>Theory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IFERROR(__xludf.DUMMYFUNCTION("""COMPUTED_VALUE"""),"CE0532")</f>
        <v>CE0532</v>
      </c>
      <c r="E85" s="2" t="str">
        <f>IFERROR(__xludf.DUMMYFUNCTION("""COMPUTED_VALUE"""),"19CE532")</f>
        <v>19CE532</v>
      </c>
      <c r="F85" s="7" t="str">
        <f>IFERROR(__xludf.DUMMYFUNCTION("""COMPUTED_VALUE"""),"Material Science and Engineering")</f>
        <v>Material Science and Engineering</v>
      </c>
      <c r="G85" s="2" t="str">
        <f>IFERROR(__xludf.DUMMYFUNCTION("""COMPUTED_VALUE"""),"19CE304")</f>
        <v>19CE304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IFERROR(__xludf.DUMMYFUNCTION("""COMPUTED_VALUE"""),"PE(Honours 1)")</f>
        <v>PE(Honours 1)</v>
      </c>
      <c r="D86" s="2" t="str">
        <f>IFERROR(__xludf.DUMMYFUNCTION("""COMPUTED_VALUE"""),"CE0503")</f>
        <v>CE0503</v>
      </c>
      <c r="E86" s="2" t="str">
        <f>IFERROR(__xludf.DUMMYFUNCTION("""COMPUTED_VALUE"""),"19CE503")</f>
        <v>19CE503</v>
      </c>
      <c r="F86" s="7" t="str">
        <f>IFERROR(__xludf.DUMMYFUNCTION("""COMPUTED_VALUE"""),"Prefabricated Structures")</f>
        <v>Prefabricated Structures</v>
      </c>
      <c r="G86" s="2" t="str">
        <f>IFERROR(__xludf.DUMMYFUNCTION("""COMPUTED_VALUE"""),"-")</f>
        <v>-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IFERROR(__xludf.DUMMYFUNCTION("""COMPUTED_VALUE"""),"PE(Honours 1)")</f>
        <v>PE(Honours 1)</v>
      </c>
      <c r="D87" s="2" t="str">
        <f>IFERROR(__xludf.DUMMYFUNCTION("""COMPUTED_VALUE"""),"CE0533")</f>
        <v>CE0533</v>
      </c>
      <c r="E87" s="2" t="str">
        <f>IFERROR(__xludf.DUMMYFUNCTION("""COMPUTED_VALUE"""),"19CE533")</f>
        <v>19CE533</v>
      </c>
      <c r="F87" s="7" t="str">
        <f>IFERROR(__xludf.DUMMYFUNCTION("""COMPUTED_VALUE"""),"Watershed Conservation and Management")</f>
        <v>Watershed Conservation and Management</v>
      </c>
      <c r="G87" s="2" t="str">
        <f>IFERROR(__xludf.DUMMYFUNCTION("""COMPUTED_VALUE"""),"-")</f>
        <v>-</v>
      </c>
      <c r="H87" s="2">
        <f>IFERROR(__xludf.DUMMYFUNCTION("""COMPUTED_VALUE"""),3)</f>
        <v>3</v>
      </c>
      <c r="I87" s="2">
        <f>IFERROR(__xludf.DUMMYFUNCTION("""COMPUTED_VALUE"""),0)</f>
        <v>0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IFERROR(__xludf.DUMMYFUNCTION("""COMPUTED_VALUE"""),"Theory")</f>
        <v>Theory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IFERROR(__xludf.DUMMYFUNCTION("""COMPUTED_VALUE"""),"PE(Honours 1)")</f>
        <v>PE(Honours 1)</v>
      </c>
      <c r="D88" s="2" t="str">
        <f>IFERROR(__xludf.DUMMYFUNCTION("""COMPUTED_VALUE"""),"CE0534")</f>
        <v>CE0534</v>
      </c>
      <c r="E88" s="2" t="str">
        <f>IFERROR(__xludf.DUMMYFUNCTION("""COMPUTED_VALUE"""),"19CE534")</f>
        <v>19CE534</v>
      </c>
      <c r="F88" s="7" t="str">
        <f>IFERROR(__xludf.DUMMYFUNCTION("""COMPUTED_VALUE"""),"Analysis and Design of Deep Foundations")</f>
        <v>Analysis and Design of Deep Foundations</v>
      </c>
      <c r="G88" s="2" t="str">
        <f>IFERROR(__xludf.DUMMYFUNCTION("""COMPUTED_VALUE"""),"-")</f>
        <v>-</v>
      </c>
      <c r="H88" s="2">
        <f>IFERROR(__xludf.DUMMYFUNCTION("""COMPUTED_VALUE"""),3)</f>
        <v>3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IFERROR(__xludf.DUMMYFUNCTION("""COMPUTED_VALUE"""),"Theory")</f>
        <v>Theory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IFERROR(__xludf.DUMMYFUNCTION("""COMPUTED_VALUE"""),"PE(Honours 1)")</f>
        <v>PE(Honours 1)</v>
      </c>
      <c r="D89" s="2" t="str">
        <f>IFERROR(__xludf.DUMMYFUNCTION("""COMPUTED_VALUE"""),"CE0535")</f>
        <v>CE0535</v>
      </c>
      <c r="E89" s="2" t="str">
        <f>IFERROR(__xludf.DUMMYFUNCTION("""COMPUTED_VALUE"""),"19CE535")</f>
        <v>19CE535</v>
      </c>
      <c r="F89" s="7" t="str">
        <f>IFERROR(__xludf.DUMMYFUNCTION("""COMPUTED_VALUE"""),"UAV and Drone Technology for Mapping")</f>
        <v>UAV and Drone Technology for Mapping</v>
      </c>
      <c r="G89" s="2" t="str">
        <f>IFERROR(__xludf.DUMMYFUNCTION("""COMPUTED_VALUE"""),"-")</f>
        <v>-</v>
      </c>
      <c r="H89" s="2">
        <f>IFERROR(__xludf.DUMMYFUNCTION("""COMPUTED_VALUE"""),3)</f>
        <v>3</v>
      </c>
      <c r="I89" s="2">
        <f>IFERROR(__xludf.DUMMYFUNCTION("""COMPUTED_VALUE"""),0)</f>
        <v>0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IFERROR(__xludf.DUMMYFUNCTION("""COMPUTED_VALUE"""),"Theory")</f>
        <v>Theory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IFERROR(__xludf.DUMMYFUNCTION("""COMPUTED_VALUE"""),"PE(Honours 1)")</f>
        <v>PE(Honours 1)</v>
      </c>
      <c r="D90" s="2" t="str">
        <f>IFERROR(__xludf.DUMMYFUNCTION("""COMPUTED_VALUE"""),"CE0536")</f>
        <v>CE0536</v>
      </c>
      <c r="E90" s="2" t="str">
        <f>IFERROR(__xludf.DUMMYFUNCTION("""COMPUTED_VALUE"""),"19CE536")</f>
        <v>19CE536</v>
      </c>
      <c r="F90" s="7" t="str">
        <f>IFERROR(__xludf.DUMMYFUNCTION("""COMPUTED_VALUE"""),"Solid and Hazardous Waste Management")</f>
        <v>Solid and Hazardous Waste Management</v>
      </c>
      <c r="G90" s="2" t="str">
        <f>IFERROR(__xludf.DUMMYFUNCTION("""COMPUTED_VALUE"""),"-")</f>
        <v>-</v>
      </c>
      <c r="H90" s="2">
        <f>IFERROR(__xludf.DUMMYFUNCTION("""COMPUTED_VALUE"""),3)</f>
        <v>3</v>
      </c>
      <c r="I90" s="2">
        <f>IFERROR(__xludf.DUMMYFUNCTION("""COMPUTED_VALUE"""),0)</f>
        <v>0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IFERROR(__xludf.DUMMYFUNCTION("""COMPUTED_VALUE"""),"Theory")</f>
        <v>Theory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IFERROR(__xludf.DUMMYFUNCTION("""COMPUTED_VALUE"""),"PE(Honours 1)")</f>
        <v>PE(Honours 1)</v>
      </c>
      <c r="D91" s="2" t="str">
        <f>IFERROR(__xludf.DUMMYFUNCTION("""COMPUTED_VALUE"""),"CE0537")</f>
        <v>CE0537</v>
      </c>
      <c r="E91" s="2" t="str">
        <f>IFERROR(__xludf.DUMMYFUNCTION("""COMPUTED_VALUE"""),"19CE537")</f>
        <v>19CE537</v>
      </c>
      <c r="F91" s="7" t="str">
        <f>IFERROR(__xludf.DUMMYFUNCTION("""COMPUTED_VALUE"""),"Intelligent Transport Systems")</f>
        <v>Intelligent Transport Systems</v>
      </c>
      <c r="G91" s="2" t="str">
        <f>IFERROR(__xludf.DUMMYFUNCTION("""COMPUTED_VALUE"""),"-")</f>
        <v>-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IFERROR(__xludf.DUMMYFUNCTION("""COMPUTED_VALUE"""),"PE(Honours 1)")</f>
        <v>PE(Honours 1)</v>
      </c>
      <c r="D92" s="2" t="str">
        <f>IFERROR(__xludf.DUMMYFUNCTION("""COMPUTED_VALUE"""),"CE0539")</f>
        <v>CE0539</v>
      </c>
      <c r="E92" s="2" t="str">
        <f>IFERROR(__xludf.DUMMYFUNCTION("""COMPUTED_VALUE"""),"19CE539")</f>
        <v>19CE539</v>
      </c>
      <c r="F92" s="7" t="str">
        <f>IFERROR(__xludf.DUMMYFUNCTION("""COMPUTED_VALUE"""),"Advanced Construction Techniques")</f>
        <v>Advanced Construction Techniques</v>
      </c>
      <c r="G92" s="2" t="str">
        <f>IFERROR(__xludf.DUMMYFUNCTION("""COMPUTED_VALUE"""),"-")</f>
        <v>-</v>
      </c>
      <c r="H92" s="2">
        <f>IFERROR(__xludf.DUMMYFUNCTION("""COMPUTED_VALUE"""),3)</f>
        <v>3</v>
      </c>
      <c r="I92" s="2">
        <f>IFERROR(__xludf.DUMMYFUNCTION("""COMPUTED_VALUE"""),0)</f>
        <v>0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IFERROR(__xludf.DUMMYFUNCTION("""COMPUTED_VALUE"""),"Theory")</f>
        <v>Theory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IFERROR(__xludf.DUMMYFUNCTION("""COMPUTED_VALUE"""),"PE(Honours 2)")</f>
        <v>PE(Honours 2)</v>
      </c>
      <c r="D93" s="2" t="str">
        <f>IFERROR(__xludf.DUMMYFUNCTION("""COMPUTED_VALUE"""),"CE0541")</f>
        <v>CE0541</v>
      </c>
      <c r="E93" s="2" t="str">
        <f>IFERROR(__xludf.DUMMYFUNCTION("""COMPUTED_VALUE"""),"19CE541")</f>
        <v>19CE541</v>
      </c>
      <c r="F93" s="7" t="str">
        <f>IFERROR(__xludf.DUMMYFUNCTION("""COMPUTED_VALUE"""),"Precast Technology")</f>
        <v>Precast Technology</v>
      </c>
      <c r="G93" s="2" t="str">
        <f>IFERROR(__xludf.DUMMYFUNCTION("""COMPUTED_VALUE"""),"-")</f>
        <v>-</v>
      </c>
      <c r="H93" s="2">
        <f>IFERROR(__xludf.DUMMYFUNCTION("""COMPUTED_VALUE"""),3)</f>
        <v>3</v>
      </c>
      <c r="I93" s="2">
        <f>IFERROR(__xludf.DUMMYFUNCTION("""COMPUTED_VALUE"""),0)</f>
        <v>0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IFERROR(__xludf.DUMMYFUNCTION("""COMPUTED_VALUE"""),"Theory")</f>
        <v>Theory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IFERROR(__xludf.DUMMYFUNCTION("""COMPUTED_VALUE"""),"PE(Honours 2)")</f>
        <v>PE(Honours 2)</v>
      </c>
      <c r="D94" s="2" t="str">
        <f>IFERROR(__xludf.DUMMYFUNCTION("""COMPUTED_VALUE"""),"CE0542")</f>
        <v>CE0542</v>
      </c>
      <c r="E94" s="2" t="str">
        <f>IFERROR(__xludf.DUMMYFUNCTION("""COMPUTED_VALUE"""),"19CE542")</f>
        <v>19CE542</v>
      </c>
      <c r="F94" s="7" t="str">
        <f>IFERROR(__xludf.DUMMYFUNCTION("""COMPUTED_VALUE"""),"Urban Water Infrastructure")</f>
        <v>Urban Water Infrastructure</v>
      </c>
      <c r="G94" s="2" t="str">
        <f>IFERROR(__xludf.DUMMYFUNCTION("""COMPUTED_VALUE"""),"-")</f>
        <v>-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IFERROR(__xludf.DUMMYFUNCTION("""COMPUTED_VALUE"""),"PE(Honours 2)")</f>
        <v>PE(Honours 2)</v>
      </c>
      <c r="D95" s="2" t="str">
        <f>IFERROR(__xludf.DUMMYFUNCTION("""COMPUTED_VALUE"""),"CE0543")</f>
        <v>CE0543</v>
      </c>
      <c r="E95" s="2" t="str">
        <f>IFERROR(__xludf.DUMMYFUNCTION("""COMPUTED_VALUE"""),"19CE543")</f>
        <v>19CE543</v>
      </c>
      <c r="F95" s="7" t="str">
        <f>IFERROR(__xludf.DUMMYFUNCTION("""COMPUTED_VALUE"""),"Tunneling Engineering")</f>
        <v>Tunneling Engineering</v>
      </c>
      <c r="G95" s="2" t="str">
        <f>IFERROR(__xludf.DUMMYFUNCTION("""COMPUTED_VALUE"""),"-")</f>
        <v>-</v>
      </c>
      <c r="H95" s="2">
        <f>IFERROR(__xludf.DUMMYFUNCTION("""COMPUTED_VALUE"""),3)</f>
        <v>3</v>
      </c>
      <c r="I95" s="2">
        <f>IFERROR(__xludf.DUMMYFUNCTION("""COMPUTED_VALUE"""),0)</f>
        <v>0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IFERROR(__xludf.DUMMYFUNCTION("""COMPUTED_VALUE"""),"Theory")</f>
        <v>Theory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IFERROR(__xludf.DUMMYFUNCTION("""COMPUTED_VALUE"""),"PE(Honours 2)")</f>
        <v>PE(Honours 2)</v>
      </c>
      <c r="D96" s="2" t="str">
        <f>IFERROR(__xludf.DUMMYFUNCTION("""COMPUTED_VALUE"""),"CE0544")</f>
        <v>CE0544</v>
      </c>
      <c r="E96" s="2" t="str">
        <f>IFERROR(__xludf.DUMMYFUNCTION("""COMPUTED_VALUE"""),"19CE544")</f>
        <v>19CE544</v>
      </c>
      <c r="F96" s="7" t="str">
        <f>IFERROR(__xludf.DUMMYFUNCTION("""COMPUTED_VALUE"""),"Spatial Data Infrastructure and Management")</f>
        <v>Spatial Data Infrastructure and Management</v>
      </c>
      <c r="G96" s="2" t="str">
        <f>IFERROR(__xludf.DUMMYFUNCTION("""COMPUTED_VALUE"""),"-")</f>
        <v>-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IFERROR(__xludf.DUMMYFUNCTION("""COMPUTED_VALUE"""),"PE(Honours 2)")</f>
        <v>PE(Honours 2)</v>
      </c>
      <c r="D97" s="2" t="str">
        <f>IFERROR(__xludf.DUMMYFUNCTION("""COMPUTED_VALUE"""),"CE0545")</f>
        <v>CE0545</v>
      </c>
      <c r="E97" s="2" t="str">
        <f>IFERROR(__xludf.DUMMYFUNCTION("""COMPUTED_VALUE"""),"19CE545")</f>
        <v>19CE545</v>
      </c>
      <c r="F97" s="7" t="str">
        <f>IFERROR(__xludf.DUMMYFUNCTION("""COMPUTED_VALUE"""),"Water Quality and Management")</f>
        <v>Water Quality and Management</v>
      </c>
      <c r="G97" s="2" t="str">
        <f>IFERROR(__xludf.DUMMYFUNCTION("""COMPUTED_VALUE"""),"-")</f>
        <v>-</v>
      </c>
      <c r="H97" s="2">
        <f>IFERROR(__xludf.DUMMYFUNCTION("""COMPUTED_VALUE"""),3)</f>
        <v>3</v>
      </c>
      <c r="I97" s="2">
        <f>IFERROR(__xludf.DUMMYFUNCTION("""COMPUTED_VALUE"""),0)</f>
        <v>0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IFERROR(__xludf.DUMMYFUNCTION("""COMPUTED_VALUE"""),"Theory")</f>
        <v>Theory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IFERROR(__xludf.DUMMYFUNCTION("""COMPUTED_VALUE"""),"PE(Honours 2)")</f>
        <v>PE(Honours 2)</v>
      </c>
      <c r="D98" s="2" t="str">
        <f>IFERROR(__xludf.DUMMYFUNCTION("""COMPUTED_VALUE"""),"CE0546")</f>
        <v>CE0546</v>
      </c>
      <c r="E98" s="2" t="str">
        <f>IFERROR(__xludf.DUMMYFUNCTION("""COMPUTED_VALUE"""),"19CE546")</f>
        <v>19CE546</v>
      </c>
      <c r="F98" s="7" t="str">
        <f>IFERROR(__xludf.DUMMYFUNCTION("""COMPUTED_VALUE"""),"Urban Infrastructure and Smart Cities")</f>
        <v>Urban Infrastructure and Smart Cities</v>
      </c>
      <c r="G98" s="2" t="str">
        <f>IFERROR(__xludf.DUMMYFUNCTION("""COMPUTED_VALUE"""),"-")</f>
        <v>-</v>
      </c>
      <c r="H98" s="2">
        <f>IFERROR(__xludf.DUMMYFUNCTION("""COMPUTED_VALUE"""),3)</f>
        <v>3</v>
      </c>
      <c r="I98" s="2">
        <f>IFERROR(__xludf.DUMMYFUNCTION("""COMPUTED_VALUE"""),0)</f>
        <v>0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IFERROR(__xludf.DUMMYFUNCTION("""COMPUTED_VALUE"""),"Theory")</f>
        <v>Theory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IFERROR(__xludf.DUMMYFUNCTION("""COMPUTED_VALUE"""),"PE(Honours 2)")</f>
        <v>PE(Honours 2)</v>
      </c>
      <c r="D99" s="2" t="str">
        <f>IFERROR(__xludf.DUMMYFUNCTION("""COMPUTED_VALUE"""),"CE0547")</f>
        <v>CE0547</v>
      </c>
      <c r="E99" s="2" t="str">
        <f>IFERROR(__xludf.DUMMYFUNCTION("""COMPUTED_VALUE"""),"19CE547")</f>
        <v>19CE547</v>
      </c>
      <c r="F99" s="7" t="str">
        <f>IFERROR(__xludf.DUMMYFUNCTION("""COMPUTED_VALUE"""),"Construction Equipment and Machinery")</f>
        <v>Construction Equipment and Machinery</v>
      </c>
      <c r="G99" s="2" t="str">
        <f>IFERROR(__xludf.DUMMYFUNCTION("""COMPUTED_VALUE"""),"-")</f>
        <v>-</v>
      </c>
      <c r="H99" s="2">
        <f>IFERROR(__xludf.DUMMYFUNCTION("""COMPUTED_VALUE"""),3)</f>
        <v>3</v>
      </c>
      <c r="I99" s="2">
        <f>IFERROR(__xludf.DUMMYFUNCTION("""COMPUTED_VALUE"""),0)</f>
        <v>0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IFERROR(__xludf.DUMMYFUNCTION("""COMPUTED_VALUE"""),"Theory")</f>
        <v>Theory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IFERROR(__xludf.DUMMYFUNCTION("""COMPUTED_VALUE"""),"OE")</f>
        <v>OE</v>
      </c>
      <c r="D100" s="2" t="str">
        <f>IFERROR(__xludf.DUMMYFUNCTION("""COMPUTED_VALUE"""),"XXXXXX")</f>
        <v>XXXXXX</v>
      </c>
      <c r="E100" s="2" t="str">
        <f>IFERROR(__xludf.DUMMYFUNCTION("""COMPUTED_VALUE"""),"19XXXXX")</f>
        <v>19XXXXX</v>
      </c>
      <c r="F100" s="3" t="str">
        <f>IFERROR(__xludf.DUMMYFUNCTION("""COMPUTED_VALUE"""),"Open Electives")</f>
        <v>Open Electives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IFERROR(__xludf.DUMMYFUNCTION("""COMPUTED_VALUE"""),0)</f>
        <v>0</v>
      </c>
      <c r="J100" s="2">
        <f>IFERROR(__xludf.DUMMYFUNCTION("""COMPUTED_VALUE"""),0)</f>
        <v>0</v>
      </c>
      <c r="K100" s="2" t="str">
        <f>IFERROR(__xludf.DUMMYFUNCTION("""COMPUTED_VALUE"""),"CGPA")</f>
        <v>CGPA</v>
      </c>
      <c r="L100" s="2" t="str">
        <f>IFERROR(__xludf.DUMMYFUNCTION("""COMPUTED_VALUE"""),"Theory")</f>
        <v>Theory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IFERROR(__xludf.DUMMYFUNCTION("""COMPUTED_VALUE"""),"OE")</f>
        <v>OE</v>
      </c>
      <c r="D101" s="2" t="str">
        <f>IFERROR(__xludf.DUMMYFUNCTION("""COMPUTED_VALUE"""),"XXXXXX")</f>
        <v>XXXXXX</v>
      </c>
      <c r="E101" s="2" t="str">
        <f>IFERROR(__xludf.DUMMYFUNCTION("""COMPUTED_VALUE"""),"19XXXXX")</f>
        <v>19XXXXX</v>
      </c>
      <c r="F101" s="3" t="str">
        <f>IFERROR(__xludf.DUMMYFUNCTION("""COMPUTED_VALUE"""),"Online Courses")</f>
        <v>Online Courses</v>
      </c>
      <c r="G101" s="2" t="str">
        <f>IFERROR(__xludf.DUMMYFUNCTION("""COMPUTED_VALUE"""),"-")</f>
        <v>-</v>
      </c>
      <c r="H101" s="2">
        <f>IFERROR(__xludf.DUMMYFUNCTION("""COMPUTED_VALUE"""),0)</f>
        <v>0</v>
      </c>
      <c r="I101" s="2">
        <f>IFERROR(__xludf.DUMMYFUNCTION("""COMPUTED_VALUE"""),0)</f>
        <v>0</v>
      </c>
      <c r="J101" s="2">
        <f>IFERROR(__xludf.DUMMYFUNCTION("""COMPUTED_VALUE"""),0)</f>
        <v>0</v>
      </c>
      <c r="K101" s="2" t="str">
        <f>IFERROR(__xludf.DUMMYFUNCTION("""COMPUTED_VALUE"""),"CGPA")</f>
        <v>CGPA</v>
      </c>
      <c r="L101" s="2" t="str">
        <f>IFERROR(__xludf.DUMMYFUNCTION("""COMPUTED_VALUE"""),"Experiential Learning")</f>
        <v>Experiential Learning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IFERROR(__xludf.DUMMYFUNCTION("""COMPUTED_VALUE"""),"EEC")</f>
        <v>EEC</v>
      </c>
      <c r="D102" s="2" t="str">
        <f>IFERROR(__xludf.DUMMYFUNCTION("""COMPUTED_VALUE"""),"CE0701")</f>
        <v>CE0701</v>
      </c>
      <c r="E102" s="2" t="str">
        <f>IFERROR(__xludf.DUMMYFUNCTION("""COMPUTED_VALUE"""),"19CE701")</f>
        <v>19CE701</v>
      </c>
      <c r="F102" s="7" t="str">
        <f>IFERROR(__xludf.DUMMYFUNCTION("""COMPUTED_VALUE"""),"Mini Project")</f>
        <v>Mini Project</v>
      </c>
      <c r="G102" s="2" t="str">
        <f>IFERROR(__xludf.DUMMYFUNCTION("""COMPUTED_VALUE"""),"-")</f>
        <v>-</v>
      </c>
      <c r="H102" s="2">
        <f>IFERROR(__xludf.DUMMYFUNCTION("""COMPUTED_VALUE"""),0)</f>
        <v>0</v>
      </c>
      <c r="I102" s="2">
        <f>IFERROR(__xludf.DUMMYFUNCTION("""COMPUTED_VALUE"""),2)</f>
        <v>2</v>
      </c>
      <c r="J102" s="2">
        <f>IFERROR(__xludf.DUMMYFUNCTION("""COMPUTED_VALUE"""),2)</f>
        <v>2</v>
      </c>
      <c r="K102" s="2" t="str">
        <f>IFERROR(__xludf.DUMMYFUNCTION("""COMPUTED_VALUE"""),"CGPA")</f>
        <v>CGPA</v>
      </c>
      <c r="L102" s="2" t="str">
        <f>IFERROR(__xludf.DUMMYFUNCTION("""COMPUTED_VALUE"""),"Project (Int Only)")</f>
        <v>Project (Int Only)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 t="str">
        <f>IFERROR(__xludf.DUMMYFUNCTION("""COMPUTED_VALUE"""),"Option 1")</f>
        <v>Option 1</v>
      </c>
      <c r="C103" s="2" t="str">
        <f>IFERROR(__xludf.DUMMYFUNCTION("""COMPUTED_VALUE"""),"EEC")</f>
        <v>EEC</v>
      </c>
      <c r="D103" s="2" t="str">
        <f>IFERROR(__xludf.DUMMYFUNCTION("""COMPUTED_VALUE"""),"CE0702")</f>
        <v>CE0702</v>
      </c>
      <c r="E103" s="2" t="str">
        <f>IFERROR(__xludf.DUMMYFUNCTION("""COMPUTED_VALUE"""),"19CE702")</f>
        <v>19CE702</v>
      </c>
      <c r="F103" s="7" t="str">
        <f>IFERROR(__xludf.DUMMYFUNCTION("""COMPUTED_VALUE"""),"Project Work Phase I")</f>
        <v>Project Work Phase I</v>
      </c>
      <c r="G103" s="2" t="str">
        <f>IFERROR(__xludf.DUMMYFUNCTION("""COMPUTED_VALUE"""),"-")</f>
        <v>-</v>
      </c>
      <c r="H103" s="2">
        <f>IFERROR(__xludf.DUMMYFUNCTION("""COMPUTED_VALUE"""),0)</f>
        <v>0</v>
      </c>
      <c r="I103" s="2">
        <f>IFERROR(__xludf.DUMMYFUNCTION("""COMPUTED_VALUE"""),2)</f>
        <v>2</v>
      </c>
      <c r="J103" s="2">
        <f>IFERROR(__xludf.DUMMYFUNCTION("""COMPUTED_VALUE"""),2)</f>
        <v>2</v>
      </c>
      <c r="K103" s="2" t="str">
        <f>IFERROR(__xludf.DUMMYFUNCTION("""COMPUTED_VALUE"""),"CGPA")</f>
        <v>CGPA</v>
      </c>
      <c r="L103" s="2" t="str">
        <f>IFERROR(__xludf.DUMMYFUNCTION("""COMPUTED_VALUE"""),"Project (Int Only)")</f>
        <v>Project (Int Only)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 t="str">
        <f>IFERROR(__xludf.DUMMYFUNCTION("""COMPUTED_VALUE"""),"Option 1")</f>
        <v>Option 1</v>
      </c>
      <c r="C104" s="2" t="str">
        <f>IFERROR(__xludf.DUMMYFUNCTION("""COMPUTED_VALUE"""),"EEC")</f>
        <v>EEC</v>
      </c>
      <c r="D104" s="2" t="str">
        <f>IFERROR(__xludf.DUMMYFUNCTION("""COMPUTED_VALUE"""),"CE0703")</f>
        <v>CE0703</v>
      </c>
      <c r="E104" s="2" t="str">
        <f>IFERROR(__xludf.DUMMYFUNCTION("""COMPUTED_VALUE"""),"19CE703")</f>
        <v>19CE703</v>
      </c>
      <c r="F104" s="7" t="str">
        <f>IFERROR(__xludf.DUMMYFUNCTION("""COMPUTED_VALUE"""),"Project Work Phase II")</f>
        <v>Project Work Phase II</v>
      </c>
      <c r="G104" s="2" t="str">
        <f>IFERROR(__xludf.DUMMYFUNCTION("""COMPUTED_VALUE"""),"19CE702 / CE0702")</f>
        <v>19CE702 / CE0702</v>
      </c>
      <c r="H104" s="2">
        <f>IFERROR(__xludf.DUMMYFUNCTION("""COMPUTED_VALUE"""),0)</f>
        <v>0</v>
      </c>
      <c r="I104" s="2">
        <f>IFERROR(__xludf.DUMMYFUNCTION("""COMPUTED_VALUE"""),6)</f>
        <v>6</v>
      </c>
      <c r="J104" s="2">
        <f>IFERROR(__xludf.DUMMYFUNCTION("""COMPUTED_VALUE"""),6)</f>
        <v>6</v>
      </c>
      <c r="K104" s="2" t="str">
        <f>IFERROR(__xludf.DUMMYFUNCTION("""COMPUTED_VALUE"""),"CGPA")</f>
        <v>CGPA</v>
      </c>
      <c r="L104" s="2" t="str">
        <f>IFERROR(__xludf.DUMMYFUNCTION("""COMPUTED_VALUE"""),"Project")</f>
        <v>Project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 t="str">
        <f>IFERROR(__xludf.DUMMYFUNCTION("""COMPUTED_VALUE"""),"Option 2")</f>
        <v>Option 2</v>
      </c>
      <c r="C105" s="2" t="str">
        <f>IFERROR(__xludf.DUMMYFUNCTION("""COMPUTED_VALUE"""),"EEC")</f>
        <v>EEC</v>
      </c>
      <c r="D105" s="2" t="str">
        <f>IFERROR(__xludf.DUMMYFUNCTION("""COMPUTED_VALUE"""),"SH6802")</f>
        <v>SH6802</v>
      </c>
      <c r="E105" s="2" t="str">
        <f>IFERROR(__xludf.DUMMYFUNCTION("""COMPUTED_VALUE"""),"NA")</f>
        <v>NA</v>
      </c>
      <c r="F105" s="3" t="str">
        <f>IFERROR(__xludf.DUMMYFUNCTION("""COMPUTED_VALUE"""),"Start Up")</f>
        <v>Start Up</v>
      </c>
      <c r="G105" s="2" t="str">
        <f>IFERROR(__xludf.DUMMYFUNCTION("""COMPUTED_VALUE"""),"-")</f>
        <v>-</v>
      </c>
      <c r="H105" s="2">
        <f>IFERROR(__xludf.DUMMYFUNCTION("""COMPUTED_VALUE"""),0)</f>
        <v>0</v>
      </c>
      <c r="I105" s="2">
        <f>IFERROR(__xludf.DUMMYFUNCTION("""COMPUTED_VALUE"""),8)</f>
        <v>8</v>
      </c>
      <c r="J105" s="2">
        <f>IFERROR(__xludf.DUMMYFUNCTION("""COMPUTED_VALUE"""),8)</f>
        <v>8</v>
      </c>
      <c r="K105" s="2" t="str">
        <f>IFERROR(__xludf.DUMMYFUNCTION("""COMPUTED_VALUE"""),"CGPA")</f>
        <v>CGPA</v>
      </c>
      <c r="L105" s="2" t="str">
        <f>IFERROR(__xludf.DUMMYFUNCTION("""COMPUTED_VALUE"""),"Project")</f>
        <v>Project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IFERROR(__xludf.DUMMYFUNCTION("""COMPUTED_VALUE"""),"EEC")</f>
        <v>EEC</v>
      </c>
      <c r="D106" s="2" t="str">
        <f>IFERROR(__xludf.DUMMYFUNCTION("""COMPUTED_VALUE"""),"SH6708")</f>
        <v>SH6708</v>
      </c>
      <c r="E106" s="2" t="str">
        <f>IFERROR(__xludf.DUMMYFUNCTION("""COMPUTED_VALUE"""),"19EY708")</f>
        <v>19EY708</v>
      </c>
      <c r="F106" s="7" t="str">
        <f>IFERROR(__xludf.DUMMYFUNCTION("""COMPUTED_VALUE"""),"Career Development Skills")</f>
        <v>Career Development Skills</v>
      </c>
      <c r="G106" s="2" t="str">
        <f>IFERROR(__xludf.DUMMYFUNCTION("""COMPUTED_VALUE"""),"NIL")</f>
        <v>NIL</v>
      </c>
      <c r="H106" s="2">
        <f>IFERROR(__xludf.DUMMYFUNCTION("""COMPUTED_VALUE"""),1)</f>
        <v>1</v>
      </c>
      <c r="I106" s="2">
        <f>IFERROR(__xludf.DUMMYFUNCTION("""COMPUTED_VALUE"""),0)</f>
        <v>0</v>
      </c>
      <c r="J106" s="2">
        <f>IFERROR(__xludf.DUMMYFUNCTION("""COMPUTED_VALUE"""),1)</f>
        <v>1</v>
      </c>
      <c r="K106" s="2" t="str">
        <f>IFERROR(__xludf.DUMMYFUNCTION("""COMPUTED_VALUE"""),"CGPA")</f>
        <v>CGPA</v>
      </c>
      <c r="L106" s="2" t="str">
        <f>IFERROR(__xludf.DUMMYFUNCTION("""COMPUTED_VALUE"""),"Theory (Int Only)")</f>
        <v>Theory (Int Only)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IFERROR(__xludf.DUMMYFUNCTION("""COMPUTED_VALUE"""),"EEC")</f>
        <v>EEC</v>
      </c>
      <c r="D107" s="2" t="str">
        <f>IFERROR(__xludf.DUMMYFUNCTION("""COMPUTED_VALUE"""),"SH6709")</f>
        <v>SH6709</v>
      </c>
      <c r="E107" s="2" t="str">
        <f>IFERROR(__xludf.DUMMYFUNCTION("""COMPUTED_VALUE"""),"19EY709")</f>
        <v>19EY709</v>
      </c>
      <c r="F107" s="7" t="str">
        <f>IFERROR(__xludf.DUMMYFUNCTION("""COMPUTED_VALUE"""),"Reasoning Ability")</f>
        <v>Reasoning Ability</v>
      </c>
      <c r="G107" s="2" t="str">
        <f>IFERROR(__xludf.DUMMYFUNCTION("""COMPUTED_VALUE"""),"NIL")</f>
        <v>NIL</v>
      </c>
      <c r="H107" s="2">
        <f>IFERROR(__xludf.DUMMYFUNCTION("""COMPUTED_VALUE"""),1)</f>
        <v>1</v>
      </c>
      <c r="I107" s="2">
        <f>IFERROR(__xludf.DUMMYFUNCTION("""COMPUTED_VALUE"""),0)</f>
        <v>0</v>
      </c>
      <c r="J107" s="2">
        <f>IFERROR(__xludf.DUMMYFUNCTION("""COMPUTED_VALUE"""),1)</f>
        <v>1</v>
      </c>
      <c r="K107" s="2" t="str">
        <f>IFERROR(__xludf.DUMMYFUNCTION("""COMPUTED_VALUE"""),"CGPA")</f>
        <v>CGPA</v>
      </c>
      <c r="L107" s="2" t="str">
        <f>IFERROR(__xludf.DUMMYFUNCTION("""COMPUTED_VALUE"""),"Theory (Int Only)")</f>
        <v>Theory (Int Only)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IFERROR(__xludf.DUMMYFUNCTION("""COMPUTED_VALUE"""),"EEC")</f>
        <v>EEC</v>
      </c>
      <c r="D108" s="2" t="str">
        <f>IFERROR(__xludf.DUMMYFUNCTION("""COMPUTED_VALUE"""),"SH6710")</f>
        <v>SH6710</v>
      </c>
      <c r="E108" s="2" t="str">
        <f>IFERROR(__xludf.DUMMYFUNCTION("""COMPUTED_VALUE"""),"19EY710")</f>
        <v>19EY710</v>
      </c>
      <c r="F108" s="7" t="str">
        <f>IFERROR(__xludf.DUMMYFUNCTION("""COMPUTED_VALUE"""),"Quantitative Ability I")</f>
        <v>Quantitative Ability I</v>
      </c>
      <c r="G108" s="2" t="str">
        <f>IFERROR(__xludf.DUMMYFUNCTION("""COMPUTED_VALUE"""),"NIL")</f>
        <v>NIL</v>
      </c>
      <c r="H108" s="2">
        <f>IFERROR(__xludf.DUMMYFUNCTION("""COMPUTED_VALUE"""),1)</f>
        <v>1</v>
      </c>
      <c r="I108" s="2">
        <f>IFERROR(__xludf.DUMMYFUNCTION("""COMPUTED_VALUE"""),0)</f>
        <v>0</v>
      </c>
      <c r="J108" s="2">
        <f>IFERROR(__xludf.DUMMYFUNCTION("""COMPUTED_VALUE"""),1)</f>
        <v>1</v>
      </c>
      <c r="K108" s="2" t="str">
        <f>IFERROR(__xludf.DUMMYFUNCTION("""COMPUTED_VALUE"""),"CGPA")</f>
        <v>CGPA</v>
      </c>
      <c r="L108" s="2" t="str">
        <f>IFERROR(__xludf.DUMMYFUNCTION("""COMPUTED_VALUE"""),"Theory (Int Only)")</f>
        <v>Theory (Int Only)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IFERROR(__xludf.DUMMYFUNCTION("""COMPUTED_VALUE"""),"EEC")</f>
        <v>EEC</v>
      </c>
      <c r="D109" s="2" t="str">
        <f>IFERROR(__xludf.DUMMYFUNCTION("""COMPUTED_VALUE"""),"SH6711")</f>
        <v>SH6711</v>
      </c>
      <c r="E109" s="2" t="str">
        <f>IFERROR(__xludf.DUMMYFUNCTION("""COMPUTED_VALUE"""),"19EY711")</f>
        <v>19EY711</v>
      </c>
      <c r="F109" s="7" t="str">
        <f>IFERROR(__xludf.DUMMYFUNCTION("""COMPUTED_VALUE"""),"Quantitative Ability II")</f>
        <v>Quantitative Ability II</v>
      </c>
      <c r="G109" s="2" t="str">
        <f>IFERROR(__xludf.DUMMYFUNCTION("""COMPUTED_VALUE"""),"SH6710 /19EY710")</f>
        <v>SH6710 /19EY710</v>
      </c>
      <c r="H109" s="2">
        <f>IFERROR(__xludf.DUMMYFUNCTION("""COMPUTED_VALUE"""),1)</f>
        <v>1</v>
      </c>
      <c r="I109" s="2">
        <f>IFERROR(__xludf.DUMMYFUNCTION("""COMPUTED_VALUE"""),0)</f>
        <v>0</v>
      </c>
      <c r="J109" s="2">
        <f>IFERROR(__xludf.DUMMYFUNCTION("""COMPUTED_VALUE"""),1)</f>
        <v>1</v>
      </c>
      <c r="K109" s="2" t="str">
        <f>IFERROR(__xludf.DUMMYFUNCTION("""COMPUTED_VALUE"""),"CGPA")</f>
        <v>CGPA</v>
      </c>
      <c r="L109" s="2" t="str">
        <f>IFERROR(__xludf.DUMMYFUNCTION("""COMPUTED_VALUE"""),"Theory (Int Only)")</f>
        <v>Theory (Int Only)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IFERROR(__xludf.DUMMYFUNCTION("""COMPUTED_VALUE"""),"EEC")</f>
        <v>EEC</v>
      </c>
      <c r="D110" s="2" t="str">
        <f>IFERROR(__xludf.DUMMYFUNCTION("""COMPUTED_VALUE"""),"SH6712")</f>
        <v>SH6712</v>
      </c>
      <c r="E110" s="2" t="str">
        <f>IFERROR(__xludf.DUMMYFUNCTION("""COMPUTED_VALUE"""),"19EY712")</f>
        <v>19EY712</v>
      </c>
      <c r="F110" s="7" t="str">
        <f>IFERROR(__xludf.DUMMYFUNCTION("""COMPUTED_VALUE"""),"Employment Enrichment Skills")</f>
        <v>Employment Enrichment Skills</v>
      </c>
      <c r="G110" s="2" t="str">
        <f>IFERROR(__xludf.DUMMYFUNCTION("""COMPUTED_VALUE"""),"19EY702 / 19EY709 / SH6709")</f>
        <v>19EY702 / 19EY709 / SH6709</v>
      </c>
      <c r="H110" s="2">
        <f>IFERROR(__xludf.DUMMYFUNCTION("""COMPUTED_VALUE"""),1)</f>
        <v>1</v>
      </c>
      <c r="I110" s="2">
        <f>IFERROR(__xludf.DUMMYFUNCTION("""COMPUTED_VALUE"""),0)</f>
        <v>0</v>
      </c>
      <c r="J110" s="2">
        <f>IFERROR(__xludf.DUMMYFUNCTION("""COMPUTED_VALUE"""),1)</f>
        <v>1</v>
      </c>
      <c r="K110" s="2" t="str">
        <f>IFERROR(__xludf.DUMMYFUNCTION("""COMPUTED_VALUE"""),"CGPA")</f>
        <v>CGPA</v>
      </c>
      <c r="L110" s="2" t="str">
        <f>IFERROR(__xludf.DUMMYFUNCTION("""COMPUTED_VALUE"""),"Theory (Int Only)")</f>
        <v>Theory (Int Only)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IFERROR(__xludf.DUMMYFUNCTION("""COMPUTED_VALUE"""),"EEC")</f>
        <v>EEC</v>
      </c>
      <c r="D111" s="2" t="str">
        <f>IFERROR(__xludf.DUMMYFUNCTION("""COMPUTED_VALUE"""),"SH6713")</f>
        <v>SH6713</v>
      </c>
      <c r="E111" s="2" t="str">
        <f>IFERROR(__xludf.DUMMYFUNCTION("""COMPUTED_VALUE"""),"19EY713")</f>
        <v>19EY713</v>
      </c>
      <c r="F111" s="7" t="str">
        <f>IFERROR(__xludf.DUMMYFUNCTION("""COMPUTED_VALUE"""),"Placement Readiness Assessment")</f>
        <v>Placement Readiness Assessment</v>
      </c>
      <c r="G111" s="2" t="str">
        <f>IFERROR(__xludf.DUMMYFUNCTION("""COMPUTED_VALUE"""),"19EY704 / 19EY711/SH6711")</f>
        <v>19EY704 / 19EY711/SH6711</v>
      </c>
      <c r="H111" s="2">
        <f>IFERROR(__xludf.DUMMYFUNCTION("""COMPUTED_VALUE"""),1)</f>
        <v>1</v>
      </c>
      <c r="I111" s="2">
        <f>IFERROR(__xludf.DUMMYFUNCTION("""COMPUTED_VALUE"""),0)</f>
        <v>0</v>
      </c>
      <c r="J111" s="2">
        <f>IFERROR(__xludf.DUMMYFUNCTION("""COMPUTED_VALUE"""),1)</f>
        <v>1</v>
      </c>
      <c r="K111" s="2" t="str">
        <f>IFERROR(__xludf.DUMMYFUNCTION("""COMPUTED_VALUE"""),"CGPA")</f>
        <v>CGPA</v>
      </c>
      <c r="L111" s="2" t="str">
        <f>IFERROR(__xludf.DUMMYFUNCTION("""COMPUTED_VALUE"""),"Theory (Int Only)")</f>
        <v>Theory (Int Only)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IFERROR(__xludf.DUMMYFUNCTION("""COMPUTED_VALUE"""),"EEC")</f>
        <v>EEC</v>
      </c>
      <c r="D112" s="2" t="str">
        <f>IFERROR(__xludf.DUMMYFUNCTION("""COMPUTED_VALUE"""),"SH6707")</f>
        <v>SH6707</v>
      </c>
      <c r="E112" s="2" t="str">
        <f>IFERROR(__xludf.DUMMYFUNCTION("""COMPUTED_VALUE"""),"19EY707")</f>
        <v>19EY707</v>
      </c>
      <c r="F112" s="7" t="str">
        <f>IFERROR(__xludf.DUMMYFUNCTION("""COMPUTED_VALUE"""),"Paper Publication")</f>
        <v>Paper Publication</v>
      </c>
      <c r="G112" s="2" t="str">
        <f>IFERROR(__xludf.DUMMYFUNCTION("""COMPUTED_VALUE"""),"-")</f>
        <v>-</v>
      </c>
      <c r="H112" s="2">
        <f>IFERROR(__xludf.DUMMYFUNCTION("""COMPUTED_VALUE"""),0)</f>
        <v>0</v>
      </c>
      <c r="I112" s="2">
        <f>IFERROR(__xludf.DUMMYFUNCTION("""COMPUTED_VALUE"""),0)</f>
        <v>0</v>
      </c>
      <c r="J112" s="2">
        <f>IFERROR(__xludf.DUMMYFUNCTION("""COMPUTED_VALUE"""),1)</f>
        <v>1</v>
      </c>
      <c r="K112" s="2" t="str">
        <f>IFERROR(__xludf.DUMMYFUNCTION("""COMPUTED_VALUE"""),"NON-CGPA")</f>
        <v>NON-CGPA</v>
      </c>
      <c r="L112" s="2" t="str">
        <f>IFERROR(__xludf.DUMMYFUNCTION("""COMPUTED_VALUE"""),"Experiential Learning (Int Only)")</f>
        <v>Experiential Learning (Int Only)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IFERROR(__xludf.DUMMYFUNCTION("""COMPUTED_VALUE"""),"MC")</f>
        <v>MC</v>
      </c>
      <c r="D113" s="2" t="str">
        <f>IFERROR(__xludf.DUMMYFUNCTION("""COMPUTED_VALUE"""),"SH8801")</f>
        <v>SH8801</v>
      </c>
      <c r="E113" s="2" t="str">
        <f>IFERROR(__xludf.DUMMYFUNCTION("""COMPUTED_VALUE"""),"NA")</f>
        <v>NA</v>
      </c>
      <c r="F113" s="7" t="str">
        <f>IFERROR(__xludf.DUMMYFUNCTION("""COMPUTED_VALUE"""),"Constitutionalism and Artificial Intelligence Policies in India")</f>
        <v>Constitutionalism and Artificial Intelligence Policies in India</v>
      </c>
      <c r="G113" s="2" t="str">
        <f>IFERROR(__xludf.DUMMYFUNCTION("""COMPUTED_VALUE"""),"-")</f>
        <v>-</v>
      </c>
      <c r="H113" s="2">
        <f>IFERROR(__xludf.DUMMYFUNCTION("""COMPUTED_VALUE"""),1)</f>
        <v>1</v>
      </c>
      <c r="I113" s="2">
        <f>IFERROR(__xludf.DUMMYFUNCTION("""COMPUTED_VALUE"""),0)</f>
        <v>0</v>
      </c>
      <c r="J113" s="2">
        <f>IFERROR(__xludf.DUMMYFUNCTION("""COMPUTED_VALUE"""),1)</f>
        <v>1</v>
      </c>
      <c r="K113" s="2" t="str">
        <f>IFERROR(__xludf.DUMMYFUNCTION("""COMPUTED_VALUE"""),"NON-CGPA")</f>
        <v>NON-CGPA</v>
      </c>
      <c r="L113" s="2" t="str">
        <f>IFERROR(__xludf.DUMMYFUNCTION("""COMPUTED_VALUE"""),"Theory (Int Only)")</f>
        <v>Theory (Int Only)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 t="str">
        <f>IFERROR(__xludf.DUMMYFUNCTION("""COMPUTED_VALUE"""),"Any 1")</f>
        <v>Any 1</v>
      </c>
      <c r="C114" s="2" t="str">
        <f>IFERROR(__xludf.DUMMYFUNCTION("""COMPUTED_VALUE"""),"MC")</f>
        <v>MC</v>
      </c>
      <c r="D114" s="2" t="str">
        <f>IFERROR(__xludf.DUMMYFUNCTION("""COMPUTED_VALUE"""),"SH8802")</f>
        <v>SH8802</v>
      </c>
      <c r="E114" s="2" t="str">
        <f>IFERROR(__xludf.DUMMYFUNCTION("""COMPUTED_VALUE"""),"NA")</f>
        <v>NA</v>
      </c>
      <c r="F114" s="7" t="str">
        <f>IFERROR(__xludf.DUMMYFUNCTION("""COMPUTED_VALUE"""),"Internship")</f>
        <v>Internship</v>
      </c>
      <c r="G114" s="2" t="str">
        <f>IFERROR(__xludf.DUMMYFUNCTION("""COMPUTED_VALUE"""),"-")</f>
        <v>-</v>
      </c>
      <c r="H114" s="2">
        <f>IFERROR(__xludf.DUMMYFUNCTION("""COMPUTED_VALUE"""),0)</f>
        <v>0</v>
      </c>
      <c r="I114" s="2">
        <f>IFERROR(__xludf.DUMMYFUNCTION("""COMPUTED_VALUE"""),0)</f>
        <v>0</v>
      </c>
      <c r="J114" s="2">
        <f>IFERROR(__xludf.DUMMYFUNCTION("""COMPUTED_VALUE"""),2)</f>
        <v>2</v>
      </c>
      <c r="K114" s="2" t="str">
        <f>IFERROR(__xludf.DUMMYFUNCTION("""COMPUTED_VALUE"""),"NON-CGPA")</f>
        <v>NON-CGPA</v>
      </c>
      <c r="L114" s="2" t="str">
        <f>IFERROR(__xludf.DUMMYFUNCTION("""COMPUTED_VALUE"""),"Experiential Learning (Int Only)")</f>
        <v>Experiential Learning (Int Only)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 t="str">
        <f>IFERROR(__xludf.DUMMYFUNCTION("""COMPUTED_VALUE"""),"Any 1")</f>
        <v>Any 1</v>
      </c>
      <c r="C115" s="2" t="str">
        <f>IFERROR(__xludf.DUMMYFUNCTION("""COMPUTED_VALUE"""),"MC")</f>
        <v>MC</v>
      </c>
      <c r="D115" s="2" t="str">
        <f>IFERROR(__xludf.DUMMYFUNCTION("""COMPUTED_VALUE"""),"SH8803")</f>
        <v>SH8803</v>
      </c>
      <c r="E115" s="2" t="str">
        <f>IFERROR(__xludf.DUMMYFUNCTION("""COMPUTED_VALUE"""),"NA")</f>
        <v>NA</v>
      </c>
      <c r="F115" s="3" t="str">
        <f>IFERROR(__xludf.DUMMYFUNCTION("""COMPUTED_VALUE"""),"Entrepreneurship")</f>
        <v>Entrepreneurship</v>
      </c>
      <c r="G115" s="2" t="str">
        <f>IFERROR(__xludf.DUMMYFUNCTION("""COMPUTED_VALUE"""),"-")</f>
        <v>-</v>
      </c>
      <c r="H115" s="2">
        <f>IFERROR(__xludf.DUMMYFUNCTION("""COMPUTED_VALUE"""),0)</f>
        <v>0</v>
      </c>
      <c r="I115" s="2">
        <f>IFERROR(__xludf.DUMMYFUNCTION("""COMPUTED_VALUE"""),0)</f>
        <v>0</v>
      </c>
      <c r="J115" s="2">
        <f>IFERROR(__xludf.DUMMYFUNCTION("""COMPUTED_VALUE"""),2)</f>
        <v>2</v>
      </c>
      <c r="K115" s="2" t="str">
        <f>IFERROR(__xludf.DUMMYFUNCTION("""COMPUTED_VALUE"""),"NON-CGPA")</f>
        <v>NON-CGPA</v>
      </c>
      <c r="L115" s="2" t="str">
        <f>IFERROR(__xludf.DUMMYFUNCTION("""COMPUTED_VALUE"""),"Experiential Learning (Int Only)")</f>
        <v>Experiential Learning (Int Only)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 t="str">
        <f>IFERROR(__xludf.DUMMYFUNCTION("""COMPUTED_VALUE"""),"Any 1")</f>
        <v>Any 1</v>
      </c>
      <c r="C116" s="2" t="str">
        <f>IFERROR(__xludf.DUMMYFUNCTION("""COMPUTED_VALUE"""),"MC")</f>
        <v>MC</v>
      </c>
      <c r="D116" s="2" t="str">
        <f>IFERROR(__xludf.DUMMYFUNCTION("""COMPUTED_VALUE"""),"SH6803")</f>
        <v>SH6803</v>
      </c>
      <c r="E116" s="2" t="str">
        <f>IFERROR(__xludf.DUMMYFUNCTION("""COMPUTED_VALUE"""),"19MC807")</f>
        <v>19MC807</v>
      </c>
      <c r="F116" s="3" t="str">
        <f>IFERROR(__xludf.DUMMYFUNCTION("""COMPUTED_VALUE"""),"National Service Scheme")</f>
        <v>National Service Scheme</v>
      </c>
      <c r="G116" s="2" t="str">
        <f>IFERROR(__xludf.DUMMYFUNCTION("""COMPUTED_VALUE"""),"-")</f>
        <v>-</v>
      </c>
      <c r="H116" s="2">
        <f>IFERROR(__xludf.DUMMYFUNCTION("""COMPUTED_VALUE"""),0)</f>
        <v>0</v>
      </c>
      <c r="I116" s="2">
        <f>IFERROR(__xludf.DUMMYFUNCTION("""COMPUTED_VALUE"""),0)</f>
        <v>0</v>
      </c>
      <c r="J116" s="2">
        <f>IFERROR(__xludf.DUMMYFUNCTION("""COMPUTED_VALUE"""),0)</f>
        <v>0</v>
      </c>
      <c r="K116" s="2" t="str">
        <f>IFERROR(__xludf.DUMMYFUNCTION("""COMPUTED_VALUE"""),"NON-CGPA")</f>
        <v>NON-CGPA</v>
      </c>
      <c r="L116" s="2" t="str">
        <f>IFERROR(__xludf.DUMMYFUNCTION("""COMPUTED_VALUE"""),"Experiential Learning (Int Only)")</f>
        <v>Experiential Learning (Int Only)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 t="str">
        <f>IFERROR(__xludf.DUMMYFUNCTION("""COMPUTED_VALUE"""),"Any 1")</f>
        <v>Any 1</v>
      </c>
      <c r="C117" s="2" t="str">
        <f>IFERROR(__xludf.DUMMYFUNCTION("""COMPUTED_VALUE"""),"MC")</f>
        <v>MC</v>
      </c>
      <c r="D117" s="2" t="str">
        <f>IFERROR(__xludf.DUMMYFUNCTION("""COMPUTED_VALUE"""),"SH8807")</f>
        <v>SH8807</v>
      </c>
      <c r="E117" s="2" t="str">
        <f>IFERROR(__xludf.DUMMYFUNCTION("""COMPUTED_VALUE"""),"19MC808")</f>
        <v>19MC808</v>
      </c>
      <c r="F117" s="3" t="str">
        <f>IFERROR(__xludf.DUMMYFUNCTION("""COMPUTED_VALUE"""),"National Sports Organization ")</f>
        <v>National Sports Organization </v>
      </c>
      <c r="G117" s="2" t="str">
        <f>IFERROR(__xludf.DUMMYFUNCTION("""COMPUTED_VALUE"""),"-")</f>
        <v>-</v>
      </c>
      <c r="H117" s="2">
        <f>IFERROR(__xludf.DUMMYFUNCTION("""COMPUTED_VALUE"""),0)</f>
        <v>0</v>
      </c>
      <c r="I117" s="2">
        <f>IFERROR(__xludf.DUMMYFUNCTION("""COMPUTED_VALUE"""),0)</f>
        <v>0</v>
      </c>
      <c r="J117" s="2">
        <f>IFERROR(__xludf.DUMMYFUNCTION("""COMPUTED_VALUE"""),0)</f>
        <v>0</v>
      </c>
      <c r="K117" s="2" t="str">
        <f>IFERROR(__xludf.DUMMYFUNCTION("""COMPUTED_VALUE"""),"NON-CGPA")</f>
        <v>NON-CGPA</v>
      </c>
      <c r="L117" s="2" t="str">
        <f>IFERROR(__xludf.DUMMYFUNCTION("""COMPUTED_VALUE"""),"Experiential Learning (Int Only)")</f>
        <v>Experiential Learning (Int Only)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 t="str">
        <f>IFERROR(__xludf.DUMMYFUNCTION("""COMPUTED_VALUE"""),"Any 1")</f>
        <v>Any 1</v>
      </c>
      <c r="C118" s="2" t="str">
        <f>IFERROR(__xludf.DUMMYFUNCTION("""COMPUTED_VALUE"""),"MC")</f>
        <v>MC</v>
      </c>
      <c r="D118" s="2" t="str">
        <f>IFERROR(__xludf.DUMMYFUNCTION("""COMPUTED_VALUE"""),"SH8808")</f>
        <v>SH8808</v>
      </c>
      <c r="E118" s="2" t="str">
        <f>IFERROR(__xludf.DUMMYFUNCTION("""COMPUTED_VALUE"""),"19MC809")</f>
        <v>19MC809</v>
      </c>
      <c r="F118" s="3" t="str">
        <f>IFERROR(__xludf.DUMMYFUNCTION("""COMPUTED_VALUE"""),"Youth Red Cross")</f>
        <v>Youth Red Cross</v>
      </c>
      <c r="G118" s="2" t="str">
        <f>IFERROR(__xludf.DUMMYFUNCTION("""COMPUTED_VALUE"""),"-")</f>
        <v>-</v>
      </c>
      <c r="H118" s="2">
        <f>IFERROR(__xludf.DUMMYFUNCTION("""COMPUTED_VALUE"""),0)</f>
        <v>0</v>
      </c>
      <c r="I118" s="2">
        <f>IFERROR(__xludf.DUMMYFUNCTION("""COMPUTED_VALUE"""),0)</f>
        <v>0</v>
      </c>
      <c r="J118" s="2">
        <f>IFERROR(__xludf.DUMMYFUNCTION("""COMPUTED_VALUE"""),0)</f>
        <v>0</v>
      </c>
      <c r="K118" s="2" t="str">
        <f>IFERROR(__xludf.DUMMYFUNCTION("""COMPUTED_VALUE"""),"NON-CGPA")</f>
        <v>NON-CGPA</v>
      </c>
      <c r="L118" s="2" t="str">
        <f>IFERROR(__xludf.DUMMYFUNCTION("""COMPUTED_VALUE"""),"Experiential Learning (Int Only)")</f>
        <v>Experiential Learning (Int Only)</v>
      </c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13.2" spans="1:18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</row>
    <row r="123" ht="13.2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ht="13.2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ht="13.2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ht="13.2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ht="13.2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ht="13.2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ht="13.2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ht="13.2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ht="13.2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ht="13.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ht="13.2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ht="13.2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ht="13.2" spans="1:1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</row>
    <row r="136" ht="13.2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ht="13.2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ht="13.2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ht="13.2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ht="13.2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ht="13.2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</sheetData>
  <hyperlinks>
    <hyperlink ref="A2" r:id="rId1" display="=IFERROR(@__xludf.DUMMYFUNCTION(&quot;&quot;&quot;COMPUTED_VALUE&quot;&quot;&quot;),&quot;S.No.&quot;)"/>
    <hyperlink ref="F3" r:id="rId2" display="=IFERROR(@__xludf.DUMMYFUNCTION(&quot;&quot;&quot;COMPUTED_VALUE&quot;&quot;&quot;),&quot;English for Engineers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Human Values and Professional Ethics&quot;)"/>
    <hyperlink ref="F6" r:id="rId5" display="=IFERROR(@__xludf.DUMMYFUNCTION(&quot;&quot;&quot;COMPUTED_VALUE&quot;&quot;&quot;),&quot;தமிழர் மரபு/ Heritage of Tamils&quot;)"/>
    <hyperlink ref="F7" r:id="rId6" display="=IFERROR(@__xludf.DUMMYFUNCTION(&quot;&quot;&quot;COMPUTED_VALUE&quot;&quot;&quot;),&quot;தமிழரும் தொழில்நுட்பமும்/ Tamils and Technology&quot;)"/>
    <hyperlink ref="F8" r:id="rId7" display="=IFERROR(@__xludf.DUMMYFUNCTION(&quot;&quot;&quot;COMPUTED_VALUE&quot;&quot;&quot;),&quot;Calculus and Matrix Algebra&quot;)"/>
    <hyperlink ref="F9" r:id="rId8" display="=IFERROR(@__xludf.DUMMYFUNCTION(&quot;&quot;&quot;COMPUTED_VALUE&quot;&quot;&quot;),&quot;Statistics and Numerical Methods&quot;)"/>
    <hyperlink ref="F10" r:id="rId9" display="=IFERROR(@__xludf.DUMMYFUNCTION(&quot;&quot;&quot;COMPUTED_VALUE&quot;&quot;&quot;),&quot;Transforms and Differential Equations&quot;)"/>
    <hyperlink ref="F11" r:id="rId10" display="=IFERROR(@__xludf.DUMMYFUNCTION(&quot;&quot;&quot;COMPUTED_VALUE&quot;&quot;&quot;),&quot;Physics for Civil Engineering&quot;)"/>
    <hyperlink ref="F12" r:id="rId11" display="=IFERROR(@__xludf.DUMMYFUNCTION(&quot;&quot;&quot;COMPUTED_VALUE&quot;&quot;&quot;),&quot;Basic Engineering Chemistry&quot;)"/>
    <hyperlink ref="F13" r:id="rId12" display="=IFERROR(@__xludf.DUMMYFUNCTION(&quot;&quot;&quot;COMPUTED_VALUE&quot;&quot;&quot;),&quot;Environmental Sciences and Sustainability&quot;)"/>
    <hyperlink ref="F14" r:id="rId13" display="=IFERROR(@__xludf.DUMMYFUNCTION(&quot;&quot;&quot;COMPUTED_VALUE&quot;&quot;&quot;),&quot;Engineering Graphics&quot;)"/>
    <hyperlink ref="F15" r:id="rId14" display="=IFERROR(@__xludf.DUMMYFUNCTION(&quot;&quot;&quot;COMPUTED_VALUE&quot;&quot;&quot;),&quot;Engineering Practices Laboratory&quot;)"/>
    <hyperlink ref="F16" r:id="rId15" display="=IFERROR(@__xludf.DUMMYFUNCTION(&quot;&quot;&quot;COMPUTED_VALUE&quot;&quot;&quot;),&quot;Engineering Mechanics&quot;)"/>
    <hyperlink ref="F17" r:id="rId16" display="=IFERROR(@__xludf.DUMMYFUNCTION(&quot;&quot;&quot;COMPUTED_VALUE&quot;&quot;&quot;),&quot;Fluid Mechanics&quot;)"/>
    <hyperlink ref="F18" r:id="rId17" display="=IFERROR(@__xludf.DUMMYFUNCTION(&quot;&quot;&quot;COMPUTED_VALUE&quot;&quot;&quot;),&quot;Construction Materials and Technology&quot;)"/>
    <hyperlink ref="F19" r:id="rId18" display="=IFERROR(@__xludf.DUMMYFUNCTION(&quot;&quot;&quot;COMPUTED_VALUE&quot;&quot;&quot;),&quot;Engineering Geology&quot;)"/>
    <hyperlink ref="F20" r:id="rId19" display="=IFERROR(@__xludf.DUMMYFUNCTION(&quot;&quot;&quot;COMPUTED_VALUE&quot;&quot;&quot;),&quot;Python Programming&quot;)"/>
    <hyperlink ref="F21" r:id="rId20" display="=IFERROR(@__xludf.DUMMYFUNCTION(&quot;&quot;&quot;COMPUTED_VALUE&quot;&quot;&quot;),&quot;Introduction to Machine Learning&quot;)"/>
    <hyperlink ref="F22" r:id="rId21" display="=IFERROR(@__xludf.DUMMYFUNCTION(&quot;&quot;&quot;COMPUTED_VALUE&quot;&quot;&quot;),&quot;Artificial Intelligence and Applications&quot;)"/>
    <hyperlink ref="F23" r:id="rId22" display="=IFERROR(@__xludf.DUMMYFUNCTION(&quot;&quot;&quot;COMPUTED_VALUE&quot;&quot;&quot;),&quot;Mechanics of Materials&quot;)"/>
    <hyperlink ref="F24" r:id="rId23" display="=IFERROR(@__xludf.DUMMYFUNCTION(&quot;&quot;&quot;COMPUTED_VALUE&quot;&quot;&quot;),&quot;Surveying&quot;)"/>
    <hyperlink ref="F25" r:id="rId24" display="=IFERROR(@__xludf.DUMMYFUNCTION(&quot;&quot;&quot;COMPUTED_VALUE&quot;&quot;&quot;),&quot;Soil Mechanics&quot;)"/>
    <hyperlink ref="F26" r:id="rId25" display="=IFERROR(@__xludf.DUMMYFUNCTION(&quot;&quot;&quot;COMPUTED_VALUE&quot;&quot;&quot;),&quot;Applied Hydraulic Engineering&quot;)"/>
    <hyperlink ref="F27" r:id="rId26" display="=IFERROR(@__xludf.DUMMYFUNCTION(&quot;&quot;&quot;COMPUTED_VALUE&quot;&quot;&quot;),&quot;Concrete Technology&quot;)"/>
    <hyperlink ref="F28" r:id="rId27" display="=IFERROR(@__xludf.DUMMYFUNCTION(&quot;&quot;&quot;COMPUTED_VALUE&quot;&quot;&quot;),&quot;Structural Analysis&quot;)"/>
    <hyperlink ref="F29" r:id="rId28" display="=IFERROR(@__xludf.DUMMYFUNCTION(&quot;&quot;&quot;COMPUTED_VALUE&quot;&quot;&quot;),&quot;Transportation Engineering&quot;)"/>
    <hyperlink ref="F30" r:id="rId29" display="=IFERROR(@__xludf.DUMMYFUNCTION(&quot;&quot;&quot;COMPUTED_VALUE&quot;&quot;&quot;),&quot;Environmental Engineering&quot;)"/>
    <hyperlink ref="F31" r:id="rId30" display="=IFERROR(@__xludf.DUMMYFUNCTION(&quot;&quot;&quot;COMPUTED_VALUE&quot;&quot;&quot;),&quot;Water and Wastewater Analysis Laboratory&quot;)"/>
    <hyperlink ref="F32" r:id="rId31" display="=IFERROR(@__xludf.DUMMYFUNCTION(&quot;&quot;&quot;COMPUTED_VALUE&quot;&quot;&quot;),&quot;Foundation Engineering&quot;)"/>
    <hyperlink ref="F33" r:id="rId32" display="=IFERROR(@__xludf.DUMMYFUNCTION(&quot;&quot;&quot;COMPUTED_VALUE&quot;&quot;&quot;),&quot;Water Resources Engineering&quot;)"/>
    <hyperlink ref="F34" r:id="rId33" display="=IFERROR(@__xludf.DUMMYFUNCTION(&quot;&quot;&quot;COMPUTED_VALUE&quot;&quot;&quot;),&quot;Design of Reinforced Concrete Elements&quot;)"/>
    <hyperlink ref="F35" r:id="rId34" display="=IFERROR(@__xludf.DUMMYFUNCTION(&quot;&quot;&quot;COMPUTED_VALUE&quot;&quot;&quot;),&quot;Survey Camp&quot;)"/>
    <hyperlink ref="F36" r:id="rId35" display="=IFERROR(@__xludf.DUMMYFUNCTION(&quot;&quot;&quot;COMPUTED_VALUE&quot;&quot;&quot;),&quot;Advanced Structural Analysis&quot;)"/>
    <hyperlink ref="F37" r:id="rId36" display="=IFERROR(@__xludf.DUMMYFUNCTION(&quot;&quot;&quot;COMPUTED_VALUE&quot;&quot;&quot;),&quot;Design of Steel Structures&quot;)"/>
    <hyperlink ref="F38" r:id="rId37" display="=IFERROR(@__xludf.DUMMYFUNCTION(&quot;&quot;&quot;COMPUTED_VALUE&quot;&quot;&quot;),&quot;Estimation, Costing and Valuation&quot;)"/>
    <hyperlink ref="F39" r:id="rId38" display="=IFERROR(@__xludf.DUMMYFUNCTION(&quot;&quot;&quot;COMPUTED_VALUE&quot;&quot;&quot;),&quot;Building Information and  Modeling&quot;)"/>
    <hyperlink ref="F40" r:id="rId39" display="=IFERROR(@__xludf.DUMMYFUNCTION(&quot;&quot;&quot;COMPUTED_VALUE&quot;&quot;&quot;),&quot;Computer Aided Plumbing Drawing&quot;)"/>
    <hyperlink ref="F41" r:id="rId40" display="=IFERROR(@__xludf.DUMMYFUNCTION(&quot;&quot;&quot;COMPUTED_VALUE&quot;&quot;&quot;),&quot;Prestressed Concrete Structures&quot;)"/>
    <hyperlink ref="F42" r:id="rId41" display="=IFERROR(@__xludf.DUMMYFUNCTION(&quot;&quot;&quot;COMPUTED_VALUE&quot;&quot;&quot;),&quot;Robotics and Automation in Construction&quot;)"/>
    <hyperlink ref="F43" r:id="rId42" display="=IFERROR(@__xludf.DUMMYFUNCTION(&quot;&quot;&quot;COMPUTED_VALUE&quot;&quot;&quot;),&quot;Advanced Material Science and 3D Printing&quot;)"/>
    <hyperlink ref="F44" r:id="rId43" display="=IFERROR(@__xludf.DUMMYFUNCTION(&quot;&quot;&quot;COMPUTED_VALUE&quot;&quot;&quot;),&quot;Design Studio and Detailing&quot;)"/>
    <hyperlink ref="F45" r:id="rId44" display="=IFERROR(@__xludf.DUMMYFUNCTION(&quot;&quot;&quot;COMPUTED_VALUE&quot;&quot;&quot;),&quot;Advanced Mechanics of Materials&quot;)"/>
    <hyperlink ref="F46" r:id="rId45" display="=IFERROR(@__xludf.DUMMYFUNCTION(&quot;&quot;&quot;COMPUTED_VALUE&quot;&quot;&quot;),&quot;Industrial Structures&quot;)"/>
    <hyperlink ref="F47" r:id="rId46" display="=IFERROR(@__xludf.DUMMYFUNCTION(&quot;&quot;&quot;COMPUTED_VALUE&quot;&quot;&quot;),&quot;Structural Dynamics and Earthquake Engineering&quot;)"/>
    <hyperlink ref="F48" r:id="rId47" display="=IFERROR(@__xludf.DUMMYFUNCTION(&quot;&quot;&quot;COMPUTED_VALUE&quot;&quot;&quot;),&quot;Bridge Engineering&quot;)"/>
    <hyperlink ref="F49" r:id="rId48" display="=IFERROR(@__xludf.DUMMYFUNCTION(&quot;&quot;&quot;COMPUTED_VALUE&quot;&quot;&quot;),&quot;Rehabilitation and Heritage Restoration&quot;)"/>
    <hyperlink ref="F50" r:id="rId49" display="=IFERROR(@__xludf.DUMMYFUNCTION(&quot;&quot;&quot;COMPUTED_VALUE&quot;&quot;&quot;),&quot;Irrigation Engineering and Drawing&quot;)"/>
    <hyperlink ref="F51" r:id="rId50" display="=IFERROR(@__xludf.DUMMYFUNCTION(&quot;&quot;&quot;COMPUTED_VALUE&quot;&quot;&quot;),&quot;Groundwater Engineering&quot;)"/>
    <hyperlink ref="F52" r:id="rId51" display="=IFERROR(@__xludf.DUMMYFUNCTION(&quot;&quot;&quot;COMPUTED_VALUE&quot;&quot;&quot;),&quot;Integrated Water Resources Management&quot;)"/>
    <hyperlink ref="F53" r:id="rId52" display="=IFERROR(@__xludf.DUMMYFUNCTION(&quot;&quot;&quot;COMPUTED_VALUE&quot;&quot;&quot;),&quot;Water Resources Systems&quot;)"/>
    <hyperlink ref="F54" r:id="rId53" display="=IFERROR(@__xludf.DUMMYFUNCTION(&quot;&quot;&quot;COMPUTED_VALUE&quot;&quot;&quot;),&quot;Advanced Hydrology and Flood Risk Management&quot;)"/>
    <hyperlink ref="F55" r:id="rId54" display="=IFERROR(@__xludf.DUMMYFUNCTION(&quot;&quot;&quot;COMPUTED_VALUE&quot;&quot;&quot;),&quot;Hydraulic Modeling and Water Infrastructure Simulation&quot;)"/>
    <hyperlink ref="F56" r:id="rId55" display="=IFERROR(@__xludf.DUMMYFUNCTION(&quot;&quot;&quot;COMPUTED_VALUE&quot;&quot;&quot;),&quot;Geo-Environmental Engineering&quot;)"/>
    <hyperlink ref="F57" r:id="rId56" display="=IFERROR(@__xludf.DUMMYFUNCTION(&quot;&quot;&quot;COMPUTED_VALUE&quot;&quot;&quot;),&quot;Ground Improvement Techniques&quot;)"/>
    <hyperlink ref="F58" r:id="rId57" display="=IFERROR(@__xludf.DUMMYFUNCTION(&quot;&quot;&quot;COMPUTED_VALUE&quot;&quot;&quot;),&quot;Soil Dynamics and Machine Foundations&quot;)"/>
    <hyperlink ref="F59" r:id="rId58" display="=IFERROR(@__xludf.DUMMYFUNCTION(&quot;&quot;&quot;COMPUTED_VALUE&quot;&quot;&quot;),&quot;Rock Mechanics and Tunneling Technology&quot;)"/>
    <hyperlink ref="F60" r:id="rId59" display="=IFERROR(@__xludf.DUMMYFUNCTION(&quot;&quot;&quot;COMPUTED_VALUE&quot;&quot;&quot;),&quot;Geosynthetics and Reinforced Soil Structures&quot;)"/>
    <hyperlink ref="F61" r:id="rId60" display="=IFERROR(@__xludf.DUMMYFUNCTION(&quot;&quot;&quot;COMPUTED_VALUE&quot;&quot;&quot;),&quot;Slope Stability and Landslide Management&quot;)"/>
    <hyperlink ref="F62" r:id="rId61" display="=IFERROR(@__xludf.DUMMYFUNCTION(&quot;&quot;&quot;COMPUTED_VALUE&quot;&quot;&quot;),&quot;Geoinformatics Applications&quot;)"/>
    <hyperlink ref="F63" r:id="rId62" display="=IFERROR(@__xludf.DUMMYFUNCTION(&quot;&quot;&quot;COMPUTED_VALUE&quot;&quot;&quot;),&quot;Geographical Information System&quot;)"/>
    <hyperlink ref="F64" r:id="rId63" display="=IFERROR(@__xludf.DUMMYFUNCTION(&quot;&quot;&quot;COMPUTED_VALUE&quot;&quot;&quot;),&quot;Digital Cadastre&quot;)"/>
    <hyperlink ref="F65" r:id="rId64" display="=IFERROR(@__xludf.DUMMYFUNCTION(&quot;&quot;&quot;COMPUTED_VALUE&quot;&quot;&quot;),&quot;Remote Sensing and Image Processing&quot;)"/>
    <hyperlink ref="F66" r:id="rId65" display="=IFERROR(@__xludf.DUMMYFUNCTION(&quot;&quot;&quot;COMPUTED_VALUE&quot;&quot;&quot;),&quot;Hydrographic Surveying&quot;)"/>
    <hyperlink ref="F67" r:id="rId66" display="=IFERROR(@__xludf.DUMMYFUNCTION(&quot;&quot;&quot;COMPUTED_VALUE&quot;&quot;&quot;),&quot;Photogrammetry&quot;)"/>
    <hyperlink ref="F68" r:id="rId67" display="=IFERROR(@__xludf.DUMMYFUNCTION(&quot;&quot;&quot;COMPUTED_VALUE&quot;&quot;&quot;),&quot;Industrial Wastewater Management&quot;)"/>
    <hyperlink ref="F69" r:id="rId68" display="=IFERROR(@__xludf.DUMMYFUNCTION(&quot;&quot;&quot;COMPUTED_VALUE&quot;&quot;&quot;),&quot;Environmental Quality Monitoring&quot;)"/>
    <hyperlink ref="F70" r:id="rId69" display="=IFERROR(@__xludf.DUMMYFUNCTION(&quot;&quot;&quot;COMPUTED_VALUE&quot;&quot;&quot;),&quot;Environmental Impact Assessment&quot;)"/>
    <hyperlink ref="F71" r:id="rId70" display="=IFERROR(@__xludf.DUMMYFUNCTION(&quot;&quot;&quot;COMPUTED_VALUE&quot;&quot;&quot;),&quot;Air Pollution Engineering&quot;)"/>
    <hyperlink ref="F72" r:id="rId71" display="=IFERROR(@__xludf.DUMMYFUNCTION(&quot;&quot;&quot;COMPUTED_VALUE&quot;&quot;&quot;),&quot;Data Analytics in Environmental Engineering&quot;)"/>
    <hyperlink ref="F73" r:id="rId72" display="=IFERROR(@__xludf.DUMMYFUNCTION(&quot;&quot;&quot;COMPUTED_VALUE&quot;&quot;&quot;),&quot;Instrumentation for Pollution Monitoring and Management&quot;)"/>
    <hyperlink ref="F74" r:id="rId73" display="=IFERROR(@__xludf.DUMMYFUNCTION(&quot;&quot;&quot;COMPUTED_VALUE&quot;&quot;&quot;),&quot;Airport Engineering&quot;)"/>
    <hyperlink ref="F75" r:id="rId74" display="=IFERROR(@__xludf.DUMMYFUNCTION(&quot;&quot;&quot;COMPUTED_VALUE&quot;&quot;&quot;),&quot;Traffic Engineering and Management&quot;)"/>
    <hyperlink ref="F76" r:id="rId75" display="=IFERROR(@__xludf.DUMMYFUNCTION(&quot;&quot;&quot;COMPUTED_VALUE&quot;&quot;&quot;),&quot;Port and Harbour Engineering&quot;)"/>
    <hyperlink ref="F77" r:id="rId76" display="=IFERROR(@__xludf.DUMMYFUNCTION(&quot;&quot;&quot;COMPUTED_VALUE&quot;&quot;&quot;),&quot;Railway Engineering&quot;)"/>
    <hyperlink ref="F78" r:id="rId77" display="=IFERROR(@__xludf.DUMMYFUNCTION(&quot;&quot;&quot;COMPUTED_VALUE&quot;&quot;&quot;),&quot;Pavement Engineering&quot;)"/>
    <hyperlink ref="F79" r:id="rId78" display="=IFERROR(@__xludf.DUMMYFUNCTION(&quot;&quot;&quot;COMPUTED_VALUE&quot;&quot;&quot;),&quot;Transportation Planning Process&quot;)"/>
    <hyperlink ref="F80" r:id="rId79" display="=IFERROR(@__xludf.DUMMYFUNCTION(&quot;&quot;&quot;COMPUTED_VALUE&quot;&quot;&quot;),&quot;Sustainable Construction and Lean Construction&quot;)"/>
    <hyperlink ref="F81" r:id="rId80" display="=IFERROR(@__xludf.DUMMYFUNCTION(&quot;&quot;&quot;COMPUTED_VALUE&quot;&quot;&quot;),&quot;Formwork Engineering&quot;)"/>
    <hyperlink ref="F82" r:id="rId81" display="=IFERROR(@__xludf.DUMMYFUNCTION(&quot;&quot;&quot;COMPUTED_VALUE&quot;&quot;&quot;),&quot;Construction Engineering and Occupational Safety&quot;)"/>
    <hyperlink ref="F83" r:id="rId82" display="=IFERROR(@__xludf.DUMMYFUNCTION(&quot;&quot;&quot;COMPUTED_VALUE&quot;&quot;&quot;),&quot;Contract Laws and Regulations&quot;)"/>
    <hyperlink ref="F84" r:id="rId83" display="=IFERROR(@__xludf.DUMMYFUNCTION(&quot;&quot;&quot;COMPUTED_VALUE&quot;&quot;&quot;),&quot;Construction Project Management&quot;)"/>
    <hyperlink ref="F85" r:id="rId84" display="=IFERROR(@__xludf.DUMMYFUNCTION(&quot;&quot;&quot;COMPUTED_VALUE&quot;&quot;&quot;),&quot;Material Science and Engineering&quot;)"/>
    <hyperlink ref="F86" r:id="rId85" display="=IFERROR(@__xludf.DUMMYFUNCTION(&quot;&quot;&quot;COMPUTED_VALUE&quot;&quot;&quot;),&quot;Prefabricated Structures&quot;)"/>
    <hyperlink ref="F87" r:id="rId86" display="=IFERROR(@__xludf.DUMMYFUNCTION(&quot;&quot;&quot;COMPUTED_VALUE&quot;&quot;&quot;),&quot;Watershed Conservation and Management&quot;)"/>
    <hyperlink ref="F88" r:id="rId87" display="=IFERROR(@__xludf.DUMMYFUNCTION(&quot;&quot;&quot;COMPUTED_VALUE&quot;&quot;&quot;),&quot;Analysis and Design of Deep Foundations&quot;)"/>
    <hyperlink ref="F89" r:id="rId88" display="=IFERROR(@__xludf.DUMMYFUNCTION(&quot;&quot;&quot;COMPUTED_VALUE&quot;&quot;&quot;),&quot;UAV and Drone Technology for Mapping&quot;)"/>
    <hyperlink ref="F90" r:id="rId89" display="=IFERROR(@__xludf.DUMMYFUNCTION(&quot;&quot;&quot;COMPUTED_VALUE&quot;&quot;&quot;),&quot;Solid and Hazardous Waste Management&quot;)"/>
    <hyperlink ref="F91" r:id="rId90" display="=IFERROR(@__xludf.DUMMYFUNCTION(&quot;&quot;&quot;COMPUTED_VALUE&quot;&quot;&quot;),&quot;Intelligent Transport Systems&quot;)"/>
    <hyperlink ref="F92" r:id="rId91" display="=IFERROR(@__xludf.DUMMYFUNCTION(&quot;&quot;&quot;COMPUTED_VALUE&quot;&quot;&quot;),&quot;Advanced Construction Techniques&quot;)"/>
    <hyperlink ref="F93" r:id="rId92" display="=IFERROR(@__xludf.DUMMYFUNCTION(&quot;&quot;&quot;COMPUTED_VALUE&quot;&quot;&quot;),&quot;Precast Technology&quot;)"/>
    <hyperlink ref="F94" r:id="rId93" display="=IFERROR(@__xludf.DUMMYFUNCTION(&quot;&quot;&quot;COMPUTED_VALUE&quot;&quot;&quot;),&quot;Urban Water Infrastructure&quot;)"/>
    <hyperlink ref="F95" r:id="rId94" display="=IFERROR(@__xludf.DUMMYFUNCTION(&quot;&quot;&quot;COMPUTED_VALUE&quot;&quot;&quot;),&quot;Tunneling Engineering&quot;)"/>
    <hyperlink ref="F96" r:id="rId95" display="=IFERROR(@__xludf.DUMMYFUNCTION(&quot;&quot;&quot;COMPUTED_VALUE&quot;&quot;&quot;),&quot;Spatial Data Infrastructure and Management&quot;)"/>
    <hyperlink ref="F97" r:id="rId96" display="=IFERROR(@__xludf.DUMMYFUNCTION(&quot;&quot;&quot;COMPUTED_VALUE&quot;&quot;&quot;),&quot;Water Quality and Management&quot;)"/>
    <hyperlink ref="F98" r:id="rId97" display="=IFERROR(@__xludf.DUMMYFUNCTION(&quot;&quot;&quot;COMPUTED_VALUE&quot;&quot;&quot;),&quot;Urban Infrastructure and Smart Cities&quot;)"/>
    <hyperlink ref="F99" r:id="rId98" display="=IFERROR(@__xludf.DUMMYFUNCTION(&quot;&quot;&quot;COMPUTED_VALUE&quot;&quot;&quot;),&quot;Construction Equipment and Machinery&quot;)"/>
    <hyperlink ref="F102" r:id="rId99" display="=IFERROR(@__xludf.DUMMYFUNCTION(&quot;&quot;&quot;COMPUTED_VALUE&quot;&quot;&quot;),&quot;Mini Project&quot;)"/>
    <hyperlink ref="F103" r:id="rId100" display="=IFERROR(@__xludf.DUMMYFUNCTION(&quot;&quot;&quot;COMPUTED_VALUE&quot;&quot;&quot;),&quot;Project Work Phase I&quot;)"/>
    <hyperlink ref="F104" r:id="rId101" display="=IFERROR(@__xludf.DUMMYFUNCTION(&quot;&quot;&quot;COMPUTED_VALUE&quot;&quot;&quot;),&quot;Project Work Phase II&quot;)"/>
    <hyperlink ref="F106" r:id="rId102" display="=IFERROR(@__xludf.DUMMYFUNCTION(&quot;&quot;&quot;COMPUTED_VALUE&quot;&quot;&quot;),&quot;Career Development Skills&quot;)"/>
    <hyperlink ref="F107" r:id="rId103" display="=IFERROR(@__xludf.DUMMYFUNCTION(&quot;&quot;&quot;COMPUTED_VALUE&quot;&quot;&quot;),&quot;Reasoning Ability&quot;)"/>
    <hyperlink ref="F108" r:id="rId104" display="=IFERROR(@__xludf.DUMMYFUNCTION(&quot;&quot;&quot;COMPUTED_VALUE&quot;&quot;&quot;),&quot;Quantitative Ability I&quot;)"/>
    <hyperlink ref="F109" r:id="rId105" display="=IFERROR(@__xludf.DUMMYFUNCTION(&quot;&quot;&quot;COMPUTED_VALUE&quot;&quot;&quot;),&quot;Quantitative Ability II&quot;)"/>
    <hyperlink ref="F110" r:id="rId106" display="=IFERROR(@__xludf.DUMMYFUNCTION(&quot;&quot;&quot;COMPUTED_VALUE&quot;&quot;&quot;),&quot;Employment Enrichment Skills&quot;)"/>
    <hyperlink ref="F111" r:id="rId107" display="=IFERROR(@__xludf.DUMMYFUNCTION(&quot;&quot;&quot;COMPUTED_VALUE&quot;&quot;&quot;),&quot;Placement Readiness Assessment&quot;)"/>
    <hyperlink ref="F112" r:id="rId108" display="=IFERROR(@__xludf.DUMMYFUNCTION(&quot;&quot;&quot;COMPUTED_VALUE&quot;&quot;&quot;),&quot;Paper Publication&quot;)"/>
    <hyperlink ref="F113" r:id="rId109" display="=IFERROR(@__xludf.DUMMYFUNCTION(&quot;&quot;&quot;COMPUTED_VALUE&quot;&quot;&quot;),&quot;Constitutionalism and Artificial Intelligence Policies in India&quot;)"/>
    <hyperlink ref="F114" r:id="rId110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661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""R2019-BME!A:A""),
IMPORTRANGE(""https://docs.google.com/spreadsheets/d/1UvPg-G_Bj-UNhLC2uL8tntfYsnld_PABqE3impzOchM/edit"", ""R2019-"&amp;"BME!D:D""),
IMPORTRANGE(""https://docs.google.com/spreadsheets/d/1UvPg-G_Bj-UNhLC2uL8tntfYsnld_PABqE3impzOchM/edit"", ""R2019-BME!E:E""),
IMPORTRANGE(""https://docs.google.com/spreadsheets/d/1UvPg-G_Bj-UNhLC2uL8tntfYsnld_PABqE3impzOchM/edit"", ""R2019-BME"&amp;"!F:F""),
IMPORTRANGE(""https://docs.google.com/spreadsheets/d/1UvPg-G_Bj-UNhLC2uL8tntfYsnld_PABqE3impzOchM/edit"", ""R2019-BME!G:G""),
IMPORTRANGE(""https://docs.google.com/spreadsheets/d/1UvPg-G_Bj-UNhLC2uL8tntfYsnld_PABqE3impzOchM/edit"", ""R2019-BME!I:"&amp;"I""),
IMPORTRANGE(""https://docs.google.com/spreadsheets/d/1UvPg-G_Bj-UNhLC2uL8tntfYsnld_PABqE3impzOchM/edit"", ""R2019-BME!N:N""),
IMPORTRANGE(""https://docs.google.com/spreadsheets/d/1UvPg-G_Bj-UNhLC2uL8tntfYsnld_PABqE3impzOchM/edit"", ""R2019-BME!O:O"""&amp;"),
IMPORTRANGE(""https://docs.google.com/spreadsheets/d/1UvPg-G_Bj-UNhLC2uL8tntfYsnld_PABqE3impzOchM/edit"", ""R2019-BME!P:P""),
IMPORTRANGE(""https://docs.google.com/spreadsheets/d/1UvPg-G_Bj-UNhLC2uL8tntfYsnld_PABqE3impzOchM/edit"", ""R2019-BME!Q:Q""),
"&amp;"IMPORTRANGE(""https://docs.google.com/spreadsheets/d/1UvPg-G_Bj-UNhLC2uL8tntfYsnld_PABqE3impzOchM/edit"", ""R2019-BME!R:R""),
IMPORTRANGE(""https://docs.google.com/spreadsheets/d/1UvPg-G_Bj-UNhLC2uL8tntfYsnld_PABqE3impzOchM/edit"", ""R2019-BME!S:S""),
IMP"&amp;"ORTRANGE(""https://docs.google.com/spreadsheets/d/1UvPg-G_Bj-UNhLC2uL8tntfYsnld_PABqE3impzOchM/edit"", ""R2019-BME!V:V""),
IMPORTRANGE(""https://docs.google.com/spreadsheets/d/1UvPg-G_Bj-UNhLC2uL8tntfYsnld_PABqE3impzOchM/edit"", ""R2019-BME!X:X""),
IMPORT"&amp;"RANGE(""https://docs.google.com/spreadsheets/d/1UvPg-G_Bj-UNhLC2uL8tntfYsnld_PABqE3impzOchM/edit"", ""R2019-BME!Y:Y""),
IMPORTRANGE(""https://docs.google.com/spreadsheets/d/1UvPg-G_Bj-UNhLC2uL8tntfYsnld_PABqE3impzOchM/edit"", ""R2019-BME!AA:AA""),
IMPORTR"&amp;"ANGE(""https://docs.google.com/spreadsheets/d/1UvPg-G_Bj-UNhLC2uL8tntfYsnld_PABqE3impzOchM/edit"", ""R2019-BME!AC:AC""),
IMPORTRANGE(""https://docs.google.com/spreadsheets/d/1UvPg-G_Bj-UNhLC2uL8tntfYsnld_PABqE3impzOchM/edit"", ""R2019-BME!AD:AD"")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(Reg)")</f>
        <v>Credits to be Earned (Reg)</v>
      </c>
      <c r="O2" s="17" t="str">
        <f>IFERROR(__xludf.DUMMYFUNCTION("""COMPUTED_VALUE"""),"Credits to be Earned (LE)")</f>
        <v>Credits to be Earned (LE)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(Reg)")</f>
        <v>Credits to be Earned (Reg)</v>
      </c>
      <c r="R2" s="17" t="str">
        <f>IFERROR(__xludf.DUMMYFUNCTION("""COMPUTED_VALUE"""),"Credits to be Earned (LE)")</f>
        <v>Credits to be Earned (LE)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IFERROR(__xludf.DUMMYFUNCTION("""COMPUTED_VALUE"""),"SH1101")</f>
        <v>SH1101</v>
      </c>
      <c r="E3" s="2" t="str">
        <f>IFERROR(__xludf.DUMMYFUNCTION("""COMPUTED_VALUE"""),"19EN101")</f>
        <v>19EN101</v>
      </c>
      <c r="F3" s="7" t="str">
        <f>IFERROR(__xludf.DUMMYFUNCTION("""COMPUTED_VALUE"""),"Communicative English")</f>
        <v>Communicative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IFERROR(__xludf.DUMMYFUNCTION("""COMPUTED_VALUE"""),"SH1106")</f>
        <v>SH1106</v>
      </c>
      <c r="E4" s="2" t="str">
        <f>IFERROR(__xludf.DUMMYFUNCTION("""COMPUTED_VALUE"""),"19EN106")</f>
        <v>19EN106</v>
      </c>
      <c r="F4" s="7" t="str">
        <f>IFERROR(__xludf.DUMMYFUNCTION("""COMPUTED_VALUE"""),"English for Engineers")</f>
        <v>English for Engineers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IFERROR(__xludf.DUMMYFUNCTION("""COMPUTED_VALUE"""),27)</f>
        <v>27</v>
      </c>
      <c r="O4" s="20">
        <f>IFERROR(__xludf.DUMMYFUNCTION("""COMPUTED_VALUE"""),11)</f>
        <v>11</v>
      </c>
      <c r="P4" s="19" t="str">
        <f>IFERROR(__xludf.DUMMYFUNCTION("""COMPUTED_VALUE"""),"BS")</f>
        <v>BS</v>
      </c>
      <c r="Q4" s="2">
        <f>IFERROR(__xludf.DUMMYFUNCTION("""COMPUTED_VALUE"""),27)</f>
        <v>27</v>
      </c>
      <c r="R4" s="20">
        <f>IFERROR(__xludf.DUMMYFUNCTION("""COMPUTED_VALUE"""),11)</f>
        <v>11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LE, Option 1 for Regular")</f>
        <v>Exempted for LE, Option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IFERROR(__xludf.DUMMYFUNCTION("""COMPUTED_VALUE"""),"19EN102")</f>
        <v>19EN102</v>
      </c>
      <c r="F5" s="7" t="str">
        <f>IFERROR(__xludf.DUMMYFUNCTION("""COMPUTED_VALUE"""),"Technical English")</f>
        <v>Technical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IFERROR(__xludf.DUMMYFUNCTION("""COMPUTED_VALUE"""),29)</f>
        <v>29</v>
      </c>
      <c r="O5" s="20">
        <f>IFERROR(__xludf.DUMMYFUNCTION("""COMPUTED_VALUE"""),15)</f>
        <v>15</v>
      </c>
      <c r="P5" s="19" t="str">
        <f>IFERROR(__xludf.DUMMYFUNCTION("""COMPUTED_VALUE"""),"ES")</f>
        <v>ES</v>
      </c>
      <c r="Q5" s="2">
        <f>IFERROR(__xludf.DUMMYFUNCTION("""COMPUTED_VALUE"""),29)</f>
        <v>29</v>
      </c>
      <c r="R5" s="20">
        <f>IFERROR(__xludf.DUMMYFUNCTION("""COMPUTED_VALUE"""),15)</f>
        <v>15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LE, Option 2 for Regular")</f>
        <v>Exempted for LE, Option 2 for Regular</v>
      </c>
      <c r="C6" s="2" t="str">
        <f>IFERROR(__xludf.DUMMYFUNCTION("""COMPUTED_VALUE"""),"HS")</f>
        <v>HS</v>
      </c>
      <c r="D6" s="2" t="str">
        <f>IFERROR(__xludf.DUMMYFUNCTION("""COMPUTED_VALUE"""),"SH1107")</f>
        <v>SH1107</v>
      </c>
      <c r="E6" s="2" t="str">
        <f>IFERROR(__xludf.DUMMYFUNCTION("""COMPUTED_VALUE"""),"19EN107")</f>
        <v>19EN107</v>
      </c>
      <c r="F6" s="7" t="str">
        <f>IFERROR(__xludf.DUMMYFUNCTION("""COMPUTED_VALUE"""),"Technical Writing and Presentation")</f>
        <v>Technical Writing and Presentation</v>
      </c>
      <c r="G6" s="2" t="str">
        <f>IFERROR(__xludf.DUMMYFUNCTION("""COMPUTED_VALUE"""),"-")</f>
        <v>-</v>
      </c>
      <c r="H6" s="2">
        <f>IFERROR(__xludf.DUMMYFUNCTION("""COMPUTED_VALUE"""),0)</f>
        <v>0</v>
      </c>
      <c r="I6" s="2">
        <f>IFERROR(__xludf.DUMMYFUNCTION("""COMPUTED_VALUE"""),2)</f>
        <v>2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IFERROR(__xludf.DUMMYFUNCTION("""COMPUTED_VALUE"""),"Practical (10 Expts)")</f>
        <v>Practical (10 Expts)</v>
      </c>
      <c r="M6" s="19" t="str">
        <f>IFERROR(__xludf.DUMMYFUNCTION("""COMPUTED_VALUE"""),"PC")</f>
        <v>PC</v>
      </c>
      <c r="N6" s="2">
        <f>IFERROR(__xludf.DUMMYFUNCTION("""COMPUTED_VALUE"""),57)</f>
        <v>57</v>
      </c>
      <c r="O6" s="20">
        <f>IFERROR(__xludf.DUMMYFUNCTION("""COMPUTED_VALUE"""),57)</f>
        <v>57</v>
      </c>
      <c r="P6" s="19" t="str">
        <f>IFERROR(__xludf.DUMMYFUNCTION("""COMPUTED_VALUE"""),"PC")</f>
        <v>PC</v>
      </c>
      <c r="Q6" s="2">
        <f>IFERROR(__xludf.DUMMYFUNCTION("""COMPUTED_VALUE"""),57)</f>
        <v>57</v>
      </c>
      <c r="R6" s="20">
        <f>IFERROR(__xludf.DUMMYFUNCTION("""COMPUTED_VALUE"""),57)</f>
        <v>57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LE, Option 2 for Regular")</f>
        <v>Exempted for LE, Option 2 for Regular</v>
      </c>
      <c r="C7" s="2" t="str">
        <f>IFERROR(__xludf.DUMMYFUNCTION("""COMPUTED_VALUE"""),"HS")</f>
        <v>HS</v>
      </c>
      <c r="D7" s="2" t="str">
        <f>IFERROR(__xludf.DUMMYFUNCTION("""COMPUTED_VALUE"""),"SH1105")</f>
        <v>SH1105</v>
      </c>
      <c r="E7" s="2" t="str">
        <f>IFERROR(__xludf.DUMMYFUNCTION("""COMPUTED_VALUE"""),"19EN105")</f>
        <v>19EN105</v>
      </c>
      <c r="F7" s="7" t="str">
        <f>IFERROR(__xludf.DUMMYFUNCTION("""COMPUTED_VALUE"""),"Public Speaking")</f>
        <v>Public Speaking</v>
      </c>
      <c r="G7" s="2" t="str">
        <f>IFERROR(__xludf.DUMMYFUNCTION("""COMPUTED_VALUE"""),"-")</f>
        <v>-</v>
      </c>
      <c r="H7" s="2">
        <f>IFERROR(__xludf.DUMMYFUNCTION("""COMPUTED_VALUE"""),0)</f>
        <v>0</v>
      </c>
      <c r="I7" s="2">
        <f>IFERROR(__xludf.DUMMYFUNCTION("""COMPUTED_VALUE"""),3)</f>
        <v>3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IFERROR(__xludf.DUMMYFUNCTION("""COMPUTED_VALUE"""),"Practical (10 Expts)")</f>
        <v>Practical (10 Expts)</v>
      </c>
      <c r="M7" s="19" t="str">
        <f>IFERROR(__xludf.DUMMYFUNCTION("""COMPUTED_VALUE"""),"PE")</f>
        <v>PE</v>
      </c>
      <c r="N7" s="2">
        <f>IFERROR(__xludf.DUMMYFUNCTION("""COMPUTED_VALUE"""),12)</f>
        <v>12</v>
      </c>
      <c r="O7" s="20">
        <f>IFERROR(__xludf.DUMMYFUNCTION("""COMPUTED_VALUE"""),12)</f>
        <v>12</v>
      </c>
      <c r="P7" s="19" t="str">
        <f>IFERROR(__xludf.DUMMYFUNCTION("""COMPUTED_VALUE"""),"PE")</f>
        <v>PE</v>
      </c>
      <c r="Q7" s="2">
        <f>IFERROR(__xludf.DUMMYFUNCTION("""COMPUTED_VALUE"""),12)</f>
        <v>12</v>
      </c>
      <c r="R7" s="20">
        <f>IFERROR(__xludf.DUMMYFUNCTION("""COMPUTED_VALUE"""),12)</f>
        <v>12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IFERROR(__xludf.DUMMYFUNCTION("""COMPUTED_VALUE"""),"Any 1")</f>
        <v>Any 1</v>
      </c>
      <c r="C8" s="2" t="str">
        <f>IFERROR(__xludf.DUMMYFUNCTION("""COMPUTED_VALUE"""),"HS")</f>
        <v>HS</v>
      </c>
      <c r="D8" s="2" t="str">
        <f>IFERROR(__xludf.DUMMYFUNCTION("""COMPUTED_VALUE"""),"NA")</f>
        <v>NA</v>
      </c>
      <c r="E8" s="2" t="str">
        <f>IFERROR(__xludf.DUMMYFUNCTION("""COMPUTED_VALUE"""),"19MS151")</f>
        <v>19MS151</v>
      </c>
      <c r="F8" s="7" t="str">
        <f>IFERROR(__xludf.DUMMYFUNCTION("""COMPUTED_VALUE"""),"Principles of Management")</f>
        <v>Principles of Management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IFERROR(__xludf.DUMMYFUNCTION("""COMPUTED_VALUE"""),"Any 1")</f>
        <v>Any 1</v>
      </c>
      <c r="C9" s="2" t="str">
        <f>IFERROR(__xludf.DUMMYFUNCTION("""COMPUTED_VALUE"""),"HS")</f>
        <v>HS</v>
      </c>
      <c r="D9" s="2" t="str">
        <f>IFERROR(__xludf.DUMMYFUNCTION("""COMPUTED_VALUE"""),"NA")</f>
        <v>NA</v>
      </c>
      <c r="E9" s="2" t="str">
        <f>IFERROR(__xludf.DUMMYFUNCTION("""COMPUTED_VALUE"""),"19MS152")</f>
        <v>19MS152</v>
      </c>
      <c r="F9" s="7" t="str">
        <f>IFERROR(__xludf.DUMMYFUNCTION("""COMPUTED_VALUE"""),"Total Quality Management")</f>
        <v>Total Quality Management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IFERROR(__xludf.DUMMYFUNCTION("""COMPUTED_VALUE"""),0)</f>
        <v>0</v>
      </c>
      <c r="J9" s="2">
        <f>IFERROR(__xludf.DUMMYFUNCTION("""COMPUTED_VALUE"""),3)</f>
        <v>3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IFERROR(__xludf.DUMMYFUNCTION("""COMPUTED_VALUE"""),"SH7101")</f>
        <v>SH7101</v>
      </c>
      <c r="E10" s="2" t="str">
        <f>IFERROR(__xludf.DUMMYFUNCTION("""COMPUTED_VALUE"""),"22HS101")</f>
        <v>22HS101</v>
      </c>
      <c r="F10" s="7" t="str">
        <f>IFERROR(__xludf.DUMMYFUNCTION("""COMPUTED_VALUE"""),"தமிழர் மரபு/ Heritage of Tamils")</f>
        <v>தமிழர் மரபு/ Heritage of Tamils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IFERROR(__xludf.DUMMYFUNCTION("""COMPUTED_VALUE"""),"SH7102")</f>
        <v>SH7102</v>
      </c>
      <c r="E11" s="2" t="str">
        <f>IFERROR(__xludf.DUMMYFUNCTION("""COMPUTED_VALUE"""),"22HS102")</f>
        <v>22HS102</v>
      </c>
      <c r="F11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1" s="2" t="str">
        <f>IFERROR(__xludf.DUMMYFUNCTION("""COMPUTED_VALUE"""),"-")</f>
        <v>-</v>
      </c>
      <c r="H11" s="2">
        <f>IFERROR(__xludf.DUMMYFUNCTION("""COMPUTED_VALUE"""),1)</f>
        <v>1</v>
      </c>
      <c r="I11" s="2">
        <f>IFERROR(__xludf.DUMMYFUNCTION("""COMPUTED_VALUE"""),0)</f>
        <v>0</v>
      </c>
      <c r="J11" s="2">
        <f>IFERROR(__xludf.DUMMYFUNCTION("""COMPUTED_VALUE"""),1)</f>
        <v>1</v>
      </c>
      <c r="K11" s="2" t="str">
        <f>IFERROR(__xludf.DUMMYFUNCTION("""COMPUTED_VALUE"""),"CGPA")</f>
        <v>CGPA</v>
      </c>
      <c r="L11" s="18" t="str">
        <f>IFERROR(__xludf.DUMMYFUNCTION("""COMPUTED_VALUE"""),"Theory (Int Only)")</f>
        <v>Theory (Int Only)</v>
      </c>
      <c r="M11" s="21" t="str">
        <f>IFERROR(__xludf.DUMMYFUNCTION("""COMPUTED_VALUE"""),"TOTAL")</f>
        <v>TOTAL</v>
      </c>
      <c r="N11" s="22">
        <f>IFERROR(__xludf.DUMMYFUNCTION("""COMPUTED_VALUE"""),167)</f>
        <v>167</v>
      </c>
      <c r="O11" s="23">
        <f>IFERROR(__xludf.DUMMYFUNCTION("""COMPUTED_VALUE"""),129)</f>
        <v>129</v>
      </c>
      <c r="P11" s="21" t="str">
        <f>IFERROR(__xludf.DUMMYFUNCTION("""COMPUTED_VALUE"""),"TOTAL")</f>
        <v>TOTAL</v>
      </c>
      <c r="Q11" s="22">
        <f>IFERROR(__xludf.DUMMYFUNCTION("""COMPUTED_VALUE"""),169)</f>
        <v>169</v>
      </c>
      <c r="R11" s="23">
        <f>IFERROR(__xludf.DUMMYFUNCTION("""COMPUTED_VALUE"""),129)</f>
        <v>129</v>
      </c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 , Any 1 for Regular")</f>
        <v>Exempted for LE , Any 1 for Regular</v>
      </c>
      <c r="C12" s="2" t="str">
        <f>IFERROR(__xludf.DUMMYFUNCTION("""COMPUTED_VALUE"""),"BS")</f>
        <v>BS</v>
      </c>
      <c r="D12" s="2" t="str">
        <f>IFERROR(__xludf.DUMMYFUNCTION("""COMPUTED_VALUE"""),"NA")</f>
        <v>NA</v>
      </c>
      <c r="E12" s="2" t="str">
        <f>IFERROR(__xludf.DUMMYFUNCTION("""COMPUTED_VALUE"""),"19MA202")</f>
        <v>19MA202</v>
      </c>
      <c r="F12" s="7" t="str">
        <f>IFERROR(__xludf.DUMMYFUNCTION("""COMPUTED_VALUE"""),"Calculus and Laplace Transforms")</f>
        <v>Calculus and Laplace Transforms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 , Any 1 for Regular")</f>
        <v>Exempted for LE , Any 1 for Regular</v>
      </c>
      <c r="C13" s="2" t="str">
        <f>IFERROR(__xludf.DUMMYFUNCTION("""COMPUTED_VALUE"""),"BS")</f>
        <v>BS</v>
      </c>
      <c r="D13" s="2" t="str">
        <f>IFERROR(__xludf.DUMMYFUNCTION("""COMPUTED_VALUE"""),"SH2201")</f>
        <v>SH2201</v>
      </c>
      <c r="E13" s="2" t="str">
        <f>IFERROR(__xludf.DUMMYFUNCTION("""COMPUTED_VALUE"""),"19MA201")</f>
        <v>19MA201</v>
      </c>
      <c r="F13" s="7" t="str">
        <f>IFERROR(__xludf.DUMMYFUNCTION("""COMPUTED_VALUE"""),"Calculus and Matrix Algebra")</f>
        <v>Calculus and Matrix Algebra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IFERROR(__xludf.DUMMYFUNCTION("""COMPUTED_VALUE"""),"19MA204")</f>
        <v>19MA204</v>
      </c>
      <c r="F14" s="7" t="str">
        <f>IFERROR(__xludf.DUMMYFUNCTION("""COMPUTED_VALUE"""),"Complex Variables and Ordinary Differential Equations")</f>
        <v>Complex Variables and Ordinary Differential Equations</v>
      </c>
      <c r="G14" s="2" t="str">
        <f>IFERROR(__xludf.DUMMYFUNCTION("""COMPUTED_VALUE"""),"19MA202")</f>
        <v>19MA202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IFERROR(__xludf.DUMMYFUNCTION("""COMPUTED_VALUE"""),"Option 1")</f>
        <v>Option 1</v>
      </c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IFERROR(__xludf.DUMMYFUNCTION("""COMPUTED_VALUE"""),"19MA210")</f>
        <v>19MA210</v>
      </c>
      <c r="F15" s="7" t="str">
        <f>IFERROR(__xludf.DUMMYFUNCTION("""COMPUTED_VALUE"""),"Transforms and Partial Differential Equations")</f>
        <v>Transforms and Partial Differential Equations</v>
      </c>
      <c r="G15" s="2" t="str">
        <f>IFERROR(__xludf.DUMMYFUNCTION("""COMPUTED_VALUE"""),"19MA202")</f>
        <v>19MA202</v>
      </c>
      <c r="H15" s="2">
        <f>IFERROR(__xludf.DUMMYFUNCTION("""COMPUTED_VALUE"""),4)</f>
        <v>4</v>
      </c>
      <c r="I15" s="2">
        <f>IFERROR(__xludf.DUMMYFUNCTION("""COMPUTED_VALUE"""),0)</f>
        <v>0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IFERROR(__xludf.DUMMYFUNCTION("""COMPUTED_VALUE"""),"Option 1")</f>
        <v>Option 1</v>
      </c>
      <c r="C16" s="2" t="str">
        <f>IFERROR(__xludf.DUMMYFUNCTION("""COMPUTED_VALUE"""),"BS")</f>
        <v>BS</v>
      </c>
      <c r="D16" s="2" t="str">
        <f>IFERROR(__xludf.DUMMYFUNCTION("""COMPUTED_VALUE"""),"NA")</f>
        <v>NA</v>
      </c>
      <c r="E16" s="2" t="str">
        <f>IFERROR(__xludf.DUMMYFUNCTION("""COMPUTED_VALUE"""),"19MA217")</f>
        <v>19MA217</v>
      </c>
      <c r="F16" s="7" t="str">
        <f>IFERROR(__xludf.DUMMYFUNCTION("""COMPUTED_VALUE"""),"Random Processes and Statistics")</f>
        <v>Random Processes and Statistics</v>
      </c>
      <c r="G16" s="2" t="str">
        <f>IFERROR(__xludf.DUMMYFUNCTION("""COMPUTED_VALUE"""),"19MA202")</f>
        <v>19MA202</v>
      </c>
      <c r="H16" s="2">
        <f>IFERROR(__xludf.DUMMYFUNCTION("""COMPUTED_VALUE"""),4)</f>
        <v>4</v>
      </c>
      <c r="I16" s="2">
        <f>IFERROR(__xludf.DUMMYFUNCTION("""COMPUTED_VALUE"""),0)</f>
        <v>0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IFERROR(__xludf.DUMMYFUNCTION("""COMPUTED_VALUE"""),"Theory")</f>
        <v>Theory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IFERROR(__xludf.DUMMYFUNCTION("""COMPUTED_VALUE"""),"Option 2")</f>
        <v>Option 2</v>
      </c>
      <c r="C17" s="2" t="str">
        <f>IFERROR(__xludf.DUMMYFUNCTION("""COMPUTED_VALUE"""),"BS")</f>
        <v>BS</v>
      </c>
      <c r="D17" s="2" t="str">
        <f>IFERROR(__xludf.DUMMYFUNCTION("""COMPUTED_VALUE"""),"SH2223")</f>
        <v>SH2223</v>
      </c>
      <c r="E17" s="2" t="str">
        <f>IFERROR(__xludf.DUMMYFUNCTION("""COMPUTED_VALUE"""),"19MA223")</f>
        <v>19MA223</v>
      </c>
      <c r="F17" s="7" t="str">
        <f>IFERROR(__xludf.DUMMYFUNCTION("""COMPUTED_VALUE"""),"Linear Algebra and Probability")</f>
        <v>Linear Algebra and Probability</v>
      </c>
      <c r="G17" s="2" t="str">
        <f>IFERROR(__xludf.DUMMYFUNCTION("""COMPUTED_VALUE"""),"-")</f>
        <v>-</v>
      </c>
      <c r="H17" s="2">
        <f>IFERROR(__xludf.DUMMYFUNCTION("""COMPUTED_VALUE"""),4)</f>
        <v>4</v>
      </c>
      <c r="I17" s="2">
        <f>IFERROR(__xludf.DUMMYFUNCTION("""COMPUTED_VALUE"""),0)</f>
        <v>0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IFERROR(__xludf.DUMMYFUNCTION("""COMPUTED_VALUE"""),"Theory")</f>
        <v>Theory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IFERROR(__xludf.DUMMYFUNCTION("""COMPUTED_VALUE"""),"Option 2")</f>
        <v>Option 2</v>
      </c>
      <c r="C18" s="2" t="str">
        <f>IFERROR(__xludf.DUMMYFUNCTION("""COMPUTED_VALUE"""),"BS")</f>
        <v>BS</v>
      </c>
      <c r="D18" s="2" t="str">
        <f>IFERROR(__xludf.DUMMYFUNCTION("""COMPUTED_VALUE"""),"SH2211")</f>
        <v>SH2211</v>
      </c>
      <c r="E18" s="2" t="str">
        <f>IFERROR(__xludf.DUMMYFUNCTION("""COMPUTED_VALUE"""),"19MA211")</f>
        <v>19MA211</v>
      </c>
      <c r="F18" s="7" t="str">
        <f>IFERROR(__xludf.DUMMYFUNCTION("""COMPUTED_VALUE"""),"Statistics and Numerical Methods")</f>
        <v>Statistics and Numerical Methods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IFERROR(__xludf.DUMMYFUNCTION("""COMPUTED_VALUE"""),"BS")</f>
        <v>BS</v>
      </c>
      <c r="D19" s="2" t="str">
        <f>IFERROR(__xludf.DUMMYFUNCTION("""COMPUTED_VALUE"""),"NA")</f>
        <v>NA</v>
      </c>
      <c r="E19" s="2" t="str">
        <f>IFERROR(__xludf.DUMMYFUNCTION("""COMPUTED_VALUE"""),"19PH202")</f>
        <v>19PH202</v>
      </c>
      <c r="F19" s="7" t="str">
        <f>IFERROR(__xludf.DUMMYFUNCTION("""COMPUTED_VALUE"""),"Fundamentals of Engineering Physics")</f>
        <v>Fundamentals of Engineering Physics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IFERROR(__xludf.DUMMYFUNCTION("""COMPUTED_VALUE"""),"BS")</f>
        <v>BS</v>
      </c>
      <c r="D20" s="2" t="str">
        <f>IFERROR(__xludf.DUMMYFUNCTION("""COMPUTED_VALUE"""),"NA")</f>
        <v>NA</v>
      </c>
      <c r="E20" s="2" t="str">
        <f>IFERROR(__xludf.DUMMYFUNCTION("""COMPUTED_VALUE"""),"19PH208")</f>
        <v>19PH208</v>
      </c>
      <c r="F20" s="7" t="str">
        <f>IFERROR(__xludf.DUMMYFUNCTION("""COMPUTED_VALUE"""),"Medical Physics")</f>
        <v>Medical Physics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IFERROR(__xludf.DUMMYFUNCTION("""COMPUTED_VALUE"""),0)</f>
        <v>0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IFERROR(__xludf.DUMMYFUNCTION("""COMPUTED_VALUE"""),"Theory")</f>
        <v>Theory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IFERROR(__xludf.DUMMYFUNCTION("""COMPUTED_VALUE"""),"BS")</f>
        <v>BS</v>
      </c>
      <c r="D21" s="2" t="str">
        <f>IFERROR(__xludf.DUMMYFUNCTION("""COMPUTED_VALUE"""),"NA")</f>
        <v>NA</v>
      </c>
      <c r="E21" s="2" t="str">
        <f>IFERROR(__xludf.DUMMYFUNCTION("""COMPUTED_VALUE"""),"19CY202")</f>
        <v>19CY202</v>
      </c>
      <c r="F21" s="7" t="str">
        <f>IFERROR(__xludf.DUMMYFUNCTION("""COMPUTED_VALUE"""),"Chemistry for Biomedical Engineering")</f>
        <v>Chemistry for Biomedical Engineering</v>
      </c>
      <c r="G21" s="2" t="str">
        <f>IFERROR(__xludf.DUMMYFUNCTION("""COMPUTED_VALUE"""),"-")</f>
        <v>-</v>
      </c>
      <c r="H21" s="2">
        <f>IFERROR(__xludf.DUMMYFUNCTION("""COMPUTED_VALUE"""),3)</f>
        <v>3</v>
      </c>
      <c r="I21" s="2">
        <f>IFERROR(__xludf.DUMMYFUNCTION("""COMPUTED_VALUE"""),1)</f>
        <v>1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IFERROR(__xludf.DUMMYFUNCTION("""COMPUTED_VALUE"""),"19CS301")</f>
        <v>19CS301</v>
      </c>
      <c r="F22" s="7" t="str">
        <f>IFERROR(__xludf.DUMMYFUNCTION("""COMPUTED_VALUE"""),"Problem Solving and Python Programming")</f>
        <v>Problem Solving and Python Programming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IFERROR(__xludf.DUMMYFUNCTION("""COMPUTED_VALUE"""),1)</f>
        <v>1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IFERROR(__xludf.DUMMYFUNCTION("""COMPUTED_VALUE"""),23)</f>
        <v>23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IFERROR(__xludf.DUMMYFUNCTION("""COMPUTED_VALUE"""),"NA")</f>
        <v>NA</v>
      </c>
      <c r="E23" s="2" t="str">
        <f>IFERROR(__xludf.DUMMYFUNCTION("""COMPUTED_VALUE"""),"19EE307")</f>
        <v>19EE307</v>
      </c>
      <c r="F23" s="7" t="str">
        <f>IFERROR(__xludf.DUMMYFUNCTION("""COMPUTED_VALUE"""),"Basic Electrical Engineering")</f>
        <v>Basic Electrical Engineering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IFERROR(__xludf.DUMMYFUNCTION("""COMPUTED_VALUE"""),24)</f>
        <v>24</v>
      </c>
      <c r="B24" s="2" t="str">
        <f>IFERROR(__xludf.DUMMYFUNCTION("""COMPUTED_VALUE"""),"Exempted for LE , Any 1 for Regular")</f>
        <v>Exempted for LE , Any 1 for Regular</v>
      </c>
      <c r="C24" s="2" t="str">
        <f>IFERROR(__xludf.DUMMYFUNCTION("""COMPUTED_VALUE"""),"ES")</f>
        <v>ES</v>
      </c>
      <c r="D24" s="2" t="str">
        <f>IFERROR(__xludf.DUMMYFUNCTION("""COMPUTED_VALUE"""),"NA")</f>
        <v>NA</v>
      </c>
      <c r="E24" s="2" t="str">
        <f>IFERROR(__xludf.DUMMYFUNCTION("""COMPUTED_VALUE"""),"19EC308")</f>
        <v>19EC308</v>
      </c>
      <c r="F24" s="7" t="str">
        <f>IFERROR(__xludf.DUMMYFUNCTION("""COMPUTED_VALUE"""),"Devices and Circuits")</f>
        <v>Devices and Circuits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IFERROR(__xludf.DUMMYFUNCTION("""COMPUTED_VALUE"""),25)</f>
        <v>25</v>
      </c>
      <c r="B25" s="2" t="str">
        <f>IFERROR(__xludf.DUMMYFUNCTION("""COMPUTED_VALUE"""),"Exempted for LE , Any 1 for Regular")</f>
        <v>Exempted for LE , Any 1 for Regular</v>
      </c>
      <c r="C25" s="2" t="str">
        <f>IFERROR(__xludf.DUMMYFUNCTION("""COMPUTED_VALUE"""),"ES")</f>
        <v>ES</v>
      </c>
      <c r="D25" s="2" t="str">
        <f>IFERROR(__xludf.DUMMYFUNCTION("""COMPUTED_VALUE"""),"EC4301")</f>
        <v>EC4301</v>
      </c>
      <c r="E25" s="2" t="str">
        <f>IFERROR(__xludf.DUMMYFUNCTION("""COMPUTED_VALUE"""),"19BM301")</f>
        <v>19BM301</v>
      </c>
      <c r="F25" s="7" t="str">
        <f>IFERROR(__xludf.DUMMYFUNCTION("""COMPUTED_VALUE"""),"Electronic Circuits and Special Devices")</f>
        <v>Electronic Circuits and Special Devices</v>
      </c>
      <c r="G25" s="2" t="str">
        <f>IFERROR(__xludf.DUMMYFUNCTION("""COMPUTED_VALUE"""),"-")</f>
        <v>-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IFERROR(__xludf.DUMMYFUNCTION("""COMPUTED_VALUE"""),26)</f>
        <v>26</v>
      </c>
      <c r="B26" s="2" t="str">
        <f>IFERROR(__xludf.DUMMYFUNCTION("""COMPUTED_VALUE"""),"Exempted for LE , Any 1 for Regular")</f>
        <v>Exempted for LE , Any 1 for Regular</v>
      </c>
      <c r="C26" s="2" t="str">
        <f>IFERROR(__xludf.DUMMYFUNCTION("""COMPUTED_VALUE"""),"ES")</f>
        <v>ES</v>
      </c>
      <c r="D26" s="2" t="str">
        <f>IFERROR(__xludf.DUMMYFUNCTION("""COMPUTED_VALUE"""),"NA")</f>
        <v>NA</v>
      </c>
      <c r="E26" s="2" t="str">
        <f>IFERROR(__xludf.DUMMYFUNCTION("""COMPUTED_VALUE"""),"19EC301")</f>
        <v>19EC301</v>
      </c>
      <c r="F26" s="30" t="str">
        <f>IFERROR(__xludf.DUMMYFUNCTION("""COMPUTED_VALUE"""),"Electric Circuit Analysis")</f>
        <v>Electric Circuit Analysis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IFERROR(__xludf.DUMMYFUNCTION("""COMPUTED_VALUE"""),27)</f>
        <v>27</v>
      </c>
      <c r="B27" s="2" t="str">
        <f>IFERROR(__xludf.DUMMYFUNCTION("""COMPUTED_VALUE"""),"Exempted for LE , Any 1 for Regular")</f>
        <v>Exempted for LE , Any 1 for Regular</v>
      </c>
      <c r="C27" s="2" t="str">
        <f>IFERROR(__xludf.DUMMYFUNCTION("""COMPUTED_VALUE"""),"ES")</f>
        <v>ES</v>
      </c>
      <c r="D27" s="2" t="str">
        <f>IFERROR(__xludf.DUMMYFUNCTION("""COMPUTED_VALUE"""),"EC2301")</f>
        <v>EC2301</v>
      </c>
      <c r="E27" s="2" t="str">
        <f>IFERROR(__xludf.DUMMYFUNCTION("""COMPUTED_VALUE"""),"19EE301")</f>
        <v>19EE301</v>
      </c>
      <c r="F27" s="7" t="str">
        <f>IFERROR(__xludf.DUMMYFUNCTION("""COMPUTED_VALUE"""),"Electric Circuits and Networks")</f>
        <v>Electric Circuits and Networks</v>
      </c>
      <c r="G27" s="2" t="str">
        <f>IFERROR(__xludf.DUMMYFUNCTION("""COMPUTED_VALUE"""),"19MA202")</f>
        <v>19MA202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IFERROR(__xludf.DUMMYFUNCTION("""COMPUTED_VALUE"""),28)</f>
        <v>28</v>
      </c>
      <c r="B28" s="2"/>
      <c r="C28" s="2" t="str">
        <f>IFERROR(__xludf.DUMMYFUNCTION("""COMPUTED_VALUE"""),"ES")</f>
        <v>ES</v>
      </c>
      <c r="D28" s="2" t="str">
        <f>IFERROR(__xludf.DUMMYFUNCTION("""COMPUTED_VALUE"""),"NA")</f>
        <v>NA</v>
      </c>
      <c r="E28" s="2" t="str">
        <f>IFERROR(__xludf.DUMMYFUNCTION("""COMPUTED_VALUE"""),"19EC303")</f>
        <v>19EC303</v>
      </c>
      <c r="F28" s="7" t="str">
        <f>IFERROR(__xludf.DUMMYFUNCTION("""COMPUTED_VALUE"""),"Digital Principles and System Design")</f>
        <v>Digital Principles and System Design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IFERROR(__xludf.DUMMYFUNCTION("""COMPUTED_VALUE"""),29)</f>
        <v>29</v>
      </c>
      <c r="B29" s="2"/>
      <c r="C29" s="2" t="str">
        <f>IFERROR(__xludf.DUMMYFUNCTION("""COMPUTED_VALUE"""),"ES")</f>
        <v>ES</v>
      </c>
      <c r="D29" s="2" t="str">
        <f>IFERROR(__xludf.DUMMYFUNCTION("""COMPUTED_VALUE"""),"EC1306")</f>
        <v>EC1306</v>
      </c>
      <c r="E29" s="2" t="str">
        <f>IFERROR(__xludf.DUMMYFUNCTION("""COMPUTED_VALUE"""),"19EC306")</f>
        <v>19EC306</v>
      </c>
      <c r="F29" s="7" t="str">
        <f>IFERROR(__xludf.DUMMYFUNCTION("""COMPUTED_VALUE"""),"Analog and Digital Communication")</f>
        <v>Analog and Digital Communication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IFERROR(__xludf.DUMMYFUNCTION("""COMPUTED_VALUE"""),30)</f>
        <v>30</v>
      </c>
      <c r="B30" s="2" t="str">
        <f>IFERROR(__xludf.DUMMYFUNCTION("""COMPUTED_VALUE"""),"Exempted for LE")</f>
        <v>Exempted for LE</v>
      </c>
      <c r="C30" s="2" t="str">
        <f>IFERROR(__xludf.DUMMYFUNCTION("""COMPUTED_VALUE"""),"ES")</f>
        <v>ES</v>
      </c>
      <c r="D30" s="2" t="str">
        <f>IFERROR(__xludf.DUMMYFUNCTION("""COMPUTED_VALUE"""),"NA")</f>
        <v>NA</v>
      </c>
      <c r="E30" s="2" t="str">
        <f>IFERROR(__xludf.DUMMYFUNCTION("""COMPUTED_VALUE"""),"19ME302")</f>
        <v>19ME302</v>
      </c>
      <c r="F30" s="7" t="str">
        <f>IFERROR(__xludf.DUMMYFUNCTION("""COMPUTED_VALUE"""),"Engineering Drawing")</f>
        <v>Engineering Drawing</v>
      </c>
      <c r="G30" s="2" t="str">
        <f>IFERROR(__xludf.DUMMYFUNCTION("""COMPUTED_VALUE"""),"-")</f>
        <v>-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IFERROR(__xludf.DUMMYFUNCTION("""COMPUTED_VALUE"""),31)</f>
        <v>31</v>
      </c>
      <c r="B31" s="2"/>
      <c r="C31" s="2" t="str">
        <f>IFERROR(__xludf.DUMMYFUNCTION("""COMPUTED_VALUE"""),"PC")</f>
        <v>PC</v>
      </c>
      <c r="D31" s="2" t="str">
        <f>IFERROR(__xludf.DUMMYFUNCTION("""COMPUTED_VALUE"""),"EC4401")</f>
        <v>EC4401</v>
      </c>
      <c r="E31" s="2" t="str">
        <f>IFERROR(__xludf.DUMMYFUNCTION("""COMPUTED_VALUE"""),"19BM401")</f>
        <v>19BM401</v>
      </c>
      <c r="F31" s="7" t="str">
        <f>IFERROR(__xludf.DUMMYFUNCTION("""COMPUTED_VALUE"""),"Biochemistry")</f>
        <v>Biochemistry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IFERROR(__xludf.DUMMYFUNCTION("""COMPUTED_VALUE"""),32)</f>
        <v>32</v>
      </c>
      <c r="B32" s="2"/>
      <c r="C32" s="2" t="str">
        <f>IFERROR(__xludf.DUMMYFUNCTION("""COMPUTED_VALUE"""),"PC")</f>
        <v>PC</v>
      </c>
      <c r="D32" s="2" t="str">
        <f>IFERROR(__xludf.DUMMYFUNCTION("""COMPUTED_VALUE"""),"NA")</f>
        <v>NA</v>
      </c>
      <c r="E32" s="2" t="str">
        <f>IFERROR(__xludf.DUMMYFUNCTION("""COMPUTED_VALUE"""),"19BM402")</f>
        <v>19BM402</v>
      </c>
      <c r="F32" s="7" t="str">
        <f>IFERROR(__xludf.DUMMYFUNCTION("""COMPUTED_VALUE"""),"Biosensors and Transducers")</f>
        <v>Biosensors and Transducers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IFERROR(__xludf.DUMMYFUNCTION("""COMPUTED_VALUE"""),33)</f>
        <v>33</v>
      </c>
      <c r="B33" s="2"/>
      <c r="C33" s="2" t="str">
        <f>IFERROR(__xludf.DUMMYFUNCTION("""COMPUTED_VALUE"""),"PC")</f>
        <v>PC</v>
      </c>
      <c r="D33" s="2" t="str">
        <f>IFERROR(__xludf.DUMMYFUNCTION("""COMPUTED_VALUE"""),"EC1402")</f>
        <v>EC1402</v>
      </c>
      <c r="E33" s="2" t="str">
        <f>IFERROR(__xludf.DUMMYFUNCTION("""COMPUTED_VALUE"""),"19EC402")</f>
        <v>19EC402</v>
      </c>
      <c r="F33" s="7" t="str">
        <f>IFERROR(__xludf.DUMMYFUNCTION("""COMPUTED_VALUE"""),"Signals and Systems")</f>
        <v>Signals and Systems</v>
      </c>
      <c r="G33" s="2" t="str">
        <f>IFERROR(__xludf.DUMMYFUNCTION("""COMPUTED_VALUE"""),"19MA202")</f>
        <v>19MA202</v>
      </c>
      <c r="H33" s="2">
        <f>IFERROR(__xludf.DUMMYFUNCTION("""COMPUTED_VALUE"""),3)</f>
        <v>3</v>
      </c>
      <c r="I33" s="2">
        <f>IFERROR(__xludf.DUMMYFUNCTION("""COMPUTED_VALUE"""),0)</f>
        <v>0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IFERROR(__xludf.DUMMYFUNCTION("""COMPUTED_VALUE"""),"Theory")</f>
        <v>Theory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IFERROR(__xludf.DUMMYFUNCTION("""COMPUTED_VALUE"""),34)</f>
        <v>34</v>
      </c>
      <c r="B34" s="2"/>
      <c r="C34" s="2" t="str">
        <f>IFERROR(__xludf.DUMMYFUNCTION("""COMPUTED_VALUE"""),"PC")</f>
        <v>PC</v>
      </c>
      <c r="D34" s="2" t="str">
        <f>IFERROR(__xludf.DUMMYFUNCTION("""COMPUTED_VALUE"""),"EC4412")</f>
        <v>EC4412</v>
      </c>
      <c r="E34" s="2" t="str">
        <f>IFERROR(__xludf.DUMMYFUNCTION("""COMPUTED_VALUE"""),"19BM412")</f>
        <v>19BM412</v>
      </c>
      <c r="F34" s="7" t="str">
        <f>IFERROR(__xludf.DUMMYFUNCTION("""COMPUTED_VALUE"""),"Anatomy and Human Physiology")</f>
        <v>Anatomy and Human Physiology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IFERROR(__xludf.DUMMYFUNCTION("""COMPUTED_VALUE"""),0)</f>
        <v>0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IFERROR(__xludf.DUMMYFUNCTION("""COMPUTED_VALUE"""),"Theory")</f>
        <v>Theory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IFERROR(__xludf.DUMMYFUNCTION("""COMPUTED_VALUE"""),35)</f>
        <v>35</v>
      </c>
      <c r="B35" s="2" t="str">
        <f>IFERROR(__xludf.DUMMYFUNCTION("""COMPUTED_VALUE"""),"Any1")</f>
        <v>Any1</v>
      </c>
      <c r="C35" s="2" t="str">
        <f>IFERROR(__xludf.DUMMYFUNCTION("""COMPUTED_VALUE"""),"PC")</f>
        <v>PC</v>
      </c>
      <c r="D35" s="2" t="str">
        <f>IFERROR(__xludf.DUMMYFUNCTION("""COMPUTED_VALUE"""),"NA")</f>
        <v>NA</v>
      </c>
      <c r="E35" s="2" t="str">
        <f>IFERROR(__xludf.DUMMYFUNCTION("""COMPUTED_VALUE"""),"19EC405")</f>
        <v>19EC405</v>
      </c>
      <c r="F35" s="7" t="str">
        <f>IFERROR(__xludf.DUMMYFUNCTION("""COMPUTED_VALUE"""),"Linear Integrated Circuits")</f>
        <v>Linear Integrated Circuits</v>
      </c>
      <c r="G35" s="2" t="str">
        <f>IFERROR(__xludf.DUMMYFUNCTION("""COMPUTED_VALUE"""),"19EC302, 19EC308")</f>
        <v>19EC302, 19EC308</v>
      </c>
      <c r="H35" s="2">
        <f>IFERROR(__xludf.DUMMYFUNCTION("""COMPUTED_VALUE"""),3)</f>
        <v>3</v>
      </c>
      <c r="I35" s="2">
        <f>IFERROR(__xludf.DUMMYFUNCTION("""COMPUTED_VALUE"""),1)</f>
        <v>1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IFERROR(__xludf.DUMMYFUNCTION("""COMPUTED_VALUE"""),36)</f>
        <v>36</v>
      </c>
      <c r="B36" s="2" t="str">
        <f>IFERROR(__xludf.DUMMYFUNCTION("""COMPUTED_VALUE"""),"Any1")</f>
        <v>Any1</v>
      </c>
      <c r="C36" s="2" t="str">
        <f>IFERROR(__xludf.DUMMYFUNCTION("""COMPUTED_VALUE"""),"PC")</f>
        <v>PC</v>
      </c>
      <c r="D36" s="2" t="str">
        <f>IFERROR(__xludf.DUMMYFUNCTION("""COMPUTED_VALUE"""),"EC1421")</f>
        <v>EC1421</v>
      </c>
      <c r="E36" s="2" t="str">
        <f>IFERROR(__xludf.DUMMYFUNCTION("""COMPUTED_VALUE"""),"19EC421")</f>
        <v>19EC421</v>
      </c>
      <c r="F36" s="7" t="str">
        <f>IFERROR(__xludf.DUMMYFUNCTION("""COMPUTED_VALUE"""),"Analysis and Design of Analog ICs")</f>
        <v>Analysis and Design of Analog ICs</v>
      </c>
      <c r="G36" s="2" t="str">
        <f>IFERROR(__xludf.DUMMYFUNCTION("""COMPUTED_VALUE"""),"19EC302 /19EE405 / EC1302")</f>
        <v>19EC302 /19EE405 / EC1302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IFERROR(__xludf.DUMMYFUNCTION("""COMPUTED_VALUE"""),37)</f>
        <v>37</v>
      </c>
      <c r="B37" s="2"/>
      <c r="C37" s="2" t="str">
        <f>IFERROR(__xludf.DUMMYFUNCTION("""COMPUTED_VALUE"""),"PC")</f>
        <v>PC</v>
      </c>
      <c r="D37" s="2" t="str">
        <f>IFERROR(__xludf.DUMMYFUNCTION("""COMPUTED_VALUE"""),"EC4404")</f>
        <v>EC4404</v>
      </c>
      <c r="E37" s="2" t="str">
        <f>IFERROR(__xludf.DUMMYFUNCTION("""COMPUTED_VALUE"""),"19BM404")</f>
        <v>19BM404</v>
      </c>
      <c r="F37" s="7" t="str">
        <f>IFERROR(__xludf.DUMMYFUNCTION("""COMPUTED_VALUE"""),"Pathology and Microbiology")</f>
        <v>Pathology and Microbiology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IFERROR(__xludf.DUMMYFUNCTION("""COMPUTED_VALUE"""),38)</f>
        <v>38</v>
      </c>
      <c r="B38" s="2"/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IFERROR(__xludf.DUMMYFUNCTION("""COMPUTED_VALUE"""),"19BM405")</f>
        <v>19BM405</v>
      </c>
      <c r="F38" s="7" t="str">
        <f>IFERROR(__xludf.DUMMYFUNCTION("""COMPUTED_VALUE"""),"Biomedical and Virtual Instrumentation")</f>
        <v>Biomedical and Virtual Instrumentation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IFERROR(__xludf.DUMMYFUNCTION("""COMPUTED_VALUE"""),39)</f>
        <v>39</v>
      </c>
      <c r="B39" s="2"/>
      <c r="C39" s="2" t="str">
        <f>IFERROR(__xludf.DUMMYFUNCTION("""COMPUTED_VALUE"""),"PC")</f>
        <v>PC</v>
      </c>
      <c r="D39" s="2" t="str">
        <f>IFERROR(__xludf.DUMMYFUNCTION("""COMPUTED_VALUE"""),"EC1408")</f>
        <v>EC1408</v>
      </c>
      <c r="E39" s="2" t="str">
        <f>IFERROR(__xludf.DUMMYFUNCTION("""COMPUTED_VALUE"""),"19EC408")</f>
        <v>19EC408</v>
      </c>
      <c r="F39" s="7" t="str">
        <f>IFERROR(__xludf.DUMMYFUNCTION("""COMPUTED_VALUE"""),"Microprocessor and Microcontroller")</f>
        <v>Microprocessor and Microcontroller</v>
      </c>
      <c r="G39" s="2" t="str">
        <f>IFERROR(__xludf.DUMMYFUNCTION("""COMPUTED_VALUE"""),"19EC303 / EC1801")</f>
        <v>19EC303 / EC1801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IFERROR(__xludf.DUMMYFUNCTION("""COMPUTED_VALUE"""),41)</f>
        <v>41</v>
      </c>
      <c r="B40" s="2"/>
      <c r="C40" s="2" t="str">
        <f>IFERROR(__xludf.DUMMYFUNCTION("""COMPUTED_VALUE"""),"PC")</f>
        <v>PC</v>
      </c>
      <c r="D40" s="2" t="str">
        <f>IFERROR(__xludf.DUMMYFUNCTION("""COMPUTED_VALUE"""),"EC4402")</f>
        <v>EC4402</v>
      </c>
      <c r="E40" s="2" t="str">
        <f>IFERROR(__xludf.DUMMYFUNCTION("""COMPUTED_VALUE"""),"19MD402")</f>
        <v>19MD402</v>
      </c>
      <c r="F40" s="7" t="str">
        <f>IFERROR(__xludf.DUMMYFUNCTION("""COMPUTED_VALUE"""),"Bio Control Systems")</f>
        <v>Bio Control Systems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IFERROR(__xludf.DUMMYFUNCTION("""COMPUTED_VALUE"""),42)</f>
        <v>42</v>
      </c>
      <c r="B41" s="2"/>
      <c r="C41" s="2" t="str">
        <f>IFERROR(__xludf.DUMMYFUNCTION("""COMPUTED_VALUE"""),"PC")</f>
        <v>PC</v>
      </c>
      <c r="D41" s="2" t="str">
        <f>IFERROR(__xludf.DUMMYFUNCTION("""COMPUTED_VALUE"""),"EC4406")</f>
        <v>EC4406</v>
      </c>
      <c r="E41" s="2" t="str">
        <f>IFERROR(__xludf.DUMMYFUNCTION("""COMPUTED_VALUE"""),"19BM406")</f>
        <v>19BM406</v>
      </c>
      <c r="F41" s="7" t="str">
        <f>IFERROR(__xludf.DUMMYFUNCTION("""COMPUTED_VALUE"""),"Biomechanics")</f>
        <v>Biomechanics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IFERROR(__xludf.DUMMYFUNCTION("""COMPUTED_VALUE"""),43)</f>
        <v>43</v>
      </c>
      <c r="B42" s="2"/>
      <c r="C42" s="2" t="str">
        <f>IFERROR(__xludf.DUMMYFUNCTION("""COMPUTED_VALUE"""),"PC")</f>
        <v>PC</v>
      </c>
      <c r="D42" s="2" t="str">
        <f>IFERROR(__xludf.DUMMYFUNCTION("""COMPUTED_VALUE"""),"NA")</f>
        <v>NA</v>
      </c>
      <c r="E42" s="2" t="str">
        <f>IFERROR(__xludf.DUMMYFUNCTION("""COMPUTED_VALUE"""),"19BM407")</f>
        <v>19BM407</v>
      </c>
      <c r="F42" s="7" t="str">
        <f>IFERROR(__xludf.DUMMYFUNCTION("""COMPUTED_VALUE"""),"Diagnostic and Interventional Equipment")</f>
        <v>Diagnostic and Interventional Equipment</v>
      </c>
      <c r="G42" s="2" t="str">
        <f>IFERROR(__xludf.DUMMYFUNCTION("""COMPUTED_VALUE"""),"19BM405")</f>
        <v>19BM405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IFERROR(__xludf.DUMMYFUNCTION("""COMPUTED_VALUE"""),44)</f>
        <v>44</v>
      </c>
      <c r="B43" s="2"/>
      <c r="C43" s="2" t="str">
        <f>IFERROR(__xludf.DUMMYFUNCTION("""COMPUTED_VALUE"""),"PC")</f>
        <v>PC</v>
      </c>
      <c r="D43" s="2" t="str">
        <f>IFERROR(__xludf.DUMMYFUNCTION("""COMPUTED_VALUE"""),"EC4408")</f>
        <v>EC4408</v>
      </c>
      <c r="E43" s="2" t="str">
        <f>IFERROR(__xludf.DUMMYFUNCTION("""COMPUTED_VALUE"""),"19BM408")</f>
        <v>19BM408</v>
      </c>
      <c r="F43" s="7" t="str">
        <f>IFERROR(__xludf.DUMMYFUNCTION("""COMPUTED_VALUE"""),"Biomedical Signal Processing")</f>
        <v>Biomedical Signal Processing</v>
      </c>
      <c r="G43" s="2" t="str">
        <f>IFERROR(__xludf.DUMMYFUNCTION("""COMPUTED_VALUE"""),"EC4803/19EC402")</f>
        <v>EC4803/19EC402</v>
      </c>
      <c r="H43" s="2">
        <f>IFERROR(__xludf.DUMMYFUNCTION("""COMPUTED_VALUE"""),3)</f>
        <v>3</v>
      </c>
      <c r="I43" s="2">
        <f>IFERROR(__xludf.DUMMYFUNCTION("""COMPUTED_VALUE"""),1)</f>
        <v>1</v>
      </c>
      <c r="J43" s="2">
        <f>IFERROR(__xludf.DUMMYFUNCTION("""COMPUTED_VALUE"""),4)</f>
        <v>4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IFERROR(__xludf.DUMMYFUNCTION("""COMPUTED_VALUE"""),45)</f>
        <v>45</v>
      </c>
      <c r="B44" s="2"/>
      <c r="C44" s="2" t="str">
        <f>IFERROR(__xludf.DUMMYFUNCTION("""COMPUTED_VALUE"""),"PC")</f>
        <v>PC</v>
      </c>
      <c r="D44" s="2" t="str">
        <f>IFERROR(__xludf.DUMMYFUNCTION("""COMPUTED_VALUE"""),"EC4530")</f>
        <v>EC4530</v>
      </c>
      <c r="E44" s="2" t="str">
        <f>IFERROR(__xludf.DUMMYFUNCTION("""COMPUTED_VALUE"""),"19MD406")</f>
        <v>19MD406</v>
      </c>
      <c r="F44" s="7" t="str">
        <f>IFERROR(__xludf.DUMMYFUNCTION("""COMPUTED_VALUE"""),"Medical Image Processing")</f>
        <v>Medical Image Processing</v>
      </c>
      <c r="G44" s="2" t="str">
        <f>IFERROR(__xludf.DUMMYFUNCTION("""COMPUTED_VALUE"""),"19BM408/EC4408")</f>
        <v>19BM408/EC4408</v>
      </c>
      <c r="H44" s="2">
        <f>IFERROR(__xludf.DUMMYFUNCTION("""COMPUTED_VALUE"""),3)</f>
        <v>3</v>
      </c>
      <c r="I44" s="2">
        <f>IFERROR(__xludf.DUMMYFUNCTION("""COMPUTED_VALUE"""),1)</f>
        <v>1</v>
      </c>
      <c r="J44" s="2">
        <f>IFERROR(__xludf.DUMMYFUNCTION("""COMPUTED_VALUE"""),4)</f>
        <v>4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IFERROR(__xludf.DUMMYFUNCTION("""COMPUTED_VALUE"""),46)</f>
        <v>46</v>
      </c>
      <c r="B45" s="2"/>
      <c r="C45" s="2" t="str">
        <f>IFERROR(__xludf.DUMMYFUNCTION("""COMPUTED_VALUE"""),"PC")</f>
        <v>PC</v>
      </c>
      <c r="D45" s="2" t="str">
        <f>IFERROR(__xludf.DUMMYFUNCTION("""COMPUTED_VALUE"""),"NA")</f>
        <v>NA</v>
      </c>
      <c r="E45" s="2" t="str">
        <f>IFERROR(__xludf.DUMMYFUNCTION("""COMPUTED_VALUE"""),"19BM409")</f>
        <v>19BM409</v>
      </c>
      <c r="F45" s="7" t="str">
        <f>IFERROR(__xludf.DUMMYFUNCTION("""COMPUTED_VALUE"""),"Pattern Recognition and Neural Networks")</f>
        <v>Pattern Recognition and Neural Networks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IFERROR(__xludf.DUMMYFUNCTION("""COMPUTED_VALUE"""),47)</f>
        <v>47</v>
      </c>
      <c r="B46" s="2"/>
      <c r="C46" s="2" t="str">
        <f>IFERROR(__xludf.DUMMYFUNCTION("""COMPUTED_VALUE"""),"PC")</f>
        <v>PC</v>
      </c>
      <c r="D46" s="2" t="str">
        <f>IFERROR(__xludf.DUMMYFUNCTION("""COMPUTED_VALUE"""),"EC4410")</f>
        <v>EC4410</v>
      </c>
      <c r="E46" s="2" t="str">
        <f>IFERROR(__xludf.DUMMYFUNCTION("""COMPUTED_VALUE"""),"19BM410")</f>
        <v>19BM410</v>
      </c>
      <c r="F46" s="7" t="str">
        <f>IFERROR(__xludf.DUMMYFUNCTION("""COMPUTED_VALUE"""),"Bio Materials and Artificial Organs")</f>
        <v>Bio Materials and Artificial Organs</v>
      </c>
      <c r="G46" s="2" t="str">
        <f>IFERROR(__xludf.DUMMYFUNCTION("""COMPUTED_VALUE"""),"EC4406/19BM406")</f>
        <v>EC4406/19BM406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IFERROR(__xludf.DUMMYFUNCTION("""COMPUTED_VALUE"""),48)</f>
        <v>48</v>
      </c>
      <c r="B47" s="2"/>
      <c r="C47" s="2" t="str">
        <f>IFERROR(__xludf.DUMMYFUNCTION("""COMPUTED_VALUE"""),"PC")</f>
        <v>PC</v>
      </c>
      <c r="D47" s="2" t="str">
        <f>IFERROR(__xludf.DUMMYFUNCTION("""COMPUTED_VALUE"""),"NA")</f>
        <v>NA</v>
      </c>
      <c r="E47" s="2" t="str">
        <f>IFERROR(__xludf.DUMMYFUNCTION("""COMPUTED_VALUE"""),"19BM411")</f>
        <v>19BM411</v>
      </c>
      <c r="F47" s="7" t="str">
        <f>IFERROR(__xludf.DUMMYFUNCTION("""COMPUTED_VALUE"""),"Medical Imaging Systems")</f>
        <v>Medical Imaging Systems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IFERROR(__xludf.DUMMYFUNCTION("""COMPUTED_VALUE"""),49)</f>
        <v>49</v>
      </c>
      <c r="B48" s="2"/>
      <c r="C48" s="2" t="str">
        <f>IFERROR(__xludf.DUMMYFUNCTION("""COMPUTED_VALUE"""),"PE")</f>
        <v>PE</v>
      </c>
      <c r="D48" s="2" t="str">
        <f>IFERROR(__xludf.DUMMYFUNCTION("""COMPUTED_VALUE"""),"NA")</f>
        <v>NA</v>
      </c>
      <c r="E48" s="2" t="str">
        <f>IFERROR(__xludf.DUMMYFUNCTION("""COMPUTED_VALUE"""),"19BM501")</f>
        <v>19BM501</v>
      </c>
      <c r="F48" s="7" t="str">
        <f>IFERROR(__xludf.DUMMYFUNCTION("""COMPUTED_VALUE"""),"Medical Assist Devices")</f>
        <v>Medical Assist Devices</v>
      </c>
      <c r="G48" s="2" t="str">
        <f>IFERROR(__xludf.DUMMYFUNCTION("""COMPUTED_VALUE"""),"19MD405/ 19BM407")</f>
        <v>19MD405/ 19BM407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IFERROR(__xludf.DUMMYFUNCTION("""COMPUTED_VALUE"""),50)</f>
        <v>50</v>
      </c>
      <c r="B49" s="2"/>
      <c r="C49" s="2" t="str">
        <f>IFERROR(__xludf.DUMMYFUNCTION("""COMPUTED_VALUE"""),"PE")</f>
        <v>PE</v>
      </c>
      <c r="D49" s="2" t="str">
        <f>IFERROR(__xludf.DUMMYFUNCTION("""COMPUTED_VALUE"""),"EC1520")</f>
        <v>EC1520</v>
      </c>
      <c r="E49" s="2" t="str">
        <f>IFERROR(__xludf.DUMMYFUNCTION("""COMPUTED_VALUE"""),"19EC520")</f>
        <v>19EC520</v>
      </c>
      <c r="F49" s="7" t="str">
        <f>IFERROR(__xludf.DUMMYFUNCTION("""COMPUTED_VALUE"""),"Introduction to MEMS and NEMS")</f>
        <v>Introduction to MEMS and NEMS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IFERROR(__xludf.DUMMYFUNCTION("""COMPUTED_VALUE"""),51)</f>
        <v>51</v>
      </c>
      <c r="B50" s="2" t="str">
        <f>IFERROR(__xludf.DUMMYFUNCTION("""COMPUTED_VALUE"""),"Any1")</f>
        <v>Any1</v>
      </c>
      <c r="C50" s="2" t="str">
        <f>IFERROR(__xludf.DUMMYFUNCTION("""COMPUTED_VALUE"""),"PE")</f>
        <v>PE</v>
      </c>
      <c r="D50" s="2" t="str">
        <f>IFERROR(__xludf.DUMMYFUNCTION("""COMPUTED_VALUE"""),"NA")</f>
        <v>NA</v>
      </c>
      <c r="E50" s="2" t="str">
        <f>IFERROR(__xludf.DUMMYFUNCTION("""COMPUTED_VALUE"""),"19EC414")</f>
        <v>19EC414</v>
      </c>
      <c r="F50" s="7" t="str">
        <f>IFERROR(__xludf.DUMMYFUNCTION("""COMPUTED_VALUE"""),"Embedded Systems")</f>
        <v>Embedded Systems</v>
      </c>
      <c r="G50" s="2" t="str">
        <f>IFERROR(__xludf.DUMMYFUNCTION("""COMPUTED_VALUE"""),"19EC408")</f>
        <v>19EC408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IFERROR(__xludf.DUMMYFUNCTION("""COMPUTED_VALUE"""),52)</f>
        <v>52</v>
      </c>
      <c r="B51" s="2" t="str">
        <f>IFERROR(__xludf.DUMMYFUNCTION("""COMPUTED_VALUE"""),"Any1")</f>
        <v>Any1</v>
      </c>
      <c r="C51" s="2" t="str">
        <f>IFERROR(__xludf.DUMMYFUNCTION("""COMPUTED_VALUE"""),"PE")</f>
        <v>PE</v>
      </c>
      <c r="D51" s="2" t="str">
        <f>IFERROR(__xludf.DUMMYFUNCTION("""COMPUTED_VALUE"""),"EC1424")</f>
        <v>EC1424</v>
      </c>
      <c r="E51" s="2" t="str">
        <f>IFERROR(__xludf.DUMMYFUNCTION("""COMPUTED_VALUE"""),"19EC424")</f>
        <v>19EC424</v>
      </c>
      <c r="F51" s="7" t="str">
        <f>IFERROR(__xludf.DUMMYFUNCTION("""COMPUTED_VALUE"""),"Embedded Systems and IoT")</f>
        <v>Embedded Systems and IoT</v>
      </c>
      <c r="G51" s="2" t="str">
        <f>IFERROR(__xludf.DUMMYFUNCTION("""COMPUTED_VALUE"""),"19EC408 / EC1408")</f>
        <v>19EC408 / EC1408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IFERROR(__xludf.DUMMYFUNCTION("""COMPUTED_VALUE"""),53)</f>
        <v>53</v>
      </c>
      <c r="B52" s="2"/>
      <c r="C52" s="2" t="str">
        <f>IFERROR(__xludf.DUMMYFUNCTION("""COMPUTED_VALUE"""),"PE")</f>
        <v>PE</v>
      </c>
      <c r="D52" s="2" t="str">
        <f>IFERROR(__xludf.DUMMYFUNCTION("""COMPUTED_VALUE"""),"EC4833")</f>
        <v>EC4833</v>
      </c>
      <c r="E52" s="2" t="str">
        <f>IFERROR(__xludf.DUMMYFUNCTION("""COMPUTED_VALUE"""),"19MD507")</f>
        <v>19MD507</v>
      </c>
      <c r="F52" s="7" t="str">
        <f>IFERROR(__xludf.DUMMYFUNCTION("""COMPUTED_VALUE"""),"Physiological Modeling")</f>
        <v>Physiological Modeling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IFERROR(__xludf.DUMMYFUNCTION("""COMPUTED_VALUE"""),54)</f>
        <v>54</v>
      </c>
      <c r="B53" s="2" t="str">
        <f>IFERROR(__xludf.DUMMYFUNCTION("""COMPUTED_VALUE"""),"Any 1")</f>
        <v>Any 1</v>
      </c>
      <c r="C53" s="2" t="str">
        <f>IFERROR(__xludf.DUMMYFUNCTION("""COMPUTED_VALUE"""),"PE")</f>
        <v>PE</v>
      </c>
      <c r="D53" s="2" t="str">
        <f>IFERROR(__xludf.DUMMYFUNCTION("""COMPUTED_VALUE"""),"NA")</f>
        <v>NA</v>
      </c>
      <c r="E53" s="2" t="str">
        <f>IFERROR(__xludf.DUMMYFUNCTION("""COMPUTED_VALUE"""),"19BM505")</f>
        <v>19BM505</v>
      </c>
      <c r="F53" s="7" t="str">
        <f>IFERROR(__xludf.DUMMYFUNCTION("""COMPUTED_VALUE"""),"Virtual Reality: Biomedical Centric Approach")</f>
        <v>Virtual Reality: Biomedical Centric Approach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IFERROR(__xludf.DUMMYFUNCTION("""COMPUTED_VALUE"""),55)</f>
        <v>55</v>
      </c>
      <c r="B54" s="2" t="str">
        <f>IFERROR(__xludf.DUMMYFUNCTION("""COMPUTED_VALUE"""),"Any 1")</f>
        <v>Any 1</v>
      </c>
      <c r="C54" s="2" t="str">
        <f>IFERROR(__xludf.DUMMYFUNCTION("""COMPUTED_VALUE"""),"PE")</f>
        <v>PE</v>
      </c>
      <c r="D54" s="2" t="str">
        <f>IFERROR(__xludf.DUMMYFUNCTION("""COMPUTED_VALUE"""),"EC4531")</f>
        <v>EC4531</v>
      </c>
      <c r="E54" s="2" t="str">
        <f>IFERROR(__xludf.DUMMYFUNCTION("""COMPUTED_VALUE"""),"19BM531")</f>
        <v>19BM531</v>
      </c>
      <c r="F54" s="7" t="str">
        <f>IFERROR(__xludf.DUMMYFUNCTION("""COMPUTED_VALUE"""),"Virtual Reality and Augmented Reality in Health care")</f>
        <v>Virtual Reality and Augmented Reality in Health care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IFERROR(__xludf.DUMMYFUNCTION("""COMPUTED_VALUE"""),56)</f>
        <v>56</v>
      </c>
      <c r="B55" s="2"/>
      <c r="C55" s="2" t="str">
        <f>IFERROR(__xludf.DUMMYFUNCTION("""COMPUTED_VALUE"""),"PE")</f>
        <v>PE</v>
      </c>
      <c r="D55" s="2" t="str">
        <f>IFERROR(__xludf.DUMMYFUNCTION("""COMPUTED_VALUE"""),"EC4507")</f>
        <v>EC4507</v>
      </c>
      <c r="E55" s="2" t="str">
        <f>IFERROR(__xludf.DUMMYFUNCTION("""COMPUTED_VALUE"""),"19BM507")</f>
        <v>19BM507</v>
      </c>
      <c r="F55" s="7" t="str">
        <f>IFERROR(__xludf.DUMMYFUNCTION("""COMPUTED_VALUE"""),"Robotics in Medicine")</f>
        <v>Robotics in Medicine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IFERROR(__xludf.DUMMYFUNCTION("""COMPUTED_VALUE"""),57)</f>
        <v>57</v>
      </c>
      <c r="B56" s="2"/>
      <c r="C56" s="2" t="str">
        <f>IFERROR(__xludf.DUMMYFUNCTION("""COMPUTED_VALUE"""),"PE")</f>
        <v>PE</v>
      </c>
      <c r="D56" s="2" t="str">
        <f>IFERROR(__xludf.DUMMYFUNCTION("""COMPUTED_VALUE"""),"EC4504")</f>
        <v>EC4504</v>
      </c>
      <c r="E56" s="2" t="str">
        <f>IFERROR(__xludf.DUMMYFUNCTION("""COMPUTED_VALUE"""),"19BM504")</f>
        <v>19BM504</v>
      </c>
      <c r="F56" s="7" t="str">
        <f>IFERROR(__xludf.DUMMYFUNCTION("""COMPUTED_VALUE"""),"Rehabilitation Engineering")</f>
        <v>Rehabilitation Engineering</v>
      </c>
      <c r="G56" s="2" t="str">
        <f>IFERROR(__xludf.DUMMYFUNCTION("""COMPUTED_VALUE"""),"EC4406/19BM406")</f>
        <v>EC4406/19BM406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IFERROR(__xludf.DUMMYFUNCTION("""COMPUTED_VALUE"""),58)</f>
        <v>58</v>
      </c>
      <c r="B57" s="2"/>
      <c r="C57" s="2" t="str">
        <f>IFERROR(__xludf.DUMMYFUNCTION("""COMPUTED_VALUE"""),"PE")</f>
        <v>PE</v>
      </c>
      <c r="D57" s="2" t="str">
        <f>IFERROR(__xludf.DUMMYFUNCTION("""COMPUTED_VALUE"""),"EC4502")</f>
        <v>EC4502</v>
      </c>
      <c r="E57" s="2" t="str">
        <f>IFERROR(__xludf.DUMMYFUNCTION("""COMPUTED_VALUE"""),"19BM502")</f>
        <v>19BM502</v>
      </c>
      <c r="F57" s="7" t="str">
        <f>IFERROR(__xludf.DUMMYFUNCTION("""COMPUTED_VALUE"""),"Biofluids and Dynamics")</f>
        <v>Biofluids and Dynamics</v>
      </c>
      <c r="G57" s="2" t="str">
        <f>IFERROR(__xludf.DUMMYFUNCTION("""COMPUTED_VALUE"""),"19BM406")</f>
        <v>19BM406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IFERROR(__xludf.DUMMYFUNCTION("""COMPUTED_VALUE"""),59)</f>
        <v>59</v>
      </c>
      <c r="B58" s="2"/>
      <c r="C58" s="2" t="str">
        <f>IFERROR(__xludf.DUMMYFUNCTION("""COMPUTED_VALUE"""),"PE")</f>
        <v>PE</v>
      </c>
      <c r="D58" s="2" t="str">
        <f>IFERROR(__xludf.DUMMYFUNCTION("""COMPUTED_VALUE"""),"EC4506")</f>
        <v>EC4506</v>
      </c>
      <c r="E58" s="2" t="str">
        <f>IFERROR(__xludf.DUMMYFUNCTION("""COMPUTED_VALUE"""),"19BM506")</f>
        <v>19BM506</v>
      </c>
      <c r="F58" s="7" t="str">
        <f>IFERROR(__xludf.DUMMYFUNCTION("""COMPUTED_VALUE"""),"Medical Nanotechnology")</f>
        <v>Medical Nanotechnology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IFERROR(__xludf.DUMMYFUNCTION("""COMPUTED_VALUE"""),60)</f>
        <v>60</v>
      </c>
      <c r="B59" s="2"/>
      <c r="C59" s="2" t="str">
        <f>IFERROR(__xludf.DUMMYFUNCTION("""COMPUTED_VALUE"""),"PE")</f>
        <v>PE</v>
      </c>
      <c r="D59" s="2" t="str">
        <f>IFERROR(__xludf.DUMMYFUNCTION("""COMPUTED_VALUE"""),"EC4510")</f>
        <v>EC4510</v>
      </c>
      <c r="E59" s="2" t="str">
        <f>IFERROR(__xludf.DUMMYFUNCTION("""COMPUTED_VALUE"""),"19BM510")</f>
        <v>19BM510</v>
      </c>
      <c r="F59" s="7" t="str">
        <f>IFERROR(__xludf.DUMMYFUNCTION("""COMPUTED_VALUE"""),"Ergonomics")</f>
        <v>Ergonomics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IFERROR(__xludf.DUMMYFUNCTION("""COMPUTED_VALUE"""),61)</f>
        <v>61</v>
      </c>
      <c r="B60" s="2"/>
      <c r="C60" s="2" t="str">
        <f>IFERROR(__xludf.DUMMYFUNCTION("""COMPUTED_VALUE"""),"PE")</f>
        <v>PE</v>
      </c>
      <c r="D60" s="2" t="str">
        <f>IFERROR(__xludf.DUMMYFUNCTION("""COMPUTED_VALUE"""),"NA")</f>
        <v>NA</v>
      </c>
      <c r="E60" s="2" t="str">
        <f>IFERROR(__xludf.DUMMYFUNCTION("""COMPUTED_VALUE"""),"19BM508")</f>
        <v>19BM508</v>
      </c>
      <c r="F60" s="7" t="str">
        <f>IFERROR(__xludf.DUMMYFUNCTION("""COMPUTED_VALUE"""),"Tissue Engineering")</f>
        <v>Tissue Engineering</v>
      </c>
      <c r="G60" s="2" t="str">
        <f>IFERROR(__xludf.DUMMYFUNCTION("""COMPUTED_VALUE"""),"19BM412/ 19BM410")</f>
        <v>19BM412/ 19BM410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IFERROR(__xludf.DUMMYFUNCTION("""COMPUTED_VALUE"""),62)</f>
        <v>62</v>
      </c>
      <c r="B61" s="2"/>
      <c r="C61" s="2" t="str">
        <f>IFERROR(__xludf.DUMMYFUNCTION("""COMPUTED_VALUE"""),"PE")</f>
        <v>PE</v>
      </c>
      <c r="D61" s="2" t="str">
        <f>IFERROR(__xludf.DUMMYFUNCTION("""COMPUTED_VALUE"""),"NA")</f>
        <v>NA</v>
      </c>
      <c r="E61" s="2" t="str">
        <f>IFERROR(__xludf.DUMMYFUNCTION("""COMPUTED_VALUE"""),"19BM509")</f>
        <v>19BM509</v>
      </c>
      <c r="F61" s="7" t="str">
        <f>IFERROR(__xludf.DUMMYFUNCTION("""COMPUTED_VALUE"""),"Lab on Chip")</f>
        <v>Lab on Chip</v>
      </c>
      <c r="G61" s="2" t="str">
        <f>IFERROR(__xludf.DUMMYFUNCTION("""COMPUTED_VALUE"""),"19PH202")</f>
        <v>19PH202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IFERROR(__xludf.DUMMYFUNCTION("""COMPUTED_VALUE"""),63)</f>
        <v>63</v>
      </c>
      <c r="B62" s="2"/>
      <c r="C62" s="2" t="str">
        <f>IFERROR(__xludf.DUMMYFUNCTION("""COMPUTED_VALUE"""),"PE")</f>
        <v>PE</v>
      </c>
      <c r="D62" s="2" t="str">
        <f>IFERROR(__xludf.DUMMYFUNCTION("""COMPUTED_VALUE"""),"NA")</f>
        <v>NA</v>
      </c>
      <c r="E62" s="2" t="str">
        <f>IFERROR(__xludf.DUMMYFUNCTION("""COMPUTED_VALUE"""),"19BM503")</f>
        <v>19BM503</v>
      </c>
      <c r="F62" s="7" t="str">
        <f>IFERROR(__xludf.DUMMYFUNCTION("""COMPUTED_VALUE"""),"Fiber Optics and Lasers in Medicine")</f>
        <v>Fiber Optics and Lasers in Medicine</v>
      </c>
      <c r="G62" s="2" t="str">
        <f>IFERROR(__xludf.DUMMYFUNCTION("""COMPUTED_VALUE"""),"19PH202")</f>
        <v>19PH202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IFERROR(__xludf.DUMMYFUNCTION("""COMPUTED_VALUE"""),64)</f>
        <v>64</v>
      </c>
      <c r="B63" s="2"/>
      <c r="C63" s="2" t="str">
        <f>IFERROR(__xludf.DUMMYFUNCTION("""COMPUTED_VALUE"""),"PE")</f>
        <v>PE</v>
      </c>
      <c r="D63" s="2" t="str">
        <f>IFERROR(__xludf.DUMMYFUNCTION("""COMPUTED_VALUE"""),"NA")</f>
        <v>NA</v>
      </c>
      <c r="E63" s="2" t="str">
        <f>IFERROR(__xludf.DUMMYFUNCTION("""COMPUTED_VALUE"""),"19BM511")</f>
        <v>19BM511</v>
      </c>
      <c r="F63" s="7" t="str">
        <f>IFERROR(__xludf.DUMMYFUNCTION("""COMPUTED_VALUE"""),"Biomaterial Characterization")</f>
        <v>Biomaterial Characterization</v>
      </c>
      <c r="G63" s="2" t="str">
        <f>IFERROR(__xludf.DUMMYFUNCTION("""COMPUTED_VALUE"""),"19BM410")</f>
        <v>19BM410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IFERROR(__xludf.DUMMYFUNCTION("""COMPUTED_VALUE"""),65)</f>
        <v>65</v>
      </c>
      <c r="B64" s="2" t="str">
        <f>IFERROR(__xludf.DUMMYFUNCTION("""COMPUTED_VALUE"""),"Any 1")</f>
        <v>Any 1</v>
      </c>
      <c r="C64" s="2" t="str">
        <f>IFERROR(__xludf.DUMMYFUNCTION("""COMPUTED_VALUE"""),"PE")</f>
        <v>PE</v>
      </c>
      <c r="D64" s="2" t="str">
        <f>IFERROR(__xludf.DUMMYFUNCTION("""COMPUTED_VALUE"""),"NA")</f>
        <v>NA</v>
      </c>
      <c r="E64" s="2" t="str">
        <f>IFERROR(__xludf.DUMMYFUNCTION("""COMPUTED_VALUE"""),"19BM512")</f>
        <v>19BM512</v>
      </c>
      <c r="F64" s="7" t="str">
        <f>IFERROR(__xludf.DUMMYFUNCTION("""COMPUTED_VALUE"""),"Hospital Management")</f>
        <v>Hospital Management</v>
      </c>
      <c r="G64" s="2" t="str">
        <f>IFERROR(__xludf.DUMMYFUNCTION("""COMPUTED_VALUE"""),"19MS151/19MS152")</f>
        <v>19MS151/19MS152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IFERROR(__xludf.DUMMYFUNCTION("""COMPUTED_VALUE"""),66)</f>
        <v>66</v>
      </c>
      <c r="B65" s="2" t="str">
        <f>IFERROR(__xludf.DUMMYFUNCTION("""COMPUTED_VALUE"""),"Any 1")</f>
        <v>Any 1</v>
      </c>
      <c r="C65" s="2" t="str">
        <f>IFERROR(__xludf.DUMMYFUNCTION("""COMPUTED_VALUE"""),"PE")</f>
        <v>PE</v>
      </c>
      <c r="D65" s="2" t="str">
        <f>IFERROR(__xludf.DUMMYFUNCTION("""COMPUTED_VALUE"""),"EC4525")</f>
        <v>EC4525</v>
      </c>
      <c r="E65" s="2" t="str">
        <f>IFERROR(__xludf.DUMMYFUNCTION("""COMPUTED_VALUE"""),"19BM525")</f>
        <v>19BM525</v>
      </c>
      <c r="F65" s="7" t="str">
        <f>IFERROR(__xludf.DUMMYFUNCTION("""COMPUTED_VALUE"""),"Hospital Planning and Management")</f>
        <v>Hospital Planning and Management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IFERROR(__xludf.DUMMYFUNCTION("""COMPUTED_VALUE"""),67)</f>
        <v>67</v>
      </c>
      <c r="B66" s="2"/>
      <c r="C66" s="2" t="str">
        <f>IFERROR(__xludf.DUMMYFUNCTION("""COMPUTED_VALUE"""),"PE")</f>
        <v>PE</v>
      </c>
      <c r="D66" s="2" t="str">
        <f>IFERROR(__xludf.DUMMYFUNCTION("""COMPUTED_VALUE"""),"NA")</f>
        <v>NA</v>
      </c>
      <c r="E66" s="2" t="str">
        <f>IFERROR(__xludf.DUMMYFUNCTION("""COMPUTED_VALUE"""),"19BM513")</f>
        <v>19BM513</v>
      </c>
      <c r="F66" s="7" t="str">
        <f>IFERROR(__xludf.DUMMYFUNCTION("""COMPUTED_VALUE"""),"Biometric Systems")</f>
        <v>Biometric Systems</v>
      </c>
      <c r="G66" s="2" t="str">
        <f>IFERROR(__xludf.DUMMYFUNCTION("""COMPUTED_VALUE"""),"19MD406")</f>
        <v>19MD406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IFERROR(__xludf.DUMMYFUNCTION("""COMPUTED_VALUE"""),68)</f>
        <v>68</v>
      </c>
      <c r="B67" s="2"/>
      <c r="C67" s="2" t="str">
        <f>IFERROR(__xludf.DUMMYFUNCTION("""COMPUTED_VALUE"""),"PE")</f>
        <v>PE</v>
      </c>
      <c r="D67" s="2" t="str">
        <f>IFERROR(__xludf.DUMMYFUNCTION("""COMPUTED_VALUE"""),"NA")</f>
        <v>NA</v>
      </c>
      <c r="E67" s="2" t="str">
        <f>IFERROR(__xludf.DUMMYFUNCTION("""COMPUTED_VALUE"""),"19BM514")</f>
        <v>19BM514</v>
      </c>
      <c r="F67" s="7" t="str">
        <f>IFERROR(__xludf.DUMMYFUNCTION("""COMPUTED_VALUE"""),"Principles of Telemedicine")</f>
        <v>Principles of Telemedicine</v>
      </c>
      <c r="G67" s="2" t="str">
        <f>IFERROR(__xludf.DUMMYFUNCTION("""COMPUTED_VALUE"""),"19EC306")</f>
        <v>19EC306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IFERROR(__xludf.DUMMYFUNCTION("""COMPUTED_VALUE"""),69)</f>
        <v>69</v>
      </c>
      <c r="B68" s="2"/>
      <c r="C68" s="2" t="str">
        <f>IFERROR(__xludf.DUMMYFUNCTION("""COMPUTED_VALUE"""),"PE")</f>
        <v>PE</v>
      </c>
      <c r="D68" s="2" t="str">
        <f>IFERROR(__xludf.DUMMYFUNCTION("""COMPUTED_VALUE"""),"NA")</f>
        <v>NA</v>
      </c>
      <c r="E68" s="2" t="str">
        <f>IFERROR(__xludf.DUMMYFUNCTION("""COMPUTED_VALUE"""),"19EC502")</f>
        <v>19EC502</v>
      </c>
      <c r="F68" s="7" t="str">
        <f>IFERROR(__xludf.DUMMYFUNCTION("""COMPUTED_VALUE"""),"Speech Processing")</f>
        <v>Speech Processing</v>
      </c>
      <c r="G68" s="2" t="str">
        <f>IFERROR(__xludf.DUMMYFUNCTION("""COMPUTED_VALUE"""),"19EC409 / 19BM408")</f>
        <v>19EC409 / 19BM408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IFERROR(__xludf.DUMMYFUNCTION("""COMPUTED_VALUE"""),70)</f>
        <v>70</v>
      </c>
      <c r="B69" s="2"/>
      <c r="C69" s="2" t="str">
        <f>IFERROR(__xludf.DUMMYFUNCTION("""COMPUTED_VALUE"""),"PE")</f>
        <v>PE</v>
      </c>
      <c r="D69" s="2" t="str">
        <f>IFERROR(__xludf.DUMMYFUNCTION("""COMPUTED_VALUE"""),"NA")</f>
        <v>NA</v>
      </c>
      <c r="E69" s="2" t="str">
        <f>IFERROR(__xludf.DUMMYFUNCTION("""COMPUTED_VALUE"""),"19EC417")</f>
        <v>19EC417</v>
      </c>
      <c r="F69" s="7" t="str">
        <f>IFERROR(__xludf.DUMMYFUNCTION("""COMPUTED_VALUE"""),"Fundamentals of Computer Communication")</f>
        <v>Fundamentals of Computer Communication</v>
      </c>
      <c r="G69" s="2" t="str">
        <f>IFERROR(__xludf.DUMMYFUNCTION("""COMPUTED_VALUE"""),"19EC306")</f>
        <v>19EC306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IFERROR(__xludf.DUMMYFUNCTION("""COMPUTED_VALUE"""),71)</f>
        <v>71</v>
      </c>
      <c r="B70" s="2"/>
      <c r="C70" s="2" t="str">
        <f>IFERROR(__xludf.DUMMYFUNCTION("""COMPUTED_VALUE"""),"PE")</f>
        <v>PE</v>
      </c>
      <c r="D70" s="2" t="str">
        <f>IFERROR(__xludf.DUMMYFUNCTION("""COMPUTED_VALUE"""),"NA")</f>
        <v>NA</v>
      </c>
      <c r="E70" s="2" t="str">
        <f>IFERROR(__xludf.DUMMYFUNCTION("""COMPUTED_VALUE"""),"19MD511")</f>
        <v>19MD511</v>
      </c>
      <c r="F70" s="7" t="str">
        <f>IFERROR(__xludf.DUMMYFUNCTION("""COMPUTED_VALUE"""),"Brain Computer Interface and its Applications")</f>
        <v>Brain Computer Interface and its Applications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IFERROR(__xludf.DUMMYFUNCTION("""COMPUTED_VALUE"""),72)</f>
        <v>72</v>
      </c>
      <c r="B71" s="2"/>
      <c r="C71" s="2" t="str">
        <f>IFERROR(__xludf.DUMMYFUNCTION("""COMPUTED_VALUE"""),"PE")</f>
        <v>PE</v>
      </c>
      <c r="D71" s="2" t="str">
        <f>IFERROR(__xludf.DUMMYFUNCTION("""COMPUTED_VALUE"""),"NA")</f>
        <v>NA</v>
      </c>
      <c r="E71" s="2" t="str">
        <f>IFERROR(__xludf.DUMMYFUNCTION("""COMPUTED_VALUE"""),"19MD512")</f>
        <v>19MD512</v>
      </c>
      <c r="F71" s="7" t="str">
        <f>IFERROR(__xludf.DUMMYFUNCTION("""COMPUTED_VALUE"""),"Medical Wearable Systems")</f>
        <v>Medical Wearable Systems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IFERROR(__xludf.DUMMYFUNCTION("""COMPUTED_VALUE"""),73)</f>
        <v>73</v>
      </c>
      <c r="B72" s="2" t="str">
        <f>IFERROR(__xludf.DUMMYFUNCTION("""COMPUTED_VALUE"""),"Any1")</f>
        <v>Any1</v>
      </c>
      <c r="C72" s="2" t="str">
        <f>IFERROR(__xludf.DUMMYFUNCTION("""COMPUTED_VALUE"""),"PE")</f>
        <v>PE</v>
      </c>
      <c r="D72" s="2" t="str">
        <f>IFERROR(__xludf.DUMMYFUNCTION("""COMPUTED_VALUE"""),"NA")</f>
        <v>NA</v>
      </c>
      <c r="E72" s="2" t="str">
        <f>IFERROR(__xludf.DUMMYFUNCTION("""COMPUTED_VALUE"""),"19BM515")</f>
        <v>19BM515</v>
      </c>
      <c r="F72" s="7" t="str">
        <f>IFERROR(__xludf.DUMMYFUNCTION("""COMPUTED_VALUE"""),"Bioinformatics")</f>
        <v>Bioinformatics</v>
      </c>
      <c r="G72" s="2" t="str">
        <f>IFERROR(__xludf.DUMMYFUNCTION("""COMPUTED_VALUE"""),"19BM401")</f>
        <v>19BM401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IFERROR(__xludf.DUMMYFUNCTION("""COMPUTED_VALUE"""),74)</f>
        <v>74</v>
      </c>
      <c r="B73" s="2" t="str">
        <f>IFERROR(__xludf.DUMMYFUNCTION("""COMPUTED_VALUE"""),"Any1")</f>
        <v>Any1</v>
      </c>
      <c r="C73" s="2" t="str">
        <f>IFERROR(__xludf.DUMMYFUNCTION("""COMPUTED_VALUE"""),"PE")</f>
        <v>PE</v>
      </c>
      <c r="D73" s="2" t="str">
        <f>IFERROR(__xludf.DUMMYFUNCTION("""COMPUTED_VALUE"""),"EC4532")</f>
        <v>EC4532</v>
      </c>
      <c r="E73" s="2" t="str">
        <f>IFERROR(__xludf.DUMMYFUNCTION("""COMPUTED_VALUE"""),"19BM532")</f>
        <v>19BM532</v>
      </c>
      <c r="F73" s="7" t="str">
        <f>IFERROR(__xludf.DUMMYFUNCTION("""COMPUTED_VALUE"""),"Medical Informatics")</f>
        <v>Medical Informatics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IFERROR(__xludf.DUMMYFUNCTION("""COMPUTED_VALUE"""),75)</f>
        <v>75</v>
      </c>
      <c r="B74" s="2"/>
      <c r="C74" s="2" t="str">
        <f>IFERROR(__xludf.DUMMYFUNCTION("""COMPUTED_VALUE"""),"PE")</f>
        <v>PE</v>
      </c>
      <c r="D74" s="2" t="str">
        <f>IFERROR(__xludf.DUMMYFUNCTION("""COMPUTED_VALUE"""),"NA")</f>
        <v>NA</v>
      </c>
      <c r="E74" s="2" t="str">
        <f>IFERROR(__xludf.DUMMYFUNCTION("""COMPUTED_VALUE"""),"19BM516")</f>
        <v>19BM516</v>
      </c>
      <c r="F74" s="7" t="str">
        <f>IFERROR(__xludf.DUMMYFUNCTION("""COMPUTED_VALUE"""),"Neural Engineering")</f>
        <v>Neural Engineering</v>
      </c>
      <c r="G74" s="2" t="str">
        <f>IFERROR(__xludf.DUMMYFUNCTION("""COMPUTED_VALUE"""),"19BM409")</f>
        <v>19BM409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IFERROR(__xludf.DUMMYFUNCTION("""COMPUTED_VALUE"""),76)</f>
        <v>76</v>
      </c>
      <c r="B75" s="2"/>
      <c r="C75" s="2" t="str">
        <f>IFERROR(__xludf.DUMMYFUNCTION("""COMPUTED_VALUE"""),"PE")</f>
        <v>PE</v>
      </c>
      <c r="D75" s="2" t="str">
        <f>IFERROR(__xludf.DUMMYFUNCTION("""COMPUTED_VALUE"""),"CS1501")</f>
        <v>CS1501</v>
      </c>
      <c r="E75" s="2" t="str">
        <f>IFERROR(__xludf.DUMMYFUNCTION("""COMPUTED_VALUE"""),"19CS501")</f>
        <v>19CS501</v>
      </c>
      <c r="F75" s="7" t="str">
        <f>IFERROR(__xludf.DUMMYFUNCTION("""COMPUTED_VALUE"""),"Machine Learning")</f>
        <v>Machine Learning</v>
      </c>
      <c r="G75" s="2" t="str">
        <f>IFERROR(__xludf.DUMMYFUNCTION("""COMPUTED_VALUE"""),"19MA212/ 19MA218")</f>
        <v>19MA212/ 19MA218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IFERROR(__xludf.DUMMYFUNCTION("""COMPUTED_VALUE"""),77)</f>
        <v>77</v>
      </c>
      <c r="B76" s="2"/>
      <c r="C76" s="2" t="str">
        <f>IFERROR(__xludf.DUMMYFUNCTION("""COMPUTED_VALUE"""),"PE")</f>
        <v>PE</v>
      </c>
      <c r="D76" s="2" t="str">
        <f>IFERROR(__xludf.DUMMYFUNCTION("""COMPUTED_VALUE"""),"CS1517")</f>
        <v>CS1517</v>
      </c>
      <c r="E76" s="2" t="str">
        <f>IFERROR(__xludf.DUMMYFUNCTION("""COMPUTED_VALUE"""),"19CS517")</f>
        <v>19CS517</v>
      </c>
      <c r="F76" s="7" t="str">
        <f>IFERROR(__xludf.DUMMYFUNCTION("""COMPUTED_VALUE"""),"Mobile Computing")</f>
        <v>Mobile Computing</v>
      </c>
      <c r="G76" s="2" t="str">
        <f>IFERROR(__xludf.DUMMYFUNCTION("""COMPUTED_VALUE"""),"19CS406")</f>
        <v>19CS406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IFERROR(__xludf.DUMMYFUNCTION("""COMPUTED_VALUE"""),78)</f>
        <v>78</v>
      </c>
      <c r="B77" s="2"/>
      <c r="C77" s="2" t="str">
        <f>IFERROR(__xludf.DUMMYFUNCTION("""COMPUTED_VALUE"""),"PE")</f>
        <v>PE</v>
      </c>
      <c r="D77" s="2" t="str">
        <f>IFERROR(__xludf.DUMMYFUNCTION("""COMPUTED_VALUE"""),"CS1519")</f>
        <v>CS1519</v>
      </c>
      <c r="E77" s="2" t="str">
        <f>IFERROR(__xludf.DUMMYFUNCTION("""COMPUTED_VALUE"""),"19CS519")</f>
        <v>19CS519</v>
      </c>
      <c r="F77" s="7" t="str">
        <f>IFERROR(__xludf.DUMMYFUNCTION("""COMPUTED_VALUE"""),"Data Science")</f>
        <v>Data Science</v>
      </c>
      <c r="G77" s="2" t="str">
        <f>IFERROR(__xludf.DUMMYFUNCTION("""COMPUTED_VALUE"""),"19CS301/19CS501")</f>
        <v>19CS301/19CS501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IFERROR(__xludf.DUMMYFUNCTION("""COMPUTED_VALUE"""),79)</f>
        <v>79</v>
      </c>
      <c r="B78" s="2"/>
      <c r="C78" s="2" t="str">
        <f>IFERROR(__xludf.DUMMYFUNCTION("""COMPUTED_VALUE"""),"PE")</f>
        <v>PE</v>
      </c>
      <c r="D78" s="2" t="str">
        <f>IFERROR(__xludf.DUMMYFUNCTION("""COMPUTED_VALUE"""),"CS1520")</f>
        <v>CS1520</v>
      </c>
      <c r="E78" s="2" t="str">
        <f>IFERROR(__xludf.DUMMYFUNCTION("""COMPUTED_VALUE"""),"19CS520")</f>
        <v>19CS520</v>
      </c>
      <c r="F78" s="7" t="str">
        <f>IFERROR(__xludf.DUMMYFUNCTION("""COMPUTED_VALUE"""),"Big Data Analytics")</f>
        <v>Big Data Analytics</v>
      </c>
      <c r="G78" s="2" t="str">
        <f>IFERROR(__xludf.DUMMYFUNCTION("""COMPUTED_VALUE"""),"19CS411/19CS519")</f>
        <v>19CS411/19CS519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IFERROR(__xludf.DUMMYFUNCTION("""COMPUTED_VALUE"""),80)</f>
        <v>80</v>
      </c>
      <c r="B79" s="2"/>
      <c r="C79" s="2" t="str">
        <f>IFERROR(__xludf.DUMMYFUNCTION("""COMPUTED_VALUE"""),"PE")</f>
        <v>PE</v>
      </c>
      <c r="D79" s="2" t="str">
        <f>IFERROR(__xludf.DUMMYFUNCTION("""COMPUTED_VALUE"""),"CS1524")</f>
        <v>CS1524</v>
      </c>
      <c r="E79" s="2" t="str">
        <f>IFERROR(__xludf.DUMMYFUNCTION("""COMPUTED_VALUE"""),"19CS524")</f>
        <v>19CS524</v>
      </c>
      <c r="F79" s="7" t="str">
        <f>IFERROR(__xludf.DUMMYFUNCTION("""COMPUTED_VALUE"""),"Deep Learning")</f>
        <v>Deep Learning</v>
      </c>
      <c r="G79" s="2" t="str">
        <f>IFERROR(__xludf.DUMMYFUNCTION("""COMPUTED_VALUE"""),"19CS501")</f>
        <v>19CS501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IFERROR(__xludf.DUMMYFUNCTION("""COMPUTED_VALUE"""),81)</f>
        <v>81</v>
      </c>
      <c r="B80" s="2"/>
      <c r="C80" s="2" t="str">
        <f>IFERROR(__xludf.DUMMYFUNCTION("""COMPUTED_VALUE"""),"PE")</f>
        <v>PE</v>
      </c>
      <c r="D80" s="2" t="str">
        <f>IFERROR(__xludf.DUMMYFUNCTION("""COMPUTED_VALUE"""),"CS1526")</f>
        <v>CS1526</v>
      </c>
      <c r="E80" s="2" t="str">
        <f>IFERROR(__xludf.DUMMYFUNCTION("""COMPUTED_VALUE"""),"19CS526")</f>
        <v>19CS526</v>
      </c>
      <c r="F80" s="3" t="str">
        <f>IFERROR(__xludf.DUMMYFUNCTION("""COMPUTED_VALUE"""),"R Programming")</f>
        <v>R Programming</v>
      </c>
      <c r="G80" s="2" t="str">
        <f>IFERROR(__xludf.DUMMYFUNCTION("""COMPUTED_VALUE"""),"19CS301/19CS303")</f>
        <v>19CS301/19CS303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IFERROR(__xludf.DUMMYFUNCTION("""COMPUTED_VALUE"""),82)</f>
        <v>82</v>
      </c>
      <c r="B81" s="2"/>
      <c r="C81" s="2" t="str">
        <f>IFERROR(__xludf.DUMMYFUNCTION("""COMPUTED_VALUE"""),"PE")</f>
        <v>PE</v>
      </c>
      <c r="D81" s="2" t="str">
        <f>IFERROR(__xludf.DUMMYFUNCTION("""COMPUTED_VALUE"""),"CS1515")</f>
        <v>CS1515</v>
      </c>
      <c r="E81" s="2" t="str">
        <f>IFERROR(__xludf.DUMMYFUNCTION("""COMPUTED_VALUE"""),"19CS515")</f>
        <v>19CS515</v>
      </c>
      <c r="F81" s="7" t="str">
        <f>IFERROR(__xludf.DUMMYFUNCTION("""COMPUTED_VALUE"""),"Block Chain Architecture and its Use Cases")</f>
        <v>Block Chain Architecture and its Use Cases</v>
      </c>
      <c r="G81" s="2" t="str">
        <f>IFERROR(__xludf.DUMMYFUNCTION("""COMPUTED_VALUE"""),"19CS412")</f>
        <v>19CS412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IFERROR(__xludf.DUMMYFUNCTION("""COMPUTED_VALUE"""),83)</f>
        <v>83</v>
      </c>
      <c r="B82" s="2"/>
      <c r="C82" s="2" t="str">
        <f>IFERROR(__xludf.DUMMYFUNCTION("""COMPUTED_VALUE"""),"PE")</f>
        <v>PE</v>
      </c>
      <c r="D82" s="2" t="str">
        <f>IFERROR(__xludf.DUMMYFUNCTION("""COMPUTED_VALUE"""),"CS1528")</f>
        <v>CS1528</v>
      </c>
      <c r="E82" s="2" t="str">
        <f>IFERROR(__xludf.DUMMYFUNCTION("""COMPUTED_VALUE"""),"19CS528")</f>
        <v>19CS528</v>
      </c>
      <c r="F82" s="7" t="str">
        <f>IFERROR(__xludf.DUMMYFUNCTION("""COMPUTED_VALUE"""),"Robotics and its Applications")</f>
        <v>Robotics and its Applications</v>
      </c>
      <c r="G82" s="2" t="str">
        <f>IFERROR(__xludf.DUMMYFUNCTION("""COMPUTED_VALUE"""),"19CS302/19EC408")</f>
        <v>19CS302/19EC408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IFERROR(__xludf.DUMMYFUNCTION("""COMPUTED_VALUE"""),84)</f>
        <v>84</v>
      </c>
      <c r="B83" s="2"/>
      <c r="C83" s="2" t="str">
        <f>IFERROR(__xludf.DUMMYFUNCTION("""COMPUTED_VALUE"""),"PE")</f>
        <v>PE</v>
      </c>
      <c r="D83" s="2" t="str">
        <f>IFERROR(__xludf.DUMMYFUNCTION("""COMPUTED_VALUE"""),"CS1529")</f>
        <v>CS1529</v>
      </c>
      <c r="E83" s="2" t="str">
        <f>IFERROR(__xludf.DUMMYFUNCTION("""COMPUTED_VALUE"""),"19CS529")</f>
        <v>19CS529</v>
      </c>
      <c r="F83" s="7" t="str">
        <f>IFERROR(__xludf.DUMMYFUNCTION("""COMPUTED_VALUE"""),"Quantum Computing")</f>
        <v>Quantum Computing</v>
      </c>
      <c r="G83" s="2" t="str">
        <f>IFERROR(__xludf.DUMMYFUNCTION("""COMPUTED_VALUE"""),"19CS301/19CS303")</f>
        <v>19CS301/19CS303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IFERROR(__xludf.DUMMYFUNCTION("""COMPUTED_VALUE"""),85)</f>
        <v>85</v>
      </c>
      <c r="B84" s="2"/>
      <c r="C84" s="2" t="str">
        <f>IFERROR(__xludf.DUMMYFUNCTION("""COMPUTED_VALUE"""),"PE")</f>
        <v>PE</v>
      </c>
      <c r="D84" s="2" t="str">
        <f>IFERROR(__xludf.DUMMYFUNCTION("""COMPUTED_VALUE"""),"CS1530")</f>
        <v>CS1530</v>
      </c>
      <c r="E84" s="2" t="str">
        <f>IFERROR(__xludf.DUMMYFUNCTION("""COMPUTED_VALUE"""),"19CS530")</f>
        <v>19CS530</v>
      </c>
      <c r="F84" s="7" t="str">
        <f>IFERROR(__xludf.DUMMYFUNCTION("""COMPUTED_VALUE"""),"Cyber Security")</f>
        <v>Cyber Security</v>
      </c>
      <c r="G84" s="2" t="str">
        <f>IFERROR(__xludf.DUMMYFUNCTION("""COMPUTED_VALUE"""),"19CS412")</f>
        <v>19CS412</v>
      </c>
      <c r="H84" s="2">
        <f>IFERROR(__xludf.DUMMYFUNCTION("""COMPUTED_VALUE"""),3)</f>
        <v>3</v>
      </c>
      <c r="I84" s="2">
        <f>IFERROR(__xludf.DUMMYFUNCTION("""COMPUTED_VALUE"""),0)</f>
        <v>0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IFERROR(__xludf.DUMMYFUNCTION("""COMPUTED_VALUE"""),"Theory")</f>
        <v>Theory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IFERROR(__xludf.DUMMYFUNCTION("""COMPUTED_VALUE"""),86)</f>
        <v>86</v>
      </c>
      <c r="B85" s="2"/>
      <c r="C85" s="2" t="str">
        <f>IFERROR(__xludf.DUMMYFUNCTION("""COMPUTED_VALUE"""),"PE")</f>
        <v>PE</v>
      </c>
      <c r="D85" s="2" t="str">
        <f>IFERROR(__xludf.DUMMYFUNCTION("""COMPUTED_VALUE"""),"NA")</f>
        <v>NA</v>
      </c>
      <c r="E85" s="2" t="str">
        <f>IFERROR(__xludf.DUMMYFUNCTION("""COMPUTED_VALUE"""),"19BM517")</f>
        <v>19BM517</v>
      </c>
      <c r="F85" s="7" t="str">
        <f>IFERROR(__xludf.DUMMYFUNCTION("""COMPUTED_VALUE"""),"Artificial intelligence: A modern Approach")</f>
        <v>Artificial intelligence: A modern Approach</v>
      </c>
      <c r="G85" s="2" t="str">
        <f>IFERROR(__xludf.DUMMYFUNCTION("""COMPUTED_VALUE"""),"19BM409")</f>
        <v>19BM409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IFERROR(__xludf.DUMMYFUNCTION("""COMPUTED_VALUE"""),87)</f>
        <v>87</v>
      </c>
      <c r="B86" s="2"/>
      <c r="C86" s="2" t="str">
        <f>IFERROR(__xludf.DUMMYFUNCTION("""COMPUTED_VALUE"""),"PE")</f>
        <v>PE</v>
      </c>
      <c r="D86" s="2" t="str">
        <f>IFERROR(__xludf.DUMMYFUNCTION("""COMPUTED_VALUE"""),"CS3304")</f>
        <v>CS3304</v>
      </c>
      <c r="E86" s="2" t="str">
        <f>IFERROR(__xludf.DUMMYFUNCTION("""COMPUTED_VALUE"""),"19AI304")</f>
        <v>19AI304</v>
      </c>
      <c r="F86" s="7" t="str">
        <f>IFERROR(__xludf.DUMMYFUNCTION("""COMPUTED_VALUE"""),"Fundamentals of C Programming")</f>
        <v>Fundamentals of C Programming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IFERROR(__xludf.DUMMYFUNCTION("""COMPUTED_VALUE"""),87)</f>
        <v>87</v>
      </c>
      <c r="B87" s="2"/>
      <c r="C87" s="2" t="str">
        <f>IFERROR(__xludf.DUMMYFUNCTION("""COMPUTED_VALUE"""),"PE")</f>
        <v>PE</v>
      </c>
      <c r="D87" s="2" t="str">
        <f>IFERROR(__xludf.DUMMYFUNCTION("""COMPUTED_VALUE"""),"CS3305")</f>
        <v>CS3305</v>
      </c>
      <c r="E87" s="2" t="str">
        <f>IFERROR(__xludf.DUMMYFUNCTION("""COMPUTED_VALUE"""),"19AI305")</f>
        <v>19AI305</v>
      </c>
      <c r="F87" s="7" t="str">
        <f>IFERROR(__xludf.DUMMYFUNCTION("""COMPUTED_VALUE"""),"Advanced C Programming")</f>
        <v>Advanced C Programming</v>
      </c>
      <c r="G87" s="2" t="str">
        <f>IFERROR(__xludf.DUMMYFUNCTION("""COMPUTED_VALUE"""),"19AI304 / CS3304")</f>
        <v>19AI304 / CS3304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IFERROR(__xludf.DUMMYFUNCTION("""COMPUTED_VALUE"""),88)</f>
        <v>88</v>
      </c>
      <c r="B88" s="2" t="str">
        <f>IFERROR(__xludf.DUMMYFUNCTION("""COMPUTED_VALUE"""),"Mandatory ")</f>
        <v>Mandatory </v>
      </c>
      <c r="C88" s="2" t="str">
        <f>IFERROR(__xludf.DUMMYFUNCTION("""COMPUTED_VALUE"""),"PE")</f>
        <v>PE</v>
      </c>
      <c r="D88" s="2" t="str">
        <f>IFERROR(__xludf.DUMMYFUNCTION("""COMPUTED_VALUE"""),"CS3307")</f>
        <v>CS3307</v>
      </c>
      <c r="E88" s="2" t="str">
        <f>IFERROR(__xludf.DUMMYFUNCTION("""COMPUTED_VALUE"""),"19AI307")</f>
        <v>19AI307</v>
      </c>
      <c r="F88" s="7" t="str">
        <f>IFERROR(__xludf.DUMMYFUNCTION("""COMPUTED_VALUE"""),"Object Oriented Programming using Java")</f>
        <v>Object Oriented Programming using Java</v>
      </c>
      <c r="G88" s="2" t="str">
        <f>IFERROR(__xludf.DUMMYFUNCTION("""COMPUTED_VALUE"""),"19AI304")</f>
        <v>19AI304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IFERROR(__xludf.DUMMYFUNCTION("""COMPUTED_VALUE"""),89)</f>
        <v>89</v>
      </c>
      <c r="B89" s="2"/>
      <c r="C89" s="2" t="str">
        <f>IFERROR(__xludf.DUMMYFUNCTION("""COMPUTED_VALUE"""),"PE")</f>
        <v>PE</v>
      </c>
      <c r="D89" s="2" t="str">
        <f>IFERROR(__xludf.DUMMYFUNCTION("""COMPUTED_VALUE"""),"CS3404")</f>
        <v>CS3404</v>
      </c>
      <c r="E89" s="2" t="str">
        <f>IFERROR(__xludf.DUMMYFUNCTION("""COMPUTED_VALUE"""),"19AI404")</f>
        <v>19AI404</v>
      </c>
      <c r="F89" s="7" t="str">
        <f>IFERROR(__xludf.DUMMYFUNCTION("""COMPUTED_VALUE"""),"Analysis of Algorithms")</f>
        <v>Analysis of Algorithms</v>
      </c>
      <c r="G89" s="2" t="str">
        <f>IFERROR(__xludf.DUMMYFUNCTION("""COMPUTED_VALUE"""),"19AI301")</f>
        <v>19AI301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IFERROR(__xludf.DUMMYFUNCTION("""COMPUTED_VALUE"""),90)</f>
        <v>90</v>
      </c>
      <c r="B90" s="2" t="str">
        <f>IFERROR(__xludf.DUMMYFUNCTION("""COMPUTED_VALUE"""),"Mandatory ")</f>
        <v>Mandatory </v>
      </c>
      <c r="C90" s="2" t="str">
        <f>IFERROR(__xludf.DUMMYFUNCTION("""COMPUTED_VALUE"""),"PE")</f>
        <v>PE</v>
      </c>
      <c r="D90" s="2" t="str">
        <f>IFERROR(__xludf.DUMMYFUNCTION("""COMPUTED_VALUE"""),"CS1404")</f>
        <v>CS1404</v>
      </c>
      <c r="E90" s="2" t="str">
        <f>IFERROR(__xludf.DUMMYFUNCTION("""COMPUTED_VALUE"""),"19CS404")</f>
        <v>19CS404</v>
      </c>
      <c r="F90" s="3" t="str">
        <f>IFERROR(__xludf.DUMMYFUNCTION("""COMPUTED_VALUE"""),"Database Management System and its Applications")</f>
        <v>Database Management System and its Applications</v>
      </c>
      <c r="G90" s="2" t="str">
        <f>IFERROR(__xludf.DUMMYFUNCTION("""COMPUTED_VALUE"""),"19AI301/19AI304/19CS301/19CS302/19CS303")</f>
        <v>19AI301/19AI304/19CS301/19CS302/19CS303</v>
      </c>
      <c r="H90" s="2">
        <f>IFERROR(__xludf.DUMMYFUNCTION("""COMPUTED_VALUE"""),3)</f>
        <v>3</v>
      </c>
      <c r="I90" s="2">
        <f>IFERROR(__xludf.DUMMYFUNCTION("""COMPUTED_VALUE"""),1)</f>
        <v>1</v>
      </c>
      <c r="J90" s="2">
        <f>IFERROR(__xludf.DUMMYFUNCTION("""COMPUTED_VALUE"""),4)</f>
        <v>4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IFERROR(__xludf.DUMMYFUNCTION("""COMPUTED_VALUE"""),91)</f>
        <v>91</v>
      </c>
      <c r="B91" s="2"/>
      <c r="C91" s="2" t="str">
        <f>IFERROR(__xludf.DUMMYFUNCTION("""COMPUTED_VALUE"""),"PE")</f>
        <v>PE</v>
      </c>
      <c r="D91" s="2" t="str">
        <f>IFERROR(__xludf.DUMMYFUNCTION("""COMPUTED_VALUE"""),"CS1509")</f>
        <v>CS1509</v>
      </c>
      <c r="E91" s="2" t="str">
        <f>IFERROR(__xludf.DUMMYFUNCTION("""COMPUTED_VALUE"""),"19CS509")</f>
        <v>19CS509</v>
      </c>
      <c r="F91" s="7" t="str">
        <f>IFERROR(__xludf.DUMMYFUNCTION("""COMPUTED_VALUE"""),"Graph Theory and Applications")</f>
        <v>Graph Theory and Applications</v>
      </c>
      <c r="G91" s="2" t="str">
        <f>IFERROR(__xludf.DUMMYFUNCTION("""COMPUTED_VALUE"""),"19MA206")</f>
        <v>19MA206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IFERROR(__xludf.DUMMYFUNCTION("""COMPUTED_VALUE"""),92)</f>
        <v>92</v>
      </c>
      <c r="B92" s="2"/>
      <c r="C92" s="2" t="str">
        <f>IFERROR(__xludf.DUMMYFUNCTION("""COMPUTED_VALUE"""),"PE(Honours)")</f>
        <v>PE(Honours)</v>
      </c>
      <c r="D92" s="2" t="str">
        <f>IFERROR(__xludf.DUMMYFUNCTION("""COMPUTED_VALUE"""),"EC4518")</f>
        <v>EC4518</v>
      </c>
      <c r="E92" s="2" t="str">
        <f>IFERROR(__xludf.DUMMYFUNCTION("""COMPUTED_VALUE"""),"19BM518")</f>
        <v>19BM518</v>
      </c>
      <c r="F92" s="7" t="str">
        <f>IFERROR(__xludf.DUMMYFUNCTION("""COMPUTED_VALUE"""),"Foundation Skills in Integrated Product Development")</f>
        <v>Foundation Skills in Integrated Product Development</v>
      </c>
      <c r="G92" s="2" t="str">
        <f>IFERROR(__xludf.DUMMYFUNCTION("""COMPUTED_VALUE"""),"-")</f>
        <v>-</v>
      </c>
      <c r="H92" s="2">
        <f>IFERROR(__xludf.DUMMYFUNCTION("""COMPUTED_VALUE"""),3)</f>
        <v>3</v>
      </c>
      <c r="I92" s="2">
        <f>IFERROR(__xludf.DUMMYFUNCTION("""COMPUTED_VALUE"""),0)</f>
        <v>0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IFERROR(__xludf.DUMMYFUNCTION("""COMPUTED_VALUE"""),"Theory")</f>
        <v>Theory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IFERROR(__xludf.DUMMYFUNCTION("""COMPUTED_VALUE"""),93)</f>
        <v>93</v>
      </c>
      <c r="B93" s="2"/>
      <c r="C93" s="2" t="str">
        <f>IFERROR(__xludf.DUMMYFUNCTION("""COMPUTED_VALUE"""),"PE(Honours)")</f>
        <v>PE(Honours)</v>
      </c>
      <c r="D93" s="2" t="str">
        <f>IFERROR(__xludf.DUMMYFUNCTION("""COMPUTED_VALUE"""),"EC4519")</f>
        <v>EC4519</v>
      </c>
      <c r="E93" s="2" t="str">
        <f>IFERROR(__xludf.DUMMYFUNCTION("""COMPUTED_VALUE"""),"19BM519")</f>
        <v>19BM519</v>
      </c>
      <c r="F93" s="7" t="str">
        <f>IFERROR(__xludf.DUMMYFUNCTION("""COMPUTED_VALUE"""),"Medical Device Design")</f>
        <v>Medical Device Design</v>
      </c>
      <c r="G93" s="2" t="str">
        <f>IFERROR(__xludf.DUMMYFUNCTION("""COMPUTED_VALUE"""),"-")</f>
        <v>-</v>
      </c>
      <c r="H93" s="2">
        <f>IFERROR(__xludf.DUMMYFUNCTION("""COMPUTED_VALUE"""),3)</f>
        <v>3</v>
      </c>
      <c r="I93" s="2">
        <f>IFERROR(__xludf.DUMMYFUNCTION("""COMPUTED_VALUE"""),0)</f>
        <v>0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IFERROR(__xludf.DUMMYFUNCTION("""COMPUTED_VALUE"""),"Theory")</f>
        <v>Theory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IFERROR(__xludf.DUMMYFUNCTION("""COMPUTED_VALUE"""),94)</f>
        <v>94</v>
      </c>
      <c r="B94" s="2"/>
      <c r="C94" s="2" t="str">
        <f>IFERROR(__xludf.DUMMYFUNCTION("""COMPUTED_VALUE"""),"PE(Honours)")</f>
        <v>PE(Honours)</v>
      </c>
      <c r="D94" s="2" t="str">
        <f>IFERROR(__xludf.DUMMYFUNCTION("""COMPUTED_VALUE"""),"EC4520")</f>
        <v>EC4520</v>
      </c>
      <c r="E94" s="2" t="str">
        <f>IFERROR(__xludf.DUMMYFUNCTION("""COMPUTED_VALUE"""),"19BM520")</f>
        <v>19BM520</v>
      </c>
      <c r="F94" s="7" t="str">
        <f>IFERROR(__xludf.DUMMYFUNCTION("""COMPUTED_VALUE"""),"Medical Device Regulations")</f>
        <v>Medical Device Regulations</v>
      </c>
      <c r="G94" s="2" t="str">
        <f>IFERROR(__xludf.DUMMYFUNCTION("""COMPUTED_VALUE"""),"-")</f>
        <v>-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IFERROR(__xludf.DUMMYFUNCTION("""COMPUTED_VALUE"""),95)</f>
        <v>95</v>
      </c>
      <c r="B95" s="2"/>
      <c r="C95" s="2" t="str">
        <f>IFERROR(__xludf.DUMMYFUNCTION("""COMPUTED_VALUE"""),"PE(Honours)")</f>
        <v>PE(Honours)</v>
      </c>
      <c r="D95" s="2" t="str">
        <f>IFERROR(__xludf.DUMMYFUNCTION("""COMPUTED_VALUE"""),"EC4521")</f>
        <v>EC4521</v>
      </c>
      <c r="E95" s="2" t="str">
        <f>IFERROR(__xludf.DUMMYFUNCTION("""COMPUTED_VALUE"""),"19BM521")</f>
        <v>19BM521</v>
      </c>
      <c r="F95" s="7" t="str">
        <f>IFERROR(__xludf.DUMMYFUNCTION("""COMPUTED_VALUE"""),"Patient Safety, Standards and Ethics")</f>
        <v>Patient Safety, Standards and Ethics</v>
      </c>
      <c r="G95" s="2" t="str">
        <f>IFERROR(__xludf.DUMMYFUNCTION("""COMPUTED_VALUE"""),"-")</f>
        <v>-</v>
      </c>
      <c r="H95" s="2">
        <f>IFERROR(__xludf.DUMMYFUNCTION("""COMPUTED_VALUE"""),3)</f>
        <v>3</v>
      </c>
      <c r="I95" s="2">
        <f>IFERROR(__xludf.DUMMYFUNCTION("""COMPUTED_VALUE"""),0)</f>
        <v>0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IFERROR(__xludf.DUMMYFUNCTION("""COMPUTED_VALUE"""),"Theory")</f>
        <v>Theory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IFERROR(__xludf.DUMMYFUNCTION("""COMPUTED_VALUE"""),96)</f>
        <v>96</v>
      </c>
      <c r="B96" s="2"/>
      <c r="C96" s="2" t="str">
        <f>IFERROR(__xludf.DUMMYFUNCTION("""COMPUTED_VALUE"""),"PE(Honours)")</f>
        <v>PE(Honours)</v>
      </c>
      <c r="D96" s="2" t="str">
        <f>IFERROR(__xludf.DUMMYFUNCTION("""COMPUTED_VALUE"""),"EC4522")</f>
        <v>EC4522</v>
      </c>
      <c r="E96" s="2" t="str">
        <f>IFERROR(__xludf.DUMMYFUNCTION("""COMPUTED_VALUE"""),"19BM522")</f>
        <v>19BM522</v>
      </c>
      <c r="F96" s="7" t="str">
        <f>IFERROR(__xludf.DUMMYFUNCTION("""COMPUTED_VALUE"""),"Medical Innovation and Entrepreneurship")</f>
        <v>Medical Innovation and Entrepreneurship</v>
      </c>
      <c r="G96" s="2" t="str">
        <f>IFERROR(__xludf.DUMMYFUNCTION("""COMPUTED_VALUE"""),"-")</f>
        <v>-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IFERROR(__xludf.DUMMYFUNCTION("""COMPUTED_VALUE"""),97)</f>
        <v>97</v>
      </c>
      <c r="B97" s="2"/>
      <c r="C97" s="2" t="str">
        <f>IFERROR(__xludf.DUMMYFUNCTION("""COMPUTED_VALUE"""),"PE(Honours)")</f>
        <v>PE(Honours)</v>
      </c>
      <c r="D97" s="2" t="str">
        <f>IFERROR(__xludf.DUMMYFUNCTION("""COMPUTED_VALUE"""),"EC4523")</f>
        <v>EC4523</v>
      </c>
      <c r="E97" s="2" t="str">
        <f>IFERROR(__xludf.DUMMYFUNCTION("""COMPUTED_VALUE"""),"19BM523")</f>
        <v>19BM523</v>
      </c>
      <c r="F97" s="7" t="str">
        <f>IFERROR(__xludf.DUMMYFUNCTION("""COMPUTED_VALUE"""),"Rapid Prototyping")</f>
        <v>Rapid Prototyping</v>
      </c>
      <c r="G97" s="2" t="str">
        <f>IFERROR(__xludf.DUMMYFUNCTION("""COMPUTED_VALUE"""),"-")</f>
        <v>-</v>
      </c>
      <c r="H97" s="2">
        <f>IFERROR(__xludf.DUMMYFUNCTION("""COMPUTED_VALUE"""),3)</f>
        <v>3</v>
      </c>
      <c r="I97" s="2">
        <f>IFERROR(__xludf.DUMMYFUNCTION("""COMPUTED_VALUE"""),0)</f>
        <v>0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IFERROR(__xludf.DUMMYFUNCTION("""COMPUTED_VALUE"""),"Theory")</f>
        <v>Theory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IFERROR(__xludf.DUMMYFUNCTION("""COMPUTED_VALUE"""),98)</f>
        <v>98</v>
      </c>
      <c r="B98" s="2"/>
      <c r="C98" s="2" t="str">
        <f>IFERROR(__xludf.DUMMYFUNCTION("""COMPUTED_VALUE"""),"PE(Honours)")</f>
        <v>PE(Honours)</v>
      </c>
      <c r="D98" s="2" t="str">
        <f>IFERROR(__xludf.DUMMYFUNCTION("""COMPUTED_VALUE"""),"EC4524")</f>
        <v>EC4524</v>
      </c>
      <c r="E98" s="2" t="str">
        <f>IFERROR(__xludf.DUMMYFUNCTION("""COMPUTED_VALUE"""),"19BM524")</f>
        <v>19BM524</v>
      </c>
      <c r="F98" s="7" t="str">
        <f>IFERROR(__xludf.DUMMYFUNCTION("""COMPUTED_VALUE"""),"Clinical Engineering")</f>
        <v>Clinical Engineering</v>
      </c>
      <c r="G98" s="2" t="str">
        <f>IFERROR(__xludf.DUMMYFUNCTION("""COMPUTED_VALUE"""),"-")</f>
        <v>-</v>
      </c>
      <c r="H98" s="2">
        <f>IFERROR(__xludf.DUMMYFUNCTION("""COMPUTED_VALUE"""),3)</f>
        <v>3</v>
      </c>
      <c r="I98" s="2">
        <f>IFERROR(__xludf.DUMMYFUNCTION("""COMPUTED_VALUE"""),0)</f>
        <v>0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IFERROR(__xludf.DUMMYFUNCTION("""COMPUTED_VALUE"""),"Theory")</f>
        <v>Theory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IFERROR(__xludf.DUMMYFUNCTION("""COMPUTED_VALUE"""),99)</f>
        <v>99</v>
      </c>
      <c r="B99" s="2"/>
      <c r="C99" s="2" t="str">
        <f>IFERROR(__xludf.DUMMYFUNCTION("""COMPUTED_VALUE"""),"PE(Honours)")</f>
        <v>PE(Honours)</v>
      </c>
      <c r="D99" s="2" t="str">
        <f>IFERROR(__xludf.DUMMYFUNCTION("""COMPUTED_VALUE"""),"EC4525")</f>
        <v>EC4525</v>
      </c>
      <c r="E99" s="2" t="str">
        <f>IFERROR(__xludf.DUMMYFUNCTION("""COMPUTED_VALUE"""),"19BM525")</f>
        <v>19BM525</v>
      </c>
      <c r="F99" s="7" t="str">
        <f>IFERROR(__xludf.DUMMYFUNCTION("""COMPUTED_VALUE"""),"Hospital Planning and Management")</f>
        <v>Hospital Planning and Management</v>
      </c>
      <c r="G99" s="2" t="str">
        <f>IFERROR(__xludf.DUMMYFUNCTION("""COMPUTED_VALUE"""),"-")</f>
        <v>-</v>
      </c>
      <c r="H99" s="2">
        <f>IFERROR(__xludf.DUMMYFUNCTION("""COMPUTED_VALUE"""),3)</f>
        <v>3</v>
      </c>
      <c r="I99" s="2">
        <f>IFERROR(__xludf.DUMMYFUNCTION("""COMPUTED_VALUE"""),0)</f>
        <v>0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IFERROR(__xludf.DUMMYFUNCTION("""COMPUTED_VALUE"""),"Theory")</f>
        <v>Theory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IFERROR(__xludf.DUMMYFUNCTION("""COMPUTED_VALUE"""),100)</f>
        <v>100</v>
      </c>
      <c r="B100" s="2"/>
      <c r="C100" s="2" t="str">
        <f>IFERROR(__xludf.DUMMYFUNCTION("""COMPUTED_VALUE"""),"PE(Honours)")</f>
        <v>PE(Honours)</v>
      </c>
      <c r="D100" s="2" t="str">
        <f>IFERROR(__xludf.DUMMYFUNCTION("""COMPUTED_VALUE"""),"EC4526")</f>
        <v>EC4526</v>
      </c>
      <c r="E100" s="2" t="str">
        <f>IFERROR(__xludf.DUMMYFUNCTION("""COMPUTED_VALUE"""),"19BM526")</f>
        <v>19BM526</v>
      </c>
      <c r="F100" s="7" t="str">
        <f>IFERROR(__xludf.DUMMYFUNCTION("""COMPUTED_VALUE"""),"Medical Waste Management")</f>
        <v>Medical Waste Management</v>
      </c>
      <c r="G100" s="2" t="str">
        <f>IFERROR(__xludf.DUMMYFUNCTION("""COMPUTED_VALUE"""),"-")</f>
        <v>-</v>
      </c>
      <c r="H100" s="2">
        <f>IFERROR(__xludf.DUMMYFUNCTION("""COMPUTED_VALUE"""),3)</f>
        <v>3</v>
      </c>
      <c r="I100" s="2">
        <f>IFERROR(__xludf.DUMMYFUNCTION("""COMPUTED_VALUE"""),0)</f>
        <v>0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IFERROR(__xludf.DUMMYFUNCTION("""COMPUTED_VALUE"""),"Theory")</f>
        <v>Theory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IFERROR(__xludf.DUMMYFUNCTION("""COMPUTED_VALUE"""),101)</f>
        <v>101</v>
      </c>
      <c r="B101" s="2"/>
      <c r="C101" s="2" t="str">
        <f>IFERROR(__xludf.DUMMYFUNCTION("""COMPUTED_VALUE"""),"PE(Honours)")</f>
        <v>PE(Honours)</v>
      </c>
      <c r="D101" s="2" t="str">
        <f>IFERROR(__xludf.DUMMYFUNCTION("""COMPUTED_VALUE"""),"EC4527")</f>
        <v>EC4527</v>
      </c>
      <c r="E101" s="2" t="str">
        <f>IFERROR(__xludf.DUMMYFUNCTION("""COMPUTED_VALUE"""),"19BM527")</f>
        <v>19BM527</v>
      </c>
      <c r="F101" s="7" t="str">
        <f>IFERROR(__xludf.DUMMYFUNCTION("""COMPUTED_VALUE"""),"Economics and Management for Engineers")</f>
        <v>Economics and Management for Engineers</v>
      </c>
      <c r="G101" s="2" t="str">
        <f>IFERROR(__xludf.DUMMYFUNCTION("""COMPUTED_VALUE"""),"-")</f>
        <v>-</v>
      </c>
      <c r="H101" s="2">
        <f>IFERROR(__xludf.DUMMYFUNCTION("""COMPUTED_VALUE"""),3)</f>
        <v>3</v>
      </c>
      <c r="I101" s="2">
        <f>IFERROR(__xludf.DUMMYFUNCTION("""COMPUTED_VALUE"""),0)</f>
        <v>0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IFERROR(__xludf.DUMMYFUNCTION("""COMPUTED_VALUE"""),"Theory")</f>
        <v>Theory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IFERROR(__xludf.DUMMYFUNCTION("""COMPUTED_VALUE"""),102)</f>
        <v>102</v>
      </c>
      <c r="B102" s="2"/>
      <c r="C102" s="2" t="str">
        <f>IFERROR(__xludf.DUMMYFUNCTION("""COMPUTED_VALUE"""),"PE(Honours)")</f>
        <v>PE(Honours)</v>
      </c>
      <c r="D102" s="2" t="str">
        <f>IFERROR(__xludf.DUMMYFUNCTION("""COMPUTED_VALUE"""),"EC4528")</f>
        <v>EC4528</v>
      </c>
      <c r="E102" s="2" t="str">
        <f>IFERROR(__xludf.DUMMYFUNCTION("""COMPUTED_VALUE"""),"19BM528")</f>
        <v>19BM528</v>
      </c>
      <c r="F102" s="7" t="str">
        <f>IFERROR(__xludf.DUMMYFUNCTION("""COMPUTED_VALUE"""),"Biostatistics")</f>
        <v>Biostatistics</v>
      </c>
      <c r="G102" s="2" t="str">
        <f>IFERROR(__xludf.DUMMYFUNCTION("""COMPUTED_VALUE"""),"-")</f>
        <v>-</v>
      </c>
      <c r="H102" s="2">
        <f>IFERROR(__xludf.DUMMYFUNCTION("""COMPUTED_VALUE"""),3)</f>
        <v>3</v>
      </c>
      <c r="I102" s="2">
        <f>IFERROR(__xludf.DUMMYFUNCTION("""COMPUTED_VALUE"""),0)</f>
        <v>0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IFERROR(__xludf.DUMMYFUNCTION("""COMPUTED_VALUE"""),"Theory")</f>
        <v>Theory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IFERROR(__xludf.DUMMYFUNCTION("""COMPUTED_VALUE"""),103)</f>
        <v>103</v>
      </c>
      <c r="B103" s="2"/>
      <c r="C103" s="2" t="str">
        <f>IFERROR(__xludf.DUMMYFUNCTION("""COMPUTED_VALUE"""),"PE(Honours)")</f>
        <v>PE(Honours)</v>
      </c>
      <c r="D103" s="2" t="str">
        <f>IFERROR(__xludf.DUMMYFUNCTION("""COMPUTED_VALUE"""),"EC4529")</f>
        <v>EC4529</v>
      </c>
      <c r="E103" s="2" t="str">
        <f>IFERROR(__xludf.DUMMYFUNCTION("""COMPUTED_VALUE"""),"19BM529")</f>
        <v>19BM529</v>
      </c>
      <c r="F103" s="7" t="str">
        <f>IFERROR(__xludf.DUMMYFUNCTION("""COMPUTED_VALUE"""),"Forensic Science in Healthcare")</f>
        <v>Forensic Science in Healthcare</v>
      </c>
      <c r="G103" s="2" t="str">
        <f>IFERROR(__xludf.DUMMYFUNCTION("""COMPUTED_VALUE"""),"-")</f>
        <v>-</v>
      </c>
      <c r="H103" s="2">
        <f>IFERROR(__xludf.DUMMYFUNCTION("""COMPUTED_VALUE"""),3)</f>
        <v>3</v>
      </c>
      <c r="I103" s="2">
        <f>IFERROR(__xludf.DUMMYFUNCTION("""COMPUTED_VALUE"""),0)</f>
        <v>0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IFERROR(__xludf.DUMMYFUNCTION("""COMPUTED_VALUE"""),"Theory")</f>
        <v>Theory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IFERROR(__xludf.DUMMYFUNCTION("""COMPUTED_VALUE"""),104)</f>
        <v>104</v>
      </c>
      <c r="B104" s="2"/>
      <c r="C104" s="2" t="str">
        <f>IFERROR(__xludf.DUMMYFUNCTION("""COMPUTED_VALUE"""),"EEC")</f>
        <v>EEC</v>
      </c>
      <c r="D104" s="2" t="str">
        <f>IFERROR(__xludf.DUMMYFUNCTION("""COMPUTED_VALUE"""),"EC4701")</f>
        <v>EC4701</v>
      </c>
      <c r="E104" s="2" t="str">
        <f>IFERROR(__xludf.DUMMYFUNCTION("""COMPUTED_VALUE"""),"19BM701")</f>
        <v>19BM701</v>
      </c>
      <c r="F104" s="7" t="str">
        <f>IFERROR(__xludf.DUMMYFUNCTION("""COMPUTED_VALUE"""),"Mini Project")</f>
        <v>Mini Project</v>
      </c>
      <c r="G104" s="2" t="str">
        <f>IFERROR(__xludf.DUMMYFUNCTION("""COMPUTED_VALUE"""),"-")</f>
        <v>-</v>
      </c>
      <c r="H104" s="2">
        <f>IFERROR(__xludf.DUMMYFUNCTION("""COMPUTED_VALUE"""),0)</f>
        <v>0</v>
      </c>
      <c r="I104" s="2">
        <f>IFERROR(__xludf.DUMMYFUNCTION("""COMPUTED_VALUE"""),2)</f>
        <v>2</v>
      </c>
      <c r="J104" s="2">
        <f>IFERROR(__xludf.DUMMYFUNCTION("""COMPUTED_VALUE"""),2)</f>
        <v>2</v>
      </c>
      <c r="K104" s="2" t="str">
        <f>IFERROR(__xludf.DUMMYFUNCTION("""COMPUTED_VALUE"""),"CGPA")</f>
        <v>CGPA</v>
      </c>
      <c r="L104" s="2" t="str">
        <f>IFERROR(__xludf.DUMMYFUNCTION("""COMPUTED_VALUE"""),"Project (Int Only)")</f>
        <v>Project (Int Only)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IFERROR(__xludf.DUMMYFUNCTION("""COMPUTED_VALUE"""),105)</f>
        <v>105</v>
      </c>
      <c r="B105" s="2"/>
      <c r="C105" s="2" t="str">
        <f>IFERROR(__xludf.DUMMYFUNCTION("""COMPUTED_VALUE"""),"EEC")</f>
        <v>EEC</v>
      </c>
      <c r="D105" s="2" t="str">
        <f>IFERROR(__xludf.DUMMYFUNCTION("""COMPUTED_VALUE"""),"EC4702")</f>
        <v>EC4702</v>
      </c>
      <c r="E105" s="2" t="str">
        <f>IFERROR(__xludf.DUMMYFUNCTION("""COMPUTED_VALUE"""),"19BM702")</f>
        <v>19BM702</v>
      </c>
      <c r="F105" s="7" t="str">
        <f>IFERROR(__xludf.DUMMYFUNCTION("""COMPUTED_VALUE"""),"Project Work Phase I")</f>
        <v>Project Work Phase I</v>
      </c>
      <c r="G105" s="2" t="str">
        <f>IFERROR(__xludf.DUMMYFUNCTION("""COMPUTED_VALUE"""),"-")</f>
        <v>-</v>
      </c>
      <c r="H105" s="2">
        <f>IFERROR(__xludf.DUMMYFUNCTION("""COMPUTED_VALUE"""),0)</f>
        <v>0</v>
      </c>
      <c r="I105" s="2">
        <f>IFERROR(__xludf.DUMMYFUNCTION("""COMPUTED_VALUE"""),2)</f>
        <v>2</v>
      </c>
      <c r="J105" s="2">
        <f>IFERROR(__xludf.DUMMYFUNCTION("""COMPUTED_VALUE"""),2)</f>
        <v>2</v>
      </c>
      <c r="K105" s="2" t="str">
        <f>IFERROR(__xludf.DUMMYFUNCTION("""COMPUTED_VALUE"""),"CGPA")</f>
        <v>CGPA</v>
      </c>
      <c r="L105" s="2" t="str">
        <f>IFERROR(__xludf.DUMMYFUNCTION("""COMPUTED_VALUE"""),"Project (Int Only)")</f>
        <v>Project (Int Only)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IFERROR(__xludf.DUMMYFUNCTION("""COMPUTED_VALUE"""),106)</f>
        <v>106</v>
      </c>
      <c r="B106" s="2"/>
      <c r="C106" s="2" t="str">
        <f>IFERROR(__xludf.DUMMYFUNCTION("""COMPUTED_VALUE"""),"EEC")</f>
        <v>EEC</v>
      </c>
      <c r="D106" s="2" t="str">
        <f>IFERROR(__xludf.DUMMYFUNCTION("""COMPUTED_VALUE"""),"EC4703")</f>
        <v>EC4703</v>
      </c>
      <c r="E106" s="2" t="str">
        <f>IFERROR(__xludf.DUMMYFUNCTION("""COMPUTED_VALUE"""),"19BM703")</f>
        <v>19BM703</v>
      </c>
      <c r="F106" s="7" t="str">
        <f>IFERROR(__xludf.DUMMYFUNCTION("""COMPUTED_VALUE"""),"Project Work Phase II")</f>
        <v>Project Work Phase II</v>
      </c>
      <c r="G106" s="2" t="str">
        <f>IFERROR(__xludf.DUMMYFUNCTION("""COMPUTED_VALUE"""),"EC4702/19BM702")</f>
        <v>EC4702/19BM702</v>
      </c>
      <c r="H106" s="2">
        <f>IFERROR(__xludf.DUMMYFUNCTION("""COMPUTED_VALUE"""),0)</f>
        <v>0</v>
      </c>
      <c r="I106" s="2">
        <f>IFERROR(__xludf.DUMMYFUNCTION("""COMPUTED_VALUE"""),6)</f>
        <v>6</v>
      </c>
      <c r="J106" s="2">
        <f>IFERROR(__xludf.DUMMYFUNCTION("""COMPUTED_VALUE"""),6)</f>
        <v>6</v>
      </c>
      <c r="K106" s="2" t="str">
        <f>IFERROR(__xludf.DUMMYFUNCTION("""COMPUTED_VALUE"""),"CGPA")</f>
        <v>CGPA</v>
      </c>
      <c r="L106" s="2" t="str">
        <f>IFERROR(__xludf.DUMMYFUNCTION("""COMPUTED_VALUE"""),"Project")</f>
        <v>Project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IFERROR(__xludf.DUMMYFUNCTION("""COMPUTED_VALUE"""),107)</f>
        <v>107</v>
      </c>
      <c r="B107" s="2" t="str">
        <f>IFERROR(__xludf.DUMMYFUNCTION("""COMPUTED_VALUE"""),"Any1 ")</f>
        <v>Any1 </v>
      </c>
      <c r="C107" s="2" t="str">
        <f>IFERROR(__xludf.DUMMYFUNCTION("""COMPUTED_VALUE"""),"EEC")</f>
        <v>EEC</v>
      </c>
      <c r="D107" s="2" t="str">
        <f>IFERROR(__xludf.DUMMYFUNCTION("""COMPUTED_VALUE"""),"NA")</f>
        <v>NA</v>
      </c>
      <c r="E107" s="2" t="str">
        <f>IFERROR(__xludf.DUMMYFUNCTION("""COMPUTED_VALUE"""),"19EY701")</f>
        <v>19EY701</v>
      </c>
      <c r="F107" s="7" t="str">
        <f>IFERROR(__xludf.DUMMYFUNCTION("""COMPUTED_VALUE"""),"Softskills")</f>
        <v>Softskills</v>
      </c>
      <c r="G107" s="2" t="str">
        <f>IFERROR(__xludf.DUMMYFUNCTION("""COMPUTED_VALUE"""),"-")</f>
        <v>-</v>
      </c>
      <c r="H107" s="2">
        <f>IFERROR(__xludf.DUMMYFUNCTION("""COMPUTED_VALUE"""),0)</f>
        <v>0</v>
      </c>
      <c r="I107" s="2">
        <f>IFERROR(__xludf.DUMMYFUNCTION("""COMPUTED_VALUE"""),1)</f>
        <v>1</v>
      </c>
      <c r="J107" s="2">
        <f>IFERROR(__xludf.DUMMYFUNCTION("""COMPUTED_VALUE"""),1)</f>
        <v>1</v>
      </c>
      <c r="K107" s="2" t="str">
        <f>IFERROR(__xludf.DUMMYFUNCTION("""COMPUTED_VALUE"""),"CGPA")</f>
        <v>CGPA</v>
      </c>
      <c r="L107" s="2" t="str">
        <f>IFERROR(__xludf.DUMMYFUNCTION("""COMPUTED_VALUE"""),"Practical (6 Expts)")</f>
        <v>Practical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IFERROR(__xludf.DUMMYFUNCTION("""COMPUTED_VALUE"""),108)</f>
        <v>108</v>
      </c>
      <c r="B108" s="2" t="str">
        <f>IFERROR(__xludf.DUMMYFUNCTION("""COMPUTED_VALUE"""),"Any1 ")</f>
        <v>Any1 </v>
      </c>
      <c r="C108" s="2" t="str">
        <f>IFERROR(__xludf.DUMMYFUNCTION("""COMPUTED_VALUE"""),"EEC")</f>
        <v>EEC</v>
      </c>
      <c r="D108" s="2" t="str">
        <f>IFERROR(__xludf.DUMMYFUNCTION("""COMPUTED_VALUE"""),"SH6708")</f>
        <v>SH6708</v>
      </c>
      <c r="E108" s="2" t="str">
        <f>IFERROR(__xludf.DUMMYFUNCTION("""COMPUTED_VALUE"""),"19EY708")</f>
        <v>19EY708</v>
      </c>
      <c r="F108" s="7" t="str">
        <f>IFERROR(__xludf.DUMMYFUNCTION("""COMPUTED_VALUE"""),"Career Development Skills")</f>
        <v>Career Development Skills</v>
      </c>
      <c r="G108" s="2" t="str">
        <f>IFERROR(__xludf.DUMMYFUNCTION("""COMPUTED_VALUE"""),"NIL")</f>
        <v>NIL</v>
      </c>
      <c r="H108" s="2">
        <f>IFERROR(__xludf.DUMMYFUNCTION("""COMPUTED_VALUE"""),1)</f>
        <v>1</v>
      </c>
      <c r="I108" s="2">
        <f>IFERROR(__xludf.DUMMYFUNCTION("""COMPUTED_VALUE"""),0)</f>
        <v>0</v>
      </c>
      <c r="J108" s="2">
        <f>IFERROR(__xludf.DUMMYFUNCTION("""COMPUTED_VALUE"""),1)</f>
        <v>1</v>
      </c>
      <c r="K108" s="2" t="str">
        <f>IFERROR(__xludf.DUMMYFUNCTION("""COMPUTED_VALUE"""),"CGPA")</f>
        <v>CGPA</v>
      </c>
      <c r="L108" s="2" t="str">
        <f>IFERROR(__xludf.DUMMYFUNCTION("""COMPUTED_VALUE"""),"Theory (Int Only)")</f>
        <v>Theory (Int Only)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IFERROR(__xludf.DUMMYFUNCTION("""COMPUTED_VALUE"""),109)</f>
        <v>109</v>
      </c>
      <c r="B109" s="2" t="str">
        <f>IFERROR(__xludf.DUMMYFUNCTION("""COMPUTED_VALUE"""),"Any1 ")</f>
        <v>Any1 </v>
      </c>
      <c r="C109" s="2" t="str">
        <f>IFERROR(__xludf.DUMMYFUNCTION("""COMPUTED_VALUE"""),"EEC")</f>
        <v>EEC</v>
      </c>
      <c r="D109" s="2" t="str">
        <f>IFERROR(__xludf.DUMMYFUNCTION("""COMPUTED_VALUE"""),"NA")</f>
        <v>NA</v>
      </c>
      <c r="E109" s="2" t="str">
        <f>IFERROR(__xludf.DUMMYFUNCTION("""COMPUTED_VALUE"""),"19EY702")</f>
        <v>19EY702</v>
      </c>
      <c r="F109" s="7" t="str">
        <f>IFERROR(__xludf.DUMMYFUNCTION("""COMPUTED_VALUE"""),"Creative Skills for Communication")</f>
        <v>Creative Skills for Communication</v>
      </c>
      <c r="G109" s="2" t="str">
        <f>IFERROR(__xludf.DUMMYFUNCTION("""COMPUTED_VALUE"""),"-")</f>
        <v>-</v>
      </c>
      <c r="H109" s="2">
        <f>IFERROR(__xludf.DUMMYFUNCTION("""COMPUTED_VALUE"""),0)</f>
        <v>0</v>
      </c>
      <c r="I109" s="2">
        <f>IFERROR(__xludf.DUMMYFUNCTION("""COMPUTED_VALUE"""),1)</f>
        <v>1</v>
      </c>
      <c r="J109" s="2">
        <f>IFERROR(__xludf.DUMMYFUNCTION("""COMPUTED_VALUE"""),1)</f>
        <v>1</v>
      </c>
      <c r="K109" s="2" t="str">
        <f>IFERROR(__xludf.DUMMYFUNCTION("""COMPUTED_VALUE"""),"CGPA")</f>
        <v>CGPA</v>
      </c>
      <c r="L109" s="2" t="str">
        <f>IFERROR(__xludf.DUMMYFUNCTION("""COMPUTED_VALUE"""),"Practical (6 Expts)")</f>
        <v>Practical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IFERROR(__xludf.DUMMYFUNCTION("""COMPUTED_VALUE"""),110)</f>
        <v>110</v>
      </c>
      <c r="B110" s="2" t="str">
        <f>IFERROR(__xludf.DUMMYFUNCTION("""COMPUTED_VALUE"""),"Any1 ")</f>
        <v>Any1 </v>
      </c>
      <c r="C110" s="2" t="str">
        <f>IFERROR(__xludf.DUMMYFUNCTION("""COMPUTED_VALUE"""),"EEC")</f>
        <v>EEC</v>
      </c>
      <c r="D110" s="2" t="str">
        <f>IFERROR(__xludf.DUMMYFUNCTION("""COMPUTED_VALUE"""),"SH6709")</f>
        <v>SH6709</v>
      </c>
      <c r="E110" s="2" t="str">
        <f>IFERROR(__xludf.DUMMYFUNCTION("""COMPUTED_VALUE"""),"19EY709")</f>
        <v>19EY709</v>
      </c>
      <c r="F110" s="7" t="str">
        <f>IFERROR(__xludf.DUMMYFUNCTION("""COMPUTED_VALUE"""),"Reasoning Ability")</f>
        <v>Reasoning Ability</v>
      </c>
      <c r="G110" s="2" t="str">
        <f>IFERROR(__xludf.DUMMYFUNCTION("""COMPUTED_VALUE"""),"NIL")</f>
        <v>NIL</v>
      </c>
      <c r="H110" s="2">
        <f>IFERROR(__xludf.DUMMYFUNCTION("""COMPUTED_VALUE"""),1)</f>
        <v>1</v>
      </c>
      <c r="I110" s="2">
        <f>IFERROR(__xludf.DUMMYFUNCTION("""COMPUTED_VALUE"""),0)</f>
        <v>0</v>
      </c>
      <c r="J110" s="2">
        <f>IFERROR(__xludf.DUMMYFUNCTION("""COMPUTED_VALUE"""),1)</f>
        <v>1</v>
      </c>
      <c r="K110" s="2" t="str">
        <f>IFERROR(__xludf.DUMMYFUNCTION("""COMPUTED_VALUE"""),"CGPA")</f>
        <v>CGPA</v>
      </c>
      <c r="L110" s="2" t="str">
        <f>IFERROR(__xludf.DUMMYFUNCTION("""COMPUTED_VALUE"""),"Theory (Int Only)")</f>
        <v>Theory (Int Only)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IFERROR(__xludf.DUMMYFUNCTION("""COMPUTED_VALUE"""),111)</f>
        <v>111</v>
      </c>
      <c r="B111" s="2" t="str">
        <f>IFERROR(__xludf.DUMMYFUNCTION("""COMPUTED_VALUE"""),"Option 1")</f>
        <v>Option 1</v>
      </c>
      <c r="C111" s="2" t="str">
        <f>IFERROR(__xludf.DUMMYFUNCTION("""COMPUTED_VALUE"""),"EEC")</f>
        <v>EEC</v>
      </c>
      <c r="D111" s="2" t="str">
        <f>IFERROR(__xludf.DUMMYFUNCTION("""COMPUTED_VALUE"""),"NA")</f>
        <v>NA</v>
      </c>
      <c r="E111" s="2" t="str">
        <f>IFERROR(__xludf.DUMMYFUNCTION("""COMPUTED_VALUE"""),"19EY703")</f>
        <v>19EY703</v>
      </c>
      <c r="F111" s="7" t="str">
        <f>IFERROR(__xludf.DUMMYFUNCTION("""COMPUTED_VALUE"""),"System of Numerical and Logical Terminologies")</f>
        <v>System of Numerical and Logical Terminologies</v>
      </c>
      <c r="G111" s="2" t="str">
        <f>IFERROR(__xludf.DUMMYFUNCTION("""COMPUTED_VALUE"""),"-")</f>
        <v>-</v>
      </c>
      <c r="H111" s="2">
        <f>IFERROR(__xludf.DUMMYFUNCTION("""COMPUTED_VALUE"""),0)</f>
        <v>0</v>
      </c>
      <c r="I111" s="2">
        <f>IFERROR(__xludf.DUMMYFUNCTION("""COMPUTED_VALUE"""),1)</f>
        <v>1</v>
      </c>
      <c r="J111" s="2">
        <f>IFERROR(__xludf.DUMMYFUNCTION("""COMPUTED_VALUE"""),1)</f>
        <v>1</v>
      </c>
      <c r="K111" s="2" t="str">
        <f>IFERROR(__xludf.DUMMYFUNCTION("""COMPUTED_VALUE"""),"CGPA")</f>
        <v>CGPA</v>
      </c>
      <c r="L111" s="2" t="str">
        <f>IFERROR(__xludf.DUMMYFUNCTION("""COMPUTED_VALUE"""),"Practical (6 Expts)")</f>
        <v>Practical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IFERROR(__xludf.DUMMYFUNCTION("""COMPUTED_VALUE"""),112)</f>
        <v>112</v>
      </c>
      <c r="B112" s="2" t="str">
        <f>IFERROR(__xludf.DUMMYFUNCTION("""COMPUTED_VALUE"""),"Option 1")</f>
        <v>Option 1</v>
      </c>
      <c r="C112" s="2" t="str">
        <f>IFERROR(__xludf.DUMMYFUNCTION("""COMPUTED_VALUE"""),"EEC")</f>
        <v>EEC</v>
      </c>
      <c r="D112" s="2" t="str">
        <f>IFERROR(__xludf.DUMMYFUNCTION("""COMPUTED_VALUE"""),"NA")</f>
        <v>NA</v>
      </c>
      <c r="E112" s="2" t="str">
        <f>IFERROR(__xludf.DUMMYFUNCTION("""COMPUTED_VALUE"""),"19EY704")</f>
        <v>19EY704</v>
      </c>
      <c r="F112" s="7" t="str">
        <f>IFERROR(__xludf.DUMMYFUNCTION("""COMPUTED_VALUE"""),"Advanced Quantitative and Logical Reasoning")</f>
        <v>Advanced Quantitative and Logical Reasoning</v>
      </c>
      <c r="G112" s="2" t="str">
        <f>IFERROR(__xludf.DUMMYFUNCTION("""COMPUTED_VALUE"""),"-")</f>
        <v>-</v>
      </c>
      <c r="H112" s="2">
        <f>IFERROR(__xludf.DUMMYFUNCTION("""COMPUTED_VALUE"""),0)</f>
        <v>0</v>
      </c>
      <c r="I112" s="2">
        <f>IFERROR(__xludf.DUMMYFUNCTION("""COMPUTED_VALUE"""),1)</f>
        <v>1</v>
      </c>
      <c r="J112" s="2">
        <f>IFERROR(__xludf.DUMMYFUNCTION("""COMPUTED_VALUE"""),1)</f>
        <v>1</v>
      </c>
      <c r="K112" s="2" t="str">
        <f>IFERROR(__xludf.DUMMYFUNCTION("""COMPUTED_VALUE"""),"CGPA")</f>
        <v>CGPA</v>
      </c>
      <c r="L112" s="2" t="str">
        <f>IFERROR(__xludf.DUMMYFUNCTION("""COMPUTED_VALUE"""),"Practical (6 Expts)")</f>
        <v>Practical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IFERROR(__xludf.DUMMYFUNCTION("""COMPUTED_VALUE"""),113)</f>
        <v>113</v>
      </c>
      <c r="B113" s="2" t="str">
        <f>IFERROR(__xludf.DUMMYFUNCTION("""COMPUTED_VALUE"""),"Option 2")</f>
        <v>Option 2</v>
      </c>
      <c r="C113" s="2" t="str">
        <f>IFERROR(__xludf.DUMMYFUNCTION("""COMPUTED_VALUE"""),"EEC")</f>
        <v>EEC</v>
      </c>
      <c r="D113" s="2" t="str">
        <f>IFERROR(__xludf.DUMMYFUNCTION("""COMPUTED_VALUE"""),"SH6710")</f>
        <v>SH6710</v>
      </c>
      <c r="E113" s="2" t="str">
        <f>IFERROR(__xludf.DUMMYFUNCTION("""COMPUTED_VALUE"""),"19EY710")</f>
        <v>19EY710</v>
      </c>
      <c r="F113" s="7" t="str">
        <f>IFERROR(__xludf.DUMMYFUNCTION("""COMPUTED_VALUE"""),"Quantitative Ability I")</f>
        <v>Quantitative Ability I</v>
      </c>
      <c r="G113" s="2" t="str">
        <f>IFERROR(__xludf.DUMMYFUNCTION("""COMPUTED_VALUE"""),"NIL")</f>
        <v>NIL</v>
      </c>
      <c r="H113" s="2">
        <f>IFERROR(__xludf.DUMMYFUNCTION("""COMPUTED_VALUE"""),1)</f>
        <v>1</v>
      </c>
      <c r="I113" s="2">
        <f>IFERROR(__xludf.DUMMYFUNCTION("""COMPUTED_VALUE"""),0)</f>
        <v>0</v>
      </c>
      <c r="J113" s="2">
        <f>IFERROR(__xludf.DUMMYFUNCTION("""COMPUTED_VALUE"""),1)</f>
        <v>1</v>
      </c>
      <c r="K113" s="2" t="str">
        <f>IFERROR(__xludf.DUMMYFUNCTION("""COMPUTED_VALUE"""),"CGPA")</f>
        <v>CGPA</v>
      </c>
      <c r="L113" s="2" t="str">
        <f>IFERROR(__xludf.DUMMYFUNCTION("""COMPUTED_VALUE"""),"Theory (Int Only)")</f>
        <v>Theory (Int Only)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IFERROR(__xludf.DUMMYFUNCTION("""COMPUTED_VALUE"""),114)</f>
        <v>114</v>
      </c>
      <c r="B114" s="2" t="str">
        <f>IFERROR(__xludf.DUMMYFUNCTION("""COMPUTED_VALUE"""),"Option 2")</f>
        <v>Option 2</v>
      </c>
      <c r="C114" s="2" t="str">
        <f>IFERROR(__xludf.DUMMYFUNCTION("""COMPUTED_VALUE"""),"EEC")</f>
        <v>EEC</v>
      </c>
      <c r="D114" s="2" t="str">
        <f>IFERROR(__xludf.DUMMYFUNCTION("""COMPUTED_VALUE"""),"SH6711")</f>
        <v>SH6711</v>
      </c>
      <c r="E114" s="2" t="str">
        <f>IFERROR(__xludf.DUMMYFUNCTION("""COMPUTED_VALUE"""),"19EY711")</f>
        <v>19EY711</v>
      </c>
      <c r="F114" s="7" t="str">
        <f>IFERROR(__xludf.DUMMYFUNCTION("""COMPUTED_VALUE"""),"Quantitative Ability II")</f>
        <v>Quantitative Ability II</v>
      </c>
      <c r="G114" s="2" t="str">
        <f>IFERROR(__xludf.DUMMYFUNCTION("""COMPUTED_VALUE"""),"SH6710 /19EY710")</f>
        <v>SH6710 /19EY710</v>
      </c>
      <c r="H114" s="2">
        <f>IFERROR(__xludf.DUMMYFUNCTION("""COMPUTED_VALUE"""),1)</f>
        <v>1</v>
      </c>
      <c r="I114" s="2">
        <f>IFERROR(__xludf.DUMMYFUNCTION("""COMPUTED_VALUE"""),0)</f>
        <v>0</v>
      </c>
      <c r="J114" s="2">
        <f>IFERROR(__xludf.DUMMYFUNCTION("""COMPUTED_VALUE"""),1)</f>
        <v>1</v>
      </c>
      <c r="K114" s="2" t="str">
        <f>IFERROR(__xludf.DUMMYFUNCTION("""COMPUTED_VALUE"""),"CGPA")</f>
        <v>CGPA</v>
      </c>
      <c r="L114" s="2" t="str">
        <f>IFERROR(__xludf.DUMMYFUNCTION("""COMPUTED_VALUE"""),"Theory (Int Only)")</f>
        <v>Theory (Int Only)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IFERROR(__xludf.DUMMYFUNCTION("""COMPUTED_VALUE"""),115)</f>
        <v>115</v>
      </c>
      <c r="B115" s="2" t="str">
        <f>IFERROR(__xludf.DUMMYFUNCTION("""COMPUTED_VALUE"""),"Any 1")</f>
        <v>Any 1</v>
      </c>
      <c r="C115" s="2" t="str">
        <f>IFERROR(__xludf.DUMMYFUNCTION("""COMPUTED_VALUE"""),"EEC")</f>
        <v>EEC</v>
      </c>
      <c r="D115" s="2" t="str">
        <f>IFERROR(__xludf.DUMMYFUNCTION("""COMPUTED_VALUE"""),"NA")</f>
        <v>NA</v>
      </c>
      <c r="E115" s="2" t="str">
        <f>IFERROR(__xludf.DUMMYFUNCTION("""COMPUTED_VALUE"""),"19EY705")</f>
        <v>19EY705</v>
      </c>
      <c r="F115" s="7" t="str">
        <f>IFERROR(__xludf.DUMMYFUNCTION("""COMPUTED_VALUE"""),"Employment Enhancement Skills")</f>
        <v>Employment Enhancement Skills</v>
      </c>
      <c r="G115" s="2" t="str">
        <f>IFERROR(__xludf.DUMMYFUNCTION("""COMPUTED_VALUE"""),"-")</f>
        <v>-</v>
      </c>
      <c r="H115" s="2">
        <f>IFERROR(__xludf.DUMMYFUNCTION("""COMPUTED_VALUE"""),0)</f>
        <v>0</v>
      </c>
      <c r="I115" s="2">
        <f>IFERROR(__xludf.DUMMYFUNCTION("""COMPUTED_VALUE"""),1)</f>
        <v>1</v>
      </c>
      <c r="J115" s="2">
        <f>IFERROR(__xludf.DUMMYFUNCTION("""COMPUTED_VALUE"""),1)</f>
        <v>1</v>
      </c>
      <c r="K115" s="2" t="str">
        <f>IFERROR(__xludf.DUMMYFUNCTION("""COMPUTED_VALUE"""),"CGPA")</f>
        <v>CGPA</v>
      </c>
      <c r="L115" s="2" t="str">
        <f>IFERROR(__xludf.DUMMYFUNCTION("""COMPUTED_VALUE"""),"Practical (6 Expts)")</f>
        <v>Practical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IFERROR(__xludf.DUMMYFUNCTION("""COMPUTED_VALUE"""),116)</f>
        <v>116</v>
      </c>
      <c r="B116" s="2" t="str">
        <f>IFERROR(__xludf.DUMMYFUNCTION("""COMPUTED_VALUE"""),"Any 1")</f>
        <v>Any 1</v>
      </c>
      <c r="C116" s="2" t="str">
        <f>IFERROR(__xludf.DUMMYFUNCTION("""COMPUTED_VALUE"""),"EEC")</f>
        <v>EEC</v>
      </c>
      <c r="D116" s="2" t="str">
        <f>IFERROR(__xludf.DUMMYFUNCTION("""COMPUTED_VALUE"""),"SH6712")</f>
        <v>SH6712</v>
      </c>
      <c r="E116" s="2" t="str">
        <f>IFERROR(__xludf.DUMMYFUNCTION("""COMPUTED_VALUE"""),"19EY712")</f>
        <v>19EY712</v>
      </c>
      <c r="F116" s="7" t="str">
        <f>IFERROR(__xludf.DUMMYFUNCTION("""COMPUTED_VALUE"""),"Employment Enrichment Skills")</f>
        <v>Employment Enrichment Skills</v>
      </c>
      <c r="G116" s="2" t="str">
        <f>IFERROR(__xludf.DUMMYFUNCTION("""COMPUTED_VALUE"""),"19EY702 / 19EY709 / SH6709")</f>
        <v>19EY702 / 19EY709 / SH6709</v>
      </c>
      <c r="H116" s="2">
        <f>IFERROR(__xludf.DUMMYFUNCTION("""COMPUTED_VALUE"""),1)</f>
        <v>1</v>
      </c>
      <c r="I116" s="2">
        <f>IFERROR(__xludf.DUMMYFUNCTION("""COMPUTED_VALUE"""),0)</f>
        <v>0</v>
      </c>
      <c r="J116" s="2">
        <f>IFERROR(__xludf.DUMMYFUNCTION("""COMPUTED_VALUE"""),1)</f>
        <v>1</v>
      </c>
      <c r="K116" s="2" t="str">
        <f>IFERROR(__xludf.DUMMYFUNCTION("""COMPUTED_VALUE"""),"CGPA")</f>
        <v>CGPA</v>
      </c>
      <c r="L116" s="2" t="str">
        <f>IFERROR(__xludf.DUMMYFUNCTION("""COMPUTED_VALUE"""),"Theory (Int Only)")</f>
        <v>Theory (Int Only)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IFERROR(__xludf.DUMMYFUNCTION("""COMPUTED_VALUE"""),117)</f>
        <v>117</v>
      </c>
      <c r="B117" s="2" t="str">
        <f>IFERROR(__xludf.DUMMYFUNCTION("""COMPUTED_VALUE"""),"Any 1")</f>
        <v>Any 1</v>
      </c>
      <c r="C117" s="2" t="str">
        <f>IFERROR(__xludf.DUMMYFUNCTION("""COMPUTED_VALUE"""),"EEC")</f>
        <v>EEC</v>
      </c>
      <c r="D117" s="2" t="str">
        <f>IFERROR(__xludf.DUMMYFUNCTION("""COMPUTED_VALUE"""),"NA")</f>
        <v>NA</v>
      </c>
      <c r="E117" s="2" t="str">
        <f>IFERROR(__xludf.DUMMYFUNCTION("""COMPUTED_VALUE"""),"19EY706")</f>
        <v>19EY706</v>
      </c>
      <c r="F117" s="7" t="str">
        <f>IFERROR(__xludf.DUMMYFUNCTION("""COMPUTED_VALUE"""),"Company Specific Assessments For Employability")</f>
        <v>Company Specific Assessments For Employability</v>
      </c>
      <c r="G117" s="2" t="str">
        <f>IFERROR(__xludf.DUMMYFUNCTION("""COMPUTED_VALUE"""),"-")</f>
        <v>-</v>
      </c>
      <c r="H117" s="2">
        <f>IFERROR(__xludf.DUMMYFUNCTION("""COMPUTED_VALUE"""),0)</f>
        <v>0</v>
      </c>
      <c r="I117" s="2">
        <f>IFERROR(__xludf.DUMMYFUNCTION("""COMPUTED_VALUE"""),1)</f>
        <v>1</v>
      </c>
      <c r="J117" s="2">
        <f>IFERROR(__xludf.DUMMYFUNCTION("""COMPUTED_VALUE"""),1)</f>
        <v>1</v>
      </c>
      <c r="K117" s="2" t="str">
        <f>IFERROR(__xludf.DUMMYFUNCTION("""COMPUTED_VALUE"""),"CGPA")</f>
        <v>CGPA</v>
      </c>
      <c r="L117" s="2" t="str">
        <f>IFERROR(__xludf.DUMMYFUNCTION("""COMPUTED_VALUE"""),"Practical (6 Expts)")</f>
        <v>Practical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IFERROR(__xludf.DUMMYFUNCTION("""COMPUTED_VALUE"""),118)</f>
        <v>118</v>
      </c>
      <c r="B118" s="2" t="str">
        <f>IFERROR(__xludf.DUMMYFUNCTION("""COMPUTED_VALUE"""),"Any 1")</f>
        <v>Any 1</v>
      </c>
      <c r="C118" s="2" t="str">
        <f>IFERROR(__xludf.DUMMYFUNCTION("""COMPUTED_VALUE"""),"EEC")</f>
        <v>EEC</v>
      </c>
      <c r="D118" s="2" t="str">
        <f>IFERROR(__xludf.DUMMYFUNCTION("""COMPUTED_VALUE"""),"SH6713")</f>
        <v>SH6713</v>
      </c>
      <c r="E118" s="2" t="str">
        <f>IFERROR(__xludf.DUMMYFUNCTION("""COMPUTED_VALUE"""),"19EY713")</f>
        <v>19EY713</v>
      </c>
      <c r="F118" s="7" t="str">
        <f>IFERROR(__xludf.DUMMYFUNCTION("""COMPUTED_VALUE"""),"Placement Readiness Assessment")</f>
        <v>Placement Readiness Assessment</v>
      </c>
      <c r="G118" s="2" t="str">
        <f>IFERROR(__xludf.DUMMYFUNCTION("""COMPUTED_VALUE"""),"19EY704 / 19EY711/SH6711")</f>
        <v>19EY704 / 19EY711/SH6711</v>
      </c>
      <c r="H118" s="2">
        <f>IFERROR(__xludf.DUMMYFUNCTION("""COMPUTED_VALUE"""),1)</f>
        <v>1</v>
      </c>
      <c r="I118" s="2">
        <f>IFERROR(__xludf.DUMMYFUNCTION("""COMPUTED_VALUE"""),0)</f>
        <v>0</v>
      </c>
      <c r="J118" s="2">
        <f>IFERROR(__xludf.DUMMYFUNCTION("""COMPUTED_VALUE"""),1)</f>
        <v>1</v>
      </c>
      <c r="K118" s="2" t="str">
        <f>IFERROR(__xludf.DUMMYFUNCTION("""COMPUTED_VALUE"""),"CGPA")</f>
        <v>CGPA</v>
      </c>
      <c r="L118" s="2" t="str">
        <f>IFERROR(__xludf.DUMMYFUNCTION("""COMPUTED_VALUE"""),"Theory (Int Only)")</f>
        <v>Theory (Int Only)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IFERROR(__xludf.DUMMYFUNCTION("""COMPUTED_VALUE"""),119)</f>
        <v>119</v>
      </c>
      <c r="B119" s="2"/>
      <c r="C119" s="2" t="str">
        <f>IFERROR(__xludf.DUMMYFUNCTION("""COMPUTED_VALUE"""),"EEC")</f>
        <v>EEC</v>
      </c>
      <c r="D119" s="2" t="str">
        <f>IFERROR(__xludf.DUMMYFUNCTION("""COMPUTED_VALUE"""),"SH6707")</f>
        <v>SH6707</v>
      </c>
      <c r="E119" s="2" t="str">
        <f>IFERROR(__xludf.DUMMYFUNCTION("""COMPUTED_VALUE"""),"19EY707")</f>
        <v>19EY707</v>
      </c>
      <c r="F119" s="7" t="str">
        <f>IFERROR(__xludf.DUMMYFUNCTION("""COMPUTED_VALUE"""),"Paper Publication")</f>
        <v>Paper Publication</v>
      </c>
      <c r="G119" s="2" t="str">
        <f>IFERROR(__xludf.DUMMYFUNCTION("""COMPUTED_VALUE"""),"-")</f>
        <v>-</v>
      </c>
      <c r="H119" s="2">
        <f>IFERROR(__xludf.DUMMYFUNCTION("""COMPUTED_VALUE"""),0)</f>
        <v>0</v>
      </c>
      <c r="I119" s="2">
        <f>IFERROR(__xludf.DUMMYFUNCTION("""COMPUTED_VALUE"""),0)</f>
        <v>0</v>
      </c>
      <c r="J119" s="2">
        <f>IFERROR(__xludf.DUMMYFUNCTION("""COMPUTED_VALUE"""),1)</f>
        <v>1</v>
      </c>
      <c r="K119" s="2" t="str">
        <f>IFERROR(__xludf.DUMMYFUNCTION("""COMPUTED_VALUE"""),"NON-CGPA")</f>
        <v>NON-CGPA</v>
      </c>
      <c r="L119" s="2" t="str">
        <f>IFERROR(__xludf.DUMMYFUNCTION("""COMPUTED_VALUE"""),"Experiential Learning (Int Only)")</f>
        <v>Experiential Learning (Int Only)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IFERROR(__xludf.DUMMYFUNCTION("""COMPUTED_VALUE"""),120)</f>
        <v>120</v>
      </c>
      <c r="B120" s="2"/>
      <c r="C120" s="2" t="str">
        <f>IFERROR(__xludf.DUMMYFUNCTION("""COMPUTED_VALUE"""),"MC")</f>
        <v>MC</v>
      </c>
      <c r="D120" s="2" t="str">
        <f>IFERROR(__xludf.DUMMYFUNCTION("""COMPUTED_VALUE"""),"NA")</f>
        <v>NA</v>
      </c>
      <c r="E120" s="2" t="str">
        <f>IFERROR(__xludf.DUMMYFUNCTION("""COMPUTED_VALUE"""),"19MC801")</f>
        <v>19MC801</v>
      </c>
      <c r="F120" s="7" t="str">
        <f>IFERROR(__xludf.DUMMYFUNCTION("""COMPUTED_VALUE"""),"Professional Ethics")</f>
        <v>Professional Ethics</v>
      </c>
      <c r="G120" s="2" t="str">
        <f>IFERROR(__xludf.DUMMYFUNCTION("""COMPUTED_VALUE"""),"-")</f>
        <v>-</v>
      </c>
      <c r="H120" s="2">
        <f>IFERROR(__xludf.DUMMYFUNCTION("""COMPUTED_VALUE"""),0)</f>
        <v>0</v>
      </c>
      <c r="I120" s="2">
        <f>IFERROR(__xludf.DUMMYFUNCTION("""COMPUTED_VALUE"""),0)</f>
        <v>0</v>
      </c>
      <c r="J120" s="2">
        <f>IFERROR(__xludf.DUMMYFUNCTION("""COMPUTED_VALUE"""),0)</f>
        <v>0</v>
      </c>
      <c r="K120" s="2" t="str">
        <f>IFERROR(__xludf.DUMMYFUNCTION("""COMPUTED_VALUE"""),"NON - CGPA")</f>
        <v>NON - CGPA</v>
      </c>
      <c r="L120" s="2" t="str">
        <f>IFERROR(__xludf.DUMMYFUNCTION("""COMPUTED_VALUE"""),"Theory (Int Only)")</f>
        <v>Theory (Int Only)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IFERROR(__xludf.DUMMYFUNCTION("""COMPUTED_VALUE"""),121)</f>
        <v>121</v>
      </c>
      <c r="B121" s="2"/>
      <c r="C121" s="2" t="str">
        <f>IFERROR(__xludf.DUMMYFUNCTION("""COMPUTED_VALUE"""),"MC")</f>
        <v>MC</v>
      </c>
      <c r="D121" s="2" t="str">
        <f>IFERROR(__xludf.DUMMYFUNCTION("""COMPUTED_VALUE"""),"NA")</f>
        <v>NA</v>
      </c>
      <c r="E121" s="2" t="str">
        <f>IFERROR(__xludf.DUMMYFUNCTION("""COMPUTED_VALUE"""),"19MC802")</f>
        <v>19MC802</v>
      </c>
      <c r="F121" s="7" t="str">
        <f>IFERROR(__xludf.DUMMYFUNCTION("""COMPUTED_VALUE"""),"Environmental Science")</f>
        <v>Environmental Science</v>
      </c>
      <c r="G121" s="2" t="str">
        <f>IFERROR(__xludf.DUMMYFUNCTION("""COMPUTED_VALUE"""),"-")</f>
        <v>-</v>
      </c>
      <c r="H121" s="2">
        <f>IFERROR(__xludf.DUMMYFUNCTION("""COMPUTED_VALUE"""),0)</f>
        <v>0</v>
      </c>
      <c r="I121" s="2">
        <f>IFERROR(__xludf.DUMMYFUNCTION("""COMPUTED_VALUE"""),0)</f>
        <v>0</v>
      </c>
      <c r="J121" s="2">
        <f>IFERROR(__xludf.DUMMYFUNCTION("""COMPUTED_VALUE"""),0)</f>
        <v>0</v>
      </c>
      <c r="K121" s="2" t="str">
        <f>IFERROR(__xludf.DUMMYFUNCTION("""COMPUTED_VALUE"""),"CGPA")</f>
        <v>CGPA</v>
      </c>
      <c r="L121" s="2" t="str">
        <f>IFERROR(__xludf.DUMMYFUNCTION("""COMPUTED_VALUE"""),"Theory (Int Only)")</f>
        <v>Theory (Int Only)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IFERROR(__xludf.DUMMYFUNCTION("""COMPUTED_VALUE"""),122)</f>
        <v>122</v>
      </c>
      <c r="B122" s="2"/>
      <c r="C122" s="2" t="str">
        <f>IFERROR(__xludf.DUMMYFUNCTION("""COMPUTED_VALUE"""),"MC")</f>
        <v>MC</v>
      </c>
      <c r="D122" s="2" t="str">
        <f>IFERROR(__xludf.DUMMYFUNCTION("""COMPUTED_VALUE"""),"NA")</f>
        <v>NA</v>
      </c>
      <c r="E122" s="2" t="str">
        <f>IFERROR(__xludf.DUMMYFUNCTION("""COMPUTED_VALUE"""),"19MC803")</f>
        <v>19MC803</v>
      </c>
      <c r="F122" s="7" t="str">
        <f>IFERROR(__xludf.DUMMYFUNCTION("""COMPUTED_VALUE"""),"Constitution of India")</f>
        <v>Constitution of India</v>
      </c>
      <c r="G122" s="2" t="str">
        <f>IFERROR(__xludf.DUMMYFUNCTION("""COMPUTED_VALUE"""),"-")</f>
        <v>-</v>
      </c>
      <c r="H122" s="2">
        <f>IFERROR(__xludf.DUMMYFUNCTION("""COMPUTED_VALUE"""),0)</f>
        <v>0</v>
      </c>
      <c r="I122" s="2">
        <f>IFERROR(__xludf.DUMMYFUNCTION("""COMPUTED_VALUE"""),0)</f>
        <v>0</v>
      </c>
      <c r="J122" s="2">
        <f>IFERROR(__xludf.DUMMYFUNCTION("""COMPUTED_VALUE"""),0)</f>
        <v>0</v>
      </c>
      <c r="K122" s="2" t="str">
        <f>IFERROR(__xludf.DUMMYFUNCTION("""COMPUTED_VALUE"""),"CGPA")</f>
        <v>CGPA</v>
      </c>
      <c r="L122" s="2" t="str">
        <f>IFERROR(__xludf.DUMMYFUNCTION("""COMPUTED_VALUE"""),"Theory (Int Only)")</f>
        <v>Theory (Int Only)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IFERROR(__xludf.DUMMYFUNCTION("""COMPUTED_VALUE"""),123)</f>
        <v>123</v>
      </c>
      <c r="B123" s="26"/>
      <c r="C123" s="26" t="str">
        <f>IFERROR(__xludf.DUMMYFUNCTION("""COMPUTED_VALUE"""),"MC")</f>
        <v>MC</v>
      </c>
      <c r="D123" s="26" t="str">
        <f>IFERROR(__xludf.DUMMYFUNCTION("""COMPUTED_VALUE"""),"NA")</f>
        <v>NA</v>
      </c>
      <c r="E123" s="26" t="str">
        <f>IFERROR(__xludf.DUMMYFUNCTION("""COMPUTED_VALUE"""),"19MC804")</f>
        <v>19MC804</v>
      </c>
      <c r="F123" s="26" t="str">
        <f>IFERROR(__xludf.DUMMYFUNCTION("""COMPUTED_VALUE"""),"Internship/Entrepreneurship/Consultancy")</f>
        <v>Internship/Entrepreneurship/Consultancy</v>
      </c>
      <c r="G123" s="26" t="str">
        <f>IFERROR(__xludf.DUMMYFUNCTION("""COMPUTED_VALUE"""),"-")</f>
        <v>-</v>
      </c>
      <c r="H123" s="26">
        <f>IFERROR(__xludf.DUMMYFUNCTION("""COMPUTED_VALUE"""),0)</f>
        <v>0</v>
      </c>
      <c r="I123" s="26">
        <f>IFERROR(__xludf.DUMMYFUNCTION("""COMPUTED_VALUE"""),0)</f>
        <v>0</v>
      </c>
      <c r="J123" s="26">
        <f>IFERROR(__xludf.DUMMYFUNCTION("""COMPUTED_VALUE"""),2)</f>
        <v>2</v>
      </c>
      <c r="K123" s="26" t="str">
        <f>IFERROR(__xludf.DUMMYFUNCTION("""COMPUTED_VALUE"""),"NON-CGPA")</f>
        <v>NON-CGPA</v>
      </c>
      <c r="L123" s="26" t="str">
        <f>IFERROR(__xludf.DUMMYFUNCTION("""COMPUTED_VALUE"""),"Experiential Learning (Int Only)")</f>
        <v>Experiential Learning (Int Only)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IFERROR(__xludf.DUMMYFUNCTION("""COMPUTED_VALUE"""),124)</f>
        <v>124</v>
      </c>
      <c r="B124" s="26"/>
      <c r="C124" s="26" t="str">
        <f>IFERROR(__xludf.DUMMYFUNCTION("""COMPUTED_VALUE"""),"MC")</f>
        <v>MC</v>
      </c>
      <c r="D124" s="26" t="str">
        <f>IFERROR(__xludf.DUMMYFUNCTION("""COMPUTED_VALUE"""),"NA")</f>
        <v>NA</v>
      </c>
      <c r="E124" s="26" t="str">
        <f>IFERROR(__xludf.DUMMYFUNCTION("""COMPUTED_VALUE"""),"19MC805")</f>
        <v>19MC805</v>
      </c>
      <c r="F124" s="27" t="str">
        <f>IFERROR(__xludf.DUMMYFUNCTION("""COMPUTED_VALUE"""),"Inplant Training")</f>
        <v>Inplant Training</v>
      </c>
      <c r="G124" s="26" t="str">
        <f>IFERROR(__xludf.DUMMYFUNCTION("""COMPUTED_VALUE"""),"-")</f>
        <v>-</v>
      </c>
      <c r="H124" s="26">
        <f>IFERROR(__xludf.DUMMYFUNCTION("""COMPUTED_VALUE"""),0)</f>
        <v>0</v>
      </c>
      <c r="I124" s="26">
        <f>IFERROR(__xludf.DUMMYFUNCTION("""COMPUTED_VALUE"""),0)</f>
        <v>0</v>
      </c>
      <c r="J124" s="26">
        <f>IFERROR(__xludf.DUMMYFUNCTION("""COMPUTED_VALUE"""),1)</f>
        <v>1</v>
      </c>
      <c r="K124" s="26" t="str">
        <f>IFERROR(__xludf.DUMMYFUNCTION("""COMPUTED_VALUE"""),"Non - CGPA")</f>
        <v>Non - CGPA</v>
      </c>
      <c r="L124" s="26" t="str">
        <f>IFERROR(__xludf.DUMMYFUNCTION("""COMPUTED_VALUE"""),"Experiential Learning (Int Only)")</f>
        <v>Experiential Learning (Int Only)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IFERROR(__xludf.DUMMYFUNCTION("""COMPUTED_VALUE"""),125)</f>
        <v>125</v>
      </c>
      <c r="B125" s="26" t="str">
        <f>IFERROR(__xludf.DUMMYFUNCTION("""COMPUTED_VALUE"""),"Any 1")</f>
        <v>Any 1</v>
      </c>
      <c r="C125" s="26" t="str">
        <f>IFERROR(__xludf.DUMMYFUNCTION("""COMPUTED_VALUE"""),"MC")</f>
        <v>MC</v>
      </c>
      <c r="D125" s="26" t="str">
        <f>IFERROR(__xludf.DUMMYFUNCTION("""COMPUTED_VALUE"""),"SH6803")</f>
        <v>SH6803</v>
      </c>
      <c r="E125" s="26" t="str">
        <f>IFERROR(__xludf.DUMMYFUNCTION("""COMPUTED_VALUE"""),"19MC807")</f>
        <v>19MC807</v>
      </c>
      <c r="F125" s="26" t="str">
        <f>IFERROR(__xludf.DUMMYFUNCTION("""COMPUTED_VALUE"""),"National Service Scheme")</f>
        <v>National Service Scheme</v>
      </c>
      <c r="G125" s="26" t="str">
        <f>IFERROR(__xludf.DUMMYFUNCTION("""COMPUTED_VALUE"""),"-")</f>
        <v>-</v>
      </c>
      <c r="H125" s="26">
        <f>IFERROR(__xludf.DUMMYFUNCTION("""COMPUTED_VALUE"""),0)</f>
        <v>0</v>
      </c>
      <c r="I125" s="26">
        <f>IFERROR(__xludf.DUMMYFUNCTION("""COMPUTED_VALUE"""),0)</f>
        <v>0</v>
      </c>
      <c r="J125" s="26">
        <f>IFERROR(__xludf.DUMMYFUNCTION("""COMPUTED_VALUE"""),0)</f>
        <v>0</v>
      </c>
      <c r="K125" s="26" t="str">
        <f>IFERROR(__xludf.DUMMYFUNCTION("""COMPUTED_VALUE"""),"NON-CGPA")</f>
        <v>NON-CGPA</v>
      </c>
      <c r="L125" s="26" t="str">
        <f>IFERROR(__xludf.DUMMYFUNCTION("""COMPUTED_VALUE"""),"Experiential Learning (Int Only)")</f>
        <v>Experiential Learning (Int Only)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IFERROR(__xludf.DUMMYFUNCTION("""COMPUTED_VALUE"""),126)</f>
        <v>126</v>
      </c>
      <c r="B126" s="26" t="str">
        <f>IFERROR(__xludf.DUMMYFUNCTION("""COMPUTED_VALUE"""),"Any 1")</f>
        <v>Any 1</v>
      </c>
      <c r="C126" s="26" t="str">
        <f>IFERROR(__xludf.DUMMYFUNCTION("""COMPUTED_VALUE"""),"MC")</f>
        <v>MC</v>
      </c>
      <c r="D126" s="26" t="str">
        <f>IFERROR(__xludf.DUMMYFUNCTION("""COMPUTED_VALUE"""),"SH8807")</f>
        <v>SH8807</v>
      </c>
      <c r="E126" s="26" t="str">
        <f>IFERROR(__xludf.DUMMYFUNCTION("""COMPUTED_VALUE"""),"19MC808")</f>
        <v>19MC808</v>
      </c>
      <c r="F126" s="26" t="str">
        <f>IFERROR(__xludf.DUMMYFUNCTION("""COMPUTED_VALUE"""),"National Sports Organization ")</f>
        <v>National Sports Organization </v>
      </c>
      <c r="G126" s="26" t="str">
        <f>IFERROR(__xludf.DUMMYFUNCTION("""COMPUTED_VALUE"""),"-")</f>
        <v>-</v>
      </c>
      <c r="H126" s="26">
        <f>IFERROR(__xludf.DUMMYFUNCTION("""COMPUTED_VALUE"""),0)</f>
        <v>0</v>
      </c>
      <c r="I126" s="26">
        <f>IFERROR(__xludf.DUMMYFUNCTION("""COMPUTED_VALUE"""),0)</f>
        <v>0</v>
      </c>
      <c r="J126" s="26">
        <f>IFERROR(__xludf.DUMMYFUNCTION("""COMPUTED_VALUE"""),0)</f>
        <v>0</v>
      </c>
      <c r="K126" s="26" t="str">
        <f>IFERROR(__xludf.DUMMYFUNCTION("""COMPUTED_VALUE"""),"NON-CGPA")</f>
        <v>NON-CGPA</v>
      </c>
      <c r="L126" s="26" t="str">
        <f>IFERROR(__xludf.DUMMYFUNCTION("""COMPUTED_VALUE"""),"Experiential Learning (Int Only)")</f>
        <v>Experiential Learning (Int Only)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IFERROR(__xludf.DUMMYFUNCTION("""COMPUTED_VALUE"""),127)</f>
        <v>127</v>
      </c>
      <c r="B127" s="26" t="str">
        <f>IFERROR(__xludf.DUMMYFUNCTION("""COMPUTED_VALUE"""),"Any 1")</f>
        <v>Any 1</v>
      </c>
      <c r="C127" s="26" t="str">
        <f>IFERROR(__xludf.DUMMYFUNCTION("""COMPUTED_VALUE"""),"MC")</f>
        <v>MC</v>
      </c>
      <c r="D127" s="26" t="str">
        <f>IFERROR(__xludf.DUMMYFUNCTION("""COMPUTED_VALUE"""),"SH8808")</f>
        <v>SH8808</v>
      </c>
      <c r="E127" s="26" t="str">
        <f>IFERROR(__xludf.DUMMYFUNCTION("""COMPUTED_VALUE"""),"19MC809")</f>
        <v>19MC809</v>
      </c>
      <c r="F127" s="26" t="str">
        <f>IFERROR(__xludf.DUMMYFUNCTION("""COMPUTED_VALUE"""),"Youth Red Cross")</f>
        <v>Youth Red Cross</v>
      </c>
      <c r="G127" s="26" t="str">
        <f>IFERROR(__xludf.DUMMYFUNCTION("""COMPUTED_VALUE"""),"-")</f>
        <v>-</v>
      </c>
      <c r="H127" s="26">
        <f>IFERROR(__xludf.DUMMYFUNCTION("""COMPUTED_VALUE"""),0)</f>
        <v>0</v>
      </c>
      <c r="I127" s="26">
        <f>IFERROR(__xludf.DUMMYFUNCTION("""COMPUTED_VALUE"""),0)</f>
        <v>0</v>
      </c>
      <c r="J127" s="26">
        <f>IFERROR(__xludf.DUMMYFUNCTION("""COMPUTED_VALUE"""),0)</f>
        <v>0</v>
      </c>
      <c r="K127" s="26" t="str">
        <f>IFERROR(__xludf.DUMMYFUNCTION("""COMPUTED_VALUE"""),"NON-CGPA")</f>
        <v>NON-CGPA</v>
      </c>
      <c r="L127" s="26" t="str">
        <f>IFERROR(__xludf.DUMMYFUNCTION("""COMPUTED_VALUE"""),"Experiential Learning (Int Only)")</f>
        <v>Experiential Learning (Int Only)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IFERROR(__xludf.DUMMYFUNCTION("""COMPUTED_VALUE"""),128)</f>
        <v>128</v>
      </c>
      <c r="B128" s="26"/>
      <c r="C128" s="26" t="str">
        <f>IFERROR(__xludf.DUMMYFUNCTION("""COMPUTED_VALUE"""),"OE")</f>
        <v>OE</v>
      </c>
      <c r="D128" s="26" t="str">
        <f>IFERROR(__xludf.DUMMYFUNCTION("""COMPUTED_VALUE"""),"XXXXXX")</f>
        <v>XXXXXX</v>
      </c>
      <c r="E128" s="26" t="str">
        <f>IFERROR(__xludf.DUMMYFUNCTION("""COMPUTED_VALUE"""),"19XXXXX")</f>
        <v>19XXXXX</v>
      </c>
      <c r="F128" s="26" t="str">
        <f>IFERROR(__xludf.DUMMYFUNCTION("""COMPUTED_VALUE"""),"Online Courses")</f>
        <v>Online Courses</v>
      </c>
      <c r="G128" s="26" t="str">
        <f>IFERROR(__xludf.DUMMYFUNCTION("""COMPUTED_VALUE"""),"-")</f>
        <v>-</v>
      </c>
      <c r="H128" s="26">
        <f>IFERROR(__xludf.DUMMYFUNCTION("""COMPUTED_VALUE"""),0)</f>
        <v>0</v>
      </c>
      <c r="I128" s="26">
        <f>IFERROR(__xludf.DUMMYFUNCTION("""COMPUTED_VALUE"""),0)</f>
        <v>0</v>
      </c>
      <c r="J128" s="26">
        <f>IFERROR(__xludf.DUMMYFUNCTION("""COMPUTED_VALUE"""),0)</f>
        <v>0</v>
      </c>
      <c r="K128" s="26" t="str">
        <f>IFERROR(__xludf.DUMMYFUNCTION("""COMPUTED_VALUE"""),"CGPA")</f>
        <v>CGPA</v>
      </c>
      <c r="L128" s="26" t="str">
        <f>IFERROR(__xludf.DUMMYFUNCTION("""COMPUTED_VALUE"""),"Experiential Learning")</f>
        <v>Experiential Learning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IFERROR(__xludf.DUMMYFUNCTION("""COMPUTED_VALUE"""),129)</f>
        <v>129</v>
      </c>
      <c r="B129" s="26"/>
      <c r="C129" s="26" t="str">
        <f>IFERROR(__xludf.DUMMYFUNCTION("""COMPUTED_VALUE"""),"OE")</f>
        <v>OE</v>
      </c>
      <c r="D129" s="26" t="str">
        <f>IFERROR(__xludf.DUMMYFUNCTION("""COMPUTED_VALUE"""),"XXXXXX")</f>
        <v>XXXXXX</v>
      </c>
      <c r="E129" s="26" t="str">
        <f>IFERROR(__xludf.DUMMYFUNCTION("""COMPUTED_VALUE"""),"19XXXXX")</f>
        <v>19XXXXX</v>
      </c>
      <c r="F129" s="26" t="str">
        <f>IFERROR(__xludf.DUMMYFUNCTION("""COMPUTED_VALUE"""),"Open Electives")</f>
        <v>Open Electives</v>
      </c>
      <c r="G129" s="26" t="str">
        <f>IFERROR(__xludf.DUMMYFUNCTION("""COMPUTED_VALUE"""),"-")</f>
        <v>-</v>
      </c>
      <c r="H129" s="26">
        <f>IFERROR(__xludf.DUMMYFUNCTION("""COMPUTED_VALUE"""),0)</f>
        <v>0</v>
      </c>
      <c r="I129" s="26">
        <f>IFERROR(__xludf.DUMMYFUNCTION("""COMPUTED_VALUE"""),0)</f>
        <v>0</v>
      </c>
      <c r="J129" s="26">
        <f>IFERROR(__xludf.DUMMYFUNCTION("""COMPUTED_VALUE"""),0)</f>
        <v>0</v>
      </c>
      <c r="K129" s="26" t="str">
        <f>IFERROR(__xludf.DUMMYFUNCTION("""COMPUTED_VALUE"""),"CGPA")</f>
        <v>CGPA</v>
      </c>
      <c r="L129" s="26" t="str">
        <f>IFERROR(__xludf.DUMMYFUNCTION("""COMPUTED_VALUE"""),"Theory")</f>
        <v>Theory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IFERROR(__xludf.DUMMYFUNCTION("""COMPUTED_VALUE"""),130)</f>
        <v>130</v>
      </c>
      <c r="B130" s="26"/>
      <c r="C130" s="26" t="str">
        <f>IFERROR(__xludf.DUMMYFUNCTION("""COMPUTED_VALUE"""),"ES")</f>
        <v>ES</v>
      </c>
      <c r="D130" s="26" t="str">
        <f>IFERROR(__xludf.DUMMYFUNCTION("""COMPUTED_VALUE"""),"NA")</f>
        <v>NA</v>
      </c>
      <c r="E130" s="26" t="str">
        <f>IFERROR(__xludf.DUMMYFUNCTION("""COMPUTED_VALUE"""),"19CS303")</f>
        <v>19CS303</v>
      </c>
      <c r="F130" s="27" t="str">
        <f>IFERROR(__xludf.DUMMYFUNCTION("""COMPUTED_VALUE"""),"Fundamentals of Data Structures using Python")</f>
        <v>Fundamentals of Data Structures using Python</v>
      </c>
      <c r="G130" s="26" t="str">
        <f>IFERROR(__xludf.DUMMYFUNCTION("""COMPUTED_VALUE"""),"-")</f>
        <v>-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IFERROR(__xludf.DUMMYFUNCTION("""COMPUTED_VALUE"""),131)</f>
        <v>131</v>
      </c>
      <c r="B131" s="26"/>
      <c r="C131" s="26" t="str">
        <f>IFERROR(__xludf.DUMMYFUNCTION("""COMPUTED_VALUE"""),"ES")</f>
        <v>ES</v>
      </c>
      <c r="D131" s="26" t="str">
        <f>IFERROR(__xludf.DUMMYFUNCTION("""COMPUTED_VALUE"""),"NA")</f>
        <v>NA</v>
      </c>
      <c r="E131" s="27" t="str">
        <f>IFERROR(__xludf.DUMMYFUNCTION("""COMPUTED_VALUE"""),"19EE304")</f>
        <v>19EE304</v>
      </c>
      <c r="F131" s="26" t="str">
        <f>IFERROR(__xludf.DUMMYFUNCTION("""COMPUTED_VALUE"""),"Basic Electrical and Instrumentation Engineering")</f>
        <v>Basic Electrical and Instrumentation Engineering</v>
      </c>
      <c r="G131" s="26" t="str">
        <f>IFERROR(__xludf.DUMMYFUNCTION("""COMPUTED_VALUE"""),"-")</f>
        <v>-</v>
      </c>
      <c r="H131" s="26">
        <f>IFERROR(__xludf.DUMMYFUNCTION("""COMPUTED_VALUE"""),3)</f>
        <v>3</v>
      </c>
      <c r="I131" s="26">
        <f>IFERROR(__xludf.DUMMYFUNCTION("""COMPUTED_VALUE"""),0)</f>
        <v>0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IFERROR(__xludf.DUMMYFUNCTION("""COMPUTED_VALUE"""),"Theory")</f>
        <v>Theory</v>
      </c>
      <c r="M131" s="26"/>
      <c r="N131" s="26"/>
      <c r="O131" s="26"/>
      <c r="P131" s="26"/>
      <c r="Q131" s="26"/>
      <c r="R131" s="26"/>
    </row>
    <row r="132" ht="13.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ht="13.2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ht="13.2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ht="13.2" spans="1:1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</row>
    <row r="136" ht="13.2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ht="13.2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ht="13.2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ht="13.2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ht="13.2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ht="13.2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ve English&quot;)"/>
    <hyperlink ref="F4" r:id="rId3" display="=IFERROR(@__xludf.DUMMYFUNCTION(&quot;&quot;&quot;COMPUTED_VALUE&quot;&quot;&quot;),&quot;English for Engineers&quot;)"/>
    <hyperlink ref="F5" r:id="rId4" display="=IFERROR(@__xludf.DUMMYFUNCTION(&quot;&quot;&quot;COMPUTED_VALUE&quot;&quot;&quot;),&quot;Technical English&quot;)"/>
    <hyperlink ref="F6" r:id="rId5" display="=IFERROR(@__xludf.DUMMYFUNCTION(&quot;&quot;&quot;COMPUTED_VALUE&quot;&quot;&quot;),&quot;Technical Writing and Presentation&quot;)"/>
    <hyperlink ref="F7" r:id="rId6" display="=IFERROR(@__xludf.DUMMYFUNCTION(&quot;&quot;&quot;COMPUTED_VALUE&quot;&quot;&quot;),&quot;Public Speaking&quot;)"/>
    <hyperlink ref="F8" r:id="rId7" display="=IFERROR(@__xludf.DUMMYFUNCTION(&quot;&quot;&quot;COMPUTED_VALUE&quot;&quot;&quot;),&quot;Principles of Management&quot;)"/>
    <hyperlink ref="F9" r:id="rId8" display="=IFERROR(@__xludf.DUMMYFUNCTION(&quot;&quot;&quot;COMPUTED_VALUE&quot;&quot;&quot;),&quot;Total Quality Management&quot;)"/>
    <hyperlink ref="F10" r:id="rId9" display="=IFERROR(@__xludf.DUMMYFUNCTION(&quot;&quot;&quot;COMPUTED_VALUE&quot;&quot;&quot;),&quot;தமிழர் மரபு/ Heritage of Tamils&quot;)"/>
    <hyperlink ref="F11" r:id="rId10" display="=IFERROR(@__xludf.DUMMYFUNCTION(&quot;&quot;&quot;COMPUTED_VALUE&quot;&quot;&quot;),&quot;தமிழரும் தொழில்நுட்பமும்/ Tamils and Technology&quot;)"/>
    <hyperlink ref="F12" r:id="rId11" display="=IFERROR(@__xludf.DUMMYFUNCTION(&quot;&quot;&quot;COMPUTED_VALUE&quot;&quot;&quot;),&quot;Calculus and Laplace Transforms&quot;)"/>
    <hyperlink ref="F13" r:id="rId12" display="=IFERROR(@__xludf.DUMMYFUNCTION(&quot;&quot;&quot;COMPUTED_VALUE&quot;&quot;&quot;),&quot;Calculus and Matrix Algebra&quot;)"/>
    <hyperlink ref="F14" r:id="rId13" display="=IFERROR(@__xludf.DUMMYFUNCTION(&quot;&quot;&quot;COMPUTED_VALUE&quot;&quot;&quot;),&quot;Complex Variables and Ordinary Differential Equations&quot;)"/>
    <hyperlink ref="F15" r:id="rId14" display="=IFERROR(@__xludf.DUMMYFUNCTION(&quot;&quot;&quot;COMPUTED_VALUE&quot;&quot;&quot;),&quot;Transforms and Partial Differential Equations&quot;)"/>
    <hyperlink ref="F16" r:id="rId15" display="=IFERROR(@__xludf.DUMMYFUNCTION(&quot;&quot;&quot;COMPUTED_VALUE&quot;&quot;&quot;),&quot;Random Processes and Statistics&quot;)"/>
    <hyperlink ref="F17" r:id="rId16" display="=IFERROR(@__xludf.DUMMYFUNCTION(&quot;&quot;&quot;COMPUTED_VALUE&quot;&quot;&quot;),&quot;Linear Algebra and Probability&quot;)"/>
    <hyperlink ref="F18" r:id="rId17" display="=IFERROR(@__xludf.DUMMYFUNCTION(&quot;&quot;&quot;COMPUTED_VALUE&quot;&quot;&quot;),&quot;Statistics and Numerical Methods&quot;)"/>
    <hyperlink ref="F19" r:id="rId18" display="=IFERROR(@__xludf.DUMMYFUNCTION(&quot;&quot;&quot;COMPUTED_VALUE&quot;&quot;&quot;),&quot;Fundamentals of Engineering Physics&quot;)"/>
    <hyperlink ref="F20" r:id="rId19" display="=IFERROR(@__xludf.DUMMYFUNCTION(&quot;&quot;&quot;COMPUTED_VALUE&quot;&quot;&quot;),&quot;Medical Physics&quot;)"/>
    <hyperlink ref="F21" r:id="rId20" display="=IFERROR(@__xludf.DUMMYFUNCTION(&quot;&quot;&quot;COMPUTED_VALUE&quot;&quot;&quot;),&quot;Chemistry for Biomedical Engineering&quot;)"/>
    <hyperlink ref="F22" r:id="rId21" display="=IFERROR(@__xludf.DUMMYFUNCTION(&quot;&quot;&quot;COMPUTED_VALUE&quot;&quot;&quot;),&quot;Problem Solving and Python Programming&quot;)"/>
    <hyperlink ref="F23" r:id="rId22" display="=IFERROR(@__xludf.DUMMYFUNCTION(&quot;&quot;&quot;COMPUTED_VALUE&quot;&quot;&quot;),&quot;Basic Electrical Engineering&quot;)"/>
    <hyperlink ref="F24" r:id="rId23" display="=IFERROR(@__xludf.DUMMYFUNCTION(&quot;&quot;&quot;COMPUTED_VALUE&quot;&quot;&quot;),&quot;Devices and Circuits&quot;)"/>
    <hyperlink ref="F25" r:id="rId24" display="=IFERROR(@__xludf.DUMMYFUNCTION(&quot;&quot;&quot;COMPUTED_VALUE&quot;&quot;&quot;),&quot;Electronic Circuits and Special Devices&quot;)"/>
    <hyperlink ref="F26" r:id="rId25" display="=IFERROR(@__xludf.DUMMYFUNCTION(&quot;&quot;&quot;COMPUTED_VALUE&quot;&quot;&quot;),&quot;Electric Circuit Analysis&quot;)"/>
    <hyperlink ref="F27" r:id="rId26" display="=IFERROR(@__xludf.DUMMYFUNCTION(&quot;&quot;&quot;COMPUTED_VALUE&quot;&quot;&quot;),&quot;Electric Circuits and Networks&quot;)"/>
    <hyperlink ref="F28" r:id="rId27" display="=IFERROR(@__xludf.DUMMYFUNCTION(&quot;&quot;&quot;COMPUTED_VALUE&quot;&quot;&quot;),&quot;Digital Principles and System Design&quot;)"/>
    <hyperlink ref="F29" r:id="rId28" display="=IFERROR(@__xludf.DUMMYFUNCTION(&quot;&quot;&quot;COMPUTED_VALUE&quot;&quot;&quot;),&quot;Analog and Digital Communication&quot;)"/>
    <hyperlink ref="F30" r:id="rId29" display="=IFERROR(@__xludf.DUMMYFUNCTION(&quot;&quot;&quot;COMPUTED_VALUE&quot;&quot;&quot;),&quot;Engineering Drawing&quot;)"/>
    <hyperlink ref="F31" r:id="rId30" display="=IFERROR(@__xludf.DUMMYFUNCTION(&quot;&quot;&quot;COMPUTED_VALUE&quot;&quot;&quot;),&quot;Biochemistry&quot;)"/>
    <hyperlink ref="F32" r:id="rId31" display="=IFERROR(@__xludf.DUMMYFUNCTION(&quot;&quot;&quot;COMPUTED_VALUE&quot;&quot;&quot;),&quot;Biosensors and Transducers&quot;)"/>
    <hyperlink ref="F33" r:id="rId32" display="=IFERROR(@__xludf.DUMMYFUNCTION(&quot;&quot;&quot;COMPUTED_VALUE&quot;&quot;&quot;),&quot;Signals and Systems&quot;)"/>
    <hyperlink ref="F34" r:id="rId33" display="=IFERROR(@__xludf.DUMMYFUNCTION(&quot;&quot;&quot;COMPUTED_VALUE&quot;&quot;&quot;),&quot;Anatomy and Human Physiology&quot;)"/>
    <hyperlink ref="F35" r:id="rId34" display="=IFERROR(@__xludf.DUMMYFUNCTION(&quot;&quot;&quot;COMPUTED_VALUE&quot;&quot;&quot;),&quot;Linear Integrated Circuits&quot;)"/>
    <hyperlink ref="F36" r:id="rId35" display="=IFERROR(@__xludf.DUMMYFUNCTION(&quot;&quot;&quot;COMPUTED_VALUE&quot;&quot;&quot;),&quot;Analysis and Design of Analog ICs&quot;)"/>
    <hyperlink ref="F37" r:id="rId36" display="=IFERROR(@__xludf.DUMMYFUNCTION(&quot;&quot;&quot;COMPUTED_VALUE&quot;&quot;&quot;),&quot;Pathology and Microbiology&quot;)"/>
    <hyperlink ref="F38" r:id="rId37" display="=IFERROR(@__xludf.DUMMYFUNCTION(&quot;&quot;&quot;COMPUTED_VALUE&quot;&quot;&quot;),&quot;Biomedical and Virtual Instrumentation&quot;)"/>
    <hyperlink ref="F39" r:id="rId38" display="=IFERROR(@__xludf.DUMMYFUNCTION(&quot;&quot;&quot;COMPUTED_VALUE&quot;&quot;&quot;),&quot;Microprocessor and Microcontroller&quot;)"/>
    <hyperlink ref="F40" r:id="rId39" display="=IFERROR(@__xludf.DUMMYFUNCTION(&quot;&quot;&quot;COMPUTED_VALUE&quot;&quot;&quot;),&quot;Bio Control Systems&quot;)"/>
    <hyperlink ref="F41" r:id="rId40" display="=IFERROR(@__xludf.DUMMYFUNCTION(&quot;&quot;&quot;COMPUTED_VALUE&quot;&quot;&quot;),&quot;Biomechanics&quot;)"/>
    <hyperlink ref="F42" r:id="rId41" display="=IFERROR(@__xludf.DUMMYFUNCTION(&quot;&quot;&quot;COMPUTED_VALUE&quot;&quot;&quot;),&quot;Diagnostic and Interventional Equipment&quot;)"/>
    <hyperlink ref="F43" r:id="rId42" display="=IFERROR(@__xludf.DUMMYFUNCTION(&quot;&quot;&quot;COMPUTED_VALUE&quot;&quot;&quot;),&quot;Biomedical Signal Processing&quot;)"/>
    <hyperlink ref="F44" r:id="rId43" display="=IFERROR(@__xludf.DUMMYFUNCTION(&quot;&quot;&quot;COMPUTED_VALUE&quot;&quot;&quot;),&quot;Medical Image Processing&quot;)"/>
    <hyperlink ref="F45" r:id="rId44" display="=IFERROR(@__xludf.DUMMYFUNCTION(&quot;&quot;&quot;COMPUTED_VALUE&quot;&quot;&quot;),&quot;Pattern Recognition and Neural Networks&quot;)"/>
    <hyperlink ref="F46" r:id="rId45" display="=IFERROR(@__xludf.DUMMYFUNCTION(&quot;&quot;&quot;COMPUTED_VALUE&quot;&quot;&quot;),&quot;Bio Materials and Artificial Organs&quot;)"/>
    <hyperlink ref="F47" r:id="rId46" display="=IFERROR(@__xludf.DUMMYFUNCTION(&quot;&quot;&quot;COMPUTED_VALUE&quot;&quot;&quot;),&quot;Medical Imaging Systems&quot;)"/>
    <hyperlink ref="F48" r:id="rId47" display="=IFERROR(@__xludf.DUMMYFUNCTION(&quot;&quot;&quot;COMPUTED_VALUE&quot;&quot;&quot;),&quot;Medical Assist Devices&quot;)"/>
    <hyperlink ref="F49" r:id="rId48" display="=IFERROR(@__xludf.DUMMYFUNCTION(&quot;&quot;&quot;COMPUTED_VALUE&quot;&quot;&quot;),&quot;Introduction to MEMS and NEMS&quot;)"/>
    <hyperlink ref="F50" r:id="rId49" display="=IFERROR(@__xludf.DUMMYFUNCTION(&quot;&quot;&quot;COMPUTED_VALUE&quot;&quot;&quot;),&quot;Embedded Systems&quot;)"/>
    <hyperlink ref="F51" r:id="rId50" display="=IFERROR(@__xludf.DUMMYFUNCTION(&quot;&quot;&quot;COMPUTED_VALUE&quot;&quot;&quot;),&quot;Embedded Systems and IoT&quot;)"/>
    <hyperlink ref="F52" r:id="rId51" display="=IFERROR(@__xludf.DUMMYFUNCTION(&quot;&quot;&quot;COMPUTED_VALUE&quot;&quot;&quot;),&quot;Physiological Modeling&quot;)"/>
    <hyperlink ref="F53" r:id="rId52" display="=IFERROR(@__xludf.DUMMYFUNCTION(&quot;&quot;&quot;COMPUTED_VALUE&quot;&quot;&quot;),&quot;Virtual Reality: Biomedical Centric Approach&quot;)"/>
    <hyperlink ref="F54" r:id="rId53" display="=IFERROR(@__xludf.DUMMYFUNCTION(&quot;&quot;&quot;COMPUTED_VALUE&quot;&quot;&quot;),&quot;Virtual Reality and Augmented Reality in Health care&quot;)"/>
    <hyperlink ref="F55" r:id="rId54" display="=IFERROR(@__xludf.DUMMYFUNCTION(&quot;&quot;&quot;COMPUTED_VALUE&quot;&quot;&quot;),&quot;Robotics in Medicine&quot;)"/>
    <hyperlink ref="F56" r:id="rId55" display="=IFERROR(@__xludf.DUMMYFUNCTION(&quot;&quot;&quot;COMPUTED_VALUE&quot;&quot;&quot;),&quot;Rehabilitation Engineering&quot;)"/>
    <hyperlink ref="F57" r:id="rId56" display="=IFERROR(@__xludf.DUMMYFUNCTION(&quot;&quot;&quot;COMPUTED_VALUE&quot;&quot;&quot;),&quot;Biofluids and Dynamics&quot;)"/>
    <hyperlink ref="F58" r:id="rId57" display="=IFERROR(@__xludf.DUMMYFUNCTION(&quot;&quot;&quot;COMPUTED_VALUE&quot;&quot;&quot;),&quot;Medical Nanotechnology&quot;)"/>
    <hyperlink ref="F59" r:id="rId58" display="=IFERROR(@__xludf.DUMMYFUNCTION(&quot;&quot;&quot;COMPUTED_VALUE&quot;&quot;&quot;),&quot;Ergonomics&quot;)"/>
    <hyperlink ref="F60" r:id="rId59" display="=IFERROR(@__xludf.DUMMYFUNCTION(&quot;&quot;&quot;COMPUTED_VALUE&quot;&quot;&quot;),&quot;Tissue Engineering&quot;)"/>
    <hyperlink ref="F61" r:id="rId60" display="=IFERROR(@__xludf.DUMMYFUNCTION(&quot;&quot;&quot;COMPUTED_VALUE&quot;&quot;&quot;),&quot;Lab on Chip&quot;)"/>
    <hyperlink ref="F62" r:id="rId61" display="=IFERROR(@__xludf.DUMMYFUNCTION(&quot;&quot;&quot;COMPUTED_VALUE&quot;&quot;&quot;),&quot;Fiber Optics and Lasers in Medicine&quot;)"/>
    <hyperlink ref="F63" r:id="rId62" display="=IFERROR(@__xludf.DUMMYFUNCTION(&quot;&quot;&quot;COMPUTED_VALUE&quot;&quot;&quot;),&quot;Biomaterial Characterization&quot;)"/>
    <hyperlink ref="F64" r:id="rId63" display="=IFERROR(@__xludf.DUMMYFUNCTION(&quot;&quot;&quot;COMPUTED_VALUE&quot;&quot;&quot;),&quot;Hospital Management&quot;)"/>
    <hyperlink ref="F65" r:id="rId64" display="=IFERROR(@__xludf.DUMMYFUNCTION(&quot;&quot;&quot;COMPUTED_VALUE&quot;&quot;&quot;),&quot;Hospital Planning and Management&quot;)"/>
    <hyperlink ref="F66" r:id="rId65" display="=IFERROR(@__xludf.DUMMYFUNCTION(&quot;&quot;&quot;COMPUTED_VALUE&quot;&quot;&quot;),&quot;Biometric Systems&quot;)"/>
    <hyperlink ref="F67" r:id="rId66" display="=IFERROR(@__xludf.DUMMYFUNCTION(&quot;&quot;&quot;COMPUTED_VALUE&quot;&quot;&quot;),&quot;Principles of Telemedicine&quot;)"/>
    <hyperlink ref="F68" r:id="rId67" display="=IFERROR(@__xludf.DUMMYFUNCTION(&quot;&quot;&quot;COMPUTED_VALUE&quot;&quot;&quot;),&quot;Speech Processing&quot;)"/>
    <hyperlink ref="F69" r:id="rId68" display="=IFERROR(@__xludf.DUMMYFUNCTION(&quot;&quot;&quot;COMPUTED_VALUE&quot;&quot;&quot;),&quot;Fundamentals of Computer Communication&quot;)"/>
    <hyperlink ref="F70" r:id="rId69" display="=IFERROR(@__xludf.DUMMYFUNCTION(&quot;&quot;&quot;COMPUTED_VALUE&quot;&quot;&quot;),&quot;Brain Computer Interface and its Applications&quot;)"/>
    <hyperlink ref="F71" r:id="rId70" display="=IFERROR(@__xludf.DUMMYFUNCTION(&quot;&quot;&quot;COMPUTED_VALUE&quot;&quot;&quot;),&quot;Medical Wearable Systems&quot;)"/>
    <hyperlink ref="F72" r:id="rId71" display="=IFERROR(@__xludf.DUMMYFUNCTION(&quot;&quot;&quot;COMPUTED_VALUE&quot;&quot;&quot;),&quot;Bioinformatics&quot;)"/>
    <hyperlink ref="F73" r:id="rId72" display="=IFERROR(@__xludf.DUMMYFUNCTION(&quot;&quot;&quot;COMPUTED_VALUE&quot;&quot;&quot;),&quot;Medical Informatics&quot;)"/>
    <hyperlink ref="F74" r:id="rId73" display="=IFERROR(@__xludf.DUMMYFUNCTION(&quot;&quot;&quot;COMPUTED_VALUE&quot;&quot;&quot;),&quot;Neural Engineering&quot;)"/>
    <hyperlink ref="F75" r:id="rId74" display="=IFERROR(@__xludf.DUMMYFUNCTION(&quot;&quot;&quot;COMPUTED_VALUE&quot;&quot;&quot;),&quot;Machine Learning&quot;)"/>
    <hyperlink ref="F76" r:id="rId75" display="=IFERROR(@__xludf.DUMMYFUNCTION(&quot;&quot;&quot;COMPUTED_VALUE&quot;&quot;&quot;),&quot;Mobile Computing&quot;)"/>
    <hyperlink ref="F77" r:id="rId76" display="=IFERROR(@__xludf.DUMMYFUNCTION(&quot;&quot;&quot;COMPUTED_VALUE&quot;&quot;&quot;),&quot;Data Science&quot;)"/>
    <hyperlink ref="F78" r:id="rId77" display="=IFERROR(@__xludf.DUMMYFUNCTION(&quot;&quot;&quot;COMPUTED_VALUE&quot;&quot;&quot;),&quot;Big Data Analytics&quot;)"/>
    <hyperlink ref="F79" r:id="rId78" display="=IFERROR(@__xludf.DUMMYFUNCTION(&quot;&quot;&quot;COMPUTED_VALUE&quot;&quot;&quot;),&quot;Deep Learning&quot;)"/>
    <hyperlink ref="F81" r:id="rId79" display="=IFERROR(@__xludf.DUMMYFUNCTION(&quot;&quot;&quot;COMPUTED_VALUE&quot;&quot;&quot;),&quot;Block Chain Architecture and its Use Cases&quot;)"/>
    <hyperlink ref="F82" r:id="rId80" display="=IFERROR(@__xludf.DUMMYFUNCTION(&quot;&quot;&quot;COMPUTED_VALUE&quot;&quot;&quot;),&quot;Robotics and its Applications&quot;)"/>
    <hyperlink ref="F83" r:id="rId81" display="=IFERROR(@__xludf.DUMMYFUNCTION(&quot;&quot;&quot;COMPUTED_VALUE&quot;&quot;&quot;),&quot;Quantum Computing&quot;)"/>
    <hyperlink ref="F84" r:id="rId82" display="=IFERROR(@__xludf.DUMMYFUNCTION(&quot;&quot;&quot;COMPUTED_VALUE&quot;&quot;&quot;),&quot;Cyber Security&quot;)"/>
    <hyperlink ref="F85" r:id="rId83" display="=IFERROR(@__xludf.DUMMYFUNCTION(&quot;&quot;&quot;COMPUTED_VALUE&quot;&quot;&quot;),&quot;Artificial intelligence: A modern Approach&quot;)"/>
    <hyperlink ref="F86" r:id="rId84" display="=IFERROR(@__xludf.DUMMYFUNCTION(&quot;&quot;&quot;COMPUTED_VALUE&quot;&quot;&quot;),&quot;Fundamentals of C Programming&quot;)"/>
    <hyperlink ref="F87" r:id="rId85" display="=IFERROR(@__xludf.DUMMYFUNCTION(&quot;&quot;&quot;COMPUTED_VALUE&quot;&quot;&quot;),&quot;Advanced C Programming&quot;)"/>
    <hyperlink ref="F88" r:id="rId86" display="=IFERROR(@__xludf.DUMMYFUNCTION(&quot;&quot;&quot;COMPUTED_VALUE&quot;&quot;&quot;),&quot;Object Oriented Programming using Java&quot;)"/>
    <hyperlink ref="F89" r:id="rId87" display="=IFERROR(@__xludf.DUMMYFUNCTION(&quot;&quot;&quot;COMPUTED_VALUE&quot;&quot;&quot;),&quot;Analysis of Algorithms&quot;)"/>
    <hyperlink ref="F91" r:id="rId88" display="=IFERROR(@__xludf.DUMMYFUNCTION(&quot;&quot;&quot;COMPUTED_VALUE&quot;&quot;&quot;),&quot;Graph Theory and Applications&quot;)"/>
    <hyperlink ref="F92" r:id="rId89" display="=IFERROR(@__xludf.DUMMYFUNCTION(&quot;&quot;&quot;COMPUTED_VALUE&quot;&quot;&quot;),&quot;Foundation Skills in Integrated Product Development&quot;)"/>
    <hyperlink ref="F93" r:id="rId90" display="=IFERROR(@__xludf.DUMMYFUNCTION(&quot;&quot;&quot;COMPUTED_VALUE&quot;&quot;&quot;),&quot;Medical Device Design&quot;)"/>
    <hyperlink ref="F94" r:id="rId91" display="=IFERROR(@__xludf.DUMMYFUNCTION(&quot;&quot;&quot;COMPUTED_VALUE&quot;&quot;&quot;),&quot;Medical Device Regulations&quot;)"/>
    <hyperlink ref="F95" r:id="rId92" display="=IFERROR(@__xludf.DUMMYFUNCTION(&quot;&quot;&quot;COMPUTED_VALUE&quot;&quot;&quot;),&quot;Patient Safety, Standards and Ethics&quot;)"/>
    <hyperlink ref="F96" r:id="rId93" display="=IFERROR(@__xludf.DUMMYFUNCTION(&quot;&quot;&quot;COMPUTED_VALUE&quot;&quot;&quot;),&quot;Medical Innovation and Entrepreneurship&quot;)"/>
    <hyperlink ref="F97" r:id="rId94" display="=IFERROR(@__xludf.DUMMYFUNCTION(&quot;&quot;&quot;COMPUTED_VALUE&quot;&quot;&quot;),&quot;Rapid Prototyping&quot;)"/>
    <hyperlink ref="F98" r:id="rId95" display="=IFERROR(@__xludf.DUMMYFUNCTION(&quot;&quot;&quot;COMPUTED_VALUE&quot;&quot;&quot;),&quot;Clinical Engineering&quot;)"/>
    <hyperlink ref="F99" r:id="rId64" display="=IFERROR(@__xludf.DUMMYFUNCTION(&quot;&quot;&quot;COMPUTED_VALUE&quot;&quot;&quot;),&quot;Hospital Planning and Management&quot;)"/>
    <hyperlink ref="F100" r:id="rId96" display="=IFERROR(@__xludf.DUMMYFUNCTION(&quot;&quot;&quot;COMPUTED_VALUE&quot;&quot;&quot;),&quot;Medical Waste Management&quot;)"/>
    <hyperlink ref="F101" r:id="rId97" display="=IFERROR(@__xludf.DUMMYFUNCTION(&quot;&quot;&quot;COMPUTED_VALUE&quot;&quot;&quot;),&quot;Economics and Management for Engineers&quot;)"/>
    <hyperlink ref="F102" r:id="rId98" display="=IFERROR(@__xludf.DUMMYFUNCTION(&quot;&quot;&quot;COMPUTED_VALUE&quot;&quot;&quot;),&quot;Biostatistics&quot;)"/>
    <hyperlink ref="F103" r:id="rId99" display="=IFERROR(@__xludf.DUMMYFUNCTION(&quot;&quot;&quot;COMPUTED_VALUE&quot;&quot;&quot;),&quot;Forensic Science in Healthcare&quot;)"/>
    <hyperlink ref="F104" r:id="rId100" display="=IFERROR(@__xludf.DUMMYFUNCTION(&quot;&quot;&quot;COMPUTED_VALUE&quot;&quot;&quot;),&quot;Mini Project&quot;)"/>
    <hyperlink ref="F105" r:id="rId101" display="=IFERROR(@__xludf.DUMMYFUNCTION(&quot;&quot;&quot;COMPUTED_VALUE&quot;&quot;&quot;),&quot;Project Work Phase I&quot;)"/>
    <hyperlink ref="F106" r:id="rId102" display="=IFERROR(@__xludf.DUMMYFUNCTION(&quot;&quot;&quot;COMPUTED_VALUE&quot;&quot;&quot;),&quot;Project Work Phase II&quot;)"/>
    <hyperlink ref="F107" r:id="rId103" display="=IFERROR(@__xludf.DUMMYFUNCTION(&quot;&quot;&quot;COMPUTED_VALUE&quot;&quot;&quot;),&quot;Softskills&quot;)"/>
    <hyperlink ref="F108" r:id="rId104" display="=IFERROR(@__xludf.DUMMYFUNCTION(&quot;&quot;&quot;COMPUTED_VALUE&quot;&quot;&quot;),&quot;Career Development Skills&quot;)"/>
    <hyperlink ref="F109" r:id="rId105" display="=IFERROR(@__xludf.DUMMYFUNCTION(&quot;&quot;&quot;COMPUTED_VALUE&quot;&quot;&quot;),&quot;Creative Skills for Communication&quot;)"/>
    <hyperlink ref="F110" r:id="rId106" display="=IFERROR(@__xludf.DUMMYFUNCTION(&quot;&quot;&quot;COMPUTED_VALUE&quot;&quot;&quot;),&quot;Reasoning Ability&quot;)"/>
    <hyperlink ref="F111" r:id="rId107" display="=IFERROR(@__xludf.DUMMYFUNCTION(&quot;&quot;&quot;COMPUTED_VALUE&quot;&quot;&quot;),&quot;System of Numerical and Logical Terminologies&quot;)"/>
    <hyperlink ref="F112" r:id="rId108" display="=IFERROR(@__xludf.DUMMYFUNCTION(&quot;&quot;&quot;COMPUTED_VALUE&quot;&quot;&quot;),&quot;Advanced Quantitative and Logical Reasoning&quot;)"/>
    <hyperlink ref="F113" r:id="rId109" display="=IFERROR(@__xludf.DUMMYFUNCTION(&quot;&quot;&quot;COMPUTED_VALUE&quot;&quot;&quot;),&quot;Quantitative Ability I&quot;)"/>
    <hyperlink ref="F114" r:id="rId110" display="=IFERROR(@__xludf.DUMMYFUNCTION(&quot;&quot;&quot;COMPUTED_VALUE&quot;&quot;&quot;),&quot;Quantitative Ability II&quot;)"/>
    <hyperlink ref="F115" r:id="rId111" display="=IFERROR(@__xludf.DUMMYFUNCTION(&quot;&quot;&quot;COMPUTED_VALUE&quot;&quot;&quot;),&quot;Employment Enhancement Skills&quot;)"/>
    <hyperlink ref="F116" r:id="rId112" display="=IFERROR(@__xludf.DUMMYFUNCTION(&quot;&quot;&quot;COMPUTED_VALUE&quot;&quot;&quot;),&quot;Employment Enrichment Skills&quot;)"/>
    <hyperlink ref="F117" r:id="rId113" display="=IFERROR(@__xludf.DUMMYFUNCTION(&quot;&quot;&quot;COMPUTED_VALUE&quot;&quot;&quot;),&quot;Company Specific Assessments For Employability&quot;)"/>
    <hyperlink ref="F118" r:id="rId114" display="=IFERROR(@__xludf.DUMMYFUNCTION(&quot;&quot;&quot;COMPUTED_VALUE&quot;&quot;&quot;),&quot;Placement Readiness Assessment&quot;)"/>
    <hyperlink ref="F119" r:id="rId115" display="=IFERROR(@__xludf.DUMMYFUNCTION(&quot;&quot;&quot;COMPUTED_VALUE&quot;&quot;&quot;),&quot;Paper Publication&quot;)"/>
    <hyperlink ref="F120" r:id="rId116" display="=IFERROR(@__xludf.DUMMYFUNCTION(&quot;&quot;&quot;COMPUTED_VALUE&quot;&quot;&quot;),&quot;Professional Ethics&quot;)"/>
    <hyperlink ref="F121" r:id="rId117" display="=IFERROR(@__xludf.DUMMYFUNCTION(&quot;&quot;&quot;COMPUTED_VALUE&quot;&quot;&quot;),&quot;Environmental Science&quot;)"/>
    <hyperlink ref="F122" r:id="rId118" display="=IFERROR(@__xludf.DUMMYFUNCTION(&quot;&quot;&quot;COMPUTED_VALUE&quot;&quot;&quot;),&quot;Constitution of India&quot;)"/>
    <hyperlink ref="F124" r:id="rId119" display="=IFERROR(@__xludf.DUMMYFUNCTION(&quot;&quot;&quot;COMPUTED_VALUE&quot;&quot;&quot;),&quot;Inplant Training&quot;)"/>
    <hyperlink ref="F130" r:id="rId120" display="=IFERROR(@__xludf.DUMMYFUNCTION(&quot;&quot;&quot;COMPUTED_VALUE&quot;&quot;&quot;),&quot;Fundamentals of Data Structures using Python&quot;)"/>
    <hyperlink ref="E131" r:id="rId121" display="=IFERROR(@__xludf.DUMMYFUNCTION(&quot;&quot;&quot;COMPUTED_VALUE&quot;&quot;&quot;),&quot;19EE304&quot;)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625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""R2024-BME!A:A""),
IMPORTRANGE(""https://docs.google.com/spreadsheets/d/1UvPg-G_Bj-UNhLC2uL8tntfYsnld_PABqE3impzOchM/edit"", ""R2024-"&amp;"BME!D:D""),
IMPORTRANGE(""https://docs.google.com/spreadsheets/d/1UvPg-G_Bj-UNhLC2uL8tntfYsnld_PABqE3impzOchM/edit"", ""R2024-BME!E:E""),
IMPORTRANGE(""https://docs.google.com/spreadsheets/d/1UvPg-G_Bj-UNhLC2uL8tntfYsnld_PABqE3impzOchM/edit"", ""R2024-BME"&amp;"!F:F""),
IMPORTRANGE(""https://docs.google.com/spreadsheets/d/1UvPg-G_Bj-UNhLC2uL8tntfYsnld_PABqE3impzOchM/edit"", ""R2024-BME!G:G""),
IMPORTRANGE(""https://docs.google.com/spreadsheets/d/1UvPg-G_Bj-UNhLC2uL8tntfYsnld_PABqE3impzOchM/edit"", ""R2024-BME!I:"&amp;"I""),
IMPORTRANGE(""https://docs.google.com/spreadsheets/d/1UvPg-G_Bj-UNhLC2uL8tntfYsnld_PABqE3impzOchM/edit"", ""R2024-BME!N:N""),
IMPORTRANGE(""https://docs.google.com/spreadsheets/d/1UvPg-G_Bj-UNhLC2uL8tntfYsnld_PABqE3impzOchM/edit"", ""R2024-BME!O:O"""&amp;"),
IMPORTRANGE(""https://docs.google.com/spreadsheets/d/1UvPg-G_Bj-UNhLC2uL8tntfYsnld_PABqE3impzOchM/edit"", ""R2024-BME!P:P""),
IMPORTRANGE(""https://docs.google.com/spreadsheets/d/1UvPg-G_Bj-UNhLC2uL8tntfYsnld_PABqE3impzOchM/edit"", ""R2024-BME!Q:Q""),
"&amp;"IMPORTRANGE(""https://docs.google.com/spreadsheets/d/1UvPg-G_Bj-UNhLC2uL8tntfYsnld_PABqE3impzOchM/edit"", ""R2024-BME!R:R""),
IMPORTRANGE(""https://docs.google.com/spreadsheets/d/1UvPg-G_Bj-UNhLC2uL8tntfYsnld_PABqE3impzOchM/edit"", ""R2024-BME!S:S""),
IMP"&amp;"ORTRANGE(""https://docs.google.com/spreadsheets/d/1UvPg-G_Bj-UNhLC2uL8tntfYsnld_PABqE3impzOchM/edit"", ""R2024-BME!V:V""),
IMPORTRANGE(""https://docs.google.com/spreadsheets/d/1UvPg-G_Bj-UNhLC2uL8tntfYsnld_PABqE3impzOchM/edit"", ""R2024-BME!X:X""),
IMPORT"&amp;"RANGE(""https://docs.google.com/spreadsheets/d/1UvPg-G_Bj-UNhLC2uL8tntfYsnld_PABqE3impzOchM/edit"", ""R2024-BME!Y:Y"")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(Reg)")</f>
        <v>Credits to be Earned (Reg)</v>
      </c>
      <c r="O2" s="17" t="str">
        <f>IFERROR(__xludf.DUMMYFUNCTION("""COMPUTED_VALUE"""),"Credits to be Earned (LE)")</f>
        <v>Credits to be Earned (LE)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IFERROR(__xludf.DUMMYFUNCTION("""COMPUTED_VALUE"""),"SH1106")</f>
        <v>SH1106</v>
      </c>
      <c r="E3" s="2" t="str">
        <f>IFERROR(__xludf.DUMMYFUNCTION("""COMPUTED_VALUE"""),"19EN106")</f>
        <v>19EN106</v>
      </c>
      <c r="F3" s="7" t="str">
        <f>IFERROR(__xludf.DUMMYFUNCTION("""COMPUTED_VALUE"""),"English for Engineers")</f>
        <v>English for Engineers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IFERROR(__xludf.DUMMYFUNCTION("""COMPUTED_VALUE"""),10)</f>
        <v>10</v>
      </c>
      <c r="O3" s="20">
        <f>IFERROR(__xludf.DUMMYFUNCTION("""COMPUTED_VALUE"""),0)</f>
        <v>0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LE")</f>
        <v>Exempted for LE</v>
      </c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IFERROR(__xludf.DUMMYFUNCTION("""COMPUTED_VALUE"""),23)</f>
        <v>23</v>
      </c>
      <c r="O4" s="20">
        <f>IFERROR(__xludf.DUMMYFUNCTION("""COMPUTED_VALUE"""),12)</f>
        <v>12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LE")</f>
        <v>Exempted for LE</v>
      </c>
      <c r="C5" s="2" t="str">
        <f>IFERROR(__xludf.DUMMYFUNCTION("""COMPUTED_VALUE"""),"HS")</f>
        <v>HS</v>
      </c>
      <c r="D5" s="2" t="str">
        <f>IFERROR(__xludf.DUMMYFUNCTION("""COMPUTED_VALUE"""),"SH7801")</f>
        <v>SH7801</v>
      </c>
      <c r="E5" s="2" t="str">
        <f>IFERROR(__xludf.DUMMYFUNCTION("""COMPUTED_VALUE"""),"NA")</f>
        <v>NA</v>
      </c>
      <c r="F5" s="7" t="str">
        <f>IFERROR(__xludf.DUMMYFUNCTION("""COMPUTED_VALUE"""),"Human Values and Professional Ethics")</f>
        <v>Human Values and Professional Ethics</v>
      </c>
      <c r="G5" s="2" t="str">
        <f>IFERROR(__xludf.DUMMYFUNCTION("""COMPUTED_VALUE"""),"-")</f>
        <v>-</v>
      </c>
      <c r="H5" s="2">
        <f>IFERROR(__xludf.DUMMYFUNCTION("""COMPUTED_VALUE"""),2)</f>
        <v>2</v>
      </c>
      <c r="I5" s="2">
        <f>IFERROR(__xludf.DUMMYFUNCTION("""COMPUTED_VALUE"""),0)</f>
        <v>0</v>
      </c>
      <c r="J5" s="2">
        <f>IFERROR(__xludf.DUMMYFUNCTION("""COMPUTED_VALUE"""),2)</f>
        <v>2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IFERROR(__xludf.DUMMYFUNCTION("""COMPUTED_VALUE"""),30)</f>
        <v>30</v>
      </c>
      <c r="O5" s="20">
        <f>IFERROR(__xludf.DUMMYFUNCTION("""COMPUTED_VALUE"""),18)</f>
        <v>18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IFERROR(__xludf.DUMMYFUNCTION("""COMPUTED_VALUE"""),"SH7101")</f>
        <v>SH7101</v>
      </c>
      <c r="E6" s="2" t="str">
        <f>IFERROR(__xludf.DUMMYFUNCTION("""COMPUTED_VALUE"""),"22HS101")</f>
        <v>22HS101</v>
      </c>
      <c r="F6" s="7" t="str">
        <f>IFERROR(__xludf.DUMMYFUNCTION("""COMPUTED_VALUE"""),"தமிழர் மரபு/ Heritage of Tamils")</f>
        <v>தமிழர் மரபு/ Heritage of Tamils</v>
      </c>
      <c r="G6" s="2" t="str">
        <f>IFERROR(__xludf.DUMMYFUNCTION("""COMPUTED_VALUE"""),"-")</f>
        <v>-</v>
      </c>
      <c r="H6" s="2">
        <f>IFERROR(__xludf.DUMMYFUNCTION("""COMPUTED_VALUE"""),1)</f>
        <v>1</v>
      </c>
      <c r="I6" s="2">
        <f>IFERROR(__xludf.DUMMYFUNCTION("""COMPUTED_VALUE"""),0)</f>
        <v>0</v>
      </c>
      <c r="J6" s="2">
        <f>IFERROR(__xludf.DUMMYFUNCTION("""COMPUTED_VALUE"""),1)</f>
        <v>1</v>
      </c>
      <c r="K6" s="2" t="str">
        <f>IFERROR(__xludf.DUMMYFUNCTION("""COMPUTED_VALUE"""),"CGPA")</f>
        <v>CGPA</v>
      </c>
      <c r="L6" s="18" t="str">
        <f>IFERROR(__xludf.DUMMYFUNCTION("""COMPUTED_VALUE"""),"Theory (Int Only)")</f>
        <v>Theory (Int Only)</v>
      </c>
      <c r="M6" s="19" t="str">
        <f>IFERROR(__xludf.DUMMYFUNCTION("""COMPUTED_VALUE"""),"PC")</f>
        <v>PC</v>
      </c>
      <c r="N6" s="2">
        <f>IFERROR(__xludf.DUMMYFUNCTION("""COMPUTED_VALUE"""),60)</f>
        <v>60</v>
      </c>
      <c r="O6" s="20">
        <f>IFERROR(__xludf.DUMMYFUNCTION("""COMPUTED_VALUE"""),57)</f>
        <v>57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IFERROR(__xludf.DUMMYFUNCTION("""COMPUTED_VALUE"""),"SH7102")</f>
        <v>SH7102</v>
      </c>
      <c r="E7" s="2" t="str">
        <f>IFERROR(__xludf.DUMMYFUNCTION("""COMPUTED_VALUE"""),"22HS102")</f>
        <v>22HS102</v>
      </c>
      <c r="F7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7" s="2" t="str">
        <f>IFERROR(__xludf.DUMMYFUNCTION("""COMPUTED_VALUE"""),"-")</f>
        <v>-</v>
      </c>
      <c r="H7" s="2">
        <f>IFERROR(__xludf.DUMMYFUNCTION("""COMPUTED_VALUE"""),1)</f>
        <v>1</v>
      </c>
      <c r="I7" s="2">
        <f>IFERROR(__xludf.DUMMYFUNCTION("""COMPUTED_VALUE"""),0)</f>
        <v>0</v>
      </c>
      <c r="J7" s="2">
        <f>IFERROR(__xludf.DUMMYFUNCTION("""COMPUTED_VALUE"""),1)</f>
        <v>1</v>
      </c>
      <c r="K7" s="2" t="str">
        <f>IFERROR(__xludf.DUMMYFUNCTION("""COMPUTED_VALUE"""),"CGPA")</f>
        <v>CGPA</v>
      </c>
      <c r="L7" s="18" t="str">
        <f>IFERROR(__xludf.DUMMYFUNCTION("""COMPUTED_VALUE"""),"Theory (Int Only)")</f>
        <v>Theory (Int Only)</v>
      </c>
      <c r="M7" s="19" t="str">
        <f>IFERROR(__xludf.DUMMYFUNCTION("""COMPUTED_VALUE"""),"PE")</f>
        <v>PE</v>
      </c>
      <c r="N7" s="2">
        <f>IFERROR(__xludf.DUMMYFUNCTION("""COMPUTED_VALUE"""),18)</f>
        <v>18</v>
      </c>
      <c r="O7" s="20">
        <f>IFERROR(__xludf.DUMMYFUNCTION("""COMPUTED_VALUE"""),18)</f>
        <v>18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IFERROR(__xludf.DUMMYFUNCTION("""COMPUTED_VALUE"""),"BS")</f>
        <v>BS</v>
      </c>
      <c r="D8" s="2" t="str">
        <f>IFERROR(__xludf.DUMMYFUNCTION("""COMPUTED_VALUE"""),"SH2201")</f>
        <v>SH2201</v>
      </c>
      <c r="E8" s="2" t="str">
        <f>IFERROR(__xludf.DUMMYFUNCTION("""COMPUTED_VALUE"""),"19MA201")</f>
        <v>19MA201</v>
      </c>
      <c r="F8" s="7" t="str">
        <f>IFERROR(__xludf.DUMMYFUNCTION("""COMPUTED_VALUE"""),"Calculus and Matrix Algebra")</f>
        <v>Calculus and Matrix Algebra</v>
      </c>
      <c r="G8" s="2" t="str">
        <f>IFERROR(__xludf.DUMMYFUNCTION("""COMPUTED_VALUE"""),"-")</f>
        <v>-</v>
      </c>
      <c r="H8" s="2">
        <f>IFERROR(__xludf.DUMMYFUNCTION("""COMPUTED_VALUE"""),4)</f>
        <v>4</v>
      </c>
      <c r="I8" s="2">
        <f>IFERROR(__xludf.DUMMYFUNCTION("""COMPUTED_VALUE"""),0)</f>
        <v>0</v>
      </c>
      <c r="J8" s="2">
        <f>IFERROR(__xludf.DUMMYFUNCTION("""COMPUTED_VALUE"""),4)</f>
        <v>4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IFERROR(__xludf.DUMMYFUNCTION("""COMPUTED_VALUE"""),7)</f>
        <v>7</v>
      </c>
      <c r="O8" s="20">
        <f>IFERROR(__xludf.DUMMYFUNCTION("""COMPUTED_VALUE"""),7)</f>
        <v>7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/>
      <c r="C9" s="2" t="str">
        <f>IFERROR(__xludf.DUMMYFUNCTION("""COMPUTED_VALUE"""),"BS")</f>
        <v>BS</v>
      </c>
      <c r="D9" s="2" t="str">
        <f>IFERROR(__xludf.DUMMYFUNCTION("""COMPUTED_VALUE"""),"SH2211")</f>
        <v>SH2211</v>
      </c>
      <c r="E9" s="2" t="str">
        <f>IFERROR(__xludf.DUMMYFUNCTION("""COMPUTED_VALUE"""),"19MA211")</f>
        <v>19MA211</v>
      </c>
      <c r="F9" s="7" t="str">
        <f>IFERROR(__xludf.DUMMYFUNCTION("""COMPUTED_VALUE"""),"Statistics and Numerical Methods")</f>
        <v>Statistics and Numerical Methods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IFERROR(__xludf.DUMMYFUNCTION("""COMPUTED_VALUE"""),1)</f>
        <v>1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IFERROR(__xludf.DUMMYFUNCTION("""COMPUTED_VALUE"""),"TIP (6 Expts)")</f>
        <v>TIP (6 Expts)</v>
      </c>
      <c r="M9" s="19" t="str">
        <f>IFERROR(__xludf.DUMMYFUNCTION("""COMPUTED_VALUE"""),"EEC")</f>
        <v>EEC</v>
      </c>
      <c r="N9" s="2">
        <f>IFERROR(__xludf.DUMMYFUNCTION("""COMPUTED_VALUE"""),18)</f>
        <v>18</v>
      </c>
      <c r="O9" s="20">
        <f>IFERROR(__xludf.DUMMYFUNCTION("""COMPUTED_VALUE"""),18)</f>
        <v>18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IFERROR(__xludf.DUMMYFUNCTION("""COMPUTED_VALUE"""),"BS")</f>
        <v>BS</v>
      </c>
      <c r="D10" s="2" t="str">
        <f>IFERROR(__xludf.DUMMYFUNCTION("""COMPUTED_VALUE"""),"SH2223")</f>
        <v>SH2223</v>
      </c>
      <c r="E10" s="2" t="str">
        <f>IFERROR(__xludf.DUMMYFUNCTION("""COMPUTED_VALUE"""),"19MA223")</f>
        <v>19MA223</v>
      </c>
      <c r="F10" s="7" t="str">
        <f>IFERROR(__xludf.DUMMYFUNCTION("""COMPUTED_VALUE"""),"Linear Algebra and Probability")</f>
        <v>Linear Algebra and Probability</v>
      </c>
      <c r="G10" s="2" t="str">
        <f>IFERROR(__xludf.DUMMYFUNCTION("""COMPUTED_VALUE"""),"-")</f>
        <v>-</v>
      </c>
      <c r="H10" s="2">
        <f>IFERROR(__xludf.DUMMYFUNCTION("""COMPUTED_VALUE"""),4)</f>
        <v>4</v>
      </c>
      <c r="I10" s="2">
        <f>IFERROR(__xludf.DUMMYFUNCTION("""COMPUTED_VALUE"""),0)</f>
        <v>0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IFERROR(__xludf.DUMMYFUNCTION("""COMPUTED_VALUE"""),"Theory")</f>
        <v>Theory</v>
      </c>
      <c r="M10" s="19" t="str">
        <f>IFERROR(__xludf.DUMMYFUNCTION("""COMPUTED_VALUE"""),"MC")</f>
        <v>MC</v>
      </c>
      <c r="N10" s="2">
        <f>IFERROR(__xludf.DUMMYFUNCTION("""COMPUTED_VALUE"""),2)</f>
        <v>2</v>
      </c>
      <c r="O10" s="20">
        <f>IFERROR(__xludf.DUMMYFUNCTION("""COMPUTED_VALUE"""),2)</f>
        <v>2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IFERROR(__xludf.DUMMYFUNCTION("""COMPUTED_VALUE"""),"SH3216")</f>
        <v>SH3216</v>
      </c>
      <c r="E11" s="2" t="str">
        <f>IFERROR(__xludf.DUMMYFUNCTION("""COMPUTED_VALUE"""),"19PH216")</f>
        <v>19PH216</v>
      </c>
      <c r="F11" s="7" t="str">
        <f>IFERROR(__xludf.DUMMYFUNCTION("""COMPUTED_VALUE"""),"Physics for Electronics Engineering")</f>
        <v>Physics for Electronics Engineering</v>
      </c>
      <c r="G11" s="2" t="str">
        <f>IFERROR(__xludf.DUMMYFUNCTION("""COMPUTED_VALUE"""),"-")</f>
        <v>-</v>
      </c>
      <c r="H11" s="2">
        <f>IFERROR(__xludf.DUMMYFUNCTION("""COMPUTED_VALUE"""),3)</f>
        <v>3</v>
      </c>
      <c r="I11" s="2">
        <f>IFERROR(__xludf.DUMMYFUNCTION("""COMPUTED_VALUE"""),1)</f>
        <v>1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IFERROR(__xludf.DUMMYFUNCTION("""COMPUTED_VALUE"""),"TIP (6 Expts)")</f>
        <v>TIP (6 Expts)</v>
      </c>
      <c r="M11" s="21" t="str">
        <f>IFERROR(__xludf.DUMMYFUNCTION("""COMPUTED_VALUE"""),"TOTAL")</f>
        <v>TOTAL</v>
      </c>
      <c r="N11" s="22">
        <f>IFERROR(__xludf.DUMMYFUNCTION("""COMPUTED_VALUE"""),168)</f>
        <v>168</v>
      </c>
      <c r="O11" s="23">
        <f>IFERROR(__xludf.DUMMYFUNCTION("""COMPUTED_VALUE"""),132)</f>
        <v>132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IFERROR(__xludf.DUMMYFUNCTION("""COMPUTED_VALUE"""),"SH4801")</f>
        <v>SH4801</v>
      </c>
      <c r="E12" s="2" t="str">
        <f>IFERROR(__xludf.DUMMYFUNCTION("""COMPUTED_VALUE"""),"NA")</f>
        <v>NA</v>
      </c>
      <c r="F12" s="7" t="str">
        <f>IFERROR(__xludf.DUMMYFUNCTION("""COMPUTED_VALUE"""),"Environmental Sciences and Sustainability")</f>
        <v>Environmental Sciences and Sustainability</v>
      </c>
      <c r="G12" s="2" t="str">
        <f>IFERROR(__xludf.DUMMYFUNCTION("""COMPUTED_VALUE"""),"-")</f>
        <v>-</v>
      </c>
      <c r="H12" s="2">
        <f>IFERROR(__xludf.DUMMYFUNCTION("""COMPUTED_VALUE"""),2)</f>
        <v>2</v>
      </c>
      <c r="I12" s="2">
        <f>IFERROR(__xludf.DUMMYFUNCTION("""COMPUTED_VALUE"""),0)</f>
        <v>0</v>
      </c>
      <c r="J12" s="2">
        <f>IFERROR(__xludf.DUMMYFUNCTION("""COMPUTED_VALUE"""),2)</f>
        <v>2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IFERROR(__xludf.DUMMYFUNCTION("""COMPUTED_VALUE"""),"SH4802")</f>
        <v>SH4802</v>
      </c>
      <c r="E13" s="2" t="str">
        <f>IFERROR(__xludf.DUMMYFUNCTION("""COMPUTED_VALUE"""),"NA")</f>
        <v>NA</v>
      </c>
      <c r="F13" s="7" t="str">
        <f>IFERROR(__xludf.DUMMYFUNCTION("""COMPUTED_VALUE"""),"Chemistry for Biomedical Engineering")</f>
        <v>Chemistry for Biomedical Engineering</v>
      </c>
      <c r="G13" s="2" t="str">
        <f>IFERROR(__xludf.DUMMYFUNCTION("""COMPUTED_VALUE"""),"-")</f>
        <v>-</v>
      </c>
      <c r="H13" s="2">
        <f>IFERROR(__xludf.DUMMYFUNCTION("""COMPUTED_VALUE"""),2)</f>
        <v>2</v>
      </c>
      <c r="I13" s="2">
        <f>IFERROR(__xludf.DUMMYFUNCTION("""COMPUTED_VALUE"""),1)</f>
        <v>1</v>
      </c>
      <c r="J13" s="2">
        <f>IFERROR(__xludf.DUMMYFUNCTION("""COMPUTED_VALUE"""),3)</f>
        <v>3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IFERROR(__xludf.DUMMYFUNCTION("""COMPUTED_VALUE"""),"EC4412")</f>
        <v>EC4412</v>
      </c>
      <c r="E14" s="2" t="str">
        <f>IFERROR(__xludf.DUMMYFUNCTION("""COMPUTED_VALUE"""),"19BM412")</f>
        <v>19BM412</v>
      </c>
      <c r="F14" s="7" t="str">
        <f>IFERROR(__xludf.DUMMYFUNCTION("""COMPUTED_VALUE"""),"Anatomy and Human Physiology")</f>
        <v>Anatomy and Human Physiology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IFERROR(__xludf.DUMMYFUNCTION("""COMPUTED_VALUE"""),0)</f>
        <v>0</v>
      </c>
      <c r="J14" s="2">
        <f>IFERROR(__xludf.DUMMYFUNCTION("""COMPUTED_VALUE"""),3)</f>
        <v>3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IFERROR(__xludf.DUMMYFUNCTION("""COMPUTED_VALUE"""),"ES")</f>
        <v>ES</v>
      </c>
      <c r="D15" s="2" t="str">
        <f>IFERROR(__xludf.DUMMYFUNCTION("""COMPUTED_VALUE"""),"EC4301")</f>
        <v>EC4301</v>
      </c>
      <c r="E15" s="2" t="str">
        <f>IFERROR(__xludf.DUMMYFUNCTION("""COMPUTED_VALUE"""),"19BM301")</f>
        <v>19BM301</v>
      </c>
      <c r="F15" s="7" t="str">
        <f>IFERROR(__xludf.DUMMYFUNCTION("""COMPUTED_VALUE"""),"Electronic Circuits and Special Devices")</f>
        <v>Electronic Circuits and Special Devices</v>
      </c>
      <c r="G15" s="2" t="str">
        <f>IFERROR(__xludf.DUMMYFUNCTION("""COMPUTED_VALUE"""),"-")</f>
        <v>-</v>
      </c>
      <c r="H15" s="2">
        <f>IFERROR(__xludf.DUMMYFUNCTION("""COMPUTED_VALUE"""),2)</f>
        <v>2</v>
      </c>
      <c r="I15" s="2">
        <f>IFERROR(__xludf.DUMMYFUNCTION("""COMPUTED_VALUE"""),1)</f>
        <v>1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IFERROR(__xludf.DUMMYFUNCTION("""COMPUTED_VALUE"""),"ES")</f>
        <v>ES</v>
      </c>
      <c r="D16" s="2" t="str">
        <f>IFERROR(__xludf.DUMMYFUNCTION("""COMPUTED_VALUE"""),"EC4801")</f>
        <v>EC4801</v>
      </c>
      <c r="E16" s="2" t="str">
        <f>IFERROR(__xludf.DUMMYFUNCTION("""COMPUTED_VALUE"""),"NA")</f>
        <v>NA</v>
      </c>
      <c r="F16" s="7" t="str">
        <f>IFERROR(__xludf.DUMMYFUNCTION("""COMPUTED_VALUE"""),"Analog and Digital Integrated Circuits")</f>
        <v>Analog and Digital Integrated Circuits</v>
      </c>
      <c r="G16" s="2" t="str">
        <f>IFERROR(__xludf.DUMMYFUNCTION("""COMPUTED_VALUE"""),"EC4301")</f>
        <v>EC4301</v>
      </c>
      <c r="H16" s="2">
        <f>IFERROR(__xludf.DUMMYFUNCTION("""COMPUTED_VALUE"""),3)</f>
        <v>3</v>
      </c>
      <c r="I16" s="2">
        <f>IFERROR(__xludf.DUMMYFUNCTION("""COMPUTED_VALUE"""),0)</f>
        <v>0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IFERROR(__xludf.DUMMYFUNCTION("""COMPUTED_VALUE"""),"Theory")</f>
        <v>Theory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IFERROR(__xludf.DUMMYFUNCTION("""COMPUTED_VALUE"""),"ES")</f>
        <v>ES</v>
      </c>
      <c r="D17" s="2" t="str">
        <f>IFERROR(__xludf.DUMMYFUNCTION("""COMPUTED_VALUE"""),"EC4802")</f>
        <v>EC4802</v>
      </c>
      <c r="E17" s="2" t="str">
        <f>IFERROR(__xludf.DUMMYFUNCTION("""COMPUTED_VALUE"""),"NA")</f>
        <v>NA</v>
      </c>
      <c r="F17" s="7" t="str">
        <f>IFERROR(__xludf.DUMMYFUNCTION("""COMPUTED_VALUE"""),"Integrated Circuits laboratory")</f>
        <v>Integrated Circuits laboratory</v>
      </c>
      <c r="G17" s="2" t="str">
        <f>IFERROR(__xludf.DUMMYFUNCTION("""COMPUTED_VALUE"""),"EC4301")</f>
        <v>EC4301</v>
      </c>
      <c r="H17" s="2">
        <f>IFERROR(__xludf.DUMMYFUNCTION("""COMPUTED_VALUE"""),0)</f>
        <v>0</v>
      </c>
      <c r="I17" s="2">
        <f>IFERROR(__xludf.DUMMYFUNCTION("""COMPUTED_VALUE"""),1)</f>
        <v>1</v>
      </c>
      <c r="J17" s="2">
        <f>IFERROR(__xludf.DUMMYFUNCTION("""COMPUTED_VALUE"""),1)</f>
        <v>1</v>
      </c>
      <c r="K17" s="2" t="str">
        <f>IFERROR(__xludf.DUMMYFUNCTION("""COMPUTED_VALUE"""),"CGPA")</f>
        <v>CGPA</v>
      </c>
      <c r="L17" s="2" t="str">
        <f>IFERROR(__xludf.DUMMYFUNCTION("""COMPUTED_VALUE"""),"Practical (6 Expts)")</f>
        <v>Practical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IFERROR(__xludf.DUMMYFUNCTION("""COMPUTED_VALUE"""),"ES")</f>
        <v>ES</v>
      </c>
      <c r="D18" s="2" t="str">
        <f>IFERROR(__xludf.DUMMYFUNCTION("""COMPUTED_VALUE"""),"EC4803")</f>
        <v>EC4803</v>
      </c>
      <c r="E18" s="2" t="str">
        <f>IFERROR(__xludf.DUMMYFUNCTION("""COMPUTED_VALUE"""),"NA")</f>
        <v>NA</v>
      </c>
      <c r="F18" s="7" t="str">
        <f>IFERROR(__xludf.DUMMYFUNCTION("""COMPUTED_VALUE"""),"Basics of Signals and Systems")</f>
        <v>Basics of Signals and Systems</v>
      </c>
      <c r="G18" s="2" t="str">
        <f>IFERROR(__xludf.DUMMYFUNCTION("""COMPUTED_VALUE"""),"SH2201")</f>
        <v>SH2201</v>
      </c>
      <c r="H18" s="2">
        <f>IFERROR(__xludf.DUMMYFUNCTION("""COMPUTED_VALUE"""),3)</f>
        <v>3</v>
      </c>
      <c r="I18" s="2">
        <f>IFERROR(__xludf.DUMMYFUNCTION("""COMPUTED_VALUE"""),0)</f>
        <v>0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IFERROR(__xludf.DUMMYFUNCTION("""COMPUTED_VALUE"""),"EC2301")</f>
        <v>EC2301</v>
      </c>
      <c r="E19" s="2" t="str">
        <f>IFERROR(__xludf.DUMMYFUNCTION("""COMPUTED_VALUE"""),"19EE301")</f>
        <v>19EE301</v>
      </c>
      <c r="F19" s="7" t="str">
        <f>IFERROR(__xludf.DUMMYFUNCTION("""COMPUTED_VALUE"""),"Electric Circuits and Networks")</f>
        <v>Electric Circuits and Networks</v>
      </c>
      <c r="G19" s="2" t="str">
        <f>IFERROR(__xludf.DUMMYFUNCTION("""COMPUTED_VALUE"""),"19MA202")</f>
        <v>19MA202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IFERROR(__xludf.DUMMYFUNCTION("""COMPUTED_VALUE"""),"CS3304")</f>
        <v>CS3304</v>
      </c>
      <c r="E20" s="2" t="str">
        <f>IFERROR(__xludf.DUMMYFUNCTION("""COMPUTED_VALUE"""),"19AI304")</f>
        <v>19AI304</v>
      </c>
      <c r="F20" s="7" t="str">
        <f>IFERROR(__xludf.DUMMYFUNCTION("""COMPUTED_VALUE"""),"Fundamentals of C Programming")</f>
        <v>Fundamentals of C Programming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IFERROR(__xludf.DUMMYFUNCTION("""COMPUTED_VALUE"""),"CS3305")</f>
        <v>CS3305</v>
      </c>
      <c r="E21" s="2" t="str">
        <f>IFERROR(__xludf.DUMMYFUNCTION("""COMPUTED_VALUE"""),"19AI305")</f>
        <v>19AI305</v>
      </c>
      <c r="F21" s="7" t="str">
        <f>IFERROR(__xludf.DUMMYFUNCTION("""COMPUTED_VALUE"""),"Advanced C Programming")</f>
        <v>Advanced C Programming</v>
      </c>
      <c r="G21" s="2" t="str">
        <f>IFERROR(__xludf.DUMMYFUNCTION("""COMPUTED_VALUE"""),"19AI304 / CS3304")</f>
        <v>19AI304 / CS3304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IFERROR(__xludf.DUMMYFUNCTION("""COMPUTED_VALUE"""),"CS3408")</f>
        <v>CS3408</v>
      </c>
      <c r="E22" s="2" t="str">
        <f>IFERROR(__xludf.DUMMYFUNCTION("""COMPUTED_VALUE"""),"19AI408")</f>
        <v>19AI408</v>
      </c>
      <c r="F22" s="7" t="str">
        <f>IFERROR(__xludf.DUMMYFUNCTION("""COMPUTED_VALUE"""),"Data Structures")</f>
        <v>Data Structures</v>
      </c>
      <c r="G22" s="2" t="str">
        <f>IFERROR(__xludf.DUMMYFUNCTION("""COMPUTED_VALUE"""),"19AI304 / CS3304")</f>
        <v>19AI304 / CS3304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IFERROR(__xludf.DUMMYFUNCTION("""COMPUTED_VALUE"""),"CS3301")</f>
        <v>CS3301</v>
      </c>
      <c r="E23" s="2" t="str">
        <f>IFERROR(__xludf.DUMMYFUNCTION("""COMPUTED_VALUE"""),"19AI301")</f>
        <v>19AI301</v>
      </c>
      <c r="F23" s="7" t="str">
        <f>IFERROR(__xludf.DUMMYFUNCTION("""COMPUTED_VALUE"""),"Python Programming")</f>
        <v>Python Programming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IFERROR(__xludf.DUMMYFUNCTION("""COMPUTED_VALUE"""),"CS3306")</f>
        <v>CS3306</v>
      </c>
      <c r="E24" s="2" t="str">
        <f>IFERROR(__xludf.DUMMYFUNCTION("""COMPUTED_VALUE"""),"19AI306")</f>
        <v>19AI306</v>
      </c>
      <c r="F24" s="7" t="str">
        <f>IFERROR(__xludf.DUMMYFUNCTION("""COMPUTED_VALUE"""),"Object Oriented Programming using C++")</f>
        <v>Object Oriented Programming using C++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IFERROR(__xludf.DUMMYFUNCTION("""COMPUTED_VALUE"""),"CS3307")</f>
        <v>CS3307</v>
      </c>
      <c r="E25" s="2" t="str">
        <f>IFERROR(__xludf.DUMMYFUNCTION("""COMPUTED_VALUE"""),"19AI307")</f>
        <v>19AI307</v>
      </c>
      <c r="F25" s="7" t="str">
        <f>IFERROR(__xludf.DUMMYFUNCTION("""COMPUTED_VALUE"""),"Object Oriented Programming using Java")</f>
        <v>Object Oriented Programming using Java</v>
      </c>
      <c r="G25" s="2" t="str">
        <f>IFERROR(__xludf.DUMMYFUNCTION("""COMPUTED_VALUE"""),"19AI304")</f>
        <v>19AI304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IFERROR(__xludf.DUMMYFUNCTION("""COMPUTED_VALUE"""),"EC4401")</f>
        <v>EC4401</v>
      </c>
      <c r="E26" s="2" t="str">
        <f>IFERROR(__xludf.DUMMYFUNCTION("""COMPUTED_VALUE"""),"19BM401")</f>
        <v>19BM401</v>
      </c>
      <c r="F26" s="7" t="str">
        <f>IFERROR(__xludf.DUMMYFUNCTION("""COMPUTED_VALUE"""),"Biochemistry")</f>
        <v>Biochemistry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IFERROR(__xludf.DUMMYFUNCTION("""COMPUTED_VALUE"""),"EC4804")</f>
        <v>EC4804</v>
      </c>
      <c r="E27" s="2" t="str">
        <f>IFERROR(__xludf.DUMMYFUNCTION("""COMPUTED_VALUE"""),"NA")</f>
        <v>NA</v>
      </c>
      <c r="F27" s="7" t="str">
        <f>IFERROR(__xludf.DUMMYFUNCTION("""COMPUTED_VALUE"""),"Biomedical Instrumentation")</f>
        <v>Biomedical Instrumentation</v>
      </c>
      <c r="G27" s="2" t="str">
        <f>IFERROR(__xludf.DUMMYFUNCTION("""COMPUTED_VALUE"""),"EC4801, EC4802")</f>
        <v>EC4801, EC4802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IFERROR(__xludf.DUMMYFUNCTION("""COMPUTED_VALUE"""),"EC4805")</f>
        <v>EC4805</v>
      </c>
      <c r="E28" s="2" t="str">
        <f>IFERROR(__xludf.DUMMYFUNCTION("""COMPUTED_VALUE"""),"NA")</f>
        <v>NA</v>
      </c>
      <c r="F28" s="7" t="str">
        <f>IFERROR(__xludf.DUMMYFUNCTION("""COMPUTED_VALUE"""),"Clinical Instrumentation")</f>
        <v>Clinical Instrumentation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IFERROR(__xludf.DUMMYFUNCTION("""COMPUTED_VALUE"""),"EC4806")</f>
        <v>EC4806</v>
      </c>
      <c r="E29" s="2" t="str">
        <f>IFERROR(__xludf.DUMMYFUNCTION("""COMPUTED_VALUE"""),"NA")</f>
        <v>NA</v>
      </c>
      <c r="F29" s="7" t="str">
        <f>IFERROR(__xludf.DUMMYFUNCTION("""COMPUTED_VALUE"""),"Medical Imaging System I")</f>
        <v>Medical Imaging System I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IFERROR(__xludf.DUMMYFUNCTION("""COMPUTED_VALUE"""),0)</f>
        <v>0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IFERROR(__xludf.DUMMYFUNCTION("""COMPUTED_VALUE"""),"Theory")</f>
        <v>Theory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IFERROR(__xludf.DUMMYFUNCTION("""COMPUTED_VALUE"""),"EC4807")</f>
        <v>EC4807</v>
      </c>
      <c r="E30" s="2" t="str">
        <f>IFERROR(__xludf.DUMMYFUNCTION("""COMPUTED_VALUE"""),"NA")</f>
        <v>NA</v>
      </c>
      <c r="F30" s="7" t="str">
        <f>IFERROR(__xludf.DUMMYFUNCTION("""COMPUTED_VALUE"""),"Medical Imaging System II")</f>
        <v>Medical Imaging System II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IFERROR(__xludf.DUMMYFUNCTION("""COMPUTED_VALUE"""),0)</f>
        <v>0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IFERROR(__xludf.DUMMYFUNCTION("""COMPUTED_VALUE"""),"EC4404")</f>
        <v>EC4404</v>
      </c>
      <c r="E31" s="2" t="str">
        <f>IFERROR(__xludf.DUMMYFUNCTION("""COMPUTED_VALUE"""),"19BM404")</f>
        <v>19BM404</v>
      </c>
      <c r="F31" s="7" t="str">
        <f>IFERROR(__xludf.DUMMYFUNCTION("""COMPUTED_VALUE"""),"Pathology and Microbiology")</f>
        <v>Pathology and Microbiology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IFERROR(__xludf.DUMMYFUNCTION("""COMPUTED_VALUE"""),"EC4808")</f>
        <v>EC4808</v>
      </c>
      <c r="E32" s="2" t="str">
        <f>IFERROR(__xludf.DUMMYFUNCTION("""COMPUTED_VALUE"""),"NA")</f>
        <v>NA</v>
      </c>
      <c r="F32" s="7" t="str">
        <f>IFERROR(__xludf.DUMMYFUNCTION("""COMPUTED_VALUE"""),"Clinical Laboratory Equipment and Techniques")</f>
        <v>Clinical Laboratory Equipment and Techniques</v>
      </c>
      <c r="G32" s="2" t="str">
        <f>IFERROR(__xludf.DUMMYFUNCTION("""COMPUTED_VALUE"""),"EC4805")</f>
        <v>EC4805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IFERROR(__xludf.DUMMYFUNCTION("""COMPUTED_VALUE"""),"EC4809")</f>
        <v>EC4809</v>
      </c>
      <c r="E33" s="2" t="str">
        <f>IFERROR(__xludf.DUMMYFUNCTION("""COMPUTED_VALUE"""),"NA")</f>
        <v>NA</v>
      </c>
      <c r="F33" s="7" t="str">
        <f>IFERROR(__xludf.DUMMYFUNCTION("""COMPUTED_VALUE"""),"Therapeutic Equipments I")</f>
        <v>Therapeutic Equipments I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IFERROR(__xludf.DUMMYFUNCTION("""COMPUTED_VALUE"""),"EC4810")</f>
        <v>EC4810</v>
      </c>
      <c r="E34" s="2" t="str">
        <f>IFERROR(__xludf.DUMMYFUNCTION("""COMPUTED_VALUE"""),"NA")</f>
        <v>NA</v>
      </c>
      <c r="F34" s="7" t="str">
        <f>IFERROR(__xludf.DUMMYFUNCTION("""COMPUTED_VALUE"""),"Therapeutic Equipments II")</f>
        <v>Therapeutic Equipments II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IFERROR(__xludf.DUMMYFUNCTION("""COMPUTED_VALUE"""),"EC4811")</f>
        <v>EC4811</v>
      </c>
      <c r="E35" s="2" t="str">
        <f>IFERROR(__xludf.DUMMYFUNCTION("""COMPUTED_VALUE"""),"NA")</f>
        <v>NA</v>
      </c>
      <c r="F35" s="7" t="str">
        <f>IFERROR(__xludf.DUMMYFUNCTION("""COMPUTED_VALUE"""),"Lasers in Healthcare Applications")</f>
        <v>Lasers in Healthcare Applications</v>
      </c>
      <c r="G35" s="2" t="str">
        <f>IFERROR(__xludf.DUMMYFUNCTION("""COMPUTED_VALUE"""),"-")</f>
        <v>-</v>
      </c>
      <c r="H35" s="2">
        <f>IFERROR(__xludf.DUMMYFUNCTION("""COMPUTED_VALUE"""),3)</f>
        <v>3</v>
      </c>
      <c r="I35" s="2">
        <f>IFERROR(__xludf.DUMMYFUNCTION("""COMPUTED_VALUE"""),0)</f>
        <v>0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IFERROR(__xludf.DUMMYFUNCTION("""COMPUTED_VALUE"""),"EC4410")</f>
        <v>EC4410</v>
      </c>
      <c r="E36" s="2" t="str">
        <f>IFERROR(__xludf.DUMMYFUNCTION("""COMPUTED_VALUE"""),"19BM410")</f>
        <v>19BM410</v>
      </c>
      <c r="F36" s="7" t="str">
        <f>IFERROR(__xludf.DUMMYFUNCTION("""COMPUTED_VALUE"""),"Bio Materials and Artificial Organs")</f>
        <v>Bio Materials and Artificial Organs</v>
      </c>
      <c r="G36" s="2" t="str">
        <f>IFERROR(__xludf.DUMMYFUNCTION("""COMPUTED_VALUE"""),"EC4406/19BM406")</f>
        <v>EC4406/19BM406</v>
      </c>
      <c r="H36" s="2">
        <f>IFERROR(__xludf.DUMMYFUNCTION("""COMPUTED_VALUE"""),3)</f>
        <v>3</v>
      </c>
      <c r="I36" s="2">
        <f>IFERROR(__xludf.DUMMYFUNCTION("""COMPUTED_VALUE"""),0)</f>
        <v>0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IFERROR(__xludf.DUMMYFUNCTION("""COMPUTED_VALUE"""),"Theory")</f>
        <v>Theory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IFERROR(__xludf.DUMMYFUNCTION("""COMPUTED_VALUE"""),"EC4408")</f>
        <v>EC4408</v>
      </c>
      <c r="E37" s="2" t="str">
        <f>IFERROR(__xludf.DUMMYFUNCTION("""COMPUTED_VALUE"""),"19BM408")</f>
        <v>19BM408</v>
      </c>
      <c r="F37" s="7" t="str">
        <f>IFERROR(__xludf.DUMMYFUNCTION("""COMPUTED_VALUE"""),"Biomedical Signal Processing")</f>
        <v>Biomedical Signal Processing</v>
      </c>
      <c r="G37" s="2" t="str">
        <f>IFERROR(__xludf.DUMMYFUNCTION("""COMPUTED_VALUE"""),"EC4803/19EC402")</f>
        <v>EC4803/19EC402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IFERROR(__xludf.DUMMYFUNCTION("""COMPUTED_VALUE"""),"EC4530")</f>
        <v>EC4530</v>
      </c>
      <c r="E38" s="2" t="str">
        <f>IFERROR(__xludf.DUMMYFUNCTION("""COMPUTED_VALUE"""),"19MD406")</f>
        <v>19MD406</v>
      </c>
      <c r="F38" s="7" t="str">
        <f>IFERROR(__xludf.DUMMYFUNCTION("""COMPUTED_VALUE"""),"Medical Image Processing")</f>
        <v>Medical Image Processing</v>
      </c>
      <c r="G38" s="2" t="str">
        <f>IFERROR(__xludf.DUMMYFUNCTION("""COMPUTED_VALUE"""),"19BM408/EC4408")</f>
        <v>19BM408/EC4408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IFERROR(__xludf.DUMMYFUNCTION("""COMPUTED_VALUE"""),"EC4820")</f>
        <v>EC4820</v>
      </c>
      <c r="E39" s="2" t="str">
        <f>IFERROR(__xludf.DUMMYFUNCTION("""COMPUTED_VALUE"""),"19BM530")</f>
        <v>19BM530</v>
      </c>
      <c r="F39" s="7" t="str">
        <f>IFERROR(__xludf.DUMMYFUNCTION("""COMPUTED_VALUE"""),"Embedded Systems and IoMT")</f>
        <v>Embedded Systems and IoMT</v>
      </c>
      <c r="G39" s="2" t="str">
        <f>IFERROR(__xludf.DUMMYFUNCTION("""COMPUTED_VALUE"""),"EC4801, EC4802")</f>
        <v>EC4801, EC4802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IFERROR(__xludf.DUMMYFUNCTION("""COMPUTED_VALUE"""),"EC4402")</f>
        <v>EC4402</v>
      </c>
      <c r="E40" s="2" t="str">
        <f>IFERROR(__xludf.DUMMYFUNCTION("""COMPUTED_VALUE"""),"19MD402")</f>
        <v>19MD402</v>
      </c>
      <c r="F40" s="7" t="str">
        <f>IFERROR(__xludf.DUMMYFUNCTION("""COMPUTED_VALUE"""),"Bio Control Systems")</f>
        <v>Bio Control Systems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IFERROR(__xludf.DUMMYFUNCTION("""COMPUTED_VALUE"""),"EC4406")</f>
        <v>EC4406</v>
      </c>
      <c r="E41" s="2" t="str">
        <f>IFERROR(__xludf.DUMMYFUNCTION("""COMPUTED_VALUE"""),"19BM406")</f>
        <v>19BM406</v>
      </c>
      <c r="F41" s="7" t="str">
        <f>IFERROR(__xludf.DUMMYFUNCTION("""COMPUTED_VALUE"""),"Biomechanics")</f>
        <v>Biomechanics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 t="str">
        <f>IFERROR(__xludf.DUMMYFUNCTION("""COMPUTED_VALUE"""),"Exempted for LE")</f>
        <v>Exempted for LE</v>
      </c>
      <c r="C42" s="2" t="str">
        <f>IFERROR(__xludf.DUMMYFUNCTION("""COMPUTED_VALUE"""),"PC")</f>
        <v>PC</v>
      </c>
      <c r="D42" s="2" t="str">
        <f>IFERROR(__xludf.DUMMYFUNCTION("""COMPUTED_VALUE"""),"EC4812")</f>
        <v>EC4812</v>
      </c>
      <c r="E42" s="2" t="str">
        <f>IFERROR(__xludf.DUMMYFUNCTION("""COMPUTED_VALUE"""),"NA")</f>
        <v>NA</v>
      </c>
      <c r="F42" s="7" t="str">
        <f>IFERROR(__xludf.DUMMYFUNCTION("""COMPUTED_VALUE"""),"Sensors and Measurements")</f>
        <v>Sensors and Measurements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IFERROR(__xludf.DUMMYFUNCTION("""COMPUTED_VALUE"""),"PE(Honours 1)")</f>
        <v>PE(Honours 1)</v>
      </c>
      <c r="D43" s="2" t="str">
        <f>IFERROR(__xludf.DUMMYFUNCTION("""COMPUTED_VALUE"""),"EC4518")</f>
        <v>EC4518</v>
      </c>
      <c r="E43" s="2" t="str">
        <f>IFERROR(__xludf.DUMMYFUNCTION("""COMPUTED_VALUE"""),"19BM518")</f>
        <v>19BM518</v>
      </c>
      <c r="F43" s="7" t="str">
        <f>IFERROR(__xludf.DUMMYFUNCTION("""COMPUTED_VALUE"""),"Foundation Skills in Integrated Product Development")</f>
        <v>Foundation Skills in Integrated Product Development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IFERROR(__xludf.DUMMYFUNCTION("""COMPUTED_VALUE"""),"PE(Honours 1)")</f>
        <v>PE(Honours 1)</v>
      </c>
      <c r="D44" s="2" t="str">
        <f>IFERROR(__xludf.DUMMYFUNCTION("""COMPUTED_VALUE"""),"EC4519")</f>
        <v>EC4519</v>
      </c>
      <c r="E44" s="2" t="str">
        <f>IFERROR(__xludf.DUMMYFUNCTION("""COMPUTED_VALUE"""),"19BM519")</f>
        <v>19BM519</v>
      </c>
      <c r="F44" s="7" t="str">
        <f>IFERROR(__xludf.DUMMYFUNCTION("""COMPUTED_VALUE"""),"Medical Device Design")</f>
        <v>Medical Device Design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IFERROR(__xludf.DUMMYFUNCTION("""COMPUTED_VALUE"""),"PE(Honours 1)")</f>
        <v>PE(Honours 1)</v>
      </c>
      <c r="D45" s="2" t="str">
        <f>IFERROR(__xludf.DUMMYFUNCTION("""COMPUTED_VALUE"""),"EC4520")</f>
        <v>EC4520</v>
      </c>
      <c r="E45" s="2" t="str">
        <f>IFERROR(__xludf.DUMMYFUNCTION("""COMPUTED_VALUE"""),"19BM520")</f>
        <v>19BM520</v>
      </c>
      <c r="F45" s="7" t="str">
        <f>IFERROR(__xludf.DUMMYFUNCTION("""COMPUTED_VALUE"""),"Medical Device Regulations")</f>
        <v>Medical Device Regulations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IFERROR(__xludf.DUMMYFUNCTION("""COMPUTED_VALUE"""),"PE(Honours 1)")</f>
        <v>PE(Honours 1)</v>
      </c>
      <c r="D46" s="2" t="str">
        <f>IFERROR(__xludf.DUMMYFUNCTION("""COMPUTED_VALUE"""),"EC4521")</f>
        <v>EC4521</v>
      </c>
      <c r="E46" s="2" t="str">
        <f>IFERROR(__xludf.DUMMYFUNCTION("""COMPUTED_VALUE"""),"19BM521")</f>
        <v>19BM521</v>
      </c>
      <c r="F46" s="7" t="str">
        <f>IFERROR(__xludf.DUMMYFUNCTION("""COMPUTED_VALUE"""),"Patient Safety, Standards and Ethics")</f>
        <v>Patient Safety, Standards and Ethics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IFERROR(__xludf.DUMMYFUNCTION("""COMPUTED_VALUE"""),"PE(Honours 1)")</f>
        <v>PE(Honours 1)</v>
      </c>
      <c r="D47" s="2" t="str">
        <f>IFERROR(__xludf.DUMMYFUNCTION("""COMPUTED_VALUE"""),"EC4522")</f>
        <v>EC4522</v>
      </c>
      <c r="E47" s="2" t="str">
        <f>IFERROR(__xludf.DUMMYFUNCTION("""COMPUTED_VALUE"""),"19BM522")</f>
        <v>19BM522</v>
      </c>
      <c r="F47" s="7" t="str">
        <f>IFERROR(__xludf.DUMMYFUNCTION("""COMPUTED_VALUE"""),"Medical Innovation and Entrepreneurship")</f>
        <v>Medical Innovation and Entrepreneurship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IFERROR(__xludf.DUMMYFUNCTION("""COMPUTED_VALUE"""),"PE(Honours 1)")</f>
        <v>PE(Honours 1)</v>
      </c>
      <c r="D48" s="2" t="str">
        <f>IFERROR(__xludf.DUMMYFUNCTION("""COMPUTED_VALUE"""),"EC4523")</f>
        <v>EC4523</v>
      </c>
      <c r="E48" s="2" t="str">
        <f>IFERROR(__xludf.DUMMYFUNCTION("""COMPUTED_VALUE"""),"19BM523")</f>
        <v>19BM523</v>
      </c>
      <c r="F48" s="7" t="str">
        <f>IFERROR(__xludf.DUMMYFUNCTION("""COMPUTED_VALUE"""),"Rapid Prototyping")</f>
        <v>Rapid Prototyping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IFERROR(__xludf.DUMMYFUNCTION("""COMPUTED_VALUE"""),"PE(Honours 2)")</f>
        <v>PE(Honours 2)</v>
      </c>
      <c r="D49" s="2" t="str">
        <f>IFERROR(__xludf.DUMMYFUNCTION("""COMPUTED_VALUE"""),"EC4524")</f>
        <v>EC4524</v>
      </c>
      <c r="E49" s="2" t="str">
        <f>IFERROR(__xludf.DUMMYFUNCTION("""COMPUTED_VALUE"""),"19BM524")</f>
        <v>19BM524</v>
      </c>
      <c r="F49" s="7" t="str">
        <f>IFERROR(__xludf.DUMMYFUNCTION("""COMPUTED_VALUE"""),"Clinical Engineering")</f>
        <v>Clinical Engineering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IFERROR(__xludf.DUMMYFUNCTION("""COMPUTED_VALUE"""),49)</f>
        <v>49</v>
      </c>
      <c r="B50" s="2"/>
      <c r="C50" s="2" t="str">
        <f>IFERROR(__xludf.DUMMYFUNCTION("""COMPUTED_VALUE"""),"PE(Honours 2)")</f>
        <v>PE(Honours 2)</v>
      </c>
      <c r="D50" s="2" t="str">
        <f>IFERROR(__xludf.DUMMYFUNCTION("""COMPUTED_VALUE"""),"EC4525")</f>
        <v>EC4525</v>
      </c>
      <c r="E50" s="2" t="str">
        <f>IFERROR(__xludf.DUMMYFUNCTION("""COMPUTED_VALUE"""),"19BM525")</f>
        <v>19BM525</v>
      </c>
      <c r="F50" s="7" t="str">
        <f>IFERROR(__xludf.DUMMYFUNCTION("""COMPUTED_VALUE"""),"Hospital Planning and Management")</f>
        <v>Hospital Planning and Management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IFERROR(__xludf.DUMMYFUNCTION("""COMPUTED_VALUE"""),50)</f>
        <v>50</v>
      </c>
      <c r="B51" s="2"/>
      <c r="C51" s="2" t="str">
        <f>IFERROR(__xludf.DUMMYFUNCTION("""COMPUTED_VALUE"""),"PE(Honours 2)")</f>
        <v>PE(Honours 2)</v>
      </c>
      <c r="D51" s="2" t="str">
        <f>IFERROR(__xludf.DUMMYFUNCTION("""COMPUTED_VALUE"""),"EC4526")</f>
        <v>EC4526</v>
      </c>
      <c r="E51" s="2" t="str">
        <f>IFERROR(__xludf.DUMMYFUNCTION("""COMPUTED_VALUE"""),"19BM526")</f>
        <v>19BM526</v>
      </c>
      <c r="F51" s="7" t="str">
        <f>IFERROR(__xludf.DUMMYFUNCTION("""COMPUTED_VALUE"""),"Medical Waste Management")</f>
        <v>Medical Waste Management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IFERROR(__xludf.DUMMYFUNCTION("""COMPUTED_VALUE"""),51)</f>
        <v>51</v>
      </c>
      <c r="B52" s="2"/>
      <c r="C52" s="2" t="str">
        <f>IFERROR(__xludf.DUMMYFUNCTION("""COMPUTED_VALUE"""),"PE(Honours 2)")</f>
        <v>PE(Honours 2)</v>
      </c>
      <c r="D52" s="2" t="str">
        <f>IFERROR(__xludf.DUMMYFUNCTION("""COMPUTED_VALUE"""),"EC4527")</f>
        <v>EC4527</v>
      </c>
      <c r="E52" s="2" t="str">
        <f>IFERROR(__xludf.DUMMYFUNCTION("""COMPUTED_VALUE"""),"19BM527")</f>
        <v>19BM527</v>
      </c>
      <c r="F52" s="7" t="str">
        <f>IFERROR(__xludf.DUMMYFUNCTION("""COMPUTED_VALUE"""),"Economics and Management for Engineers")</f>
        <v>Economics and Management for Engineers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IFERROR(__xludf.DUMMYFUNCTION("""COMPUTED_VALUE"""),52)</f>
        <v>52</v>
      </c>
      <c r="B53" s="2"/>
      <c r="C53" s="2" t="str">
        <f>IFERROR(__xludf.DUMMYFUNCTION("""COMPUTED_VALUE"""),"PE(Honours 2)")</f>
        <v>PE(Honours 2)</v>
      </c>
      <c r="D53" s="2" t="str">
        <f>IFERROR(__xludf.DUMMYFUNCTION("""COMPUTED_VALUE"""),"EC4528")</f>
        <v>EC4528</v>
      </c>
      <c r="E53" s="2" t="str">
        <f>IFERROR(__xludf.DUMMYFUNCTION("""COMPUTED_VALUE"""),"19BM528")</f>
        <v>19BM528</v>
      </c>
      <c r="F53" s="7" t="str">
        <f>IFERROR(__xludf.DUMMYFUNCTION("""COMPUTED_VALUE"""),"Biostatistics")</f>
        <v>Biostatistics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IFERROR(__xludf.DUMMYFUNCTION("""COMPUTED_VALUE"""),53)</f>
        <v>53</v>
      </c>
      <c r="B54" s="2"/>
      <c r="C54" s="2" t="str">
        <f>IFERROR(__xludf.DUMMYFUNCTION("""COMPUTED_VALUE"""),"PE(Honours 2)")</f>
        <v>PE(Honours 2)</v>
      </c>
      <c r="D54" s="2" t="str">
        <f>IFERROR(__xludf.DUMMYFUNCTION("""COMPUTED_VALUE"""),"EC4529")</f>
        <v>EC4529</v>
      </c>
      <c r="E54" s="2" t="str">
        <f>IFERROR(__xludf.DUMMYFUNCTION("""COMPUTED_VALUE"""),"19BM529")</f>
        <v>19BM529</v>
      </c>
      <c r="F54" s="7" t="str">
        <f>IFERROR(__xludf.DUMMYFUNCTION("""COMPUTED_VALUE"""),"Forensic Science in Healthcare")</f>
        <v>Forensic Science in Healthcare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IFERROR(__xludf.DUMMYFUNCTION("""COMPUTED_VALUE"""),54)</f>
        <v>54</v>
      </c>
      <c r="B55" s="2"/>
      <c r="C55" s="2" t="str">
        <f>IFERROR(__xludf.DUMMYFUNCTION("""COMPUTED_VALUE"""),"PE")</f>
        <v>PE</v>
      </c>
      <c r="D55" s="2" t="str">
        <f>IFERROR(__xludf.DUMMYFUNCTION("""COMPUTED_VALUE"""),"EC4531")</f>
        <v>EC4531</v>
      </c>
      <c r="E55" s="2" t="str">
        <f>IFERROR(__xludf.DUMMYFUNCTION("""COMPUTED_VALUE"""),"19BM531")</f>
        <v>19BM531</v>
      </c>
      <c r="F55" s="7" t="str">
        <f>IFERROR(__xludf.DUMMYFUNCTION("""COMPUTED_VALUE"""),"Virtual Reality and Augmented Reality in Health care")</f>
        <v>Virtual Reality and Augmented Reality in Health care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IFERROR(__xludf.DUMMYFUNCTION("""COMPUTED_VALUE"""),55)</f>
        <v>55</v>
      </c>
      <c r="B56" s="2"/>
      <c r="C56" s="2" t="str">
        <f>IFERROR(__xludf.DUMMYFUNCTION("""COMPUTED_VALUE"""),"PE")</f>
        <v>PE</v>
      </c>
      <c r="D56" s="2" t="str">
        <f>IFERROR(__xludf.DUMMYFUNCTION("""COMPUTED_VALUE"""),"EC4413")</f>
        <v>EC4413</v>
      </c>
      <c r="E56" s="2" t="str">
        <f>IFERROR(__xludf.DUMMYFUNCTION("""COMPUTED_VALUE"""),"19BM413")</f>
        <v>19BM413</v>
      </c>
      <c r="F56" s="7" t="str">
        <f>IFERROR(__xludf.DUMMYFUNCTION("""COMPUTED_VALUE"""),"Virtual Instrumentation for Clinical Applications")</f>
        <v>Virtual Instrumentation for Clinical Applications</v>
      </c>
      <c r="G56" s="2" t="str">
        <f>IFERROR(__xludf.DUMMYFUNCTION("""COMPUTED_VALUE"""),"19MD403")</f>
        <v>19MD403</v>
      </c>
      <c r="H56" s="2">
        <f>IFERROR(__xludf.DUMMYFUNCTION("""COMPUTED_VALUE"""),3)</f>
        <v>3</v>
      </c>
      <c r="I56" s="2">
        <f>IFERROR(__xludf.DUMMYFUNCTION("""COMPUTED_VALUE"""),1)</f>
        <v>1</v>
      </c>
      <c r="J56" s="2">
        <f>IFERROR(__xludf.DUMMYFUNCTION("""COMPUTED_VALUE"""),4)</f>
        <v>4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IFERROR(__xludf.DUMMYFUNCTION("""COMPUTED_VALUE"""),56)</f>
        <v>56</v>
      </c>
      <c r="B57" s="2"/>
      <c r="C57" s="2" t="str">
        <f>IFERROR(__xludf.DUMMYFUNCTION("""COMPUTED_VALUE"""),"PE")</f>
        <v>PE</v>
      </c>
      <c r="D57" s="2" t="str">
        <f>IFERROR(__xludf.DUMMYFUNCTION("""COMPUTED_VALUE"""),"EC4511")</f>
        <v>EC4511</v>
      </c>
      <c r="E57" s="2" t="str">
        <f>IFERROR(__xludf.DUMMYFUNCTION("""COMPUTED_VALUE"""),"NA")</f>
        <v>NA</v>
      </c>
      <c r="F57" s="7" t="str">
        <f>IFERROR(__xludf.DUMMYFUNCTION("""COMPUTED_VALUE"""),"Brain Computer Interface and its Applications")</f>
        <v>Brain Computer Interface and its Applications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IFERROR(__xludf.DUMMYFUNCTION("""COMPUTED_VALUE"""),57)</f>
        <v>57</v>
      </c>
      <c r="B58" s="2"/>
      <c r="C58" s="2" t="str">
        <f>IFERROR(__xludf.DUMMYFUNCTION("""COMPUTED_VALUE"""),"PE")</f>
        <v>PE</v>
      </c>
      <c r="D58" s="2" t="str">
        <f>IFERROR(__xludf.DUMMYFUNCTION("""COMPUTED_VALUE"""),"EC4506")</f>
        <v>EC4506</v>
      </c>
      <c r="E58" s="2" t="str">
        <f>IFERROR(__xludf.DUMMYFUNCTION("""COMPUTED_VALUE"""),"19BM506")</f>
        <v>19BM506</v>
      </c>
      <c r="F58" s="7" t="str">
        <f>IFERROR(__xludf.DUMMYFUNCTION("""COMPUTED_VALUE"""),"Medical Nanotechnology")</f>
        <v>Medical Nanotechnology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IFERROR(__xludf.DUMMYFUNCTION("""COMPUTED_VALUE"""),58)</f>
        <v>58</v>
      </c>
      <c r="B59" s="2"/>
      <c r="C59" s="2" t="str">
        <f>IFERROR(__xludf.DUMMYFUNCTION("""COMPUTED_VALUE"""),"PE")</f>
        <v>PE</v>
      </c>
      <c r="D59" s="2" t="str">
        <f>IFERROR(__xludf.DUMMYFUNCTION("""COMPUTED_VALUE"""),"EC4532")</f>
        <v>EC4532</v>
      </c>
      <c r="E59" s="2" t="str">
        <f>IFERROR(__xludf.DUMMYFUNCTION("""COMPUTED_VALUE"""),"19BM532")</f>
        <v>19BM532</v>
      </c>
      <c r="F59" s="7" t="str">
        <f>IFERROR(__xludf.DUMMYFUNCTION("""COMPUTED_VALUE"""),"Medical Informatics")</f>
        <v>Medical Informatics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IFERROR(__xludf.DUMMYFUNCTION("""COMPUTED_VALUE"""),59)</f>
        <v>59</v>
      </c>
      <c r="B60" s="2"/>
      <c r="C60" s="2" t="str">
        <f>IFERROR(__xludf.DUMMYFUNCTION("""COMPUTED_VALUE"""),"PE")</f>
        <v>PE</v>
      </c>
      <c r="D60" s="2" t="str">
        <f>IFERROR(__xludf.DUMMYFUNCTION("""COMPUTED_VALUE"""),"EC4507")</f>
        <v>EC4507</v>
      </c>
      <c r="E60" s="2" t="str">
        <f>IFERROR(__xludf.DUMMYFUNCTION("""COMPUTED_VALUE"""),"19BM507")</f>
        <v>19BM507</v>
      </c>
      <c r="F60" s="7" t="str">
        <f>IFERROR(__xludf.DUMMYFUNCTION("""COMPUTED_VALUE"""),"Robotics in Medicine")</f>
        <v>Robotics in Medicine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IFERROR(__xludf.DUMMYFUNCTION("""COMPUTED_VALUE"""),60)</f>
        <v>60</v>
      </c>
      <c r="B61" s="2"/>
      <c r="C61" s="2" t="str">
        <f>IFERROR(__xludf.DUMMYFUNCTION("""COMPUTED_VALUE"""),"PE")</f>
        <v>PE</v>
      </c>
      <c r="D61" s="2" t="str">
        <f>IFERROR(__xludf.DUMMYFUNCTION("""COMPUTED_VALUE"""),"EC4510")</f>
        <v>EC4510</v>
      </c>
      <c r="E61" s="2" t="str">
        <f>IFERROR(__xludf.DUMMYFUNCTION("""COMPUTED_VALUE"""),"19BM510")</f>
        <v>19BM510</v>
      </c>
      <c r="F61" s="7" t="str">
        <f>IFERROR(__xludf.DUMMYFUNCTION("""COMPUTED_VALUE"""),"Ergonomics")</f>
        <v>Ergonomics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IFERROR(__xludf.DUMMYFUNCTION("""COMPUTED_VALUE"""),61)</f>
        <v>61</v>
      </c>
      <c r="B62" s="2"/>
      <c r="C62" s="2" t="str">
        <f>IFERROR(__xludf.DUMMYFUNCTION("""COMPUTED_VALUE"""),"PE")</f>
        <v>PE</v>
      </c>
      <c r="D62" s="2" t="str">
        <f>IFERROR(__xludf.DUMMYFUNCTION("""COMPUTED_VALUE"""),"EC4502")</f>
        <v>EC4502</v>
      </c>
      <c r="E62" s="2" t="str">
        <f>IFERROR(__xludf.DUMMYFUNCTION("""COMPUTED_VALUE"""),"19BM502")</f>
        <v>19BM502</v>
      </c>
      <c r="F62" s="7" t="str">
        <f>IFERROR(__xludf.DUMMYFUNCTION("""COMPUTED_VALUE"""),"Biofluids and Dynamics")</f>
        <v>Biofluids and Dynamics</v>
      </c>
      <c r="G62" s="2" t="str">
        <f>IFERROR(__xludf.DUMMYFUNCTION("""COMPUTED_VALUE"""),"19BM406")</f>
        <v>19BM406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IFERROR(__xludf.DUMMYFUNCTION("""COMPUTED_VALUE"""),62)</f>
        <v>62</v>
      </c>
      <c r="B63" s="2"/>
      <c r="C63" s="2" t="str">
        <f>IFERROR(__xludf.DUMMYFUNCTION("""COMPUTED_VALUE"""),"PE")</f>
        <v>PE</v>
      </c>
      <c r="D63" s="2" t="str">
        <f>IFERROR(__xludf.DUMMYFUNCTION("""COMPUTED_VALUE"""),"EC4814")</f>
        <v>EC4814</v>
      </c>
      <c r="E63" s="2" t="str">
        <f>IFERROR(__xludf.DUMMYFUNCTION("""COMPUTED_VALUE"""),"NA")</f>
        <v>NA</v>
      </c>
      <c r="F63" s="7" t="str">
        <f>IFERROR(__xludf.DUMMYFUNCTION("""COMPUTED_VALUE"""),"BioMEMS")</f>
        <v>BioMEMS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IFERROR(__xludf.DUMMYFUNCTION("""COMPUTED_VALUE"""),63)</f>
        <v>63</v>
      </c>
      <c r="B64" s="2"/>
      <c r="C64" s="2" t="str">
        <f>IFERROR(__xludf.DUMMYFUNCTION("""COMPUTED_VALUE"""),"PE")</f>
        <v>PE</v>
      </c>
      <c r="D64" s="2" t="str">
        <f>IFERROR(__xludf.DUMMYFUNCTION("""COMPUTED_VALUE"""),"EC4815")</f>
        <v>EC4815</v>
      </c>
      <c r="E64" s="2" t="str">
        <f>IFERROR(__xludf.DUMMYFUNCTION("""COMPUTED_VALUE"""),"NA")</f>
        <v>NA</v>
      </c>
      <c r="F64" s="7" t="str">
        <f>IFERROR(__xludf.DUMMYFUNCTION("""COMPUTED_VALUE"""),"Haptics")</f>
        <v>Haptics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IFERROR(__xludf.DUMMYFUNCTION("""COMPUTED_VALUE"""),64)</f>
        <v>64</v>
      </c>
      <c r="B65" s="2"/>
      <c r="C65" s="2" t="str">
        <f>IFERROR(__xludf.DUMMYFUNCTION("""COMPUTED_VALUE"""),"PE")</f>
        <v>PE</v>
      </c>
      <c r="D65" s="2" t="str">
        <f>IFERROR(__xludf.DUMMYFUNCTION("""COMPUTED_VALUE"""),"EC4833")</f>
        <v>EC4833</v>
      </c>
      <c r="E65" s="2" t="str">
        <f>IFERROR(__xludf.DUMMYFUNCTION("""COMPUTED_VALUE"""),"19MD507")</f>
        <v>19MD507</v>
      </c>
      <c r="F65" s="7" t="str">
        <f>IFERROR(__xludf.DUMMYFUNCTION("""COMPUTED_VALUE"""),"Physiological Modeling")</f>
        <v>Physiological Modeling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IFERROR(__xludf.DUMMYFUNCTION("""COMPUTED_VALUE"""),65)</f>
        <v>65</v>
      </c>
      <c r="B66" s="2"/>
      <c r="C66" s="2" t="str">
        <f>IFERROR(__xludf.DUMMYFUNCTION("""COMPUTED_VALUE"""),"PE")</f>
        <v>PE</v>
      </c>
      <c r="D66" s="2" t="str">
        <f>IFERROR(__xludf.DUMMYFUNCTION("""COMPUTED_VALUE"""),"EC4504")</f>
        <v>EC4504</v>
      </c>
      <c r="E66" s="2" t="str">
        <f>IFERROR(__xludf.DUMMYFUNCTION("""COMPUTED_VALUE"""),"19BM504")</f>
        <v>19BM504</v>
      </c>
      <c r="F66" s="7" t="str">
        <f>IFERROR(__xludf.DUMMYFUNCTION("""COMPUTED_VALUE"""),"Rehabilitation Engineering")</f>
        <v>Rehabilitation Engineering</v>
      </c>
      <c r="G66" s="2" t="str">
        <f>IFERROR(__xludf.DUMMYFUNCTION("""COMPUTED_VALUE"""),"EC4406/19BM406")</f>
        <v>EC4406/19BM406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IFERROR(__xludf.DUMMYFUNCTION("""COMPUTED_VALUE"""),66)</f>
        <v>66</v>
      </c>
      <c r="B67" s="2"/>
      <c r="C67" s="2" t="str">
        <f>IFERROR(__xludf.DUMMYFUNCTION("""COMPUTED_VALUE"""),"PE")</f>
        <v>PE</v>
      </c>
      <c r="D67" s="2" t="str">
        <f>IFERROR(__xludf.DUMMYFUNCTION("""COMPUTED_VALUE"""),"CS1509")</f>
        <v>CS1509</v>
      </c>
      <c r="E67" s="2" t="str">
        <f>IFERROR(__xludf.DUMMYFUNCTION("""COMPUTED_VALUE"""),"19CS509")</f>
        <v>19CS509</v>
      </c>
      <c r="F67" s="7" t="str">
        <f>IFERROR(__xludf.DUMMYFUNCTION("""COMPUTED_VALUE"""),"Graph Theory and Applications")</f>
        <v>Graph Theory and Applications</v>
      </c>
      <c r="G67" s="2" t="str">
        <f>IFERROR(__xludf.DUMMYFUNCTION("""COMPUTED_VALUE"""),"19MA206")</f>
        <v>19MA206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IFERROR(__xludf.DUMMYFUNCTION("""COMPUTED_VALUE"""),67)</f>
        <v>67</v>
      </c>
      <c r="B68" s="2"/>
      <c r="C68" s="2" t="str">
        <f>IFERROR(__xludf.DUMMYFUNCTION("""COMPUTED_VALUE"""),"PE")</f>
        <v>PE</v>
      </c>
      <c r="D68" s="2" t="str">
        <f>IFERROR(__xludf.DUMMYFUNCTION("""COMPUTED_VALUE"""),"CS3410")</f>
        <v>CS3410</v>
      </c>
      <c r="E68" s="2" t="str">
        <f>IFERROR(__xludf.DUMMYFUNCTION("""COMPUTED_VALUE"""),"19AI410")</f>
        <v>19AI410</v>
      </c>
      <c r="F68" s="7" t="str">
        <f>IFERROR(__xludf.DUMMYFUNCTION("""COMPUTED_VALUE"""),"Introduction to Machine Learning")</f>
        <v>Introduction to Machine Learning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IFERROR(__xludf.DUMMYFUNCTION("""COMPUTED_VALUE"""),68)</f>
        <v>68</v>
      </c>
      <c r="B69" s="2"/>
      <c r="C69" s="2" t="str">
        <f>IFERROR(__xludf.DUMMYFUNCTION("""COMPUTED_VALUE"""),"PE")</f>
        <v>PE</v>
      </c>
      <c r="D69" s="2" t="str">
        <f>IFERROR(__xludf.DUMMYFUNCTION("""COMPUTED_VALUE"""),"CS3404")</f>
        <v>CS3404</v>
      </c>
      <c r="E69" s="2" t="str">
        <f>IFERROR(__xludf.DUMMYFUNCTION("""COMPUTED_VALUE"""),"19AI404")</f>
        <v>19AI404</v>
      </c>
      <c r="F69" s="7" t="str">
        <f>IFERROR(__xludf.DUMMYFUNCTION("""COMPUTED_VALUE"""),"Analysis of Algorithms")</f>
        <v>Analysis of Algorithms</v>
      </c>
      <c r="G69" s="2" t="str">
        <f>IFERROR(__xludf.DUMMYFUNCTION("""COMPUTED_VALUE"""),"19AI301")</f>
        <v>19AI301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IFERROR(__xludf.DUMMYFUNCTION("""COMPUTED_VALUE"""),69)</f>
        <v>69</v>
      </c>
      <c r="B70" s="2"/>
      <c r="C70" s="2" t="str">
        <f>IFERROR(__xludf.DUMMYFUNCTION("""COMPUTED_VALUE"""),"PE")</f>
        <v>PE</v>
      </c>
      <c r="D70" s="2" t="str">
        <f>IFERROR(__xludf.DUMMYFUNCTION("""COMPUTED_VALUE"""),"CS1404")</f>
        <v>CS1404</v>
      </c>
      <c r="E70" s="2" t="str">
        <f>IFERROR(__xludf.DUMMYFUNCTION("""COMPUTED_VALUE"""),"19CS404")</f>
        <v>19CS404</v>
      </c>
      <c r="F70" s="3" t="str">
        <f>IFERROR(__xludf.DUMMYFUNCTION("""COMPUTED_VALUE"""),"Database Management System and its Applications")</f>
        <v>Database Management System and its Applications</v>
      </c>
      <c r="G70" s="2" t="str">
        <f>IFERROR(__xludf.DUMMYFUNCTION("""COMPUTED_VALUE"""),"19AI301/19AI304/19CS301/19CS302/19CS303")</f>
        <v>19AI301/19AI304/19CS301/19CS302/19CS303</v>
      </c>
      <c r="H70" s="2">
        <f>IFERROR(__xludf.DUMMYFUNCTION("""COMPUTED_VALUE"""),3)</f>
        <v>3</v>
      </c>
      <c r="I70" s="2">
        <f>IFERROR(__xludf.DUMMYFUNCTION("""COMPUTED_VALUE"""),1)</f>
        <v>1</v>
      </c>
      <c r="J70" s="2">
        <f>IFERROR(__xludf.DUMMYFUNCTION("""COMPUTED_VALUE"""),4)</f>
        <v>4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IFERROR(__xludf.DUMMYFUNCTION("""COMPUTED_VALUE"""),70)</f>
        <v>70</v>
      </c>
      <c r="B71" s="2"/>
      <c r="C71" s="2" t="str">
        <f>IFERROR(__xludf.DUMMYFUNCTION("""COMPUTED_VALUE"""),"PE")</f>
        <v>PE</v>
      </c>
      <c r="D71" s="2" t="str">
        <f>IFERROR(__xludf.DUMMYFUNCTION("""COMPUTED_VALUE"""),"CS3801")</f>
        <v>CS3801</v>
      </c>
      <c r="E71" s="2" t="str">
        <f>IFERROR(__xludf.DUMMYFUNCTION("""COMPUTED_VALUE"""),"NA")</f>
        <v>NA</v>
      </c>
      <c r="F71" s="7" t="str">
        <f>IFERROR(__xludf.DUMMYFUNCTION("""COMPUTED_VALUE"""),"Artificial Intelligence and Applications")</f>
        <v>Artificial Intelligence and Applications</v>
      </c>
      <c r="G71" s="2" t="str">
        <f>IFERROR(__xludf.DUMMYFUNCTION("""COMPUTED_VALUE"""),"-")</f>
        <v>-</v>
      </c>
      <c r="H71" s="2">
        <f>IFERROR(__xludf.DUMMYFUNCTION("""COMPUTED_VALUE"""),1)</f>
        <v>1</v>
      </c>
      <c r="I71" s="2">
        <f>IFERROR(__xludf.DUMMYFUNCTION("""COMPUTED_VALUE"""),2)</f>
        <v>2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 (Int Only) and Practical (10 Expts)")</f>
        <v>Theory (Int Only) and Practical (10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IFERROR(__xludf.DUMMYFUNCTION("""COMPUTED_VALUE"""),71)</f>
        <v>71</v>
      </c>
      <c r="B72" s="2"/>
      <c r="C72" s="2" t="str">
        <f>IFERROR(__xludf.DUMMYFUNCTION("""COMPUTED_VALUE"""),"EEC")</f>
        <v>EEC</v>
      </c>
      <c r="D72" s="2" t="str">
        <f>IFERROR(__xludf.DUMMYFUNCTION("""COMPUTED_VALUE"""),"EC4701")</f>
        <v>EC4701</v>
      </c>
      <c r="E72" s="2" t="str">
        <f>IFERROR(__xludf.DUMMYFUNCTION("""COMPUTED_VALUE"""),"19BM701")</f>
        <v>19BM701</v>
      </c>
      <c r="F72" s="7" t="str">
        <f>IFERROR(__xludf.DUMMYFUNCTION("""COMPUTED_VALUE"""),"Mini Project")</f>
        <v>Mini Project</v>
      </c>
      <c r="G72" s="2" t="str">
        <f>IFERROR(__xludf.DUMMYFUNCTION("""COMPUTED_VALUE"""),"-")</f>
        <v>-</v>
      </c>
      <c r="H72" s="2">
        <f>IFERROR(__xludf.DUMMYFUNCTION("""COMPUTED_VALUE"""),0)</f>
        <v>0</v>
      </c>
      <c r="I72" s="2">
        <f>IFERROR(__xludf.DUMMYFUNCTION("""COMPUTED_VALUE"""),2)</f>
        <v>2</v>
      </c>
      <c r="J72" s="2">
        <f>IFERROR(__xludf.DUMMYFUNCTION("""COMPUTED_VALUE"""),2)</f>
        <v>2</v>
      </c>
      <c r="K72" s="2" t="str">
        <f>IFERROR(__xludf.DUMMYFUNCTION("""COMPUTED_VALUE"""),"CGPA")</f>
        <v>CGPA</v>
      </c>
      <c r="L72" s="2" t="str">
        <f>IFERROR(__xludf.DUMMYFUNCTION("""COMPUTED_VALUE"""),"Project (Int Only)")</f>
        <v>Project (Int Only)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IFERROR(__xludf.DUMMYFUNCTION("""COMPUTED_VALUE"""),72)</f>
        <v>72</v>
      </c>
      <c r="B73" s="2" t="str">
        <f>IFERROR(__xludf.DUMMYFUNCTION("""COMPUTED_VALUE"""),"Option1")</f>
        <v>Option1</v>
      </c>
      <c r="C73" s="2" t="str">
        <f>IFERROR(__xludf.DUMMYFUNCTION("""COMPUTED_VALUE"""),"EEC")</f>
        <v>EEC</v>
      </c>
      <c r="D73" s="2" t="str">
        <f>IFERROR(__xludf.DUMMYFUNCTION("""COMPUTED_VALUE"""),"EC4702")</f>
        <v>EC4702</v>
      </c>
      <c r="E73" s="2" t="str">
        <f>IFERROR(__xludf.DUMMYFUNCTION("""COMPUTED_VALUE"""),"19BM702")</f>
        <v>19BM702</v>
      </c>
      <c r="F73" s="7" t="str">
        <f>IFERROR(__xludf.DUMMYFUNCTION("""COMPUTED_VALUE"""),"Project Work Phase I")</f>
        <v>Project Work Phase I</v>
      </c>
      <c r="G73" s="2" t="str">
        <f>IFERROR(__xludf.DUMMYFUNCTION("""COMPUTED_VALUE"""),"-")</f>
        <v>-</v>
      </c>
      <c r="H73" s="2">
        <f>IFERROR(__xludf.DUMMYFUNCTION("""COMPUTED_VALUE"""),0)</f>
        <v>0</v>
      </c>
      <c r="I73" s="2">
        <f>IFERROR(__xludf.DUMMYFUNCTION("""COMPUTED_VALUE"""),2)</f>
        <v>2</v>
      </c>
      <c r="J73" s="2">
        <f>IFERROR(__xludf.DUMMYFUNCTION("""COMPUTED_VALUE"""),2)</f>
        <v>2</v>
      </c>
      <c r="K73" s="2" t="str">
        <f>IFERROR(__xludf.DUMMYFUNCTION("""COMPUTED_VALUE"""),"CGPA")</f>
        <v>CGPA</v>
      </c>
      <c r="L73" s="2" t="str">
        <f>IFERROR(__xludf.DUMMYFUNCTION("""COMPUTED_VALUE"""),"Project (Int Only)")</f>
        <v>Project (Int Only)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IFERROR(__xludf.DUMMYFUNCTION("""COMPUTED_VALUE"""),73)</f>
        <v>73</v>
      </c>
      <c r="B74" s="2" t="str">
        <f>IFERROR(__xludf.DUMMYFUNCTION("""COMPUTED_VALUE"""),"Option1")</f>
        <v>Option1</v>
      </c>
      <c r="C74" s="2" t="str">
        <f>IFERROR(__xludf.DUMMYFUNCTION("""COMPUTED_VALUE"""),"EEC")</f>
        <v>EEC</v>
      </c>
      <c r="D74" s="2" t="str">
        <f>IFERROR(__xludf.DUMMYFUNCTION("""COMPUTED_VALUE"""),"EC4703")</f>
        <v>EC4703</v>
      </c>
      <c r="E74" s="2" t="str">
        <f>IFERROR(__xludf.DUMMYFUNCTION("""COMPUTED_VALUE"""),"19BM703")</f>
        <v>19BM703</v>
      </c>
      <c r="F74" s="7" t="str">
        <f>IFERROR(__xludf.DUMMYFUNCTION("""COMPUTED_VALUE"""),"Project Work Phase II")</f>
        <v>Project Work Phase II</v>
      </c>
      <c r="G74" s="2" t="str">
        <f>IFERROR(__xludf.DUMMYFUNCTION("""COMPUTED_VALUE"""),"EC4702/19BM702")</f>
        <v>EC4702/19BM702</v>
      </c>
      <c r="H74" s="2">
        <f>IFERROR(__xludf.DUMMYFUNCTION("""COMPUTED_VALUE"""),0)</f>
        <v>0</v>
      </c>
      <c r="I74" s="2">
        <f>IFERROR(__xludf.DUMMYFUNCTION("""COMPUTED_VALUE"""),6)</f>
        <v>6</v>
      </c>
      <c r="J74" s="2">
        <f>IFERROR(__xludf.DUMMYFUNCTION("""COMPUTED_VALUE"""),6)</f>
        <v>6</v>
      </c>
      <c r="K74" s="2" t="str">
        <f>IFERROR(__xludf.DUMMYFUNCTION("""COMPUTED_VALUE"""),"CGPA")</f>
        <v>CGPA</v>
      </c>
      <c r="L74" s="2" t="str">
        <f>IFERROR(__xludf.DUMMYFUNCTION("""COMPUTED_VALUE"""),"Project")</f>
        <v>Project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IFERROR(__xludf.DUMMYFUNCTION("""COMPUTED_VALUE"""),74)</f>
        <v>74</v>
      </c>
      <c r="B75" s="2" t="str">
        <f>IFERROR(__xludf.DUMMYFUNCTION("""COMPUTED_VALUE"""),"Option2")</f>
        <v>Option2</v>
      </c>
      <c r="C75" s="2" t="str">
        <f>IFERROR(__xludf.DUMMYFUNCTION("""COMPUTED_VALUE"""),"EEC")</f>
        <v>EEC</v>
      </c>
      <c r="D75" s="2" t="str">
        <f>IFERROR(__xludf.DUMMYFUNCTION("""COMPUTED_VALUE"""),"SH6802")</f>
        <v>SH6802</v>
      </c>
      <c r="E75" s="2" t="str">
        <f>IFERROR(__xludf.DUMMYFUNCTION("""COMPUTED_VALUE"""),"NA")</f>
        <v>NA</v>
      </c>
      <c r="F75" s="3" t="str">
        <f>IFERROR(__xludf.DUMMYFUNCTION("""COMPUTED_VALUE"""),"Start Up")</f>
        <v>Start Up</v>
      </c>
      <c r="G75" s="2" t="str">
        <f>IFERROR(__xludf.DUMMYFUNCTION("""COMPUTED_VALUE"""),"-")</f>
        <v>-</v>
      </c>
      <c r="H75" s="2">
        <f>IFERROR(__xludf.DUMMYFUNCTION("""COMPUTED_VALUE"""),0)</f>
        <v>0</v>
      </c>
      <c r="I75" s="2">
        <f>IFERROR(__xludf.DUMMYFUNCTION("""COMPUTED_VALUE"""),8)</f>
        <v>8</v>
      </c>
      <c r="J75" s="2">
        <f>IFERROR(__xludf.DUMMYFUNCTION("""COMPUTED_VALUE"""),8)</f>
        <v>8</v>
      </c>
      <c r="K75" s="2" t="str">
        <f>IFERROR(__xludf.DUMMYFUNCTION("""COMPUTED_VALUE"""),"CGPA")</f>
        <v>CGPA</v>
      </c>
      <c r="L75" s="2" t="str">
        <f>IFERROR(__xludf.DUMMYFUNCTION("""COMPUTED_VALUE"""),"Project")</f>
        <v>Project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IFERROR(__xludf.DUMMYFUNCTION("""COMPUTED_VALUE"""),75)</f>
        <v>75</v>
      </c>
      <c r="B76" s="2"/>
      <c r="C76" s="2" t="str">
        <f>IFERROR(__xludf.DUMMYFUNCTION("""COMPUTED_VALUE"""),"EEC")</f>
        <v>EEC</v>
      </c>
      <c r="D76" s="2" t="str">
        <f>IFERROR(__xludf.DUMMYFUNCTION("""COMPUTED_VALUE"""),"EC4819")</f>
        <v>EC4819</v>
      </c>
      <c r="E76" s="2" t="str">
        <f>IFERROR(__xludf.DUMMYFUNCTION("""COMPUTED_VALUE"""),"NA")</f>
        <v>NA</v>
      </c>
      <c r="F76" s="7" t="str">
        <f>IFERROR(__xludf.DUMMYFUNCTION("""COMPUTED_VALUE"""),"Hospital Training")</f>
        <v>Hospital Training</v>
      </c>
      <c r="G76" s="2" t="str">
        <f>IFERROR(__xludf.DUMMYFUNCTION("""COMPUTED_VALUE"""),"-")</f>
        <v>-</v>
      </c>
      <c r="H76" s="2">
        <f>IFERROR(__xludf.DUMMYFUNCTION("""COMPUTED_VALUE"""),0)</f>
        <v>0</v>
      </c>
      <c r="I76" s="2">
        <f>IFERROR(__xludf.DUMMYFUNCTION("""COMPUTED_VALUE"""),2)</f>
        <v>2</v>
      </c>
      <c r="J76" s="2">
        <f>IFERROR(__xludf.DUMMYFUNCTION("""COMPUTED_VALUE"""),2)</f>
        <v>2</v>
      </c>
      <c r="K76" s="2" t="str">
        <f>IFERROR(__xludf.DUMMYFUNCTION("""COMPUTED_VALUE"""),"CGPA")</f>
        <v>CGPA</v>
      </c>
      <c r="L76" s="2" t="str">
        <f>IFERROR(__xludf.DUMMYFUNCTION("""COMPUTED_VALUE"""),"Practical (10 Expts)")</f>
        <v>Practical (10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IFERROR(__xludf.DUMMYFUNCTION("""COMPUTED_VALUE"""),76)</f>
        <v>76</v>
      </c>
      <c r="B77" s="2"/>
      <c r="C77" s="2" t="str">
        <f>IFERROR(__xludf.DUMMYFUNCTION("""COMPUTED_VALUE"""),"EEC")</f>
        <v>EEC</v>
      </c>
      <c r="D77" s="2" t="str">
        <f>IFERROR(__xludf.DUMMYFUNCTION("""COMPUTED_VALUE"""),"SH6708")</f>
        <v>SH6708</v>
      </c>
      <c r="E77" s="2" t="str">
        <f>IFERROR(__xludf.DUMMYFUNCTION("""COMPUTED_VALUE"""),"19EY708")</f>
        <v>19EY708</v>
      </c>
      <c r="F77" s="7" t="str">
        <f>IFERROR(__xludf.DUMMYFUNCTION("""COMPUTED_VALUE"""),"Career Development Skills")</f>
        <v>Career Development Skills</v>
      </c>
      <c r="G77" s="2" t="str">
        <f>IFERROR(__xludf.DUMMYFUNCTION("""COMPUTED_VALUE"""),"NIL")</f>
        <v>NIL</v>
      </c>
      <c r="H77" s="2">
        <f>IFERROR(__xludf.DUMMYFUNCTION("""COMPUTED_VALUE"""),1)</f>
        <v>1</v>
      </c>
      <c r="I77" s="2">
        <f>IFERROR(__xludf.DUMMYFUNCTION("""COMPUTED_VALUE"""),0)</f>
        <v>0</v>
      </c>
      <c r="J77" s="2">
        <f>IFERROR(__xludf.DUMMYFUNCTION("""COMPUTED_VALUE"""),1)</f>
        <v>1</v>
      </c>
      <c r="K77" s="2" t="str">
        <f>IFERROR(__xludf.DUMMYFUNCTION("""COMPUTED_VALUE"""),"CGPA")</f>
        <v>CGPA</v>
      </c>
      <c r="L77" s="2" t="str">
        <f>IFERROR(__xludf.DUMMYFUNCTION("""COMPUTED_VALUE"""),"Theory (Int Only)")</f>
        <v>Theory (Int Only)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IFERROR(__xludf.DUMMYFUNCTION("""COMPUTED_VALUE"""),77)</f>
        <v>77</v>
      </c>
      <c r="B78" s="2"/>
      <c r="C78" s="2" t="str">
        <f>IFERROR(__xludf.DUMMYFUNCTION("""COMPUTED_VALUE"""),"EEC")</f>
        <v>EEC</v>
      </c>
      <c r="D78" s="2" t="str">
        <f>IFERROR(__xludf.DUMMYFUNCTION("""COMPUTED_VALUE"""),"SH6709")</f>
        <v>SH6709</v>
      </c>
      <c r="E78" s="2" t="str">
        <f>IFERROR(__xludf.DUMMYFUNCTION("""COMPUTED_VALUE"""),"19EY709")</f>
        <v>19EY709</v>
      </c>
      <c r="F78" s="7" t="str">
        <f>IFERROR(__xludf.DUMMYFUNCTION("""COMPUTED_VALUE"""),"Reasoning Ability")</f>
        <v>Reasoning Ability</v>
      </c>
      <c r="G78" s="2" t="str">
        <f>IFERROR(__xludf.DUMMYFUNCTION("""COMPUTED_VALUE"""),"NIL")</f>
        <v>NIL</v>
      </c>
      <c r="H78" s="2">
        <f>IFERROR(__xludf.DUMMYFUNCTION("""COMPUTED_VALUE"""),1)</f>
        <v>1</v>
      </c>
      <c r="I78" s="2">
        <f>IFERROR(__xludf.DUMMYFUNCTION("""COMPUTED_VALUE"""),0)</f>
        <v>0</v>
      </c>
      <c r="J78" s="2">
        <f>IFERROR(__xludf.DUMMYFUNCTION("""COMPUTED_VALUE"""),1)</f>
        <v>1</v>
      </c>
      <c r="K78" s="2" t="str">
        <f>IFERROR(__xludf.DUMMYFUNCTION("""COMPUTED_VALUE"""),"CGPA")</f>
        <v>CGPA</v>
      </c>
      <c r="L78" s="2" t="str">
        <f>IFERROR(__xludf.DUMMYFUNCTION("""COMPUTED_VALUE"""),"Theory (Int Only)")</f>
        <v>Theory (Int Only)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IFERROR(__xludf.DUMMYFUNCTION("""COMPUTED_VALUE"""),78)</f>
        <v>78</v>
      </c>
      <c r="B79" s="2"/>
      <c r="C79" s="2" t="str">
        <f>IFERROR(__xludf.DUMMYFUNCTION("""COMPUTED_VALUE"""),"EEC")</f>
        <v>EEC</v>
      </c>
      <c r="D79" s="2" t="str">
        <f>IFERROR(__xludf.DUMMYFUNCTION("""COMPUTED_VALUE"""),"SH6710")</f>
        <v>SH6710</v>
      </c>
      <c r="E79" s="2" t="str">
        <f>IFERROR(__xludf.DUMMYFUNCTION("""COMPUTED_VALUE"""),"19EY710")</f>
        <v>19EY710</v>
      </c>
      <c r="F79" s="7" t="str">
        <f>IFERROR(__xludf.DUMMYFUNCTION("""COMPUTED_VALUE"""),"Quantitative Ability I")</f>
        <v>Quantitative Ability I</v>
      </c>
      <c r="G79" s="2" t="str">
        <f>IFERROR(__xludf.DUMMYFUNCTION("""COMPUTED_VALUE"""),"NIL")</f>
        <v>NIL</v>
      </c>
      <c r="H79" s="2">
        <f>IFERROR(__xludf.DUMMYFUNCTION("""COMPUTED_VALUE"""),1)</f>
        <v>1</v>
      </c>
      <c r="I79" s="2">
        <f>IFERROR(__xludf.DUMMYFUNCTION("""COMPUTED_VALUE"""),0)</f>
        <v>0</v>
      </c>
      <c r="J79" s="2">
        <f>IFERROR(__xludf.DUMMYFUNCTION("""COMPUTED_VALUE"""),1)</f>
        <v>1</v>
      </c>
      <c r="K79" s="2" t="str">
        <f>IFERROR(__xludf.DUMMYFUNCTION("""COMPUTED_VALUE"""),"CGPA")</f>
        <v>CGPA</v>
      </c>
      <c r="L79" s="2" t="str">
        <f>IFERROR(__xludf.DUMMYFUNCTION("""COMPUTED_VALUE"""),"Theory (Int Only)")</f>
        <v>Theory (Int Only)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IFERROR(__xludf.DUMMYFUNCTION("""COMPUTED_VALUE"""),79)</f>
        <v>79</v>
      </c>
      <c r="B80" s="2"/>
      <c r="C80" s="2" t="str">
        <f>IFERROR(__xludf.DUMMYFUNCTION("""COMPUTED_VALUE"""),"EEC")</f>
        <v>EEC</v>
      </c>
      <c r="D80" s="2" t="str">
        <f>IFERROR(__xludf.DUMMYFUNCTION("""COMPUTED_VALUE"""),"SH6711")</f>
        <v>SH6711</v>
      </c>
      <c r="E80" s="2" t="str">
        <f>IFERROR(__xludf.DUMMYFUNCTION("""COMPUTED_VALUE"""),"19EY711")</f>
        <v>19EY711</v>
      </c>
      <c r="F80" s="7" t="str">
        <f>IFERROR(__xludf.DUMMYFUNCTION("""COMPUTED_VALUE"""),"Quantitative Ability II")</f>
        <v>Quantitative Ability II</v>
      </c>
      <c r="G80" s="2" t="str">
        <f>IFERROR(__xludf.DUMMYFUNCTION("""COMPUTED_VALUE"""),"SH6710 /19EY710")</f>
        <v>SH6710 /19EY710</v>
      </c>
      <c r="H80" s="2">
        <f>IFERROR(__xludf.DUMMYFUNCTION("""COMPUTED_VALUE"""),1)</f>
        <v>1</v>
      </c>
      <c r="I80" s="2">
        <f>IFERROR(__xludf.DUMMYFUNCTION("""COMPUTED_VALUE"""),0)</f>
        <v>0</v>
      </c>
      <c r="J80" s="2">
        <f>IFERROR(__xludf.DUMMYFUNCTION("""COMPUTED_VALUE"""),1)</f>
        <v>1</v>
      </c>
      <c r="K80" s="2" t="str">
        <f>IFERROR(__xludf.DUMMYFUNCTION("""COMPUTED_VALUE"""),"CGPA")</f>
        <v>CGPA</v>
      </c>
      <c r="L80" s="2" t="str">
        <f>IFERROR(__xludf.DUMMYFUNCTION("""COMPUTED_VALUE"""),"Theory (Int Only)")</f>
        <v>Theory (Int Only)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IFERROR(__xludf.DUMMYFUNCTION("""COMPUTED_VALUE"""),80)</f>
        <v>80</v>
      </c>
      <c r="B81" s="2"/>
      <c r="C81" s="2" t="str">
        <f>IFERROR(__xludf.DUMMYFUNCTION("""COMPUTED_VALUE"""),"EEC")</f>
        <v>EEC</v>
      </c>
      <c r="D81" s="2" t="str">
        <f>IFERROR(__xludf.DUMMYFUNCTION("""COMPUTED_VALUE"""),"SH6712")</f>
        <v>SH6712</v>
      </c>
      <c r="E81" s="2" t="str">
        <f>IFERROR(__xludf.DUMMYFUNCTION("""COMPUTED_VALUE"""),"19EY712")</f>
        <v>19EY712</v>
      </c>
      <c r="F81" s="7" t="str">
        <f>IFERROR(__xludf.DUMMYFUNCTION("""COMPUTED_VALUE"""),"Employment Enrichment Skills")</f>
        <v>Employment Enrichment Skills</v>
      </c>
      <c r="G81" s="2" t="str">
        <f>IFERROR(__xludf.DUMMYFUNCTION("""COMPUTED_VALUE"""),"19EY702 / 19EY709 / SH6709")</f>
        <v>19EY702 / 19EY709 / SH6709</v>
      </c>
      <c r="H81" s="2">
        <f>IFERROR(__xludf.DUMMYFUNCTION("""COMPUTED_VALUE"""),1)</f>
        <v>1</v>
      </c>
      <c r="I81" s="2">
        <f>IFERROR(__xludf.DUMMYFUNCTION("""COMPUTED_VALUE"""),0)</f>
        <v>0</v>
      </c>
      <c r="J81" s="2">
        <f>IFERROR(__xludf.DUMMYFUNCTION("""COMPUTED_VALUE"""),1)</f>
        <v>1</v>
      </c>
      <c r="K81" s="2" t="str">
        <f>IFERROR(__xludf.DUMMYFUNCTION("""COMPUTED_VALUE"""),"CGPA")</f>
        <v>CGPA</v>
      </c>
      <c r="L81" s="2" t="str">
        <f>IFERROR(__xludf.DUMMYFUNCTION("""COMPUTED_VALUE"""),"Theory (Int Only)")</f>
        <v>Theory (Int Only)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IFERROR(__xludf.DUMMYFUNCTION("""COMPUTED_VALUE"""),81)</f>
        <v>81</v>
      </c>
      <c r="B82" s="2"/>
      <c r="C82" s="2" t="str">
        <f>IFERROR(__xludf.DUMMYFUNCTION("""COMPUTED_VALUE"""),"EEC")</f>
        <v>EEC</v>
      </c>
      <c r="D82" s="2" t="str">
        <f>IFERROR(__xludf.DUMMYFUNCTION("""COMPUTED_VALUE"""),"#N/A")</f>
        <v>#N/A</v>
      </c>
      <c r="E82" s="2" t="str">
        <f>IFERROR(__xludf.DUMMYFUNCTION("""COMPUTED_VALUE"""),"#N/A")</f>
        <v>#N/A</v>
      </c>
      <c r="F82" s="7" t="str">
        <f>IFERROR(__xludf.DUMMYFUNCTION("""COMPUTED_VALUE"""),"Placement Readiness Assessment")</f>
        <v>Placement Readiness Assessment</v>
      </c>
      <c r="G82" s="2" t="str">
        <f>IFERROR(__xludf.DUMMYFUNCTION("""COMPUTED_VALUE"""),"19EY704 / 19EY711/SH6711")</f>
        <v>19EY704 / 19EY711/SH6711</v>
      </c>
      <c r="H82" s="2">
        <f>IFERROR(__xludf.DUMMYFUNCTION("""COMPUTED_VALUE"""),1)</f>
        <v>1</v>
      </c>
      <c r="I82" s="2">
        <f>IFERROR(__xludf.DUMMYFUNCTION("""COMPUTED_VALUE"""),0)</f>
        <v>0</v>
      </c>
      <c r="J82" s="2">
        <f>IFERROR(__xludf.DUMMYFUNCTION("""COMPUTED_VALUE"""),1)</f>
        <v>1</v>
      </c>
      <c r="K82" s="2" t="str">
        <f>IFERROR(__xludf.DUMMYFUNCTION("""COMPUTED_VALUE"""),"CGPA")</f>
        <v>CGPA</v>
      </c>
      <c r="L82" s="2" t="str">
        <f>IFERROR(__xludf.DUMMYFUNCTION("""COMPUTED_VALUE"""),"Theory (Int Only)")</f>
        <v>Theory (Int Only)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IFERROR(__xludf.DUMMYFUNCTION("""COMPUTED_VALUE"""),82)</f>
        <v>82</v>
      </c>
      <c r="B83" s="2"/>
      <c r="C83" s="2" t="str">
        <f>IFERROR(__xludf.DUMMYFUNCTION("""COMPUTED_VALUE"""),"EEC")</f>
        <v>EEC</v>
      </c>
      <c r="D83" s="2" t="str">
        <f>IFERROR(__xludf.DUMMYFUNCTION("""COMPUTED_VALUE"""),"SH6707")</f>
        <v>SH6707</v>
      </c>
      <c r="E83" s="2" t="str">
        <f>IFERROR(__xludf.DUMMYFUNCTION("""COMPUTED_VALUE"""),"19EY707")</f>
        <v>19EY707</v>
      </c>
      <c r="F83" s="7" t="str">
        <f>IFERROR(__xludf.DUMMYFUNCTION("""COMPUTED_VALUE"""),"Paper Publication")</f>
        <v>Paper Publication</v>
      </c>
      <c r="G83" s="2" t="str">
        <f>IFERROR(__xludf.DUMMYFUNCTION("""COMPUTED_VALUE"""),"-")</f>
        <v>-</v>
      </c>
      <c r="H83" s="2">
        <f>IFERROR(__xludf.DUMMYFUNCTION("""COMPUTED_VALUE"""),0)</f>
        <v>0</v>
      </c>
      <c r="I83" s="2">
        <f>IFERROR(__xludf.DUMMYFUNCTION("""COMPUTED_VALUE"""),0)</f>
        <v>0</v>
      </c>
      <c r="J83" s="2">
        <f>IFERROR(__xludf.DUMMYFUNCTION("""COMPUTED_VALUE"""),1)</f>
        <v>1</v>
      </c>
      <c r="K83" s="2" t="str">
        <f>IFERROR(__xludf.DUMMYFUNCTION("""COMPUTED_VALUE"""),"NON-CGPA")</f>
        <v>NON-CGPA</v>
      </c>
      <c r="L83" s="2" t="str">
        <f>IFERROR(__xludf.DUMMYFUNCTION("""COMPUTED_VALUE"""),"Experiential Learning (Int Only)")</f>
        <v>Experiential Learning (Int Only)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IFERROR(__xludf.DUMMYFUNCTION("""COMPUTED_VALUE"""),83)</f>
        <v>83</v>
      </c>
      <c r="B84" s="2"/>
      <c r="C84" s="2" t="str">
        <f>IFERROR(__xludf.DUMMYFUNCTION("""COMPUTED_VALUE"""),"OE")</f>
        <v>OE</v>
      </c>
      <c r="D84" s="2" t="str">
        <f>IFERROR(__xludf.DUMMYFUNCTION("""COMPUTED_VALUE"""),"XXXXXX")</f>
        <v>XXXXXX</v>
      </c>
      <c r="E84" s="2" t="str">
        <f>IFERROR(__xludf.DUMMYFUNCTION("""COMPUTED_VALUE"""),"19XXXXX")</f>
        <v>19XXXXX</v>
      </c>
      <c r="F84" s="3" t="str">
        <f>IFERROR(__xludf.DUMMYFUNCTION("""COMPUTED_VALUE"""),"Online Courses")</f>
        <v>Online Courses</v>
      </c>
      <c r="G84" s="2" t="str">
        <f>IFERROR(__xludf.DUMMYFUNCTION("""COMPUTED_VALUE"""),"-")</f>
        <v>-</v>
      </c>
      <c r="H84" s="2">
        <f>IFERROR(__xludf.DUMMYFUNCTION("""COMPUTED_VALUE"""),0)</f>
        <v>0</v>
      </c>
      <c r="I84" s="2">
        <f>IFERROR(__xludf.DUMMYFUNCTION("""COMPUTED_VALUE"""),0)</f>
        <v>0</v>
      </c>
      <c r="J84" s="2">
        <f>IFERROR(__xludf.DUMMYFUNCTION("""COMPUTED_VALUE"""),0)</f>
        <v>0</v>
      </c>
      <c r="K84" s="2" t="str">
        <f>IFERROR(__xludf.DUMMYFUNCTION("""COMPUTED_VALUE"""),"CGPA")</f>
        <v>CGPA</v>
      </c>
      <c r="L84" s="2" t="str">
        <f>IFERROR(__xludf.DUMMYFUNCTION("""COMPUTED_VALUE"""),"Experiential Learning")</f>
        <v>Experiential Learning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IFERROR(__xludf.DUMMYFUNCTION("""COMPUTED_VALUE"""),84)</f>
        <v>84</v>
      </c>
      <c r="B85" s="2"/>
      <c r="C85" s="2" t="str">
        <f>IFERROR(__xludf.DUMMYFUNCTION("""COMPUTED_VALUE"""),"MC")</f>
        <v>MC</v>
      </c>
      <c r="D85" s="2" t="str">
        <f>IFERROR(__xludf.DUMMYFUNCTION("""COMPUTED_VALUE"""),"SH8801")</f>
        <v>SH8801</v>
      </c>
      <c r="E85" s="2" t="str">
        <f>IFERROR(__xludf.DUMMYFUNCTION("""COMPUTED_VALUE"""),"NA")</f>
        <v>NA</v>
      </c>
      <c r="F85" s="7" t="str">
        <f>IFERROR(__xludf.DUMMYFUNCTION("""COMPUTED_VALUE"""),"Constitutionalism and Artificial Intelligence Policies in India")</f>
        <v>Constitutionalism and Artificial Intelligence Policies in India</v>
      </c>
      <c r="G85" s="2" t="str">
        <f>IFERROR(__xludf.DUMMYFUNCTION("""COMPUTED_VALUE"""),"-")</f>
        <v>-</v>
      </c>
      <c r="H85" s="2">
        <f>IFERROR(__xludf.DUMMYFUNCTION("""COMPUTED_VALUE"""),1)</f>
        <v>1</v>
      </c>
      <c r="I85" s="2">
        <f>IFERROR(__xludf.DUMMYFUNCTION("""COMPUTED_VALUE"""),0)</f>
        <v>0</v>
      </c>
      <c r="J85" s="2">
        <f>IFERROR(__xludf.DUMMYFUNCTION("""COMPUTED_VALUE"""),1)</f>
        <v>1</v>
      </c>
      <c r="K85" s="2" t="str">
        <f>IFERROR(__xludf.DUMMYFUNCTION("""COMPUTED_VALUE"""),"NON-CGPA")</f>
        <v>NON-CGPA</v>
      </c>
      <c r="L85" s="2" t="str">
        <f>IFERROR(__xludf.DUMMYFUNCTION("""COMPUTED_VALUE"""),"Theory (Int Only)")</f>
        <v>Theory (Int Only)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IFERROR(__xludf.DUMMYFUNCTION("""COMPUTED_VALUE"""),85)</f>
        <v>85</v>
      </c>
      <c r="B86" s="2"/>
      <c r="C86" s="2" t="str">
        <f>IFERROR(__xludf.DUMMYFUNCTION("""COMPUTED_VALUE"""),"MC")</f>
        <v>MC</v>
      </c>
      <c r="D86" s="2" t="str">
        <f>IFERROR(__xludf.DUMMYFUNCTION("""COMPUTED_VALUE"""),"SH6803")</f>
        <v>SH6803</v>
      </c>
      <c r="E86" s="2" t="str">
        <f>IFERROR(__xludf.DUMMYFUNCTION("""COMPUTED_VALUE"""),"19MC807")</f>
        <v>19MC807</v>
      </c>
      <c r="F86" s="3" t="str">
        <f>IFERROR(__xludf.DUMMYFUNCTION("""COMPUTED_VALUE"""),"National Service Scheme")</f>
        <v>National Service Scheme</v>
      </c>
      <c r="G86" s="2" t="str">
        <f>IFERROR(__xludf.DUMMYFUNCTION("""COMPUTED_VALUE"""),"-")</f>
        <v>-</v>
      </c>
      <c r="H86" s="2">
        <f>IFERROR(__xludf.DUMMYFUNCTION("""COMPUTED_VALUE"""),0)</f>
        <v>0</v>
      </c>
      <c r="I86" s="2">
        <f>IFERROR(__xludf.DUMMYFUNCTION("""COMPUTED_VALUE"""),0)</f>
        <v>0</v>
      </c>
      <c r="J86" s="2">
        <f>IFERROR(__xludf.DUMMYFUNCTION("""COMPUTED_VALUE"""),0)</f>
        <v>0</v>
      </c>
      <c r="K86" s="2" t="str">
        <f>IFERROR(__xludf.DUMMYFUNCTION("""COMPUTED_VALUE"""),"NON-CGPA")</f>
        <v>NON-CGPA</v>
      </c>
      <c r="L86" s="2" t="str">
        <f>IFERROR(__xludf.DUMMYFUNCTION("""COMPUTED_VALUE"""),"Experiential Learning (Int Only)")</f>
        <v>Experiential Learning (Int Only)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IFERROR(__xludf.DUMMYFUNCTION("""COMPUTED_VALUE"""),86)</f>
        <v>86</v>
      </c>
      <c r="B87" s="2"/>
      <c r="C87" s="2" t="str">
        <f>IFERROR(__xludf.DUMMYFUNCTION("""COMPUTED_VALUE"""),"MC")</f>
        <v>MC</v>
      </c>
      <c r="D87" s="2" t="str">
        <f>IFERROR(__xludf.DUMMYFUNCTION("""COMPUTED_VALUE"""),"SH8807")</f>
        <v>SH8807</v>
      </c>
      <c r="E87" s="2" t="str">
        <f>IFERROR(__xludf.DUMMYFUNCTION("""COMPUTED_VALUE"""),"19MC808")</f>
        <v>19MC808</v>
      </c>
      <c r="F87" s="3" t="str">
        <f>IFERROR(__xludf.DUMMYFUNCTION("""COMPUTED_VALUE"""),"National Sports Organization ")</f>
        <v>National Sports Organization </v>
      </c>
      <c r="G87" s="2" t="str">
        <f>IFERROR(__xludf.DUMMYFUNCTION("""COMPUTED_VALUE"""),"-")</f>
        <v>-</v>
      </c>
      <c r="H87" s="2">
        <f>IFERROR(__xludf.DUMMYFUNCTION("""COMPUTED_VALUE"""),0)</f>
        <v>0</v>
      </c>
      <c r="I87" s="2">
        <f>IFERROR(__xludf.DUMMYFUNCTION("""COMPUTED_VALUE"""),0)</f>
        <v>0</v>
      </c>
      <c r="J87" s="2">
        <f>IFERROR(__xludf.DUMMYFUNCTION("""COMPUTED_VALUE"""),0)</f>
        <v>0</v>
      </c>
      <c r="K87" s="2" t="str">
        <f>IFERROR(__xludf.DUMMYFUNCTION("""COMPUTED_VALUE"""),"NON-CGPA")</f>
        <v>NON-CGPA</v>
      </c>
      <c r="L87" s="2" t="str">
        <f>IFERROR(__xludf.DUMMYFUNCTION("""COMPUTED_VALUE"""),"Experiential Learning (Int Only)")</f>
        <v>Experiential Learning (Int Only)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IFERROR(__xludf.DUMMYFUNCTION("""COMPUTED_VALUE"""),87)</f>
        <v>87</v>
      </c>
      <c r="B88" s="2"/>
      <c r="C88" s="2" t="str">
        <f>IFERROR(__xludf.DUMMYFUNCTION("""COMPUTED_VALUE"""),"MC")</f>
        <v>MC</v>
      </c>
      <c r="D88" s="2" t="str">
        <f>IFERROR(__xludf.DUMMYFUNCTION("""COMPUTED_VALUE"""),"SH8808")</f>
        <v>SH8808</v>
      </c>
      <c r="E88" s="2" t="str">
        <f>IFERROR(__xludf.DUMMYFUNCTION("""COMPUTED_VALUE"""),"19MC809")</f>
        <v>19MC809</v>
      </c>
      <c r="F88" s="3" t="str">
        <f>IFERROR(__xludf.DUMMYFUNCTION("""COMPUTED_VALUE"""),"Youth Red Cross")</f>
        <v>Youth Red Cross</v>
      </c>
      <c r="G88" s="2" t="str">
        <f>IFERROR(__xludf.DUMMYFUNCTION("""COMPUTED_VALUE"""),"-")</f>
        <v>-</v>
      </c>
      <c r="H88" s="2">
        <f>IFERROR(__xludf.DUMMYFUNCTION("""COMPUTED_VALUE"""),0)</f>
        <v>0</v>
      </c>
      <c r="I88" s="2">
        <f>IFERROR(__xludf.DUMMYFUNCTION("""COMPUTED_VALUE"""),0)</f>
        <v>0</v>
      </c>
      <c r="J88" s="2">
        <f>IFERROR(__xludf.DUMMYFUNCTION("""COMPUTED_VALUE"""),0)</f>
        <v>0</v>
      </c>
      <c r="K88" s="2" t="str">
        <f>IFERROR(__xludf.DUMMYFUNCTION("""COMPUTED_VALUE"""),"NON-CGPA")</f>
        <v>NON-CGPA</v>
      </c>
      <c r="L88" s="2" t="str">
        <f>IFERROR(__xludf.DUMMYFUNCTION("""COMPUTED_VALUE"""),"Experiential Learning (Int Only)")</f>
        <v>Experiential Learning (Int Only)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IFERROR(__xludf.DUMMYFUNCTION("""COMPUTED_VALUE"""),88)</f>
        <v>88</v>
      </c>
      <c r="B89" s="2"/>
      <c r="C89" s="2" t="str">
        <f>IFERROR(__xludf.DUMMYFUNCTION("""COMPUTED_VALUE"""),"MC")</f>
        <v>MC</v>
      </c>
      <c r="D89" s="2" t="str">
        <f>IFERROR(__xludf.DUMMYFUNCTION("""COMPUTED_VALUE"""),"NA")</f>
        <v>NA</v>
      </c>
      <c r="E89" s="2" t="str">
        <f>IFERROR(__xludf.DUMMYFUNCTION("""COMPUTED_VALUE"""),"19MC801")</f>
        <v>19MC801</v>
      </c>
      <c r="F89" s="7" t="str">
        <f>IFERROR(__xludf.DUMMYFUNCTION("""COMPUTED_VALUE"""),"Professional Ethics")</f>
        <v>Professional Ethics</v>
      </c>
      <c r="G89" s="2" t="str">
        <f>IFERROR(__xludf.DUMMYFUNCTION("""COMPUTED_VALUE"""),"-")</f>
        <v>-</v>
      </c>
      <c r="H89" s="2">
        <f>IFERROR(__xludf.DUMMYFUNCTION("""COMPUTED_VALUE"""),0)</f>
        <v>0</v>
      </c>
      <c r="I89" s="2">
        <f>IFERROR(__xludf.DUMMYFUNCTION("""COMPUTED_VALUE"""),0)</f>
        <v>0</v>
      </c>
      <c r="J89" s="2">
        <f>IFERROR(__xludf.DUMMYFUNCTION("""COMPUTED_VALUE"""),0)</f>
        <v>0</v>
      </c>
      <c r="K89" s="2" t="str">
        <f>IFERROR(__xludf.DUMMYFUNCTION("""COMPUTED_VALUE"""),"NON - CGPA")</f>
        <v>NON - CGPA</v>
      </c>
      <c r="L89" s="2" t="str">
        <f>IFERROR(__xludf.DUMMYFUNCTION("""COMPUTED_VALUE"""),"Theory (Int Only)")</f>
        <v>Theory (Int Only)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IFERROR(__xludf.DUMMYFUNCTION("""COMPUTED_VALUE"""),89)</f>
        <v>89</v>
      </c>
      <c r="B90" s="2"/>
      <c r="C90" s="2" t="str">
        <f>IFERROR(__xludf.DUMMYFUNCTION("""COMPUTED_VALUE"""),"MC")</f>
        <v>MC</v>
      </c>
      <c r="D90" s="2" t="str">
        <f>IFERROR(__xludf.DUMMYFUNCTION("""COMPUTED_VALUE"""),"NA")</f>
        <v>NA</v>
      </c>
      <c r="E90" s="2" t="str">
        <f>IFERROR(__xludf.DUMMYFUNCTION("""COMPUTED_VALUE"""),"19MC802")</f>
        <v>19MC802</v>
      </c>
      <c r="F90" s="7" t="str">
        <f>IFERROR(__xludf.DUMMYFUNCTION("""COMPUTED_VALUE"""),"Environmental Science")</f>
        <v>Environmental Science</v>
      </c>
      <c r="G90" s="2" t="str">
        <f>IFERROR(__xludf.DUMMYFUNCTION("""COMPUTED_VALUE"""),"-")</f>
        <v>-</v>
      </c>
      <c r="H90" s="2">
        <f>IFERROR(__xludf.DUMMYFUNCTION("""COMPUTED_VALUE"""),0)</f>
        <v>0</v>
      </c>
      <c r="I90" s="2">
        <f>IFERROR(__xludf.DUMMYFUNCTION("""COMPUTED_VALUE"""),0)</f>
        <v>0</v>
      </c>
      <c r="J90" s="2">
        <f>IFERROR(__xludf.DUMMYFUNCTION("""COMPUTED_VALUE"""),0)</f>
        <v>0</v>
      </c>
      <c r="K90" s="2" t="str">
        <f>IFERROR(__xludf.DUMMYFUNCTION("""COMPUTED_VALUE"""),"CGPA")</f>
        <v>CGPA</v>
      </c>
      <c r="L90" s="2" t="str">
        <f>IFERROR(__xludf.DUMMYFUNCTION("""COMPUTED_VALUE"""),"Theory (Int Only)")</f>
        <v>Theory (Int Only)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IFERROR(__xludf.DUMMYFUNCTION("""COMPUTED_VALUE"""),90)</f>
        <v>90</v>
      </c>
      <c r="B91" s="2"/>
      <c r="C91" s="2" t="str">
        <f>IFERROR(__xludf.DUMMYFUNCTION("""COMPUTED_VALUE"""),"MC")</f>
        <v>MC</v>
      </c>
      <c r="D91" s="2" t="str">
        <f>IFERROR(__xludf.DUMMYFUNCTION("""COMPUTED_VALUE"""),"NA")</f>
        <v>NA</v>
      </c>
      <c r="E91" s="2" t="str">
        <f>IFERROR(__xludf.DUMMYFUNCTION("""COMPUTED_VALUE"""),"19MC803")</f>
        <v>19MC803</v>
      </c>
      <c r="F91" s="7" t="str">
        <f>IFERROR(__xludf.DUMMYFUNCTION("""COMPUTED_VALUE"""),"Constitution of India")</f>
        <v>Constitution of India</v>
      </c>
      <c r="G91" s="2" t="str">
        <f>IFERROR(__xludf.DUMMYFUNCTION("""COMPUTED_VALUE"""),"-")</f>
        <v>-</v>
      </c>
      <c r="H91" s="2">
        <f>IFERROR(__xludf.DUMMYFUNCTION("""COMPUTED_VALUE"""),0)</f>
        <v>0</v>
      </c>
      <c r="I91" s="2">
        <f>IFERROR(__xludf.DUMMYFUNCTION("""COMPUTED_VALUE"""),0)</f>
        <v>0</v>
      </c>
      <c r="J91" s="2">
        <f>IFERROR(__xludf.DUMMYFUNCTION("""COMPUTED_VALUE"""),0)</f>
        <v>0</v>
      </c>
      <c r="K91" s="2" t="str">
        <f>IFERROR(__xludf.DUMMYFUNCTION("""COMPUTED_VALUE"""),"CGPA")</f>
        <v>CGPA</v>
      </c>
      <c r="L91" s="2" t="str">
        <f>IFERROR(__xludf.DUMMYFUNCTION("""COMPUTED_VALUE"""),"Theory (Int Only)")</f>
        <v>Theory (Int Only)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IFERROR(__xludf.DUMMYFUNCTION("""COMPUTED_VALUE"""),91)</f>
        <v>91</v>
      </c>
      <c r="B92" s="2"/>
      <c r="C92" s="2" t="str">
        <f>IFERROR(__xludf.DUMMYFUNCTION("""COMPUTED_VALUE"""),"MC")</f>
        <v>MC</v>
      </c>
      <c r="D92" s="2" t="str">
        <f>IFERROR(__xludf.DUMMYFUNCTION("""COMPUTED_VALUE"""),"NA")</f>
        <v>NA</v>
      </c>
      <c r="E92" s="2" t="str">
        <f>IFERROR(__xludf.DUMMYFUNCTION("""COMPUTED_VALUE"""),"19MC804")</f>
        <v>19MC804</v>
      </c>
      <c r="F92" s="3" t="str">
        <f>IFERROR(__xludf.DUMMYFUNCTION("""COMPUTED_VALUE"""),"Internship/Entrepreneurship/Consultancy")</f>
        <v>Internship/Entrepreneurship/Consultancy</v>
      </c>
      <c r="G92" s="2" t="str">
        <f>IFERROR(__xludf.DUMMYFUNCTION("""COMPUTED_VALUE"""),"-")</f>
        <v>-</v>
      </c>
      <c r="H92" s="2">
        <f>IFERROR(__xludf.DUMMYFUNCTION("""COMPUTED_VALUE"""),0)</f>
        <v>0</v>
      </c>
      <c r="I92" s="2">
        <f>IFERROR(__xludf.DUMMYFUNCTION("""COMPUTED_VALUE"""),0)</f>
        <v>0</v>
      </c>
      <c r="J92" s="2">
        <f>IFERROR(__xludf.DUMMYFUNCTION("""COMPUTED_VALUE"""),2)</f>
        <v>2</v>
      </c>
      <c r="K92" s="2" t="str">
        <f>IFERROR(__xludf.DUMMYFUNCTION("""COMPUTED_VALUE"""),"NON-CGPA")</f>
        <v>NON-CGPA</v>
      </c>
      <c r="L92" s="2" t="str">
        <f>IFERROR(__xludf.DUMMYFUNCTION("""COMPUTED_VALUE"""),"Experiential Learning (Int Only)")</f>
        <v>Experiential Learning (Int Only)</v>
      </c>
      <c r="M92" s="9"/>
      <c r="N92" s="9"/>
      <c r="O92" s="9"/>
      <c r="P92" s="9"/>
      <c r="Q92" s="9"/>
      <c r="R92" s="9"/>
    </row>
    <row r="93" ht="48" customHeight="1" spans="1:18">
      <c r="A93" s="2"/>
      <c r="B93" s="2"/>
      <c r="C93" s="2"/>
      <c r="D93" s="2"/>
      <c r="E93" s="2"/>
      <c r="F93" s="3"/>
      <c r="G93" s="2"/>
      <c r="H93" s="2"/>
      <c r="I93" s="2"/>
      <c r="J93" s="2"/>
      <c r="K93" s="2"/>
      <c r="L93" s="2"/>
      <c r="M93" s="9"/>
      <c r="N93" s="9"/>
      <c r="O93" s="9"/>
      <c r="P93" s="9"/>
      <c r="Q93" s="9"/>
      <c r="R93" s="9"/>
    </row>
    <row r="94" ht="48" customHeight="1" spans="1:18">
      <c r="A94" s="2"/>
      <c r="B94" s="2"/>
      <c r="C94" s="2"/>
      <c r="D94" s="2"/>
      <c r="E94" s="2"/>
      <c r="F94" s="3"/>
      <c r="G94" s="2"/>
      <c r="H94" s="2"/>
      <c r="I94" s="2"/>
      <c r="J94" s="2"/>
      <c r="K94" s="2"/>
      <c r="L94" s="2"/>
      <c r="M94" s="9"/>
      <c r="N94" s="9"/>
      <c r="O94" s="9"/>
      <c r="P94" s="9"/>
      <c r="Q94" s="9"/>
      <c r="R94" s="9"/>
    </row>
    <row r="95" ht="48" customHeight="1" spans="1:18">
      <c r="A95" s="2"/>
      <c r="B95" s="2"/>
      <c r="C95" s="2"/>
      <c r="D95" s="2"/>
      <c r="E95" s="2"/>
      <c r="F95" s="3"/>
      <c r="G95" s="2"/>
      <c r="H95" s="2"/>
      <c r="I95" s="2"/>
      <c r="J95" s="2"/>
      <c r="K95" s="2"/>
      <c r="L95" s="2"/>
      <c r="M95" s="9"/>
      <c r="N95" s="9"/>
      <c r="O95" s="9"/>
      <c r="P95" s="9"/>
      <c r="Q95" s="9"/>
      <c r="R95" s="9"/>
    </row>
    <row r="96" ht="48" customHeight="1" spans="1:18">
      <c r="A96" s="2"/>
      <c r="B96" s="2"/>
      <c r="C96" s="2"/>
      <c r="D96" s="2"/>
      <c r="E96" s="2"/>
      <c r="F96" s="3"/>
      <c r="G96" s="2"/>
      <c r="H96" s="2"/>
      <c r="I96" s="2"/>
      <c r="J96" s="2"/>
      <c r="K96" s="2"/>
      <c r="L96" s="2"/>
      <c r="M96" s="9"/>
      <c r="N96" s="9"/>
      <c r="O96" s="9"/>
      <c r="P96" s="9"/>
      <c r="Q96" s="9"/>
      <c r="R96" s="9"/>
    </row>
    <row r="97" ht="48" customHeight="1" spans="1:18">
      <c r="A97" s="2"/>
      <c r="B97" s="2"/>
      <c r="C97" s="2"/>
      <c r="D97" s="2"/>
      <c r="E97" s="2"/>
      <c r="F97" s="3"/>
      <c r="G97" s="2"/>
      <c r="H97" s="2"/>
      <c r="I97" s="2"/>
      <c r="J97" s="2"/>
      <c r="K97" s="2"/>
      <c r="L97" s="2"/>
      <c r="M97" s="9"/>
      <c r="N97" s="9"/>
      <c r="O97" s="9"/>
      <c r="P97" s="9"/>
      <c r="Q97" s="9"/>
      <c r="R97" s="9"/>
    </row>
    <row r="98" ht="48" customHeight="1" spans="1:18">
      <c r="A98" s="2"/>
      <c r="B98" s="2"/>
      <c r="C98" s="2"/>
      <c r="D98" s="2"/>
      <c r="E98" s="2"/>
      <c r="F98" s="3"/>
      <c r="G98" s="2"/>
      <c r="H98" s="2"/>
      <c r="I98" s="2"/>
      <c r="J98" s="2"/>
      <c r="K98" s="2"/>
      <c r="L98" s="2"/>
      <c r="M98" s="9"/>
      <c r="N98" s="9"/>
      <c r="O98" s="9"/>
      <c r="P98" s="9"/>
      <c r="Q98" s="9"/>
      <c r="R98" s="9"/>
    </row>
    <row r="99" ht="48" customHeight="1" spans="1:18">
      <c r="A99" s="2"/>
      <c r="B99" s="2"/>
      <c r="C99" s="2"/>
      <c r="D99" s="2"/>
      <c r="E99" s="2"/>
      <c r="F99" s="3"/>
      <c r="G99" s="2"/>
      <c r="H99" s="2"/>
      <c r="I99" s="2"/>
      <c r="J99" s="2"/>
      <c r="K99" s="2"/>
      <c r="L99" s="2"/>
      <c r="M99" s="9"/>
      <c r="N99" s="9"/>
      <c r="O99" s="9"/>
      <c r="P99" s="9"/>
      <c r="Q99" s="9"/>
      <c r="R99" s="9"/>
    </row>
    <row r="100" ht="48" customHeight="1" spans="1:18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9"/>
      <c r="N100" s="9"/>
      <c r="O100" s="9"/>
      <c r="P100" s="9"/>
      <c r="Q100" s="9"/>
      <c r="R100" s="9"/>
    </row>
    <row r="101" ht="48" customHeight="1" spans="1:18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9"/>
      <c r="N101" s="9"/>
      <c r="O101" s="9"/>
      <c r="P101" s="9"/>
      <c r="Q101" s="9"/>
      <c r="R101" s="9"/>
    </row>
    <row r="102" ht="48" customHeight="1" spans="1:18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9"/>
      <c r="N102" s="9"/>
      <c r="O102" s="9"/>
      <c r="P102" s="9"/>
      <c r="Q102" s="9"/>
      <c r="R102" s="9"/>
    </row>
    <row r="103" ht="48" customHeight="1" spans="1:18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9"/>
      <c r="N103" s="9"/>
      <c r="O103" s="9"/>
      <c r="P103" s="9"/>
      <c r="Q103" s="9"/>
      <c r="R103" s="9"/>
    </row>
    <row r="104" ht="48" customHeight="1" spans="1:18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9"/>
      <c r="N104" s="9"/>
      <c r="O104" s="9"/>
      <c r="P104" s="9"/>
      <c r="Q104" s="9"/>
      <c r="R104" s="9"/>
    </row>
    <row r="105" ht="48" customHeight="1" spans="1:18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9"/>
      <c r="N105" s="9"/>
      <c r="O105" s="9"/>
      <c r="P105" s="9"/>
      <c r="Q105" s="9"/>
      <c r="R105" s="9"/>
    </row>
    <row r="106" ht="48" customHeight="1" spans="1:18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9"/>
      <c r="N106" s="9"/>
      <c r="O106" s="9"/>
      <c r="P106" s="9"/>
      <c r="Q106" s="9"/>
      <c r="R106" s="9"/>
    </row>
    <row r="107" ht="48" customHeight="1" spans="1:18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</row>
    <row r="124" ht="13.2" spans="1: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</row>
    <row r="125" ht="13.2" spans="1: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</row>
    <row r="126" ht="13.2" spans="1: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</row>
    <row r="127" ht="13.2" spans="1: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</row>
    <row r="128" ht="13.2" spans="1: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</row>
    <row r="129" ht="13.2" spans="1: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</row>
    <row r="130" ht="13.2" spans="1: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</row>
    <row r="131" ht="13.2" spans="1: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</row>
    <row r="132" ht="13.2" spans="1: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</row>
    <row r="133" ht="13.2" spans="1: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</row>
    <row r="134" ht="13.2" spans="1: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</row>
    <row r="135" ht="13.2" spans="1: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</row>
    <row r="136" ht="13.2" spans="1: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</row>
    <row r="137" ht="13.2" spans="1: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</row>
    <row r="138" ht="13.2" spans="1: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</row>
    <row r="139" ht="13.2" spans="1: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</row>
    <row r="140" ht="13.2" spans="1: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</row>
    <row r="141" ht="13.2" spans="1: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</row>
    <row r="142" ht="13.2" spans="1: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</row>
    <row r="143" ht="13.2" spans="1: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</row>
    <row r="144" ht="13.2" spans="1: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</row>
    <row r="145" ht="13.2" spans="1: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</row>
    <row r="146" ht="13.2" spans="1: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</row>
    <row r="147" ht="13.2" spans="1: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</row>
    <row r="148" ht="13.2" spans="1: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</row>
    <row r="149" ht="13.2" spans="1: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</row>
    <row r="150" ht="13.2" spans="1: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</row>
    <row r="151" ht="13.2" spans="1: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</row>
    <row r="152" ht="13.2" spans="1: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</row>
    <row r="153" ht="13.2" spans="1: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</row>
    <row r="154" ht="13.2" spans="1: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</row>
    <row r="155" ht="13.2" spans="1: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</row>
    <row r="156" ht="13.2" spans="1: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</row>
    <row r="157" ht="13.2" spans="1: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</row>
    <row r="158" ht="13.2" spans="1: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</row>
    <row r="159" ht="13.2" spans="1: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</row>
    <row r="160" ht="13.2" spans="1: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</row>
    <row r="161" ht="13.2" spans="1: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</row>
    <row r="162" ht="13.2" spans="1: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</row>
    <row r="163" ht="13.2" spans="1: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English for Engineers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Human Values and Professional Ethics&quot;)"/>
    <hyperlink ref="F6" r:id="rId5" display="=IFERROR(@__xludf.DUMMYFUNCTION(&quot;&quot;&quot;COMPUTED_VALUE&quot;&quot;&quot;),&quot;தமிழர் மரபு/ Heritage of Tamils&quot;)"/>
    <hyperlink ref="F7" r:id="rId6" display="=IFERROR(@__xludf.DUMMYFUNCTION(&quot;&quot;&quot;COMPUTED_VALUE&quot;&quot;&quot;),&quot;தமிழரும் தொழில்நுட்பமும்/ Tamils and Technology&quot;)"/>
    <hyperlink ref="F8" r:id="rId7" display="=IFERROR(@__xludf.DUMMYFUNCTION(&quot;&quot;&quot;COMPUTED_VALUE&quot;&quot;&quot;),&quot;Calculus and Matrix Algebra&quot;)"/>
    <hyperlink ref="F9" r:id="rId8" display="=IFERROR(@__xludf.DUMMYFUNCTION(&quot;&quot;&quot;COMPUTED_VALUE&quot;&quot;&quot;),&quot;Statistics and Numerical Methods&quot;)"/>
    <hyperlink ref="F10" r:id="rId9" display="=IFERROR(@__xludf.DUMMYFUNCTION(&quot;&quot;&quot;COMPUTED_VALUE&quot;&quot;&quot;),&quot;Linear Algebra and Probability&quot;)"/>
    <hyperlink ref="F11" r:id="rId10" display="=IFERROR(@__xludf.DUMMYFUNCTION(&quot;&quot;&quot;COMPUTED_VALUE&quot;&quot;&quot;),&quot;Physics for Electronics Engineering&quot;)"/>
    <hyperlink ref="F12" r:id="rId11" display="=IFERROR(@__xludf.DUMMYFUNCTION(&quot;&quot;&quot;COMPUTED_VALUE&quot;&quot;&quot;),&quot;Environmental Sciences and Sustainability&quot;)"/>
    <hyperlink ref="F13" r:id="rId12" display="=IFERROR(@__xludf.DUMMYFUNCTION(&quot;&quot;&quot;COMPUTED_VALUE&quot;&quot;&quot;),&quot;Chemistry for Biomedical Engineering&quot;)"/>
    <hyperlink ref="F14" r:id="rId13" display="=IFERROR(@__xludf.DUMMYFUNCTION(&quot;&quot;&quot;COMPUTED_VALUE&quot;&quot;&quot;),&quot;Anatomy and Human Physiology&quot;)"/>
    <hyperlink ref="F15" r:id="rId14" display="=IFERROR(@__xludf.DUMMYFUNCTION(&quot;&quot;&quot;COMPUTED_VALUE&quot;&quot;&quot;),&quot;Electronic Circuits and Special Devices&quot;)"/>
    <hyperlink ref="F16" r:id="rId15" display="=IFERROR(@__xludf.DUMMYFUNCTION(&quot;&quot;&quot;COMPUTED_VALUE&quot;&quot;&quot;),&quot;Analog and Digital Integrated Circuits&quot;)"/>
    <hyperlink ref="F17" r:id="rId16" display="=IFERROR(@__xludf.DUMMYFUNCTION(&quot;&quot;&quot;COMPUTED_VALUE&quot;&quot;&quot;),&quot;Integrated Circuits laboratory&quot;)"/>
    <hyperlink ref="F18" r:id="rId17" display="=IFERROR(@__xludf.DUMMYFUNCTION(&quot;&quot;&quot;COMPUTED_VALUE&quot;&quot;&quot;),&quot;Basics of Signals and Systems&quot;)"/>
    <hyperlink ref="F19" r:id="rId18" display="=IFERROR(@__xludf.DUMMYFUNCTION(&quot;&quot;&quot;COMPUTED_VALUE&quot;&quot;&quot;),&quot;Electric Circuits and Networks&quot;)"/>
    <hyperlink ref="F20" r:id="rId19" display="=IFERROR(@__xludf.DUMMYFUNCTION(&quot;&quot;&quot;COMPUTED_VALUE&quot;&quot;&quot;),&quot;Fundamentals of C Programming&quot;)"/>
    <hyperlink ref="F21" r:id="rId20" display="=IFERROR(@__xludf.DUMMYFUNCTION(&quot;&quot;&quot;COMPUTED_VALUE&quot;&quot;&quot;),&quot;Advanced C Programming&quot;)"/>
    <hyperlink ref="F22" r:id="rId21" display="=IFERROR(@__xludf.DUMMYFUNCTION(&quot;&quot;&quot;COMPUTED_VALUE&quot;&quot;&quot;),&quot;Data Structures&quot;)"/>
    <hyperlink ref="F23" r:id="rId22" display="=IFERROR(@__xludf.DUMMYFUNCTION(&quot;&quot;&quot;COMPUTED_VALUE&quot;&quot;&quot;),&quot;Python Programming&quot;)"/>
    <hyperlink ref="F24" r:id="rId23" display="=IFERROR(@__xludf.DUMMYFUNCTION(&quot;&quot;&quot;COMPUTED_VALUE&quot;&quot;&quot;),&quot;Object Oriented Programming using C++&quot;)"/>
    <hyperlink ref="F25" r:id="rId24" display="=IFERROR(@__xludf.DUMMYFUNCTION(&quot;&quot;&quot;COMPUTED_VALUE&quot;&quot;&quot;),&quot;Object Oriented Programming using Java&quot;)"/>
    <hyperlink ref="F26" r:id="rId25" display="=IFERROR(@__xludf.DUMMYFUNCTION(&quot;&quot;&quot;COMPUTED_VALUE&quot;&quot;&quot;),&quot;Biochemistry&quot;)"/>
    <hyperlink ref="F27" r:id="rId26" display="=IFERROR(@__xludf.DUMMYFUNCTION(&quot;&quot;&quot;COMPUTED_VALUE&quot;&quot;&quot;),&quot;Biomedical Instrumentation&quot;)"/>
    <hyperlink ref="F28" r:id="rId27" display="=IFERROR(@__xludf.DUMMYFUNCTION(&quot;&quot;&quot;COMPUTED_VALUE&quot;&quot;&quot;),&quot;Clinical Instrumentation&quot;)"/>
    <hyperlink ref="F29" r:id="rId28" display="=IFERROR(@__xludf.DUMMYFUNCTION(&quot;&quot;&quot;COMPUTED_VALUE&quot;&quot;&quot;),&quot;Medical Imaging System I&quot;)"/>
    <hyperlink ref="F30" r:id="rId29" display="=IFERROR(@__xludf.DUMMYFUNCTION(&quot;&quot;&quot;COMPUTED_VALUE&quot;&quot;&quot;),&quot;Medical Imaging System II&quot;)"/>
    <hyperlink ref="F31" r:id="rId30" display="=IFERROR(@__xludf.DUMMYFUNCTION(&quot;&quot;&quot;COMPUTED_VALUE&quot;&quot;&quot;),&quot;Pathology and Microbiology&quot;)"/>
    <hyperlink ref="F32" r:id="rId31" display="=IFERROR(@__xludf.DUMMYFUNCTION(&quot;&quot;&quot;COMPUTED_VALUE&quot;&quot;&quot;),&quot;Clinical Laboratory Equipment and Techniques&quot;)"/>
    <hyperlink ref="F33" r:id="rId32" display="=IFERROR(@__xludf.DUMMYFUNCTION(&quot;&quot;&quot;COMPUTED_VALUE&quot;&quot;&quot;),&quot;Therapeutic Equipments I&quot;)"/>
    <hyperlink ref="F34" r:id="rId33" display="=IFERROR(@__xludf.DUMMYFUNCTION(&quot;&quot;&quot;COMPUTED_VALUE&quot;&quot;&quot;),&quot;Therapeutic Equipments II&quot;)"/>
    <hyperlink ref="F35" r:id="rId34" display="=IFERROR(@__xludf.DUMMYFUNCTION(&quot;&quot;&quot;COMPUTED_VALUE&quot;&quot;&quot;),&quot;Lasers in Healthcare Applications&quot;)"/>
    <hyperlink ref="F36" r:id="rId35" display="=IFERROR(@__xludf.DUMMYFUNCTION(&quot;&quot;&quot;COMPUTED_VALUE&quot;&quot;&quot;),&quot;Bio Materials and Artificial Organs&quot;)"/>
    <hyperlink ref="F37" r:id="rId36" display="=IFERROR(@__xludf.DUMMYFUNCTION(&quot;&quot;&quot;COMPUTED_VALUE&quot;&quot;&quot;),&quot;Biomedical Signal Processing&quot;)"/>
    <hyperlink ref="F38" r:id="rId37" display="=IFERROR(@__xludf.DUMMYFUNCTION(&quot;&quot;&quot;COMPUTED_VALUE&quot;&quot;&quot;),&quot;Medical Image Processing&quot;)"/>
    <hyperlink ref="F39" r:id="rId38" display="=IFERROR(@__xludf.DUMMYFUNCTION(&quot;&quot;&quot;COMPUTED_VALUE&quot;&quot;&quot;),&quot;Embedded Systems and IoMT&quot;)"/>
    <hyperlink ref="F40" r:id="rId39" display="=IFERROR(@__xludf.DUMMYFUNCTION(&quot;&quot;&quot;COMPUTED_VALUE&quot;&quot;&quot;),&quot;Bio Control Systems&quot;)"/>
    <hyperlink ref="F41" r:id="rId40" display="=IFERROR(@__xludf.DUMMYFUNCTION(&quot;&quot;&quot;COMPUTED_VALUE&quot;&quot;&quot;),&quot;Biomechanics&quot;)"/>
    <hyperlink ref="F42" r:id="rId41" display="=IFERROR(@__xludf.DUMMYFUNCTION(&quot;&quot;&quot;COMPUTED_VALUE&quot;&quot;&quot;),&quot;Sensors and Measurements&quot;)"/>
    <hyperlink ref="F43" r:id="rId42" display="=IFERROR(@__xludf.DUMMYFUNCTION(&quot;&quot;&quot;COMPUTED_VALUE&quot;&quot;&quot;),&quot;Foundation Skills in Integrated Product Development&quot;)"/>
    <hyperlink ref="F44" r:id="rId43" display="=IFERROR(@__xludf.DUMMYFUNCTION(&quot;&quot;&quot;COMPUTED_VALUE&quot;&quot;&quot;),&quot;Medical Device Design&quot;)"/>
    <hyperlink ref="F45" r:id="rId44" display="=IFERROR(@__xludf.DUMMYFUNCTION(&quot;&quot;&quot;COMPUTED_VALUE&quot;&quot;&quot;),&quot;Medical Device Regulations&quot;)"/>
    <hyperlink ref="F46" r:id="rId45" display="=IFERROR(@__xludf.DUMMYFUNCTION(&quot;&quot;&quot;COMPUTED_VALUE&quot;&quot;&quot;),&quot;Patient Safety, Standards and Ethics&quot;)"/>
    <hyperlink ref="F47" r:id="rId46" display="=IFERROR(@__xludf.DUMMYFUNCTION(&quot;&quot;&quot;COMPUTED_VALUE&quot;&quot;&quot;),&quot;Medical Innovation and Entrepreneurship&quot;)"/>
    <hyperlink ref="F48" r:id="rId47" display="=IFERROR(@__xludf.DUMMYFUNCTION(&quot;&quot;&quot;COMPUTED_VALUE&quot;&quot;&quot;),&quot;Rapid Prototyping&quot;)"/>
    <hyperlink ref="F49" r:id="rId48" display="=IFERROR(@__xludf.DUMMYFUNCTION(&quot;&quot;&quot;COMPUTED_VALUE&quot;&quot;&quot;),&quot;Clinical Engineering&quot;)"/>
    <hyperlink ref="F50" r:id="rId49" display="=IFERROR(@__xludf.DUMMYFUNCTION(&quot;&quot;&quot;COMPUTED_VALUE&quot;&quot;&quot;),&quot;Hospital Planning and Management&quot;)"/>
    <hyperlink ref="F51" r:id="rId50" display="=IFERROR(@__xludf.DUMMYFUNCTION(&quot;&quot;&quot;COMPUTED_VALUE&quot;&quot;&quot;),&quot;Medical Waste Management&quot;)"/>
    <hyperlink ref="F52" r:id="rId51" display="=IFERROR(@__xludf.DUMMYFUNCTION(&quot;&quot;&quot;COMPUTED_VALUE&quot;&quot;&quot;),&quot;Economics and Management for Engineers&quot;)"/>
    <hyperlink ref="F53" r:id="rId52" display="=IFERROR(@__xludf.DUMMYFUNCTION(&quot;&quot;&quot;COMPUTED_VALUE&quot;&quot;&quot;),&quot;Biostatistics&quot;)"/>
    <hyperlink ref="F54" r:id="rId53" display="=IFERROR(@__xludf.DUMMYFUNCTION(&quot;&quot;&quot;COMPUTED_VALUE&quot;&quot;&quot;),&quot;Forensic Science in Healthcare&quot;)"/>
    <hyperlink ref="F55" r:id="rId54" display="=IFERROR(@__xludf.DUMMYFUNCTION(&quot;&quot;&quot;COMPUTED_VALUE&quot;&quot;&quot;),&quot;Virtual Reality and Augmented Reality in Health care&quot;)"/>
    <hyperlink ref="F56" r:id="rId55" display="=IFERROR(@__xludf.DUMMYFUNCTION(&quot;&quot;&quot;COMPUTED_VALUE&quot;&quot;&quot;),&quot;Virtual Instrumentation for Clinical Applications&quot;)"/>
    <hyperlink ref="F57" r:id="rId56" display="=IFERROR(@__xludf.DUMMYFUNCTION(&quot;&quot;&quot;COMPUTED_VALUE&quot;&quot;&quot;),&quot;Brain Computer Interface and its Applications&quot;)"/>
    <hyperlink ref="F58" r:id="rId57" display="=IFERROR(@__xludf.DUMMYFUNCTION(&quot;&quot;&quot;COMPUTED_VALUE&quot;&quot;&quot;),&quot;Medical Nanotechnology&quot;)"/>
    <hyperlink ref="F59" r:id="rId58" display="=IFERROR(@__xludf.DUMMYFUNCTION(&quot;&quot;&quot;COMPUTED_VALUE&quot;&quot;&quot;),&quot;Medical Informatics&quot;)"/>
    <hyperlink ref="F60" r:id="rId59" display="=IFERROR(@__xludf.DUMMYFUNCTION(&quot;&quot;&quot;COMPUTED_VALUE&quot;&quot;&quot;),&quot;Robotics in Medicine&quot;)"/>
    <hyperlink ref="F61" r:id="rId60" display="=IFERROR(@__xludf.DUMMYFUNCTION(&quot;&quot;&quot;COMPUTED_VALUE&quot;&quot;&quot;),&quot;Ergonomics&quot;)"/>
    <hyperlink ref="F62" r:id="rId61" display="=IFERROR(@__xludf.DUMMYFUNCTION(&quot;&quot;&quot;COMPUTED_VALUE&quot;&quot;&quot;),&quot;Biofluids and Dynamics&quot;)"/>
    <hyperlink ref="F63" r:id="rId62" display="=IFERROR(@__xludf.DUMMYFUNCTION(&quot;&quot;&quot;COMPUTED_VALUE&quot;&quot;&quot;),&quot;BioMEMS&quot;)"/>
    <hyperlink ref="F64" r:id="rId63" display="=IFERROR(@__xludf.DUMMYFUNCTION(&quot;&quot;&quot;COMPUTED_VALUE&quot;&quot;&quot;),&quot;Haptics&quot;)"/>
    <hyperlink ref="F65" r:id="rId64" display="=IFERROR(@__xludf.DUMMYFUNCTION(&quot;&quot;&quot;COMPUTED_VALUE&quot;&quot;&quot;),&quot;Physiological Modeling&quot;)"/>
    <hyperlink ref="F66" r:id="rId65" display="=IFERROR(@__xludf.DUMMYFUNCTION(&quot;&quot;&quot;COMPUTED_VALUE&quot;&quot;&quot;),&quot;Rehabilitation Engineering&quot;)"/>
    <hyperlink ref="F67" r:id="rId66" display="=IFERROR(@__xludf.DUMMYFUNCTION(&quot;&quot;&quot;COMPUTED_VALUE&quot;&quot;&quot;),&quot;Graph Theory and Applications&quot;)"/>
    <hyperlink ref="F68" r:id="rId67" display="=IFERROR(@__xludf.DUMMYFUNCTION(&quot;&quot;&quot;COMPUTED_VALUE&quot;&quot;&quot;),&quot;Introduction to Machine Learning&quot;)"/>
    <hyperlink ref="F69" r:id="rId68" display="=IFERROR(@__xludf.DUMMYFUNCTION(&quot;&quot;&quot;COMPUTED_VALUE&quot;&quot;&quot;),&quot;Analysis of Algorithms&quot;)"/>
    <hyperlink ref="F71" r:id="rId69" display="=IFERROR(@__xludf.DUMMYFUNCTION(&quot;&quot;&quot;COMPUTED_VALUE&quot;&quot;&quot;),&quot;Artificial Intelligence and Applications&quot;)"/>
    <hyperlink ref="F72" r:id="rId70" display="=IFERROR(@__xludf.DUMMYFUNCTION(&quot;&quot;&quot;COMPUTED_VALUE&quot;&quot;&quot;),&quot;Mini Project&quot;)"/>
    <hyperlink ref="F73" r:id="rId71" display="=IFERROR(@__xludf.DUMMYFUNCTION(&quot;&quot;&quot;COMPUTED_VALUE&quot;&quot;&quot;),&quot;Project Work Phase I&quot;)"/>
    <hyperlink ref="F74" r:id="rId72" display="=IFERROR(@__xludf.DUMMYFUNCTION(&quot;&quot;&quot;COMPUTED_VALUE&quot;&quot;&quot;),&quot;Project Work Phase II&quot;)"/>
    <hyperlink ref="F76" r:id="rId73" display="=IFERROR(@__xludf.DUMMYFUNCTION(&quot;&quot;&quot;COMPUTED_VALUE&quot;&quot;&quot;),&quot;Hospital Training&quot;)"/>
    <hyperlink ref="F77" r:id="rId74" display="=IFERROR(@__xludf.DUMMYFUNCTION(&quot;&quot;&quot;COMPUTED_VALUE&quot;&quot;&quot;),&quot;Career Development Skills&quot;)"/>
    <hyperlink ref="F78" r:id="rId75" display="=IFERROR(@__xludf.DUMMYFUNCTION(&quot;&quot;&quot;COMPUTED_VALUE&quot;&quot;&quot;),&quot;Reasoning Ability&quot;)"/>
    <hyperlink ref="F79" r:id="rId76" display="=IFERROR(@__xludf.DUMMYFUNCTION(&quot;&quot;&quot;COMPUTED_VALUE&quot;&quot;&quot;),&quot;Quantitative Ability I&quot;)"/>
    <hyperlink ref="F80" r:id="rId77" display="=IFERROR(@__xludf.DUMMYFUNCTION(&quot;&quot;&quot;COMPUTED_VALUE&quot;&quot;&quot;),&quot;Quantitative Ability II&quot;)"/>
    <hyperlink ref="F81" r:id="rId78" display="=IFERROR(@__xludf.DUMMYFUNCTION(&quot;&quot;&quot;COMPUTED_VALUE&quot;&quot;&quot;),&quot;Employment Enrichment Skills&quot;)"/>
    <hyperlink ref="F82" r:id="rId79" display="=IFERROR(@__xludf.DUMMYFUNCTION(&quot;&quot;&quot;COMPUTED_VALUE&quot;&quot;&quot;),&quot;Placement Readiness Assessment&quot;)"/>
    <hyperlink ref="F83" r:id="rId80" display="=IFERROR(@__xludf.DUMMYFUNCTION(&quot;&quot;&quot;COMPUTED_VALUE&quot;&quot;&quot;),&quot;Paper Publication&quot;)"/>
    <hyperlink ref="F85" r:id="rId81" display="=IFERROR(@__xludf.DUMMYFUNCTION(&quot;&quot;&quot;COMPUTED_VALUE&quot;&quot;&quot;),&quot;Constitutionalism and Artificial Intelligence Policies in India&quot;)"/>
    <hyperlink ref="F89" r:id="rId82" display="=IFERROR(@__xludf.DUMMYFUNCTION(&quot;&quot;&quot;COMPUTED_VALUE&quot;&quot;&quot;),&quot;Professional Ethics&quot;)"/>
    <hyperlink ref="F90" r:id="rId83" display="=IFERROR(@__xludf.DUMMYFUNCTION(&quot;&quot;&quot;COMPUTED_VALUE&quot;&quot;&quot;),&quot;Environmental Science&quot;)"/>
    <hyperlink ref="F91" r:id="rId84" display="=IFERROR(@__xludf.DUMMYFUNCTION(&quot;&quot;&quot;COMPUTED_VALUE&quot;&quot;&quot;),&quot;Constitution of India&quot;)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674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""R2019-MED!A:A""),
IMPORTRANGE(""https://docs.google.com/spreadsheets/d/1UvPg-G_Bj-UNhLC2uL8tntfYsnld_PABqE3impzOchM/edit"", ""R2019-"&amp;"MED!D:D""),
IMPORTRANGE(""https://docs.google.com/spreadsheets/d/1UvPg-G_Bj-UNhLC2uL8tntfYsnld_PABqE3impzOchM/edit"", ""R2019-MED!E:E""),
IMPORTRANGE(""https://docs.google.com/spreadsheets/d/1UvPg-G_Bj-UNhLC2uL8tntfYsnld_PABqE3impzOchM/edit"", ""R2019-MED"&amp;"!F:F""),
IMPORTRANGE(""https://docs.google.com/spreadsheets/d/1UvPg-G_Bj-UNhLC2uL8tntfYsnld_PABqE3impzOchM/edit"", ""R2019-MED!G:G""),
IMPORTRANGE(""https://docs.google.com/spreadsheets/d/1UvPg-G_Bj-UNhLC2uL8tntfYsnld_PABqE3impzOchM/edit"", ""R2019-MED!I:"&amp;"I""),
IMPORTRANGE(""https://docs.google.com/spreadsheets/d/1UvPg-G_Bj-UNhLC2uL8tntfYsnld_PABqE3impzOchM/edit"", ""R2019-MED!N:N""),
IMPORTRANGE(""https://docs.google.com/spreadsheets/d/1UvPg-G_Bj-UNhLC2uL8tntfYsnld_PABqE3impzOchM/edit"", ""R2019-MED!O:O"""&amp;"),
IMPORTRANGE(""https://docs.google.com/spreadsheets/d/1UvPg-G_Bj-UNhLC2uL8tntfYsnld_PABqE3impzOchM/edit"", ""R2019-MED!P:P""),
IMPORTRANGE(""https://docs.google.com/spreadsheets/d/1UvPg-G_Bj-UNhLC2uL8tntfYsnld_PABqE3impzOchM/edit"", ""R2019-MED!Q:Q""),
"&amp;"IMPORTRANGE(""https://docs.google.com/spreadsheets/d/1UvPg-G_Bj-UNhLC2uL8tntfYsnld_PABqE3impzOchM/edit"", ""R2019-MED!R:R""),
IMPORTRANGE(""https://docs.google.com/spreadsheets/d/1UvPg-G_Bj-UNhLC2uL8tntfYsnld_PABqE3impzOchM/edit"", ""R2019-MED!S:S""),
IMP"&amp;"ORTRANGE(""https://docs.google.com/spreadsheets/d/1UvPg-G_Bj-UNhLC2uL8tntfYsnld_PABqE3impzOchM/edit"", ""R2019-MED!V:V""),
IMPORTRANGE(""https://docs.google.com/spreadsheets/d/1UvPg-G_Bj-UNhLC2uL8tntfYsnld_PABqE3impzOchM/edit"", ""R2019-MED!X:X""),
IMPORT"&amp;"RANGE(""https://docs.google.com/spreadsheets/d/1UvPg-G_Bj-UNhLC2uL8tntfYsnld_PABqE3impzOchM/edit"", ""R2019-MED!Y:Y""),
IMPORTRANGE(""https://docs.google.com/spreadsheets/d/1UvPg-G_Bj-UNhLC2uL8tntfYsnld_PABqE3impzOchM/edit"", ""R2019-MED!AA:AA""),
IMPORTR"&amp;"ANGE(""https://docs.google.com/spreadsheets/d/1UvPg-G_Bj-UNhLC2uL8tntfYsnld_PABqE3impzOchM/edit"", ""R2019-MED!AC:AC""),
IMPORTRANGE(""https://docs.google.com/spreadsheets/d/1UvPg-G_Bj-UNhLC2uL8tntfYsnld_PABqE3impzOchM/edit"", ""R2019-MED!AD:AD"")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(Reg)")</f>
        <v>Credits to be Earned (Reg)</v>
      </c>
      <c r="O2" s="17" t="str">
        <f>IFERROR(__xludf.DUMMYFUNCTION("""COMPUTED_VALUE"""),"Credits to be Earned (LE)")</f>
        <v>Credits to be Earned (LE)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(Reg)")</f>
        <v>Credits to be Earned (Reg)</v>
      </c>
      <c r="R2" s="17" t="str">
        <f>IFERROR(__xludf.DUMMYFUNCTION("""COMPUTED_VALUE"""),"Credits to be Earned (LE)")</f>
        <v>Credits to be Earned (LE)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IFERROR(__xludf.DUMMYFUNCTION("""COMPUTED_VALUE"""),"SH1101")</f>
        <v>SH1101</v>
      </c>
      <c r="E3" s="2" t="str">
        <f>IFERROR(__xludf.DUMMYFUNCTION("""COMPUTED_VALUE"""),"19EN101")</f>
        <v>19EN101</v>
      </c>
      <c r="F3" s="7" t="str">
        <f>IFERROR(__xludf.DUMMYFUNCTION("""COMPUTED_VALUE"""),"Communicative English")</f>
        <v>Communicative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IFERROR(__xludf.DUMMYFUNCTION("""COMPUTED_VALUE"""),0)</f>
        <v>0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IFERROR(__xludf.DUMMYFUNCTION("""COMPUTED_VALUE"""),0)</f>
        <v>0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IFERROR(__xludf.DUMMYFUNCTION("""COMPUTED_VALUE"""),"SH1106")</f>
        <v>SH1106</v>
      </c>
      <c r="E4" s="2" t="str">
        <f>IFERROR(__xludf.DUMMYFUNCTION("""COMPUTED_VALUE"""),"19EN106")</f>
        <v>19EN106</v>
      </c>
      <c r="F4" s="7" t="str">
        <f>IFERROR(__xludf.DUMMYFUNCTION("""COMPUTED_VALUE"""),"English for Engineers")</f>
        <v>English for Engineers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IFERROR(__xludf.DUMMYFUNCTION("""COMPUTED_VALUE"""),27)</f>
        <v>27</v>
      </c>
      <c r="O4" s="20">
        <f>IFERROR(__xludf.DUMMYFUNCTION("""COMPUTED_VALUE"""),11)</f>
        <v>11</v>
      </c>
      <c r="P4" s="19" t="str">
        <f>IFERROR(__xludf.DUMMYFUNCTION("""COMPUTED_VALUE"""),"BS")</f>
        <v>BS</v>
      </c>
      <c r="Q4" s="2">
        <f>IFERROR(__xludf.DUMMYFUNCTION("""COMPUTED_VALUE"""),27)</f>
        <v>27</v>
      </c>
      <c r="R4" s="20">
        <f>IFERROR(__xludf.DUMMYFUNCTION("""COMPUTED_VALUE"""),11)</f>
        <v>11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LE, Option 1 for Regular")</f>
        <v>Exempted for LE, Option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IFERROR(__xludf.DUMMYFUNCTION("""COMPUTED_VALUE"""),"19EN102")</f>
        <v>19EN102</v>
      </c>
      <c r="F5" s="7" t="str">
        <f>IFERROR(__xludf.DUMMYFUNCTION("""COMPUTED_VALUE"""),"Technical English")</f>
        <v>Technical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IFERROR(__xludf.DUMMYFUNCTION("""COMPUTED_VALUE"""),30)</f>
        <v>30</v>
      </c>
      <c r="O5" s="20">
        <f>IFERROR(__xludf.DUMMYFUNCTION("""COMPUTED_VALUE"""),16)</f>
        <v>16</v>
      </c>
      <c r="P5" s="19" t="str">
        <f>IFERROR(__xludf.DUMMYFUNCTION("""COMPUTED_VALUE"""),"ES")</f>
        <v>ES</v>
      </c>
      <c r="Q5" s="2">
        <f>IFERROR(__xludf.DUMMYFUNCTION("""COMPUTED_VALUE"""),30)</f>
        <v>30</v>
      </c>
      <c r="R5" s="20">
        <f>IFERROR(__xludf.DUMMYFUNCTION("""COMPUTED_VALUE"""),16)</f>
        <v>16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LE, Option 2 for Regular")</f>
        <v>Exempted for LE, Option 2 for Regular</v>
      </c>
      <c r="C6" s="2" t="str">
        <f>IFERROR(__xludf.DUMMYFUNCTION("""COMPUTED_VALUE"""),"HS")</f>
        <v>HS</v>
      </c>
      <c r="D6" s="2" t="str">
        <f>IFERROR(__xludf.DUMMYFUNCTION("""COMPUTED_VALUE"""),"SH1107")</f>
        <v>SH1107</v>
      </c>
      <c r="E6" s="2" t="str">
        <f>IFERROR(__xludf.DUMMYFUNCTION("""COMPUTED_VALUE"""),"19EN107")</f>
        <v>19EN107</v>
      </c>
      <c r="F6" s="7" t="str">
        <f>IFERROR(__xludf.DUMMYFUNCTION("""COMPUTED_VALUE"""),"Technical Writing and Presentation")</f>
        <v>Technical Writing and Presentation</v>
      </c>
      <c r="G6" s="2" t="str">
        <f>IFERROR(__xludf.DUMMYFUNCTION("""COMPUTED_VALUE"""),"-")</f>
        <v>-</v>
      </c>
      <c r="H6" s="2">
        <f>IFERROR(__xludf.DUMMYFUNCTION("""COMPUTED_VALUE"""),0)</f>
        <v>0</v>
      </c>
      <c r="I6" s="2">
        <f>IFERROR(__xludf.DUMMYFUNCTION("""COMPUTED_VALUE"""),2)</f>
        <v>2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IFERROR(__xludf.DUMMYFUNCTION("""COMPUTED_VALUE"""),"Practical (10 Expts)")</f>
        <v>Practical (10 Expts)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IFERROR(__xludf.DUMMYFUNCTION("""COMPUTED_VALUE"""),56)</f>
        <v>56</v>
      </c>
      <c r="P6" s="19" t="str">
        <f>IFERROR(__xludf.DUMMYFUNCTION("""COMPUTED_VALUE"""),"PC")</f>
        <v>PC</v>
      </c>
      <c r="Q6" s="2">
        <f>IFERROR(__xludf.DUMMYFUNCTION("""COMPUTED_VALUE"""),56)</f>
        <v>56</v>
      </c>
      <c r="R6" s="20">
        <f>IFERROR(__xludf.DUMMYFUNCTION("""COMPUTED_VALUE"""),56)</f>
        <v>56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LE, Option 2 for Regular")</f>
        <v>Exempted for LE, Option 2 for Regular</v>
      </c>
      <c r="C7" s="2" t="str">
        <f>IFERROR(__xludf.DUMMYFUNCTION("""COMPUTED_VALUE"""),"HS")</f>
        <v>HS</v>
      </c>
      <c r="D7" s="2" t="str">
        <f>IFERROR(__xludf.DUMMYFUNCTION("""COMPUTED_VALUE"""),"SH1105")</f>
        <v>SH1105</v>
      </c>
      <c r="E7" s="2" t="str">
        <f>IFERROR(__xludf.DUMMYFUNCTION("""COMPUTED_VALUE"""),"19EN105")</f>
        <v>19EN105</v>
      </c>
      <c r="F7" s="7" t="str">
        <f>IFERROR(__xludf.DUMMYFUNCTION("""COMPUTED_VALUE"""),"Public Speaking")</f>
        <v>Public Speaking</v>
      </c>
      <c r="G7" s="2" t="str">
        <f>IFERROR(__xludf.DUMMYFUNCTION("""COMPUTED_VALUE"""),"-")</f>
        <v>-</v>
      </c>
      <c r="H7" s="2">
        <f>IFERROR(__xludf.DUMMYFUNCTION("""COMPUTED_VALUE"""),0)</f>
        <v>0</v>
      </c>
      <c r="I7" s="2">
        <f>IFERROR(__xludf.DUMMYFUNCTION("""COMPUTED_VALUE"""),3)</f>
        <v>3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IFERROR(__xludf.DUMMYFUNCTION("""COMPUTED_VALUE"""),"Practical (10 Expts)")</f>
        <v>Practical (10 Expts)</v>
      </c>
      <c r="M7" s="19" t="str">
        <f>IFERROR(__xludf.DUMMYFUNCTION("""COMPUTED_VALUE"""),"PE")</f>
        <v>PE</v>
      </c>
      <c r="N7" s="2">
        <f>IFERROR(__xludf.DUMMYFUNCTION("""COMPUTED_VALUE"""),12)</f>
        <v>12</v>
      </c>
      <c r="O7" s="20">
        <f>IFERROR(__xludf.DUMMYFUNCTION("""COMPUTED_VALUE"""),12)</f>
        <v>12</v>
      </c>
      <c r="P7" s="19" t="str">
        <f>IFERROR(__xludf.DUMMYFUNCTION("""COMPUTED_VALUE"""),"PE")</f>
        <v>PE</v>
      </c>
      <c r="Q7" s="2">
        <f>IFERROR(__xludf.DUMMYFUNCTION("""COMPUTED_VALUE"""),12)</f>
        <v>12</v>
      </c>
      <c r="R7" s="20">
        <f>IFERROR(__xludf.DUMMYFUNCTION("""COMPUTED_VALUE"""),12)</f>
        <v>12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1 for Regular")</f>
        <v>Exempted for LE , Any 1 for Regular</v>
      </c>
      <c r="C8" s="2" t="str">
        <f>IFERROR(__xludf.DUMMYFUNCTION("""COMPUTED_VALUE"""),"HS")</f>
        <v>HS</v>
      </c>
      <c r="D8" s="2" t="str">
        <f>IFERROR(__xludf.DUMMYFUNCTION("""COMPUTED_VALUE"""),"NA")</f>
        <v>NA</v>
      </c>
      <c r="E8" s="2" t="str">
        <f>IFERROR(__xludf.DUMMYFUNCTION("""COMPUTED_VALUE"""),"19MS151")</f>
        <v>19MS151</v>
      </c>
      <c r="F8" s="7" t="str">
        <f>IFERROR(__xludf.DUMMYFUNCTION("""COMPUTED_VALUE"""),"Principles of Management")</f>
        <v>Principles of Management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 , Any 1 for Regular")</f>
        <v>Exempted for LE , Any 1 for Regular</v>
      </c>
      <c r="C9" s="2" t="str">
        <f>IFERROR(__xludf.DUMMYFUNCTION("""COMPUTED_VALUE"""),"HS")</f>
        <v>HS</v>
      </c>
      <c r="D9" s="2" t="str">
        <f>IFERROR(__xludf.DUMMYFUNCTION("""COMPUTED_VALUE"""),"NA")</f>
        <v>NA</v>
      </c>
      <c r="E9" s="2" t="str">
        <f>IFERROR(__xludf.DUMMYFUNCTION("""COMPUTED_VALUE"""),"19MS152")</f>
        <v>19MS152</v>
      </c>
      <c r="F9" s="7" t="str">
        <f>IFERROR(__xludf.DUMMYFUNCTION("""COMPUTED_VALUE"""),"Total Quality Management")</f>
        <v>Total Quality Management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IFERROR(__xludf.DUMMYFUNCTION("""COMPUTED_VALUE"""),0)</f>
        <v>0</v>
      </c>
      <c r="J9" s="2">
        <f>IFERROR(__xludf.DUMMYFUNCTION("""COMPUTED_VALUE"""),3)</f>
        <v>3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IFERROR(__xludf.DUMMYFUNCTION("""COMPUTED_VALUE"""),"SH7101")</f>
        <v>SH7101</v>
      </c>
      <c r="E10" s="2" t="str">
        <f>IFERROR(__xludf.DUMMYFUNCTION("""COMPUTED_VALUE"""),"22HS101")</f>
        <v>22HS101</v>
      </c>
      <c r="F10" s="7" t="str">
        <f>IFERROR(__xludf.DUMMYFUNCTION("""COMPUTED_VALUE"""),"தமிழர் மரபு/ Heritage of Tamils")</f>
        <v>தமிழர் மரபு/ Heritage of Tamils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IFERROR(__xludf.DUMMYFUNCTION("""COMPUTED_VALUE"""),"SH7102")</f>
        <v>SH7102</v>
      </c>
      <c r="E11" s="2" t="str">
        <f>IFERROR(__xludf.DUMMYFUNCTION("""COMPUTED_VALUE"""),"22HS102")</f>
        <v>22HS102</v>
      </c>
      <c r="F11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1" s="2" t="str">
        <f>IFERROR(__xludf.DUMMYFUNCTION("""COMPUTED_VALUE"""),"-")</f>
        <v>-</v>
      </c>
      <c r="H11" s="2">
        <f>IFERROR(__xludf.DUMMYFUNCTION("""COMPUTED_VALUE"""),1)</f>
        <v>1</v>
      </c>
      <c r="I11" s="2">
        <f>IFERROR(__xludf.DUMMYFUNCTION("""COMPUTED_VALUE"""),0)</f>
        <v>0</v>
      </c>
      <c r="J11" s="2">
        <f>IFERROR(__xludf.DUMMYFUNCTION("""COMPUTED_VALUE"""),1)</f>
        <v>1</v>
      </c>
      <c r="K11" s="2" t="str">
        <f>IFERROR(__xludf.DUMMYFUNCTION("""COMPUTED_VALUE"""),"CGPA")</f>
        <v>CGPA</v>
      </c>
      <c r="L11" s="18" t="str">
        <f>IFERROR(__xludf.DUMMYFUNCTION("""COMPUTED_VALUE"""),"Theory (Int Only)")</f>
        <v>Theory (Int Only)</v>
      </c>
      <c r="M11" s="21" t="str">
        <f>IFERROR(__xludf.DUMMYFUNCTION("""COMPUTED_VALUE"""),"TOTAL")</f>
        <v>TOTAL</v>
      </c>
      <c r="N11" s="22">
        <f>IFERROR(__xludf.DUMMYFUNCTION("""COMPUTED_VALUE"""),167)</f>
        <v>167</v>
      </c>
      <c r="O11" s="23">
        <f>IFERROR(__xludf.DUMMYFUNCTION("""COMPUTED_VALUE"""),126)</f>
        <v>126</v>
      </c>
      <c r="P11" s="21" t="str">
        <f>IFERROR(__xludf.DUMMYFUNCTION("""COMPUTED_VALUE"""),"TOTAL")</f>
        <v>TOTAL</v>
      </c>
      <c r="Q11" s="22">
        <f>IFERROR(__xludf.DUMMYFUNCTION("""COMPUTED_VALUE"""),169)</f>
        <v>169</v>
      </c>
      <c r="R11" s="23">
        <f>IFERROR(__xludf.DUMMYFUNCTION("""COMPUTED_VALUE"""),126)</f>
        <v>126</v>
      </c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IFERROR(__xludf.DUMMYFUNCTION("""COMPUTED_VALUE"""),"NA")</f>
        <v>NA</v>
      </c>
      <c r="E12" s="2" t="str">
        <f>IFERROR(__xludf.DUMMYFUNCTION("""COMPUTED_VALUE"""),"19MA202")</f>
        <v>19MA202</v>
      </c>
      <c r="F12" s="7" t="str">
        <f>IFERROR(__xludf.DUMMYFUNCTION("""COMPUTED_VALUE"""),"Calculus and Laplace Transforms")</f>
        <v>Calculus and Laplace Transforms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IFERROR(__xludf.DUMMYFUNCTION("""COMPUTED_VALUE"""),"NA")</f>
        <v>NA</v>
      </c>
      <c r="E13" s="2" t="str">
        <f>IFERROR(__xludf.DUMMYFUNCTION("""COMPUTED_VALUE"""),"19MA204")</f>
        <v>19MA204</v>
      </c>
      <c r="F13" s="7" t="str">
        <f>IFERROR(__xludf.DUMMYFUNCTION("""COMPUTED_VALUE"""),"Complex Variables and Ordinary Differential Equations")</f>
        <v>Complex Variables and Ordinary Differential Equations</v>
      </c>
      <c r="G13" s="2" t="str">
        <f>IFERROR(__xludf.DUMMYFUNCTION("""COMPUTED_VALUE"""),"19MA202")</f>
        <v>19MA202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IFERROR(__xludf.DUMMYFUNCTION("""COMPUTED_VALUE"""),"19MA213")</f>
        <v>19MA213</v>
      </c>
      <c r="F14" s="7" t="str">
        <f>IFERROR(__xludf.DUMMYFUNCTION("""COMPUTED_VALUE"""),"Linear Algebra and Numerical Methods")</f>
        <v>Linear Algebra and Numerical Methods</v>
      </c>
      <c r="G14" s="2" t="str">
        <f>IFERROR(__xludf.DUMMYFUNCTION("""COMPUTED_VALUE"""),"19MA202")</f>
        <v>19MA202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IFERROR(__xludf.DUMMYFUNCTION("""COMPUTED_VALUE"""),"19MA217")</f>
        <v>19MA217</v>
      </c>
      <c r="F15" s="7" t="str">
        <f>IFERROR(__xludf.DUMMYFUNCTION("""COMPUTED_VALUE"""),"Random Processes and Statistics")</f>
        <v>Random Processes and Statistics</v>
      </c>
      <c r="G15" s="2" t="str">
        <f>IFERROR(__xludf.DUMMYFUNCTION("""COMPUTED_VALUE"""),"19MA202")</f>
        <v>19MA202</v>
      </c>
      <c r="H15" s="2">
        <f>IFERROR(__xludf.DUMMYFUNCTION("""COMPUTED_VALUE"""),4)</f>
        <v>4</v>
      </c>
      <c r="I15" s="2">
        <f>IFERROR(__xludf.DUMMYFUNCTION("""COMPUTED_VALUE"""),0)</f>
        <v>0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IFERROR(__xludf.DUMMYFUNCTION("""COMPUTED_VALUE"""),"NA")</f>
        <v>NA</v>
      </c>
      <c r="E16" s="2" t="str">
        <f>IFERROR(__xludf.DUMMYFUNCTION("""COMPUTED_VALUE"""),"19PH202")</f>
        <v>19PH202</v>
      </c>
      <c r="F16" s="7" t="str">
        <f>IFERROR(__xludf.DUMMYFUNCTION("""COMPUTED_VALUE"""),"Fundamentals of Engineering Physics")</f>
        <v>Fundamentals of Engineering Physics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IFERROR(__xludf.DUMMYFUNCTION("""COMPUTED_VALUE"""),"BS")</f>
        <v>BS</v>
      </c>
      <c r="D17" s="2" t="str">
        <f>IFERROR(__xludf.DUMMYFUNCTION("""COMPUTED_VALUE"""),"NA")</f>
        <v>NA</v>
      </c>
      <c r="E17" s="2" t="str">
        <f>IFERROR(__xludf.DUMMYFUNCTION("""COMPUTED_VALUE"""),"19PH208")</f>
        <v>19PH208</v>
      </c>
      <c r="F17" s="7" t="str">
        <f>IFERROR(__xludf.DUMMYFUNCTION("""COMPUTED_VALUE"""),"Medical Physics")</f>
        <v>Medical Physics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IFERROR(__xludf.DUMMYFUNCTION("""COMPUTED_VALUE"""),0)</f>
        <v>0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IFERROR(__xludf.DUMMYFUNCTION("""COMPUTED_VALUE"""),"Theory")</f>
        <v>Theory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IFERROR(__xludf.DUMMYFUNCTION("""COMPUTED_VALUE"""),"BS")</f>
        <v>BS</v>
      </c>
      <c r="D18" s="2" t="str">
        <f>IFERROR(__xludf.DUMMYFUNCTION("""COMPUTED_VALUE"""),"SH4205")</f>
        <v>SH4205</v>
      </c>
      <c r="E18" s="2" t="str">
        <f>IFERROR(__xludf.DUMMYFUNCTION("""COMPUTED_VALUE"""),"19CY205")</f>
        <v>19CY205</v>
      </c>
      <c r="F18" s="7" t="str">
        <f>IFERROR(__xludf.DUMMYFUNCTION("""COMPUTED_VALUE"""),"Principles of Chemistry in Engineering")</f>
        <v>Principles of Chemistry in Engineering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IFERROR(__xludf.DUMMYFUNCTION("""COMPUTED_VALUE"""),"NA")</f>
        <v>NA</v>
      </c>
      <c r="E19" s="2" t="str">
        <f>IFERROR(__xludf.DUMMYFUNCTION("""COMPUTED_VALUE"""),"19CS301")</f>
        <v>19CS301</v>
      </c>
      <c r="F19" s="7" t="str">
        <f>IFERROR(__xludf.DUMMYFUNCTION("""COMPUTED_VALUE"""),"Problem Solving and Python Programming")</f>
        <v>Problem Solving and Python Programming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IFERROR(__xludf.DUMMYFUNCTION("""COMPUTED_VALUE"""),"NA")</f>
        <v>NA</v>
      </c>
      <c r="E20" s="2" t="str">
        <f>IFERROR(__xludf.DUMMYFUNCTION("""COMPUTED_VALUE"""),"19EC301")</f>
        <v>19EC301</v>
      </c>
      <c r="F20" s="30" t="str">
        <f>IFERROR(__xludf.DUMMYFUNCTION("""COMPUTED_VALUE"""),"Electric Circuit Analysis")</f>
        <v>Electric Circuit Analysis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IFERROR(__xludf.DUMMYFUNCTION("""COMPUTED_VALUE"""),1)</f>
        <v>1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IFERROR(__xludf.DUMMYFUNCTION("""COMPUTED_VALUE"""),"EC1302")</f>
        <v>EC1302</v>
      </c>
      <c r="E21" s="2" t="str">
        <f>IFERROR(__xludf.DUMMYFUNCTION("""COMPUTED_VALUE"""),"19EC302")</f>
        <v>19EC302</v>
      </c>
      <c r="F21" s="7" t="str">
        <f>IFERROR(__xludf.DUMMYFUNCTION("""COMPUTED_VALUE"""),"Electronic Devices")</f>
        <v>Electronic Devices</v>
      </c>
      <c r="G21" s="2" t="str">
        <f>IFERROR(__xludf.DUMMYFUNCTION("""COMPUTED_VALUE"""),"-")</f>
        <v>-</v>
      </c>
      <c r="H21" s="2">
        <f>IFERROR(__xludf.DUMMYFUNCTION("""COMPUTED_VALUE"""),3)</f>
        <v>3</v>
      </c>
      <c r="I21" s="2">
        <f>IFERROR(__xludf.DUMMYFUNCTION("""COMPUTED_VALUE"""),1)</f>
        <v>1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IFERROR(__xludf.DUMMYFUNCTION("""COMPUTED_VALUE"""),"19EC303")</f>
        <v>19EC303</v>
      </c>
      <c r="F22" s="7" t="str">
        <f>IFERROR(__xludf.DUMMYFUNCTION("""COMPUTED_VALUE"""),"Digital Principles and System Design")</f>
        <v>Digital Principles and System Design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IFERROR(__xludf.DUMMYFUNCTION("""COMPUTED_VALUE"""),1)</f>
        <v>1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IFERROR(__xludf.DUMMYFUNCTION("""COMPUTED_VALUE"""),"EC1306")</f>
        <v>EC1306</v>
      </c>
      <c r="E23" s="2" t="str">
        <f>IFERROR(__xludf.DUMMYFUNCTION("""COMPUTED_VALUE"""),"19EC306")</f>
        <v>19EC306</v>
      </c>
      <c r="F23" s="7" t="str">
        <f>IFERROR(__xludf.DUMMYFUNCTION("""COMPUTED_VALUE"""),"Analog and Digital Communication")</f>
        <v>Analog and Digital Communication</v>
      </c>
      <c r="G23" s="2" t="str">
        <f>IFERROR(__xludf.DUMMYFUNCTION("""COMPUTED_VALUE"""),"-")</f>
        <v>-</v>
      </c>
      <c r="H23" s="2">
        <f>IFERROR(__xludf.DUMMYFUNCTION("""COMPUTED_VALUE"""),3)</f>
        <v>3</v>
      </c>
      <c r="I23" s="2">
        <f>IFERROR(__xludf.DUMMYFUNCTION("""COMPUTED_VALUE"""),1)</f>
        <v>1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 t="str">
        <f>IFERROR(__xludf.DUMMYFUNCTION("""COMPUTED_VALUE"""),"Exempted for LE")</f>
        <v>Exempted for LE</v>
      </c>
      <c r="C24" s="2" t="str">
        <f>IFERROR(__xludf.DUMMYFUNCTION("""COMPUTED_VALUE"""),"ES")</f>
        <v>ES</v>
      </c>
      <c r="D24" s="2" t="str">
        <f>IFERROR(__xludf.DUMMYFUNCTION("""COMPUTED_VALUE"""),"NA")</f>
        <v>NA</v>
      </c>
      <c r="E24" s="2" t="str">
        <f>IFERROR(__xludf.DUMMYFUNCTION("""COMPUTED_VALUE"""),"19ME302")</f>
        <v>19ME302</v>
      </c>
      <c r="F24" s="7" t="str">
        <f>IFERROR(__xludf.DUMMYFUNCTION("""COMPUTED_VALUE"""),"Engineering Drawing")</f>
        <v>Engineering Drawing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IFERROR(__xludf.DUMMYFUNCTION("""COMPUTED_VALUE"""),"EC1402")</f>
        <v>EC1402</v>
      </c>
      <c r="E25" s="2" t="str">
        <f>IFERROR(__xludf.DUMMYFUNCTION("""COMPUTED_VALUE"""),"19EC402")</f>
        <v>19EC402</v>
      </c>
      <c r="F25" s="7" t="str">
        <f>IFERROR(__xludf.DUMMYFUNCTION("""COMPUTED_VALUE"""),"Signals and Systems")</f>
        <v>Signals and Systems</v>
      </c>
      <c r="G25" s="2" t="str">
        <f>IFERROR(__xludf.DUMMYFUNCTION("""COMPUTED_VALUE"""),"19MA202")</f>
        <v>19MA202</v>
      </c>
      <c r="H25" s="2">
        <f>IFERROR(__xludf.DUMMYFUNCTION("""COMPUTED_VALUE"""),3)</f>
        <v>3</v>
      </c>
      <c r="I25" s="2">
        <f>IFERROR(__xludf.DUMMYFUNCTION("""COMPUTED_VALUE"""),0)</f>
        <v>0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IFERROR(__xludf.DUMMYFUNCTION("""COMPUTED_VALUE"""),"Theory")</f>
        <v>Theory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 t="str">
        <f>IFERROR(__xludf.DUMMYFUNCTION("""COMPUTED_VALUE"""),"Any 1")</f>
        <v>Any 1</v>
      </c>
      <c r="C26" s="2" t="str">
        <f>IFERROR(__xludf.DUMMYFUNCTION("""COMPUTED_VALUE"""),"PC")</f>
        <v>PC</v>
      </c>
      <c r="D26" s="2" t="str">
        <f>IFERROR(__xludf.DUMMYFUNCTION("""COMPUTED_VALUE"""),"NA")</f>
        <v>NA</v>
      </c>
      <c r="E26" s="2" t="str">
        <f>IFERROR(__xludf.DUMMYFUNCTION("""COMPUTED_VALUE"""),"19EC405")</f>
        <v>19EC405</v>
      </c>
      <c r="F26" s="7" t="str">
        <f>IFERROR(__xludf.DUMMYFUNCTION("""COMPUTED_VALUE"""),"Linear Integrated Circuits")</f>
        <v>Linear Integrated Circuits</v>
      </c>
      <c r="G26" s="2" t="str">
        <f>IFERROR(__xludf.DUMMYFUNCTION("""COMPUTED_VALUE"""),"19EC302, 19EC308")</f>
        <v>19EC302, 19EC308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IFERROR(__xludf.DUMMYFUNCTION("""COMPUTED_VALUE"""),"Any 1")</f>
        <v>Any 1</v>
      </c>
      <c r="C27" s="2" t="str">
        <f>IFERROR(__xludf.DUMMYFUNCTION("""COMPUTED_VALUE"""),"PC")</f>
        <v>PC</v>
      </c>
      <c r="D27" s="2" t="str">
        <f>IFERROR(__xludf.DUMMYFUNCTION("""COMPUTED_VALUE"""),"EC1421")</f>
        <v>EC1421</v>
      </c>
      <c r="E27" s="2" t="str">
        <f>IFERROR(__xludf.DUMMYFUNCTION("""COMPUTED_VALUE"""),"19EC421")</f>
        <v>19EC421</v>
      </c>
      <c r="F27" s="7" t="str">
        <f>IFERROR(__xludf.DUMMYFUNCTION("""COMPUTED_VALUE"""),"Analysis and Design of Analog ICs")</f>
        <v>Analysis and Design of Analog ICs</v>
      </c>
      <c r="G27" s="2" t="str">
        <f>IFERROR(__xludf.DUMMYFUNCTION("""COMPUTED_VALUE"""),"19EC302 /19EE405 / EC1302")</f>
        <v>19EC302 /19EE405 / EC1302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IFERROR(__xludf.DUMMYFUNCTION("""COMPUTED_VALUE"""),"EC1408")</f>
        <v>EC1408</v>
      </c>
      <c r="E28" s="2" t="str">
        <f>IFERROR(__xludf.DUMMYFUNCTION("""COMPUTED_VALUE"""),"19EC408")</f>
        <v>19EC408</v>
      </c>
      <c r="F28" s="7" t="str">
        <f>IFERROR(__xludf.DUMMYFUNCTION("""COMPUTED_VALUE"""),"Microprocessor and Microcontroller")</f>
        <v>Microprocessor and Microcontroller</v>
      </c>
      <c r="G28" s="2" t="str">
        <f>IFERROR(__xludf.DUMMYFUNCTION("""COMPUTED_VALUE"""),"19EC303 / EC1801")</f>
        <v>19EC303 / EC1801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IFERROR(__xludf.DUMMYFUNCTION("""COMPUTED_VALUE"""),"NA")</f>
        <v>NA</v>
      </c>
      <c r="E29" s="2" t="str">
        <f>IFERROR(__xludf.DUMMYFUNCTION("""COMPUTED_VALUE"""),"19MD401")</f>
        <v>19MD401</v>
      </c>
      <c r="F29" s="7" t="str">
        <f>IFERROR(__xludf.DUMMYFUNCTION("""COMPUTED_VALUE"""),"Basics of Measurements and Instrumentation")</f>
        <v>Basics of Measurements and Instrumentation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IFERROR(__xludf.DUMMYFUNCTION("""COMPUTED_VALUE"""),0)</f>
        <v>0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IFERROR(__xludf.DUMMYFUNCTION("""COMPUTED_VALUE"""),"Theory")</f>
        <v>Theory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IFERROR(__xludf.DUMMYFUNCTION("""COMPUTED_VALUE"""),"EC4402")</f>
        <v>EC4402</v>
      </c>
      <c r="E30" s="2" t="str">
        <f>IFERROR(__xludf.DUMMYFUNCTION("""COMPUTED_VALUE"""),"19MD402")</f>
        <v>19MD402</v>
      </c>
      <c r="F30" s="7" t="str">
        <f>IFERROR(__xludf.DUMMYFUNCTION("""COMPUTED_VALUE"""),"Bio Control Systems")</f>
        <v>Bio Control Systems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IFERROR(__xludf.DUMMYFUNCTION("""COMPUTED_VALUE"""),0)</f>
        <v>0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IFERROR(__xludf.DUMMYFUNCTION("""COMPUTED_VALUE"""),"NA")</f>
        <v>NA</v>
      </c>
      <c r="E31" s="2" t="str">
        <f>IFERROR(__xludf.DUMMYFUNCTION("""COMPUTED_VALUE"""),"19MD403")</f>
        <v>19MD403</v>
      </c>
      <c r="F31" s="7" t="str">
        <f>IFERROR(__xludf.DUMMYFUNCTION("""COMPUTED_VALUE"""),"Medical Instrumentation")</f>
        <v>Medical Instrumentation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IFERROR(__xludf.DUMMYFUNCTION("""COMPUTED_VALUE"""),"NA")</f>
        <v>NA</v>
      </c>
      <c r="E32" s="2" t="str">
        <f>IFERROR(__xludf.DUMMYFUNCTION("""COMPUTED_VALUE"""),"19MD404")</f>
        <v>19MD404</v>
      </c>
      <c r="F32" s="7" t="str">
        <f>IFERROR(__xludf.DUMMYFUNCTION("""COMPUTED_VALUE"""),"Pattern Recognition and Artificial Intelligence")</f>
        <v>Pattern Recognition and Artificial Intelligence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IFERROR(__xludf.DUMMYFUNCTION("""COMPUTED_VALUE"""),0)</f>
        <v>0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IFERROR(__xludf.DUMMYFUNCTION("""COMPUTED_VALUE"""),"Theory")</f>
        <v>Theory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IFERROR(__xludf.DUMMYFUNCTION("""COMPUTED_VALUE"""),"NA")</f>
        <v>NA</v>
      </c>
      <c r="E33" s="2" t="str">
        <f>IFERROR(__xludf.DUMMYFUNCTION("""COMPUTED_VALUE"""),"19MD405")</f>
        <v>19MD405</v>
      </c>
      <c r="F33" s="7" t="str">
        <f>IFERROR(__xludf.DUMMYFUNCTION("""COMPUTED_VALUE"""),"Therapeutic Equipment")</f>
        <v>Therapeutic Equipment</v>
      </c>
      <c r="G33" s="2" t="str">
        <f>IFERROR(__xludf.DUMMYFUNCTION("""COMPUTED_VALUE"""),"19MD403")</f>
        <v>19MD403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IFERROR(__xludf.DUMMYFUNCTION("""COMPUTED_VALUE"""),"EC4530")</f>
        <v>EC4530</v>
      </c>
      <c r="E34" s="2" t="str">
        <f>IFERROR(__xludf.DUMMYFUNCTION("""COMPUTED_VALUE"""),"19MD406")</f>
        <v>19MD406</v>
      </c>
      <c r="F34" s="7" t="str">
        <f>IFERROR(__xludf.DUMMYFUNCTION("""COMPUTED_VALUE"""),"Medical Image Processing")</f>
        <v>Medical Image Processing</v>
      </c>
      <c r="G34" s="2" t="str">
        <f>IFERROR(__xludf.DUMMYFUNCTION("""COMPUTED_VALUE"""),"19BM408/EC4408")</f>
        <v>19BM408/EC4408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IFERROR(__xludf.DUMMYFUNCTION("""COMPUTED_VALUE"""),"NA")</f>
        <v>NA</v>
      </c>
      <c r="E35" s="2" t="str">
        <f>IFERROR(__xludf.DUMMYFUNCTION("""COMPUTED_VALUE"""),"19MD407")</f>
        <v>19MD407</v>
      </c>
      <c r="F35" s="7" t="str">
        <f>IFERROR(__xludf.DUMMYFUNCTION("""COMPUTED_VALUE"""),"Medical Informatics")</f>
        <v>Medical Informatics</v>
      </c>
      <c r="G35" s="2" t="str">
        <f>IFERROR(__xludf.DUMMYFUNCTION("""COMPUTED_VALUE"""),"-")</f>
        <v>-</v>
      </c>
      <c r="H35" s="2">
        <f>IFERROR(__xludf.DUMMYFUNCTION("""COMPUTED_VALUE"""),3)</f>
        <v>3</v>
      </c>
      <c r="I35" s="2">
        <f>IFERROR(__xludf.DUMMYFUNCTION("""COMPUTED_VALUE"""),0)</f>
        <v>0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IFERROR(__xludf.DUMMYFUNCTION("""COMPUTED_VALUE"""),"NA")</f>
        <v>NA</v>
      </c>
      <c r="E36" s="2" t="str">
        <f>IFERROR(__xludf.DUMMYFUNCTION("""COMPUTED_VALUE"""),"19MD408")</f>
        <v>19MD408</v>
      </c>
      <c r="F36" s="7" t="str">
        <f>IFERROR(__xludf.DUMMYFUNCTION("""COMPUTED_VALUE"""),"Medical Electronics System Design Laboratory")</f>
        <v>Medical Electronics System Design Laboratory</v>
      </c>
      <c r="G36" s="2" t="str">
        <f>IFERROR(__xludf.DUMMYFUNCTION("""COMPUTED_VALUE"""),"19MD403")</f>
        <v>19MD403</v>
      </c>
      <c r="H36" s="2">
        <f>IFERROR(__xludf.DUMMYFUNCTION("""COMPUTED_VALUE"""),0)</f>
        <v>0</v>
      </c>
      <c r="I36" s="2">
        <f>IFERROR(__xludf.DUMMYFUNCTION("""COMPUTED_VALUE"""),2)</f>
        <v>2</v>
      </c>
      <c r="J36" s="2">
        <f>IFERROR(__xludf.DUMMYFUNCTION("""COMPUTED_VALUE"""),2)</f>
        <v>2</v>
      </c>
      <c r="K36" s="2" t="str">
        <f>IFERROR(__xludf.DUMMYFUNCTION("""COMPUTED_VALUE"""),"CGPA")</f>
        <v>CGPA</v>
      </c>
      <c r="L36" s="2" t="str">
        <f>IFERROR(__xludf.DUMMYFUNCTION("""COMPUTED_VALUE"""),"Practical (10 Expts)")</f>
        <v>Practical (10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IFERROR(__xludf.DUMMYFUNCTION("""COMPUTED_VALUE"""),"NA")</f>
        <v>NA</v>
      </c>
      <c r="E37" s="2" t="str">
        <f>IFERROR(__xludf.DUMMYFUNCTION("""COMPUTED_VALUE"""),"19MD409")</f>
        <v>19MD409</v>
      </c>
      <c r="F37" s="7" t="str">
        <f>IFERROR(__xludf.DUMMYFUNCTION("""COMPUTED_VALUE"""),"Hospital Training")</f>
        <v>Hospital Training</v>
      </c>
      <c r="G37" s="2" t="str">
        <f>IFERROR(__xludf.DUMMYFUNCTION("""COMPUTED_VALUE"""),"19MD405")</f>
        <v>19MD405</v>
      </c>
      <c r="H37" s="2">
        <f>IFERROR(__xludf.DUMMYFUNCTION("""COMPUTED_VALUE"""),0)</f>
        <v>0</v>
      </c>
      <c r="I37" s="2">
        <f>IFERROR(__xludf.DUMMYFUNCTION("""COMPUTED_VALUE"""),2)</f>
        <v>2</v>
      </c>
      <c r="J37" s="2">
        <f>IFERROR(__xludf.DUMMYFUNCTION("""COMPUTED_VALUE"""),2)</f>
        <v>2</v>
      </c>
      <c r="K37" s="2" t="str">
        <f>IFERROR(__xludf.DUMMYFUNCTION("""COMPUTED_VALUE"""),"CGPA")</f>
        <v>CGPA</v>
      </c>
      <c r="L37" s="2" t="str">
        <f>IFERROR(__xludf.DUMMYFUNCTION("""COMPUTED_VALUE"""),"Practical (10 Expts)")</f>
        <v>Practical (10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IFERROR(__xludf.DUMMYFUNCTION("""COMPUTED_VALUE"""),"EC4413")</f>
        <v>EC4413</v>
      </c>
      <c r="E38" s="2" t="str">
        <f>IFERROR(__xludf.DUMMYFUNCTION("""COMPUTED_VALUE"""),"19BM413")</f>
        <v>19BM413</v>
      </c>
      <c r="F38" s="7" t="str">
        <f>IFERROR(__xludf.DUMMYFUNCTION("""COMPUTED_VALUE"""),"Virtual Instrumentation for Clinical Applications")</f>
        <v>Virtual Instrumentation for Clinical Applications</v>
      </c>
      <c r="G38" s="2" t="str">
        <f>IFERROR(__xludf.DUMMYFUNCTION("""COMPUTED_VALUE"""),"19MD403")</f>
        <v>19MD403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IFERROR(__xludf.DUMMYFUNCTION("""COMPUTED_VALUE"""),"EC4406")</f>
        <v>EC4406</v>
      </c>
      <c r="E39" s="2" t="str">
        <f>IFERROR(__xludf.DUMMYFUNCTION("""COMPUTED_VALUE"""),"19BM406")</f>
        <v>19BM406</v>
      </c>
      <c r="F39" s="7" t="str">
        <f>IFERROR(__xludf.DUMMYFUNCTION("""COMPUTED_VALUE"""),"Biomechanics")</f>
        <v>Biomechanics</v>
      </c>
      <c r="G39" s="2" t="str">
        <f>IFERROR(__xludf.DUMMYFUNCTION("""COMPUTED_VALUE"""),"-")</f>
        <v>-</v>
      </c>
      <c r="H39" s="2">
        <f>IFERROR(__xludf.DUMMYFUNCTION("""COMPUTED_VALUE"""),3)</f>
        <v>3</v>
      </c>
      <c r="I39" s="2">
        <f>IFERROR(__xludf.DUMMYFUNCTION("""COMPUTED_VALUE"""),0)</f>
        <v>0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IFERROR(__xludf.DUMMYFUNCTION("""COMPUTED_VALUE"""),"Theory")</f>
        <v>Theory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IFERROR(__xludf.DUMMYFUNCTION("""COMPUTED_VALUE"""),"EC4408")</f>
        <v>EC4408</v>
      </c>
      <c r="E40" s="2" t="str">
        <f>IFERROR(__xludf.DUMMYFUNCTION("""COMPUTED_VALUE"""),"19BM408")</f>
        <v>19BM408</v>
      </c>
      <c r="F40" s="7" t="str">
        <f>IFERROR(__xludf.DUMMYFUNCTION("""COMPUTED_VALUE"""),"Biomedical Signal Processing")</f>
        <v>Biomedical Signal Processing</v>
      </c>
      <c r="G40" s="2" t="str">
        <f>IFERROR(__xludf.DUMMYFUNCTION("""COMPUTED_VALUE"""),"EC4803/19EC402")</f>
        <v>EC4803/19EC402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IFERROR(__xludf.DUMMYFUNCTION("""COMPUTED_VALUE"""),"EC4412")</f>
        <v>EC4412</v>
      </c>
      <c r="E41" s="2" t="str">
        <f>IFERROR(__xludf.DUMMYFUNCTION("""COMPUTED_VALUE"""),"19BM412")</f>
        <v>19BM412</v>
      </c>
      <c r="F41" s="7" t="str">
        <f>IFERROR(__xludf.DUMMYFUNCTION("""COMPUTED_VALUE"""),"Anatomy and Human Physiology")</f>
        <v>Anatomy and Human Physiology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IFERROR(__xludf.DUMMYFUNCTION("""COMPUTED_VALUE"""),"NA")</f>
        <v>NA</v>
      </c>
      <c r="E42" s="2" t="str">
        <f>IFERROR(__xludf.DUMMYFUNCTION("""COMPUTED_VALUE"""),"19BM501")</f>
        <v>19BM501</v>
      </c>
      <c r="F42" s="7" t="str">
        <f>IFERROR(__xludf.DUMMYFUNCTION("""COMPUTED_VALUE"""),"Medical Assist Devices")</f>
        <v>Medical Assist Devices</v>
      </c>
      <c r="G42" s="2" t="str">
        <f>IFERROR(__xludf.DUMMYFUNCTION("""COMPUTED_VALUE"""),"19MD405/ 19BM407")</f>
        <v>19MD405/ 19BM407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IFERROR(__xludf.DUMMYFUNCTION("""COMPUTED_VALUE"""),"PE")</f>
        <v>PE</v>
      </c>
      <c r="D43" s="2" t="str">
        <f>IFERROR(__xludf.DUMMYFUNCTION("""COMPUTED_VALUE"""),"NA")</f>
        <v>NA</v>
      </c>
      <c r="E43" s="2" t="str">
        <f>IFERROR(__xludf.DUMMYFUNCTION("""COMPUTED_VALUE"""),"19MD501")</f>
        <v>19MD501</v>
      </c>
      <c r="F43" s="7" t="str">
        <f>IFERROR(__xludf.DUMMYFUNCTION("""COMPUTED_VALUE"""),"Tele Health Technology")</f>
        <v>Tele Health Technology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IFERROR(__xludf.DUMMYFUNCTION("""COMPUTED_VALUE"""),"NA")</f>
        <v>NA</v>
      </c>
      <c r="E44" s="2" t="str">
        <f>IFERROR(__xludf.DUMMYFUNCTION("""COMPUTED_VALUE"""),"19MD502")</f>
        <v>19MD502</v>
      </c>
      <c r="F44" s="7" t="str">
        <f>IFERROR(__xludf.DUMMYFUNCTION("""COMPUTED_VALUE"""),"Nano Technology and Applications")</f>
        <v>Nano Technology and Applications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IFERROR(__xludf.DUMMYFUNCTION("""COMPUTED_VALUE"""),"NA")</f>
        <v>NA</v>
      </c>
      <c r="E45" s="2" t="str">
        <f>IFERROR(__xludf.DUMMYFUNCTION("""COMPUTED_VALUE"""),"19MD503")</f>
        <v>19MD503</v>
      </c>
      <c r="F45" s="7" t="str">
        <f>IFERROR(__xludf.DUMMYFUNCTION("""COMPUTED_VALUE"""),"Neural Networks and its Applications")</f>
        <v>Neural Networks and its Applications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IFERROR(__xludf.DUMMYFUNCTION("""COMPUTED_VALUE"""),"NA")</f>
        <v>NA</v>
      </c>
      <c r="E46" s="2" t="str">
        <f>IFERROR(__xludf.DUMMYFUNCTION("""COMPUTED_VALUE"""),"19MD504")</f>
        <v>19MD504</v>
      </c>
      <c r="F46" s="7" t="str">
        <f>IFERROR(__xludf.DUMMYFUNCTION("""COMPUTED_VALUE"""),"Medical Imaging Techniques")</f>
        <v>Medical Imaging Techniques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 t="str">
        <f>IFERROR(__xludf.DUMMYFUNCTION("""COMPUTED_VALUE"""),"Any 1")</f>
        <v>Any 1</v>
      </c>
      <c r="C47" s="2" t="str">
        <f>IFERROR(__xludf.DUMMYFUNCTION("""COMPUTED_VALUE"""),"PE")</f>
        <v>PE</v>
      </c>
      <c r="D47" s="2" t="str">
        <f>IFERROR(__xludf.DUMMYFUNCTION("""COMPUTED_VALUE"""),"NA")</f>
        <v>NA</v>
      </c>
      <c r="E47" s="2" t="str">
        <f>IFERROR(__xludf.DUMMYFUNCTION("""COMPUTED_VALUE"""),"19EC414")</f>
        <v>19EC414</v>
      </c>
      <c r="F47" s="7" t="str">
        <f>IFERROR(__xludf.DUMMYFUNCTION("""COMPUTED_VALUE"""),"Embedded Systems")</f>
        <v>Embedded Systems</v>
      </c>
      <c r="G47" s="2" t="str">
        <f>IFERROR(__xludf.DUMMYFUNCTION("""COMPUTED_VALUE"""),"19EC408")</f>
        <v>19EC408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 t="str">
        <f>IFERROR(__xludf.DUMMYFUNCTION("""COMPUTED_VALUE"""),"Any 1")</f>
        <v>Any 1</v>
      </c>
      <c r="C48" s="2" t="str">
        <f>IFERROR(__xludf.DUMMYFUNCTION("""COMPUTED_VALUE"""),"PE")</f>
        <v>PE</v>
      </c>
      <c r="D48" s="2" t="str">
        <f>IFERROR(__xludf.DUMMYFUNCTION("""COMPUTED_VALUE"""),"EC1424")</f>
        <v>EC1424</v>
      </c>
      <c r="E48" s="2" t="str">
        <f>IFERROR(__xludf.DUMMYFUNCTION("""COMPUTED_VALUE"""),"19EC424")</f>
        <v>19EC424</v>
      </c>
      <c r="F48" s="7" t="str">
        <f>IFERROR(__xludf.DUMMYFUNCTION("""COMPUTED_VALUE"""),"Embedded Systems and IoT")</f>
        <v>Embedded Systems and IoT</v>
      </c>
      <c r="G48" s="2" t="str">
        <f>IFERROR(__xludf.DUMMYFUNCTION("""COMPUTED_VALUE"""),"19EC408 / EC1408")</f>
        <v>19EC408 / EC1408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IFERROR(__xludf.DUMMYFUNCTION("""COMPUTED_VALUE"""),"NA")</f>
        <v>NA</v>
      </c>
      <c r="E49" s="2" t="str">
        <f>IFERROR(__xludf.DUMMYFUNCTION("""COMPUTED_VALUE"""),"19MD505")</f>
        <v>19MD505</v>
      </c>
      <c r="F49" s="7" t="str">
        <f>IFERROR(__xludf.DUMMYFUNCTION("""COMPUTED_VALUE"""),"Virtual Reality and Augmented Reality")</f>
        <v>Virtual Reality and Augmented Reality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IFERROR(__xludf.DUMMYFUNCTION("""COMPUTED_VALUE"""),"NA")</f>
        <v>NA</v>
      </c>
      <c r="E50" s="2" t="str">
        <f>IFERROR(__xludf.DUMMYFUNCTION("""COMPUTED_VALUE"""),"19MD508")</f>
        <v>19MD508</v>
      </c>
      <c r="F50" s="7" t="str">
        <f>IFERROR(__xludf.DUMMYFUNCTION("""COMPUTED_VALUE"""),"Body Area Networks")</f>
        <v>Body Area Networks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IFERROR(__xludf.DUMMYFUNCTION("""COMPUTED_VALUE"""),"NA")</f>
        <v>NA</v>
      </c>
      <c r="E51" s="2" t="str">
        <f>IFERROR(__xludf.DUMMYFUNCTION("""COMPUTED_VALUE"""),"19MD509")</f>
        <v>19MD509</v>
      </c>
      <c r="F51" s="7" t="str">
        <f>IFERROR(__xludf.DUMMYFUNCTION("""COMPUTED_VALUE"""),"Bio MEMS")</f>
        <v>Bio MEMS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IFERROR(__xludf.DUMMYFUNCTION("""COMPUTED_VALUE"""),"NA")</f>
        <v>NA</v>
      </c>
      <c r="E52" s="2" t="str">
        <f>IFERROR(__xludf.DUMMYFUNCTION("""COMPUTED_VALUE"""),"19MD512")</f>
        <v>19MD512</v>
      </c>
      <c r="F52" s="7" t="str">
        <f>IFERROR(__xludf.DUMMYFUNCTION("""COMPUTED_VALUE"""),"Medical Wearable Systems")</f>
        <v>Medical Wearable Systems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IFERROR(__xludf.DUMMYFUNCTION("""COMPUTED_VALUE"""),"EC4410")</f>
        <v>EC4410</v>
      </c>
      <c r="E53" s="2" t="str">
        <f>IFERROR(__xludf.DUMMYFUNCTION("""COMPUTED_VALUE"""),"19BM410")</f>
        <v>19BM410</v>
      </c>
      <c r="F53" s="7" t="str">
        <f>IFERROR(__xludf.DUMMYFUNCTION("""COMPUTED_VALUE"""),"Bio Materials and Artificial Organs")</f>
        <v>Bio Materials and Artificial Organs</v>
      </c>
      <c r="G53" s="2" t="str">
        <f>IFERROR(__xludf.DUMMYFUNCTION("""COMPUTED_VALUE"""),"EC4406/19BM406")</f>
        <v>EC4406/19BM406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IFERROR(__xludf.DUMMYFUNCTION("""COMPUTED_VALUE"""),"NA")</f>
        <v>NA</v>
      </c>
      <c r="E54" s="2" t="str">
        <f>IFERROR(__xludf.DUMMYFUNCTION("""COMPUTED_VALUE"""),"19BM503")</f>
        <v>19BM503</v>
      </c>
      <c r="F54" s="7" t="str">
        <f>IFERROR(__xludf.DUMMYFUNCTION("""COMPUTED_VALUE"""),"Fiber Optics and Lasers in Medicine")</f>
        <v>Fiber Optics and Lasers in Medicine</v>
      </c>
      <c r="G54" s="2" t="str">
        <f>IFERROR(__xludf.DUMMYFUNCTION("""COMPUTED_VALUE"""),"19PH202")</f>
        <v>19PH202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IFERROR(__xludf.DUMMYFUNCTION("""COMPUTED_VALUE"""),"NA")</f>
        <v>NA</v>
      </c>
      <c r="E55" s="2" t="str">
        <f>IFERROR(__xludf.DUMMYFUNCTION("""COMPUTED_VALUE"""),"19MD506")</f>
        <v>19MD506</v>
      </c>
      <c r="F55" s="7" t="str">
        <f>IFERROR(__xludf.DUMMYFUNCTION("""COMPUTED_VALUE"""),"Hospital Waste Management")</f>
        <v>Hospital Waste Management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IFERROR(__xludf.DUMMYFUNCTION("""COMPUTED_VALUE"""),"EC4833")</f>
        <v>EC4833</v>
      </c>
      <c r="E56" s="2" t="str">
        <f>IFERROR(__xludf.DUMMYFUNCTION("""COMPUTED_VALUE"""),"19MD507")</f>
        <v>19MD507</v>
      </c>
      <c r="F56" s="7" t="str">
        <f>IFERROR(__xludf.DUMMYFUNCTION("""COMPUTED_VALUE"""),"Physiological Modeling")</f>
        <v>Physiological Modeling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IFERROR(__xludf.DUMMYFUNCTION("""COMPUTED_VALUE"""),"NA")</f>
        <v>NA</v>
      </c>
      <c r="E57" s="2" t="str">
        <f>IFERROR(__xludf.DUMMYFUNCTION("""COMPUTED_VALUE"""),"19MD510")</f>
        <v>19MD510</v>
      </c>
      <c r="F57" s="7" t="str">
        <f>IFERROR(__xludf.DUMMYFUNCTION("""COMPUTED_VALUE"""),"Electrical Safety and Quality Assurance")</f>
        <v>Electrical Safety and Quality Assurance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IFERROR(__xludf.DUMMYFUNCTION("""COMPUTED_VALUE"""),"NA")</f>
        <v>NA</v>
      </c>
      <c r="E58" s="2" t="str">
        <f>IFERROR(__xludf.DUMMYFUNCTION("""COMPUTED_VALUE"""),"19MD511")</f>
        <v>19MD511</v>
      </c>
      <c r="F58" s="7" t="str">
        <f>IFERROR(__xludf.DUMMYFUNCTION("""COMPUTED_VALUE"""),"Brain Computer Interface and its Applications")</f>
        <v>Brain Computer Interface and its Applications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IFERROR(__xludf.DUMMYFUNCTION("""COMPUTED_VALUE"""),"NA")</f>
        <v>NA</v>
      </c>
      <c r="E59" s="2" t="str">
        <f>IFERROR(__xludf.DUMMYFUNCTION("""COMPUTED_VALUE"""),"19BM513")</f>
        <v>19BM513</v>
      </c>
      <c r="F59" s="7" t="str">
        <f>IFERROR(__xludf.DUMMYFUNCTION("""COMPUTED_VALUE"""),"Biometric Systems")</f>
        <v>Biometric Systems</v>
      </c>
      <c r="G59" s="2" t="str">
        <f>IFERROR(__xludf.DUMMYFUNCTION("""COMPUTED_VALUE"""),"19MD406")</f>
        <v>19MD406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IFERROR(__xludf.DUMMYFUNCTION("""COMPUTED_VALUE"""),"CS1515")</f>
        <v>CS1515</v>
      </c>
      <c r="E60" s="2" t="str">
        <f>IFERROR(__xludf.DUMMYFUNCTION("""COMPUTED_VALUE"""),"19CS515")</f>
        <v>19CS515</v>
      </c>
      <c r="F60" s="7" t="str">
        <f>IFERROR(__xludf.DUMMYFUNCTION("""COMPUTED_VALUE"""),"Block Chain Architecture and its Use Cases")</f>
        <v>Block Chain Architecture and its Use Cases</v>
      </c>
      <c r="G60" s="2" t="str">
        <f>IFERROR(__xludf.DUMMYFUNCTION("""COMPUTED_VALUE"""),"19CS412")</f>
        <v>19CS412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IFERROR(__xludf.DUMMYFUNCTION("""COMPUTED_VALUE"""),"CS1528")</f>
        <v>CS1528</v>
      </c>
      <c r="E61" s="2" t="str">
        <f>IFERROR(__xludf.DUMMYFUNCTION("""COMPUTED_VALUE"""),"19CS528")</f>
        <v>19CS528</v>
      </c>
      <c r="F61" s="7" t="str">
        <f>IFERROR(__xludf.DUMMYFUNCTION("""COMPUTED_VALUE"""),"Robotics and its Applications")</f>
        <v>Robotics and its Applications</v>
      </c>
      <c r="G61" s="2" t="str">
        <f>IFERROR(__xludf.DUMMYFUNCTION("""COMPUTED_VALUE"""),"19CS302/19EC408")</f>
        <v>19CS302/19EC408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IFERROR(__xludf.DUMMYFUNCTION("""COMPUTED_VALUE"""),"CS1529")</f>
        <v>CS1529</v>
      </c>
      <c r="E62" s="2" t="str">
        <f>IFERROR(__xludf.DUMMYFUNCTION("""COMPUTED_VALUE"""),"19CS529")</f>
        <v>19CS529</v>
      </c>
      <c r="F62" s="7" t="str">
        <f>IFERROR(__xludf.DUMMYFUNCTION("""COMPUTED_VALUE"""),"Quantum Computing")</f>
        <v>Quantum Computing</v>
      </c>
      <c r="G62" s="2" t="str">
        <f>IFERROR(__xludf.DUMMYFUNCTION("""COMPUTED_VALUE"""),"19CS301/19CS303")</f>
        <v>19CS301/19CS303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IFERROR(__xludf.DUMMYFUNCTION("""COMPUTED_VALUE"""),"CS1530")</f>
        <v>CS1530</v>
      </c>
      <c r="E63" s="2" t="str">
        <f>IFERROR(__xludf.DUMMYFUNCTION("""COMPUTED_VALUE"""),"19CS530")</f>
        <v>19CS530</v>
      </c>
      <c r="F63" s="7" t="str">
        <f>IFERROR(__xludf.DUMMYFUNCTION("""COMPUTED_VALUE"""),"Cyber Security")</f>
        <v>Cyber Security</v>
      </c>
      <c r="G63" s="2" t="str">
        <f>IFERROR(__xludf.DUMMYFUNCTION("""COMPUTED_VALUE"""),"19CS412")</f>
        <v>19CS412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IFERROR(__xludf.DUMMYFUNCTION("""COMPUTED_VALUE"""),"CS1519")</f>
        <v>CS1519</v>
      </c>
      <c r="E64" s="2" t="str">
        <f>IFERROR(__xludf.DUMMYFUNCTION("""COMPUTED_VALUE"""),"19CS519")</f>
        <v>19CS519</v>
      </c>
      <c r="F64" s="7" t="str">
        <f>IFERROR(__xludf.DUMMYFUNCTION("""COMPUTED_VALUE"""),"Data Science")</f>
        <v>Data Science</v>
      </c>
      <c r="G64" s="2" t="str">
        <f>IFERROR(__xludf.DUMMYFUNCTION("""COMPUTED_VALUE"""),"19CS301/19CS501")</f>
        <v>19CS301/19CS501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IFERROR(__xludf.DUMMYFUNCTION("""COMPUTED_VALUE"""),"CS3304")</f>
        <v>CS3304</v>
      </c>
      <c r="E65" s="2" t="str">
        <f>IFERROR(__xludf.DUMMYFUNCTION("""COMPUTED_VALUE"""),"19AI304")</f>
        <v>19AI304</v>
      </c>
      <c r="F65" s="7" t="str">
        <f>IFERROR(__xludf.DUMMYFUNCTION("""COMPUTED_VALUE"""),"Fundamentals of C Programming")</f>
        <v>Fundamentals of C Programming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IFERROR(__xludf.DUMMYFUNCTION("""COMPUTED_VALUE"""),"CS3305")</f>
        <v>CS3305</v>
      </c>
      <c r="E66" s="2" t="str">
        <f>IFERROR(__xludf.DUMMYFUNCTION("""COMPUTED_VALUE"""),"19AI305")</f>
        <v>19AI305</v>
      </c>
      <c r="F66" s="7" t="str">
        <f>IFERROR(__xludf.DUMMYFUNCTION("""COMPUTED_VALUE"""),"Advanced C Programming")</f>
        <v>Advanced C Programming</v>
      </c>
      <c r="G66" s="2" t="str">
        <f>IFERROR(__xludf.DUMMYFUNCTION("""COMPUTED_VALUE"""),"19AI304 / CS3304")</f>
        <v>19AI304 / CS3304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IFERROR(__xludf.DUMMYFUNCTION("""COMPUTED_VALUE"""),"CS3307")</f>
        <v>CS3307</v>
      </c>
      <c r="E67" s="2" t="str">
        <f>IFERROR(__xludf.DUMMYFUNCTION("""COMPUTED_VALUE"""),"19AI307")</f>
        <v>19AI307</v>
      </c>
      <c r="F67" s="7" t="str">
        <f>IFERROR(__xludf.DUMMYFUNCTION("""COMPUTED_VALUE"""),"Object Oriented Programming using Java")</f>
        <v>Object Oriented Programming using Java</v>
      </c>
      <c r="G67" s="2" t="str">
        <f>IFERROR(__xludf.DUMMYFUNCTION("""COMPUTED_VALUE"""),"19AI304")</f>
        <v>19AI304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IFERROR(__xludf.DUMMYFUNCTION("""COMPUTED_VALUE"""),"CS3404")</f>
        <v>CS3404</v>
      </c>
      <c r="E68" s="2" t="str">
        <f>IFERROR(__xludf.DUMMYFUNCTION("""COMPUTED_VALUE"""),"19AI404")</f>
        <v>19AI404</v>
      </c>
      <c r="F68" s="7" t="str">
        <f>IFERROR(__xludf.DUMMYFUNCTION("""COMPUTED_VALUE"""),"Analysis of Algorithms")</f>
        <v>Analysis of Algorithms</v>
      </c>
      <c r="G68" s="2" t="str">
        <f>IFERROR(__xludf.DUMMYFUNCTION("""COMPUTED_VALUE"""),"19AI301")</f>
        <v>19AI301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IFERROR(__xludf.DUMMYFUNCTION("""COMPUTED_VALUE"""),"CS1404")</f>
        <v>CS1404</v>
      </c>
      <c r="E69" s="2" t="str">
        <f>IFERROR(__xludf.DUMMYFUNCTION("""COMPUTED_VALUE"""),"19CS404")</f>
        <v>19CS404</v>
      </c>
      <c r="F69" s="3" t="str">
        <f>IFERROR(__xludf.DUMMYFUNCTION("""COMPUTED_VALUE"""),"Database Management System and its Applications")</f>
        <v>Database Management System and its Applications</v>
      </c>
      <c r="G69" s="2" t="str">
        <f>IFERROR(__xludf.DUMMYFUNCTION("""COMPUTED_VALUE"""),"19AI301/19AI304/19CS301/19CS302/19CS303")</f>
        <v>19AI301/19AI304/19CS301/19CS302/19CS303</v>
      </c>
      <c r="H69" s="2">
        <f>IFERROR(__xludf.DUMMYFUNCTION("""COMPUTED_VALUE"""),3)</f>
        <v>3</v>
      </c>
      <c r="I69" s="2">
        <f>IFERROR(__xludf.DUMMYFUNCTION("""COMPUTED_VALUE"""),1)</f>
        <v>1</v>
      </c>
      <c r="J69" s="2">
        <f>IFERROR(__xludf.DUMMYFUNCTION("""COMPUTED_VALUE"""),4)</f>
        <v>4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IFERROR(__xludf.DUMMYFUNCTION("""COMPUTED_VALUE"""),"CS3528")</f>
        <v>CS3528</v>
      </c>
      <c r="E70" s="2" t="str">
        <f>IFERROR(__xludf.DUMMYFUNCTION("""COMPUTED_VALUE"""),"19AI528")</f>
        <v>19AI528</v>
      </c>
      <c r="F70" s="7" t="str">
        <f>IFERROR(__xludf.DUMMYFUNCTION("""COMPUTED_VALUE"""),"Advanced Graph Theory and Applications")</f>
        <v>Advanced Graph Theory and Applications</v>
      </c>
      <c r="G70" s="2" t="str">
        <f>IFERROR(__xludf.DUMMYFUNCTION("""COMPUTED_VALUE"""),"19CS402")</f>
        <v>19CS402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IFERROR(__xludf.DUMMYFUNCTION("""COMPUTED_VALUE"""),"PE(Honours 1)")</f>
        <v>PE(Honours 1)</v>
      </c>
      <c r="D71" s="2" t="str">
        <f>IFERROR(__xludf.DUMMYFUNCTION("""COMPUTED_VALUE"""),"EC4518")</f>
        <v>EC4518</v>
      </c>
      <c r="E71" s="2" t="str">
        <f>IFERROR(__xludf.DUMMYFUNCTION("""COMPUTED_VALUE"""),"19BM518")</f>
        <v>19BM518</v>
      </c>
      <c r="F71" s="7" t="str">
        <f>IFERROR(__xludf.DUMMYFUNCTION("""COMPUTED_VALUE"""),"Foundation Skills in Integrated Product Development")</f>
        <v>Foundation Skills in Integrated Product Development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IFERROR(__xludf.DUMMYFUNCTION("""COMPUTED_VALUE"""),"PE(Honours 1)")</f>
        <v>PE(Honours 1)</v>
      </c>
      <c r="D72" s="2" t="str">
        <f>IFERROR(__xludf.DUMMYFUNCTION("""COMPUTED_VALUE"""),"EC4519")</f>
        <v>EC4519</v>
      </c>
      <c r="E72" s="2" t="str">
        <f>IFERROR(__xludf.DUMMYFUNCTION("""COMPUTED_VALUE"""),"19BM519")</f>
        <v>19BM519</v>
      </c>
      <c r="F72" s="7" t="str">
        <f>IFERROR(__xludf.DUMMYFUNCTION("""COMPUTED_VALUE"""),"Medical Device Design")</f>
        <v>Medical Device Design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IFERROR(__xludf.DUMMYFUNCTION("""COMPUTED_VALUE"""),"PE(Honours 1)")</f>
        <v>PE(Honours 1)</v>
      </c>
      <c r="D73" s="2" t="str">
        <f>IFERROR(__xludf.DUMMYFUNCTION("""COMPUTED_VALUE"""),"EC4520")</f>
        <v>EC4520</v>
      </c>
      <c r="E73" s="2" t="str">
        <f>IFERROR(__xludf.DUMMYFUNCTION("""COMPUTED_VALUE"""),"19BM520")</f>
        <v>19BM520</v>
      </c>
      <c r="F73" s="7" t="str">
        <f>IFERROR(__xludf.DUMMYFUNCTION("""COMPUTED_VALUE"""),"Medical Device Regulations")</f>
        <v>Medical Device Regulations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IFERROR(__xludf.DUMMYFUNCTION("""COMPUTED_VALUE"""),"PE(Honours 1)")</f>
        <v>PE(Honours 1)</v>
      </c>
      <c r="D74" s="2" t="str">
        <f>IFERROR(__xludf.DUMMYFUNCTION("""COMPUTED_VALUE"""),"EC4521")</f>
        <v>EC4521</v>
      </c>
      <c r="E74" s="2" t="str">
        <f>IFERROR(__xludf.DUMMYFUNCTION("""COMPUTED_VALUE"""),"19BM521")</f>
        <v>19BM521</v>
      </c>
      <c r="F74" s="7" t="str">
        <f>IFERROR(__xludf.DUMMYFUNCTION("""COMPUTED_VALUE"""),"Patient Safety, Standards and Ethics")</f>
        <v>Patient Safety, Standards and Ethics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IFERROR(__xludf.DUMMYFUNCTION("""COMPUTED_VALUE"""),"PE(Honours 1)")</f>
        <v>PE(Honours 1)</v>
      </c>
      <c r="D75" s="2" t="str">
        <f>IFERROR(__xludf.DUMMYFUNCTION("""COMPUTED_VALUE"""),"EC4522")</f>
        <v>EC4522</v>
      </c>
      <c r="E75" s="2" t="str">
        <f>IFERROR(__xludf.DUMMYFUNCTION("""COMPUTED_VALUE"""),"19BM522")</f>
        <v>19BM522</v>
      </c>
      <c r="F75" s="7" t="str">
        <f>IFERROR(__xludf.DUMMYFUNCTION("""COMPUTED_VALUE"""),"Medical Innovation and Entrepreneurship")</f>
        <v>Medical Innovation and Entrepreneurship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IFERROR(__xludf.DUMMYFUNCTION("""COMPUTED_VALUE"""),"PE(Honours 1)")</f>
        <v>PE(Honours 1)</v>
      </c>
      <c r="D76" s="2" t="str">
        <f>IFERROR(__xludf.DUMMYFUNCTION("""COMPUTED_VALUE"""),"EC4523")</f>
        <v>EC4523</v>
      </c>
      <c r="E76" s="2" t="str">
        <f>IFERROR(__xludf.DUMMYFUNCTION("""COMPUTED_VALUE"""),"19BM523")</f>
        <v>19BM523</v>
      </c>
      <c r="F76" s="7" t="str">
        <f>IFERROR(__xludf.DUMMYFUNCTION("""COMPUTED_VALUE"""),"Rapid Prototyping")</f>
        <v>Rapid Prototyping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IFERROR(__xludf.DUMMYFUNCTION("""COMPUTED_VALUE"""),"PE(Honours 2)")</f>
        <v>PE(Honours 2)</v>
      </c>
      <c r="D77" s="2" t="str">
        <f>IFERROR(__xludf.DUMMYFUNCTION("""COMPUTED_VALUE"""),"EC4524")</f>
        <v>EC4524</v>
      </c>
      <c r="E77" s="2" t="str">
        <f>IFERROR(__xludf.DUMMYFUNCTION("""COMPUTED_VALUE"""),"19BM524")</f>
        <v>19BM524</v>
      </c>
      <c r="F77" s="7" t="str">
        <f>IFERROR(__xludf.DUMMYFUNCTION("""COMPUTED_VALUE"""),"Clinical Engineering")</f>
        <v>Clinical Engineering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IFERROR(__xludf.DUMMYFUNCTION("""COMPUTED_VALUE"""),"PE(Honours 2)")</f>
        <v>PE(Honours 2)</v>
      </c>
      <c r="D78" s="2" t="str">
        <f>IFERROR(__xludf.DUMMYFUNCTION("""COMPUTED_VALUE"""),"EC4525")</f>
        <v>EC4525</v>
      </c>
      <c r="E78" s="2" t="str">
        <f>IFERROR(__xludf.DUMMYFUNCTION("""COMPUTED_VALUE"""),"19BM525")</f>
        <v>19BM525</v>
      </c>
      <c r="F78" s="7" t="str">
        <f>IFERROR(__xludf.DUMMYFUNCTION("""COMPUTED_VALUE"""),"Hospital Planning and Management")</f>
        <v>Hospital Planning and Management</v>
      </c>
      <c r="G78" s="2" t="str">
        <f>IFERROR(__xludf.DUMMYFUNCTION("""COMPUTED_VALUE"""),"-")</f>
        <v>-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IFERROR(__xludf.DUMMYFUNCTION("""COMPUTED_VALUE"""),"PE(Honours 2)")</f>
        <v>PE(Honours 2)</v>
      </c>
      <c r="D79" s="2" t="str">
        <f>IFERROR(__xludf.DUMMYFUNCTION("""COMPUTED_VALUE"""),"EC4526")</f>
        <v>EC4526</v>
      </c>
      <c r="E79" s="2" t="str">
        <f>IFERROR(__xludf.DUMMYFUNCTION("""COMPUTED_VALUE"""),"19BM526")</f>
        <v>19BM526</v>
      </c>
      <c r="F79" s="7" t="str">
        <f>IFERROR(__xludf.DUMMYFUNCTION("""COMPUTED_VALUE"""),"Medical Waste Management")</f>
        <v>Medical Waste Management</v>
      </c>
      <c r="G79" s="2" t="str">
        <f>IFERROR(__xludf.DUMMYFUNCTION("""COMPUTED_VALUE"""),"-")</f>
        <v>-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IFERROR(__xludf.DUMMYFUNCTION("""COMPUTED_VALUE"""),"PE(Honours 2)")</f>
        <v>PE(Honours 2)</v>
      </c>
      <c r="D80" s="2" t="str">
        <f>IFERROR(__xludf.DUMMYFUNCTION("""COMPUTED_VALUE"""),"EC4527")</f>
        <v>EC4527</v>
      </c>
      <c r="E80" s="2" t="str">
        <f>IFERROR(__xludf.DUMMYFUNCTION("""COMPUTED_VALUE"""),"19BM527")</f>
        <v>19BM527</v>
      </c>
      <c r="F80" s="7" t="str">
        <f>IFERROR(__xludf.DUMMYFUNCTION("""COMPUTED_VALUE"""),"Economics and Management for Engineers")</f>
        <v>Economics and Management for Engineers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IFERROR(__xludf.DUMMYFUNCTION("""COMPUTED_VALUE"""),"PE(Honours 2)")</f>
        <v>PE(Honours 2)</v>
      </c>
      <c r="D81" s="2" t="str">
        <f>IFERROR(__xludf.DUMMYFUNCTION("""COMPUTED_VALUE"""),"EC4528")</f>
        <v>EC4528</v>
      </c>
      <c r="E81" s="2" t="str">
        <f>IFERROR(__xludf.DUMMYFUNCTION("""COMPUTED_VALUE"""),"19BM528")</f>
        <v>19BM528</v>
      </c>
      <c r="F81" s="7" t="str">
        <f>IFERROR(__xludf.DUMMYFUNCTION("""COMPUTED_VALUE"""),"Biostatistics")</f>
        <v>Biostatistics</v>
      </c>
      <c r="G81" s="2" t="str">
        <f>IFERROR(__xludf.DUMMYFUNCTION("""COMPUTED_VALUE"""),"-")</f>
        <v>-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IFERROR(__xludf.DUMMYFUNCTION("""COMPUTED_VALUE"""),"PE(Honours 2)")</f>
        <v>PE(Honours 2)</v>
      </c>
      <c r="D82" s="2" t="str">
        <f>IFERROR(__xludf.DUMMYFUNCTION("""COMPUTED_VALUE"""),"EC4529")</f>
        <v>EC4529</v>
      </c>
      <c r="E82" s="2" t="str">
        <f>IFERROR(__xludf.DUMMYFUNCTION("""COMPUTED_VALUE"""),"19BM529")</f>
        <v>19BM529</v>
      </c>
      <c r="F82" s="7" t="str">
        <f>IFERROR(__xludf.DUMMYFUNCTION("""COMPUTED_VALUE"""),"Forensic Science in Healthcare")</f>
        <v>Forensic Science in Healthcare</v>
      </c>
      <c r="G82" s="2" t="str">
        <f>IFERROR(__xludf.DUMMYFUNCTION("""COMPUTED_VALUE"""),"-")</f>
        <v>-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IFERROR(__xludf.DUMMYFUNCTION("""COMPUTED_VALUE"""),"EEC")</f>
        <v>EEC</v>
      </c>
      <c r="D83" s="2" t="str">
        <f>IFERROR(__xludf.DUMMYFUNCTION("""COMPUTED_VALUE"""),"NA")</f>
        <v>NA</v>
      </c>
      <c r="E83" s="2" t="str">
        <f>IFERROR(__xludf.DUMMYFUNCTION("""COMPUTED_VALUE"""),"19MD701")</f>
        <v>19MD701</v>
      </c>
      <c r="F83" s="7" t="str">
        <f>IFERROR(__xludf.DUMMYFUNCTION("""COMPUTED_VALUE"""),"Mini Project")</f>
        <v>Mini Project</v>
      </c>
      <c r="G83" s="2" t="str">
        <f>IFERROR(__xludf.DUMMYFUNCTION("""COMPUTED_VALUE"""),"-")</f>
        <v>-</v>
      </c>
      <c r="H83" s="2">
        <f>IFERROR(__xludf.DUMMYFUNCTION("""COMPUTED_VALUE"""),0)</f>
        <v>0</v>
      </c>
      <c r="I83" s="2">
        <f>IFERROR(__xludf.DUMMYFUNCTION("""COMPUTED_VALUE"""),2)</f>
        <v>2</v>
      </c>
      <c r="J83" s="2">
        <f>IFERROR(__xludf.DUMMYFUNCTION("""COMPUTED_VALUE"""),2)</f>
        <v>2</v>
      </c>
      <c r="K83" s="2" t="str">
        <f>IFERROR(__xludf.DUMMYFUNCTION("""COMPUTED_VALUE"""),"CGPA")</f>
        <v>CGPA</v>
      </c>
      <c r="L83" s="2" t="str">
        <f>IFERROR(__xludf.DUMMYFUNCTION("""COMPUTED_VALUE"""),"Project (Int Only)")</f>
        <v>Project (Int Only)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IFERROR(__xludf.DUMMYFUNCTION("""COMPUTED_VALUE"""),"EEC")</f>
        <v>EEC</v>
      </c>
      <c r="D84" s="2" t="str">
        <f>IFERROR(__xludf.DUMMYFUNCTION("""COMPUTED_VALUE"""),"NA")</f>
        <v>NA</v>
      </c>
      <c r="E84" s="2" t="str">
        <f>IFERROR(__xludf.DUMMYFUNCTION("""COMPUTED_VALUE"""),"19MD702")</f>
        <v>19MD702</v>
      </c>
      <c r="F84" s="7" t="str">
        <f>IFERROR(__xludf.DUMMYFUNCTION("""COMPUTED_VALUE"""),"Project Work Phase I")</f>
        <v>Project Work Phase I</v>
      </c>
      <c r="G84" s="2" t="str">
        <f>IFERROR(__xludf.DUMMYFUNCTION("""COMPUTED_VALUE"""),"-")</f>
        <v>-</v>
      </c>
      <c r="H84" s="2">
        <f>IFERROR(__xludf.DUMMYFUNCTION("""COMPUTED_VALUE"""),0)</f>
        <v>0</v>
      </c>
      <c r="I84" s="2">
        <f>IFERROR(__xludf.DUMMYFUNCTION("""COMPUTED_VALUE"""),2)</f>
        <v>2</v>
      </c>
      <c r="J84" s="2">
        <f>IFERROR(__xludf.DUMMYFUNCTION("""COMPUTED_VALUE"""),2)</f>
        <v>2</v>
      </c>
      <c r="K84" s="2" t="str">
        <f>IFERROR(__xludf.DUMMYFUNCTION("""COMPUTED_VALUE"""),"CGPA")</f>
        <v>CGPA</v>
      </c>
      <c r="L84" s="2" t="str">
        <f>IFERROR(__xludf.DUMMYFUNCTION("""COMPUTED_VALUE"""),"Project (Int Only)")</f>
        <v>Project (Int Only)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IFERROR(__xludf.DUMMYFUNCTION("""COMPUTED_VALUE"""),"EEC")</f>
        <v>EEC</v>
      </c>
      <c r="D85" s="2" t="str">
        <f>IFERROR(__xludf.DUMMYFUNCTION("""COMPUTED_VALUE"""),"NA")</f>
        <v>NA</v>
      </c>
      <c r="E85" s="2" t="str">
        <f>IFERROR(__xludf.DUMMYFUNCTION("""COMPUTED_VALUE"""),"19MD703")</f>
        <v>19MD703</v>
      </c>
      <c r="F85" s="7" t="str">
        <f>IFERROR(__xludf.DUMMYFUNCTION("""COMPUTED_VALUE"""),"Project Work Phase II")</f>
        <v>Project Work Phase II</v>
      </c>
      <c r="G85" s="2" t="str">
        <f>IFERROR(__xludf.DUMMYFUNCTION("""COMPUTED_VALUE"""),"-")</f>
        <v>-</v>
      </c>
      <c r="H85" s="2">
        <f>IFERROR(__xludf.DUMMYFUNCTION("""COMPUTED_VALUE"""),0)</f>
        <v>0</v>
      </c>
      <c r="I85" s="2">
        <f>IFERROR(__xludf.DUMMYFUNCTION("""COMPUTED_VALUE"""),6)</f>
        <v>6</v>
      </c>
      <c r="J85" s="2">
        <f>IFERROR(__xludf.DUMMYFUNCTION("""COMPUTED_VALUE"""),6)</f>
        <v>6</v>
      </c>
      <c r="K85" s="2" t="str">
        <f>IFERROR(__xludf.DUMMYFUNCTION("""COMPUTED_VALUE"""),"CGPA")</f>
        <v>CGPA</v>
      </c>
      <c r="L85" s="2" t="str">
        <f>IFERROR(__xludf.DUMMYFUNCTION("""COMPUTED_VALUE"""),"Project")</f>
        <v>Project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IFERROR(__xludf.DUMMYFUNCTION("""COMPUTED_VALUE"""),"EEC")</f>
        <v>EEC</v>
      </c>
      <c r="D86" s="2" t="str">
        <f>IFERROR(__xludf.DUMMYFUNCTION("""COMPUTED_VALUE"""),"NA")</f>
        <v>NA</v>
      </c>
      <c r="E86" s="2" t="str">
        <f>IFERROR(__xludf.DUMMYFUNCTION("""COMPUTED_VALUE"""),"19EY701")</f>
        <v>19EY701</v>
      </c>
      <c r="F86" s="7" t="str">
        <f>IFERROR(__xludf.DUMMYFUNCTION("""COMPUTED_VALUE"""),"Softskills")</f>
        <v>Softskills</v>
      </c>
      <c r="G86" s="2" t="str">
        <f>IFERROR(__xludf.DUMMYFUNCTION("""COMPUTED_VALUE"""),"-")</f>
        <v>-</v>
      </c>
      <c r="H86" s="2">
        <f>IFERROR(__xludf.DUMMYFUNCTION("""COMPUTED_VALUE"""),0)</f>
        <v>0</v>
      </c>
      <c r="I86" s="2">
        <f>IFERROR(__xludf.DUMMYFUNCTION("""COMPUTED_VALUE"""),1)</f>
        <v>1</v>
      </c>
      <c r="J86" s="2">
        <f>IFERROR(__xludf.DUMMYFUNCTION("""COMPUTED_VALUE"""),1)</f>
        <v>1</v>
      </c>
      <c r="K86" s="2" t="str">
        <f>IFERROR(__xludf.DUMMYFUNCTION("""COMPUTED_VALUE"""),"CGPA")</f>
        <v>CGPA</v>
      </c>
      <c r="L86" s="2" t="str">
        <f>IFERROR(__xludf.DUMMYFUNCTION("""COMPUTED_VALUE"""),"Practical (6 Expts)")</f>
        <v>Practical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IFERROR(__xludf.DUMMYFUNCTION("""COMPUTED_VALUE"""),"EEC")</f>
        <v>EEC</v>
      </c>
      <c r="D87" s="2" t="str">
        <f>IFERROR(__xludf.DUMMYFUNCTION("""COMPUTED_VALUE"""),"SH6708")</f>
        <v>SH6708</v>
      </c>
      <c r="E87" s="2" t="str">
        <f>IFERROR(__xludf.DUMMYFUNCTION("""COMPUTED_VALUE"""),"19EY708")</f>
        <v>19EY708</v>
      </c>
      <c r="F87" s="7" t="str">
        <f>IFERROR(__xludf.DUMMYFUNCTION("""COMPUTED_VALUE"""),"Career Development Skills")</f>
        <v>Career Development Skills</v>
      </c>
      <c r="G87" s="2" t="str">
        <f>IFERROR(__xludf.DUMMYFUNCTION("""COMPUTED_VALUE"""),"NIL")</f>
        <v>NIL</v>
      </c>
      <c r="H87" s="2">
        <f>IFERROR(__xludf.DUMMYFUNCTION("""COMPUTED_VALUE"""),1)</f>
        <v>1</v>
      </c>
      <c r="I87" s="2">
        <f>IFERROR(__xludf.DUMMYFUNCTION("""COMPUTED_VALUE"""),0)</f>
        <v>0</v>
      </c>
      <c r="J87" s="2">
        <f>IFERROR(__xludf.DUMMYFUNCTION("""COMPUTED_VALUE"""),1)</f>
        <v>1</v>
      </c>
      <c r="K87" s="2" t="str">
        <f>IFERROR(__xludf.DUMMYFUNCTION("""COMPUTED_VALUE"""),"CGPA")</f>
        <v>CGPA</v>
      </c>
      <c r="L87" s="2" t="str">
        <f>IFERROR(__xludf.DUMMYFUNCTION("""COMPUTED_VALUE"""),"Theory (Int Only)")</f>
        <v>Theory (Int Only)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IFERROR(__xludf.DUMMYFUNCTION("""COMPUTED_VALUE"""),"EEC")</f>
        <v>EEC</v>
      </c>
      <c r="D88" s="2" t="str">
        <f>IFERROR(__xludf.DUMMYFUNCTION("""COMPUTED_VALUE"""),"NA")</f>
        <v>NA</v>
      </c>
      <c r="E88" s="2" t="str">
        <f>IFERROR(__xludf.DUMMYFUNCTION("""COMPUTED_VALUE"""),"19EY702")</f>
        <v>19EY702</v>
      </c>
      <c r="F88" s="7" t="str">
        <f>IFERROR(__xludf.DUMMYFUNCTION("""COMPUTED_VALUE"""),"Creative Skills for Communication")</f>
        <v>Creative Skills for Communication</v>
      </c>
      <c r="G88" s="2" t="str">
        <f>IFERROR(__xludf.DUMMYFUNCTION("""COMPUTED_VALUE"""),"-")</f>
        <v>-</v>
      </c>
      <c r="H88" s="2">
        <f>IFERROR(__xludf.DUMMYFUNCTION("""COMPUTED_VALUE"""),0)</f>
        <v>0</v>
      </c>
      <c r="I88" s="2">
        <f>IFERROR(__xludf.DUMMYFUNCTION("""COMPUTED_VALUE"""),1)</f>
        <v>1</v>
      </c>
      <c r="J88" s="2">
        <f>IFERROR(__xludf.DUMMYFUNCTION("""COMPUTED_VALUE"""),1)</f>
        <v>1</v>
      </c>
      <c r="K88" s="2" t="str">
        <f>IFERROR(__xludf.DUMMYFUNCTION("""COMPUTED_VALUE"""),"CGPA")</f>
        <v>CGPA</v>
      </c>
      <c r="L88" s="2" t="str">
        <f>IFERROR(__xludf.DUMMYFUNCTION("""COMPUTED_VALUE"""),"Practical (6 Expts)")</f>
        <v>Practical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IFERROR(__xludf.DUMMYFUNCTION("""COMPUTED_VALUE"""),"EEC")</f>
        <v>EEC</v>
      </c>
      <c r="D89" s="2" t="str">
        <f>IFERROR(__xludf.DUMMYFUNCTION("""COMPUTED_VALUE"""),"SH6709")</f>
        <v>SH6709</v>
      </c>
      <c r="E89" s="2" t="str">
        <f>IFERROR(__xludf.DUMMYFUNCTION("""COMPUTED_VALUE"""),"19EY709")</f>
        <v>19EY709</v>
      </c>
      <c r="F89" s="7" t="str">
        <f>IFERROR(__xludf.DUMMYFUNCTION("""COMPUTED_VALUE"""),"Reasoning Ability")</f>
        <v>Reasoning Ability</v>
      </c>
      <c r="G89" s="2" t="str">
        <f>IFERROR(__xludf.DUMMYFUNCTION("""COMPUTED_VALUE"""),"NIL")</f>
        <v>NIL</v>
      </c>
      <c r="H89" s="2">
        <f>IFERROR(__xludf.DUMMYFUNCTION("""COMPUTED_VALUE"""),1)</f>
        <v>1</v>
      </c>
      <c r="I89" s="2">
        <f>IFERROR(__xludf.DUMMYFUNCTION("""COMPUTED_VALUE"""),0)</f>
        <v>0</v>
      </c>
      <c r="J89" s="2">
        <f>IFERROR(__xludf.DUMMYFUNCTION("""COMPUTED_VALUE"""),1)</f>
        <v>1</v>
      </c>
      <c r="K89" s="2" t="str">
        <f>IFERROR(__xludf.DUMMYFUNCTION("""COMPUTED_VALUE"""),"CGPA")</f>
        <v>CGPA</v>
      </c>
      <c r="L89" s="2" t="str">
        <f>IFERROR(__xludf.DUMMYFUNCTION("""COMPUTED_VALUE"""),"Theory (Int Only)")</f>
        <v>Theory (Int Only)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IFERROR(__xludf.DUMMYFUNCTION("""COMPUTED_VALUE"""),"EEC")</f>
        <v>EEC</v>
      </c>
      <c r="D90" s="2" t="str">
        <f>IFERROR(__xludf.DUMMYFUNCTION("""COMPUTED_VALUE"""),"NA")</f>
        <v>NA</v>
      </c>
      <c r="E90" s="2" t="str">
        <f>IFERROR(__xludf.DUMMYFUNCTION("""COMPUTED_VALUE"""),"19EY703")</f>
        <v>19EY703</v>
      </c>
      <c r="F90" s="7" t="str">
        <f>IFERROR(__xludf.DUMMYFUNCTION("""COMPUTED_VALUE"""),"System of Numerical and Logical Terminologies")</f>
        <v>System of Numerical and Logical Terminologies</v>
      </c>
      <c r="G90" s="2" t="str">
        <f>IFERROR(__xludf.DUMMYFUNCTION("""COMPUTED_VALUE"""),"-")</f>
        <v>-</v>
      </c>
      <c r="H90" s="2">
        <f>IFERROR(__xludf.DUMMYFUNCTION("""COMPUTED_VALUE"""),0)</f>
        <v>0</v>
      </c>
      <c r="I90" s="2">
        <f>IFERROR(__xludf.DUMMYFUNCTION("""COMPUTED_VALUE"""),1)</f>
        <v>1</v>
      </c>
      <c r="J90" s="2">
        <f>IFERROR(__xludf.DUMMYFUNCTION("""COMPUTED_VALUE"""),1)</f>
        <v>1</v>
      </c>
      <c r="K90" s="2" t="str">
        <f>IFERROR(__xludf.DUMMYFUNCTION("""COMPUTED_VALUE"""),"CGPA")</f>
        <v>CGPA</v>
      </c>
      <c r="L90" s="2" t="str">
        <f>IFERROR(__xludf.DUMMYFUNCTION("""COMPUTED_VALUE"""),"Practical (6 Expts)")</f>
        <v>Practical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IFERROR(__xludf.DUMMYFUNCTION("""COMPUTED_VALUE"""),"EEC")</f>
        <v>EEC</v>
      </c>
      <c r="D91" s="2" t="str">
        <f>IFERROR(__xludf.DUMMYFUNCTION("""COMPUTED_VALUE"""),"NA")</f>
        <v>NA</v>
      </c>
      <c r="E91" s="2" t="str">
        <f>IFERROR(__xludf.DUMMYFUNCTION("""COMPUTED_VALUE"""),"19EY704")</f>
        <v>19EY704</v>
      </c>
      <c r="F91" s="7" t="str">
        <f>IFERROR(__xludf.DUMMYFUNCTION("""COMPUTED_VALUE"""),"Advanced Quantitative and Logical Reasoning")</f>
        <v>Advanced Quantitative and Logical Reasoning</v>
      </c>
      <c r="G91" s="2" t="str">
        <f>IFERROR(__xludf.DUMMYFUNCTION("""COMPUTED_VALUE"""),"-")</f>
        <v>-</v>
      </c>
      <c r="H91" s="2">
        <f>IFERROR(__xludf.DUMMYFUNCTION("""COMPUTED_VALUE"""),0)</f>
        <v>0</v>
      </c>
      <c r="I91" s="2">
        <f>IFERROR(__xludf.DUMMYFUNCTION("""COMPUTED_VALUE"""),1)</f>
        <v>1</v>
      </c>
      <c r="J91" s="2">
        <f>IFERROR(__xludf.DUMMYFUNCTION("""COMPUTED_VALUE"""),1)</f>
        <v>1</v>
      </c>
      <c r="K91" s="2" t="str">
        <f>IFERROR(__xludf.DUMMYFUNCTION("""COMPUTED_VALUE"""),"CGPA")</f>
        <v>CGPA</v>
      </c>
      <c r="L91" s="2" t="str">
        <f>IFERROR(__xludf.DUMMYFUNCTION("""COMPUTED_VALUE"""),"Practical (6 Expts)")</f>
        <v>Practical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IFERROR(__xludf.DUMMYFUNCTION("""COMPUTED_VALUE"""),"EEC")</f>
        <v>EEC</v>
      </c>
      <c r="D92" s="2" t="str">
        <f>IFERROR(__xludf.DUMMYFUNCTION("""COMPUTED_VALUE"""),"SH6710")</f>
        <v>SH6710</v>
      </c>
      <c r="E92" s="2" t="str">
        <f>IFERROR(__xludf.DUMMYFUNCTION("""COMPUTED_VALUE"""),"19EY710")</f>
        <v>19EY710</v>
      </c>
      <c r="F92" s="7" t="str">
        <f>IFERROR(__xludf.DUMMYFUNCTION("""COMPUTED_VALUE"""),"Quantitative Ability I")</f>
        <v>Quantitative Ability I</v>
      </c>
      <c r="G92" s="2" t="str">
        <f>IFERROR(__xludf.DUMMYFUNCTION("""COMPUTED_VALUE"""),"NIL")</f>
        <v>NIL</v>
      </c>
      <c r="H92" s="2">
        <f>IFERROR(__xludf.DUMMYFUNCTION("""COMPUTED_VALUE"""),1)</f>
        <v>1</v>
      </c>
      <c r="I92" s="2">
        <f>IFERROR(__xludf.DUMMYFUNCTION("""COMPUTED_VALUE"""),0)</f>
        <v>0</v>
      </c>
      <c r="J92" s="2">
        <f>IFERROR(__xludf.DUMMYFUNCTION("""COMPUTED_VALUE"""),1)</f>
        <v>1</v>
      </c>
      <c r="K92" s="2" t="str">
        <f>IFERROR(__xludf.DUMMYFUNCTION("""COMPUTED_VALUE"""),"CGPA")</f>
        <v>CGPA</v>
      </c>
      <c r="L92" s="2" t="str">
        <f>IFERROR(__xludf.DUMMYFUNCTION("""COMPUTED_VALUE"""),"Theory (Int Only)")</f>
        <v>Theory (Int Only)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IFERROR(__xludf.DUMMYFUNCTION("""COMPUTED_VALUE"""),"EEC")</f>
        <v>EEC</v>
      </c>
      <c r="D93" s="2" t="str">
        <f>IFERROR(__xludf.DUMMYFUNCTION("""COMPUTED_VALUE"""),"SH6711")</f>
        <v>SH6711</v>
      </c>
      <c r="E93" s="2" t="str">
        <f>IFERROR(__xludf.DUMMYFUNCTION("""COMPUTED_VALUE"""),"19EY711")</f>
        <v>19EY711</v>
      </c>
      <c r="F93" s="7" t="str">
        <f>IFERROR(__xludf.DUMMYFUNCTION("""COMPUTED_VALUE"""),"Quantitative Ability II")</f>
        <v>Quantitative Ability II</v>
      </c>
      <c r="G93" s="2" t="str">
        <f>IFERROR(__xludf.DUMMYFUNCTION("""COMPUTED_VALUE"""),"SH6710 /19EY710")</f>
        <v>SH6710 /19EY710</v>
      </c>
      <c r="H93" s="2">
        <f>IFERROR(__xludf.DUMMYFUNCTION("""COMPUTED_VALUE"""),1)</f>
        <v>1</v>
      </c>
      <c r="I93" s="2">
        <f>IFERROR(__xludf.DUMMYFUNCTION("""COMPUTED_VALUE"""),0)</f>
        <v>0</v>
      </c>
      <c r="J93" s="2">
        <f>IFERROR(__xludf.DUMMYFUNCTION("""COMPUTED_VALUE"""),1)</f>
        <v>1</v>
      </c>
      <c r="K93" s="2" t="str">
        <f>IFERROR(__xludf.DUMMYFUNCTION("""COMPUTED_VALUE"""),"CGPA")</f>
        <v>CGPA</v>
      </c>
      <c r="L93" s="2" t="str">
        <f>IFERROR(__xludf.DUMMYFUNCTION("""COMPUTED_VALUE"""),"Theory (Int Only)")</f>
        <v>Theory (Int Only)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IFERROR(__xludf.DUMMYFUNCTION("""COMPUTED_VALUE"""),"EEC")</f>
        <v>EEC</v>
      </c>
      <c r="D94" s="2" t="str">
        <f>IFERROR(__xludf.DUMMYFUNCTION("""COMPUTED_VALUE"""),"NA")</f>
        <v>NA</v>
      </c>
      <c r="E94" s="2" t="str">
        <f>IFERROR(__xludf.DUMMYFUNCTION("""COMPUTED_VALUE"""),"19EY705")</f>
        <v>19EY705</v>
      </c>
      <c r="F94" s="7" t="str">
        <f>IFERROR(__xludf.DUMMYFUNCTION("""COMPUTED_VALUE"""),"Employment Enhancement Skills")</f>
        <v>Employment Enhancement Skills</v>
      </c>
      <c r="G94" s="2" t="str">
        <f>IFERROR(__xludf.DUMMYFUNCTION("""COMPUTED_VALUE"""),"-")</f>
        <v>-</v>
      </c>
      <c r="H94" s="2">
        <f>IFERROR(__xludf.DUMMYFUNCTION("""COMPUTED_VALUE"""),0)</f>
        <v>0</v>
      </c>
      <c r="I94" s="2">
        <f>IFERROR(__xludf.DUMMYFUNCTION("""COMPUTED_VALUE"""),1)</f>
        <v>1</v>
      </c>
      <c r="J94" s="2">
        <f>IFERROR(__xludf.DUMMYFUNCTION("""COMPUTED_VALUE"""),1)</f>
        <v>1</v>
      </c>
      <c r="K94" s="2" t="str">
        <f>IFERROR(__xludf.DUMMYFUNCTION("""COMPUTED_VALUE"""),"CGPA")</f>
        <v>CGPA</v>
      </c>
      <c r="L94" s="2" t="str">
        <f>IFERROR(__xludf.DUMMYFUNCTION("""COMPUTED_VALUE"""),"Practical (6 Expts)")</f>
        <v>Practical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IFERROR(__xludf.DUMMYFUNCTION("""COMPUTED_VALUE"""),"EEC")</f>
        <v>EEC</v>
      </c>
      <c r="D95" s="2" t="str">
        <f>IFERROR(__xludf.DUMMYFUNCTION("""COMPUTED_VALUE"""),"SH6712")</f>
        <v>SH6712</v>
      </c>
      <c r="E95" s="2" t="str">
        <f>IFERROR(__xludf.DUMMYFUNCTION("""COMPUTED_VALUE"""),"19EY712")</f>
        <v>19EY712</v>
      </c>
      <c r="F95" s="7" t="str">
        <f>IFERROR(__xludf.DUMMYFUNCTION("""COMPUTED_VALUE"""),"Employment Enrichment Skills")</f>
        <v>Employment Enrichment Skills</v>
      </c>
      <c r="G95" s="2" t="str">
        <f>IFERROR(__xludf.DUMMYFUNCTION("""COMPUTED_VALUE"""),"19EY702 / 19EY709 / SH6709")</f>
        <v>19EY702 / 19EY709 / SH6709</v>
      </c>
      <c r="H95" s="2">
        <f>IFERROR(__xludf.DUMMYFUNCTION("""COMPUTED_VALUE"""),1)</f>
        <v>1</v>
      </c>
      <c r="I95" s="2">
        <f>IFERROR(__xludf.DUMMYFUNCTION("""COMPUTED_VALUE"""),0)</f>
        <v>0</v>
      </c>
      <c r="J95" s="2">
        <f>IFERROR(__xludf.DUMMYFUNCTION("""COMPUTED_VALUE"""),1)</f>
        <v>1</v>
      </c>
      <c r="K95" s="2" t="str">
        <f>IFERROR(__xludf.DUMMYFUNCTION("""COMPUTED_VALUE"""),"CGPA")</f>
        <v>CGPA</v>
      </c>
      <c r="L95" s="2" t="str">
        <f>IFERROR(__xludf.DUMMYFUNCTION("""COMPUTED_VALUE"""),"Theory (Int Only)")</f>
        <v>Theory (Int Only)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 t="str">
        <f>IFERROR(__xludf.DUMMYFUNCTION("""COMPUTED_VALUE"""),"Any 1")</f>
        <v>Any 1</v>
      </c>
      <c r="C96" s="2" t="str">
        <f>IFERROR(__xludf.DUMMYFUNCTION("""COMPUTED_VALUE"""),"EEC")</f>
        <v>EEC</v>
      </c>
      <c r="D96" s="2" t="str">
        <f>IFERROR(__xludf.DUMMYFUNCTION("""COMPUTED_VALUE"""),"NA")</f>
        <v>NA</v>
      </c>
      <c r="E96" s="2" t="str">
        <f>IFERROR(__xludf.DUMMYFUNCTION("""COMPUTED_VALUE"""),"19EY706")</f>
        <v>19EY706</v>
      </c>
      <c r="F96" s="7" t="str">
        <f>IFERROR(__xludf.DUMMYFUNCTION("""COMPUTED_VALUE"""),"Company Specific Assessments For Employability")</f>
        <v>Company Specific Assessments For Employability</v>
      </c>
      <c r="G96" s="2" t="str">
        <f>IFERROR(__xludf.DUMMYFUNCTION("""COMPUTED_VALUE"""),"-")</f>
        <v>-</v>
      </c>
      <c r="H96" s="2">
        <f>IFERROR(__xludf.DUMMYFUNCTION("""COMPUTED_VALUE"""),0)</f>
        <v>0</v>
      </c>
      <c r="I96" s="2">
        <f>IFERROR(__xludf.DUMMYFUNCTION("""COMPUTED_VALUE"""),1)</f>
        <v>1</v>
      </c>
      <c r="J96" s="2">
        <f>IFERROR(__xludf.DUMMYFUNCTION("""COMPUTED_VALUE"""),1)</f>
        <v>1</v>
      </c>
      <c r="K96" s="2" t="str">
        <f>IFERROR(__xludf.DUMMYFUNCTION("""COMPUTED_VALUE"""),"CGPA")</f>
        <v>CGPA</v>
      </c>
      <c r="L96" s="2" t="str">
        <f>IFERROR(__xludf.DUMMYFUNCTION("""COMPUTED_VALUE"""),"Practical (6 Expts)")</f>
        <v>Practical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 t="str">
        <f>IFERROR(__xludf.DUMMYFUNCTION("""COMPUTED_VALUE"""),"Any 1")</f>
        <v>Any 1</v>
      </c>
      <c r="C97" s="2" t="str">
        <f>IFERROR(__xludf.DUMMYFUNCTION("""COMPUTED_VALUE"""),"EEC")</f>
        <v>EEC</v>
      </c>
      <c r="D97" s="2" t="str">
        <f>IFERROR(__xludf.DUMMYFUNCTION("""COMPUTED_VALUE"""),"SH6713")</f>
        <v>SH6713</v>
      </c>
      <c r="E97" s="2" t="str">
        <f>IFERROR(__xludf.DUMMYFUNCTION("""COMPUTED_VALUE"""),"19EY713")</f>
        <v>19EY713</v>
      </c>
      <c r="F97" s="7" t="str">
        <f>IFERROR(__xludf.DUMMYFUNCTION("""COMPUTED_VALUE"""),"Placement Readiness Assessment")</f>
        <v>Placement Readiness Assessment</v>
      </c>
      <c r="G97" s="2" t="str">
        <f>IFERROR(__xludf.DUMMYFUNCTION("""COMPUTED_VALUE"""),"19EY704 / 19EY711/SH6711")</f>
        <v>19EY704 / 19EY711/SH6711</v>
      </c>
      <c r="H97" s="2">
        <f>IFERROR(__xludf.DUMMYFUNCTION("""COMPUTED_VALUE"""),1)</f>
        <v>1</v>
      </c>
      <c r="I97" s="2">
        <f>IFERROR(__xludf.DUMMYFUNCTION("""COMPUTED_VALUE"""),0)</f>
        <v>0</v>
      </c>
      <c r="J97" s="2">
        <f>IFERROR(__xludf.DUMMYFUNCTION("""COMPUTED_VALUE"""),1)</f>
        <v>1</v>
      </c>
      <c r="K97" s="2" t="str">
        <f>IFERROR(__xludf.DUMMYFUNCTION("""COMPUTED_VALUE"""),"CGPA")</f>
        <v>CGPA</v>
      </c>
      <c r="L97" s="2" t="str">
        <f>IFERROR(__xludf.DUMMYFUNCTION("""COMPUTED_VALUE"""),"Theory (Int Only)")</f>
        <v>Theory (Int Only)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IFERROR(__xludf.DUMMYFUNCTION("""COMPUTED_VALUE"""),"EEC")</f>
        <v>EEC</v>
      </c>
      <c r="D98" s="2" t="str">
        <f>IFERROR(__xludf.DUMMYFUNCTION("""COMPUTED_VALUE"""),"SH6707")</f>
        <v>SH6707</v>
      </c>
      <c r="E98" s="2" t="str">
        <f>IFERROR(__xludf.DUMMYFUNCTION("""COMPUTED_VALUE"""),"19EY707")</f>
        <v>19EY707</v>
      </c>
      <c r="F98" s="7" t="str">
        <f>IFERROR(__xludf.DUMMYFUNCTION("""COMPUTED_VALUE"""),"Paper Publication")</f>
        <v>Paper Publication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IFERROR(__xludf.DUMMYFUNCTION("""COMPUTED_VALUE"""),1)</f>
        <v>1</v>
      </c>
      <c r="K98" s="2" t="str">
        <f>IFERROR(__xludf.DUMMYFUNCTION("""COMPUTED_VALUE"""),"NON-CGPA")</f>
        <v>NON-CGPA</v>
      </c>
      <c r="L98" s="2" t="str">
        <f>IFERROR(__xludf.DUMMYFUNCTION("""COMPUTED_VALUE"""),"Experiential Learning (Int Only)")</f>
        <v>Experiential Learning (Int Only)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IFERROR(__xludf.DUMMYFUNCTION("""COMPUTED_VALUE"""),"MC")</f>
        <v>MC</v>
      </c>
      <c r="D99" s="2" t="str">
        <f>IFERROR(__xludf.DUMMYFUNCTION("""COMPUTED_VALUE"""),"NA")</f>
        <v>NA</v>
      </c>
      <c r="E99" s="2" t="str">
        <f>IFERROR(__xludf.DUMMYFUNCTION("""COMPUTED_VALUE"""),"19MC801")</f>
        <v>19MC801</v>
      </c>
      <c r="F99" s="7" t="str">
        <f>IFERROR(__xludf.DUMMYFUNCTION("""COMPUTED_VALUE"""),"Professional Ethics")</f>
        <v>Professional Ethics</v>
      </c>
      <c r="G99" s="2" t="str">
        <f>IFERROR(__xludf.DUMMYFUNCTION("""COMPUTED_VALUE"""),"-")</f>
        <v>-</v>
      </c>
      <c r="H99" s="2">
        <f>IFERROR(__xludf.DUMMYFUNCTION("""COMPUTED_VALUE"""),0)</f>
        <v>0</v>
      </c>
      <c r="I99" s="2">
        <f>IFERROR(__xludf.DUMMYFUNCTION("""COMPUTED_VALUE"""),0)</f>
        <v>0</v>
      </c>
      <c r="J99" s="2">
        <f>IFERROR(__xludf.DUMMYFUNCTION("""COMPUTED_VALUE"""),0)</f>
        <v>0</v>
      </c>
      <c r="K99" s="2" t="str">
        <f>IFERROR(__xludf.DUMMYFUNCTION("""COMPUTED_VALUE"""),"NON - CGPA")</f>
        <v>NON - CGPA</v>
      </c>
      <c r="L99" s="2" t="str">
        <f>IFERROR(__xludf.DUMMYFUNCTION("""COMPUTED_VALUE"""),"Theory (Int Only)")</f>
        <v>Theory (Int Only)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IFERROR(__xludf.DUMMYFUNCTION("""COMPUTED_VALUE"""),"MC")</f>
        <v>MC</v>
      </c>
      <c r="D100" s="2" t="str">
        <f>IFERROR(__xludf.DUMMYFUNCTION("""COMPUTED_VALUE"""),"NA")</f>
        <v>NA</v>
      </c>
      <c r="E100" s="2" t="str">
        <f>IFERROR(__xludf.DUMMYFUNCTION("""COMPUTED_VALUE"""),"19MC802")</f>
        <v>19MC802</v>
      </c>
      <c r="F100" s="7" t="str">
        <f>IFERROR(__xludf.DUMMYFUNCTION("""COMPUTED_VALUE"""),"Environmental Science")</f>
        <v>Environmental Science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IFERROR(__xludf.DUMMYFUNCTION("""COMPUTED_VALUE"""),0)</f>
        <v>0</v>
      </c>
      <c r="J100" s="2">
        <f>IFERROR(__xludf.DUMMYFUNCTION("""COMPUTED_VALUE"""),0)</f>
        <v>0</v>
      </c>
      <c r="K100" s="2" t="str">
        <f>IFERROR(__xludf.DUMMYFUNCTION("""COMPUTED_VALUE"""),"CGPA")</f>
        <v>CGPA</v>
      </c>
      <c r="L100" s="2" t="str">
        <f>IFERROR(__xludf.DUMMYFUNCTION("""COMPUTED_VALUE"""),"Theory (Int Only)")</f>
        <v>Theory (Int Only)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IFERROR(__xludf.DUMMYFUNCTION("""COMPUTED_VALUE"""),"MC")</f>
        <v>MC</v>
      </c>
      <c r="D101" s="2" t="str">
        <f>IFERROR(__xludf.DUMMYFUNCTION("""COMPUTED_VALUE"""),"NA")</f>
        <v>NA</v>
      </c>
      <c r="E101" s="2" t="str">
        <f>IFERROR(__xludf.DUMMYFUNCTION("""COMPUTED_VALUE"""),"19MC803")</f>
        <v>19MC803</v>
      </c>
      <c r="F101" s="7" t="str">
        <f>IFERROR(__xludf.DUMMYFUNCTION("""COMPUTED_VALUE"""),"Constitution of India")</f>
        <v>Constitution of India</v>
      </c>
      <c r="G101" s="2" t="str">
        <f>IFERROR(__xludf.DUMMYFUNCTION("""COMPUTED_VALUE"""),"-")</f>
        <v>-</v>
      </c>
      <c r="H101" s="2">
        <f>IFERROR(__xludf.DUMMYFUNCTION("""COMPUTED_VALUE"""),0)</f>
        <v>0</v>
      </c>
      <c r="I101" s="2">
        <f>IFERROR(__xludf.DUMMYFUNCTION("""COMPUTED_VALUE"""),0)</f>
        <v>0</v>
      </c>
      <c r="J101" s="2">
        <f>IFERROR(__xludf.DUMMYFUNCTION("""COMPUTED_VALUE"""),0)</f>
        <v>0</v>
      </c>
      <c r="K101" s="2" t="str">
        <f>IFERROR(__xludf.DUMMYFUNCTION("""COMPUTED_VALUE"""),"CGPA")</f>
        <v>CGPA</v>
      </c>
      <c r="L101" s="2" t="str">
        <f>IFERROR(__xludf.DUMMYFUNCTION("""COMPUTED_VALUE"""),"Theory (Int Only)")</f>
        <v>Theory (Int Only)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IFERROR(__xludf.DUMMYFUNCTION("""COMPUTED_VALUE"""),"MC")</f>
        <v>MC</v>
      </c>
      <c r="D102" s="2" t="str">
        <f>IFERROR(__xludf.DUMMYFUNCTION("""COMPUTED_VALUE"""),"NA")</f>
        <v>NA</v>
      </c>
      <c r="E102" s="2" t="str">
        <f>IFERROR(__xludf.DUMMYFUNCTION("""COMPUTED_VALUE"""),"19MC804")</f>
        <v>19MC804</v>
      </c>
      <c r="F102" s="3" t="str">
        <f>IFERROR(__xludf.DUMMYFUNCTION("""COMPUTED_VALUE"""),"Internship/Entrepreneurship/Consultancy")</f>
        <v>Internship/Entrepreneurship/Consultancy</v>
      </c>
      <c r="G102" s="2" t="str">
        <f>IFERROR(__xludf.DUMMYFUNCTION("""COMPUTED_VALUE"""),"-")</f>
        <v>-</v>
      </c>
      <c r="H102" s="2">
        <f>IFERROR(__xludf.DUMMYFUNCTION("""COMPUTED_VALUE"""),0)</f>
        <v>0</v>
      </c>
      <c r="I102" s="2">
        <f>IFERROR(__xludf.DUMMYFUNCTION("""COMPUTED_VALUE"""),0)</f>
        <v>0</v>
      </c>
      <c r="J102" s="2">
        <f>IFERROR(__xludf.DUMMYFUNCTION("""COMPUTED_VALUE"""),2)</f>
        <v>2</v>
      </c>
      <c r="K102" s="2" t="str">
        <f>IFERROR(__xludf.DUMMYFUNCTION("""COMPUTED_VALUE"""),"NON-CGPA")</f>
        <v>NON-CGPA</v>
      </c>
      <c r="L102" s="2" t="str">
        <f>IFERROR(__xludf.DUMMYFUNCTION("""COMPUTED_VALUE"""),"Experiential Learning (Int Only)")</f>
        <v>Experiential Learning (Int Only)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IFERROR(__xludf.DUMMYFUNCTION("""COMPUTED_VALUE"""),"MC")</f>
        <v>MC</v>
      </c>
      <c r="D103" s="2" t="str">
        <f>IFERROR(__xludf.DUMMYFUNCTION("""COMPUTED_VALUE"""),"NA")</f>
        <v>NA</v>
      </c>
      <c r="E103" s="2" t="str">
        <f>IFERROR(__xludf.DUMMYFUNCTION("""COMPUTED_VALUE"""),"19MC805")</f>
        <v>19MC805</v>
      </c>
      <c r="F103" s="7" t="str">
        <f>IFERROR(__xludf.DUMMYFUNCTION("""COMPUTED_VALUE"""),"Inplant Training")</f>
        <v>Inplant Training</v>
      </c>
      <c r="G103" s="2" t="str">
        <f>IFERROR(__xludf.DUMMYFUNCTION("""COMPUTED_VALUE"""),"-")</f>
        <v>-</v>
      </c>
      <c r="H103" s="2">
        <f>IFERROR(__xludf.DUMMYFUNCTION("""COMPUTED_VALUE"""),0)</f>
        <v>0</v>
      </c>
      <c r="I103" s="2">
        <f>IFERROR(__xludf.DUMMYFUNCTION("""COMPUTED_VALUE"""),0)</f>
        <v>0</v>
      </c>
      <c r="J103" s="2">
        <f>IFERROR(__xludf.DUMMYFUNCTION("""COMPUTED_VALUE"""),1)</f>
        <v>1</v>
      </c>
      <c r="K103" s="2" t="str">
        <f>IFERROR(__xludf.DUMMYFUNCTION("""COMPUTED_VALUE"""),"Non - CGPA")</f>
        <v>Non - CGPA</v>
      </c>
      <c r="L103" s="2" t="str">
        <f>IFERROR(__xludf.DUMMYFUNCTION("""COMPUTED_VALUE"""),"Experiential Learning (Int Only)")</f>
        <v>Experiential Learning (Int Only)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IFERROR(__xludf.DUMMYFUNCTION("""COMPUTED_VALUE"""),"MC")</f>
        <v>MC</v>
      </c>
      <c r="D104" s="2" t="str">
        <f>IFERROR(__xludf.DUMMYFUNCTION("""COMPUTED_VALUE"""),"SH6803")</f>
        <v>SH6803</v>
      </c>
      <c r="E104" s="2" t="str">
        <f>IFERROR(__xludf.DUMMYFUNCTION("""COMPUTED_VALUE"""),"19MC807")</f>
        <v>19MC807</v>
      </c>
      <c r="F104" s="3" t="str">
        <f>IFERROR(__xludf.DUMMYFUNCTION("""COMPUTED_VALUE"""),"National Service Scheme")</f>
        <v>National Service Scheme</v>
      </c>
      <c r="G104" s="2" t="str">
        <f>IFERROR(__xludf.DUMMYFUNCTION("""COMPUTED_VALUE"""),"-")</f>
        <v>-</v>
      </c>
      <c r="H104" s="2">
        <f>IFERROR(__xludf.DUMMYFUNCTION("""COMPUTED_VALUE"""),0)</f>
        <v>0</v>
      </c>
      <c r="I104" s="2">
        <f>IFERROR(__xludf.DUMMYFUNCTION("""COMPUTED_VALUE"""),0)</f>
        <v>0</v>
      </c>
      <c r="J104" s="2">
        <f>IFERROR(__xludf.DUMMYFUNCTION("""COMPUTED_VALUE"""),0)</f>
        <v>0</v>
      </c>
      <c r="K104" s="2" t="str">
        <f>IFERROR(__xludf.DUMMYFUNCTION("""COMPUTED_VALUE"""),"NON-CGPA")</f>
        <v>NON-CGPA</v>
      </c>
      <c r="L104" s="2" t="str">
        <f>IFERROR(__xludf.DUMMYFUNCTION("""COMPUTED_VALUE"""),"Experiential Learning (Int Only)")</f>
        <v>Experiential Learning (Int Only)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IFERROR(__xludf.DUMMYFUNCTION("""COMPUTED_VALUE"""),"MC")</f>
        <v>MC</v>
      </c>
      <c r="D105" s="2" t="str">
        <f>IFERROR(__xludf.DUMMYFUNCTION("""COMPUTED_VALUE"""),"SH8807")</f>
        <v>SH8807</v>
      </c>
      <c r="E105" s="2" t="str">
        <f>IFERROR(__xludf.DUMMYFUNCTION("""COMPUTED_VALUE"""),"19MC808")</f>
        <v>19MC808</v>
      </c>
      <c r="F105" s="3" t="str">
        <f>IFERROR(__xludf.DUMMYFUNCTION("""COMPUTED_VALUE"""),"National Sports Organization ")</f>
        <v>National Sports Organization </v>
      </c>
      <c r="G105" s="2" t="str">
        <f>IFERROR(__xludf.DUMMYFUNCTION("""COMPUTED_VALUE"""),"-")</f>
        <v>-</v>
      </c>
      <c r="H105" s="2">
        <f>IFERROR(__xludf.DUMMYFUNCTION("""COMPUTED_VALUE"""),0)</f>
        <v>0</v>
      </c>
      <c r="I105" s="2">
        <f>IFERROR(__xludf.DUMMYFUNCTION("""COMPUTED_VALUE"""),0)</f>
        <v>0</v>
      </c>
      <c r="J105" s="2">
        <f>IFERROR(__xludf.DUMMYFUNCTION("""COMPUTED_VALUE"""),0)</f>
        <v>0</v>
      </c>
      <c r="K105" s="2" t="str">
        <f>IFERROR(__xludf.DUMMYFUNCTION("""COMPUTED_VALUE"""),"NON-CGPA")</f>
        <v>NON-CGPA</v>
      </c>
      <c r="L105" s="2" t="str">
        <f>IFERROR(__xludf.DUMMYFUNCTION("""COMPUTED_VALUE"""),"Experiential Learning (Int Only)")</f>
        <v>Experiential Learning (Int Only)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IFERROR(__xludf.DUMMYFUNCTION("""COMPUTED_VALUE"""),"MC")</f>
        <v>MC</v>
      </c>
      <c r="D106" s="2" t="str">
        <f>IFERROR(__xludf.DUMMYFUNCTION("""COMPUTED_VALUE"""),"SH8808")</f>
        <v>SH8808</v>
      </c>
      <c r="E106" s="2" t="str">
        <f>IFERROR(__xludf.DUMMYFUNCTION("""COMPUTED_VALUE"""),"19MC809")</f>
        <v>19MC809</v>
      </c>
      <c r="F106" s="3" t="str">
        <f>IFERROR(__xludf.DUMMYFUNCTION("""COMPUTED_VALUE"""),"Youth Red Cross")</f>
        <v>Youth Red Cross</v>
      </c>
      <c r="G106" s="2" t="str">
        <f>IFERROR(__xludf.DUMMYFUNCTION("""COMPUTED_VALUE"""),"-")</f>
        <v>-</v>
      </c>
      <c r="H106" s="2">
        <f>IFERROR(__xludf.DUMMYFUNCTION("""COMPUTED_VALUE"""),0)</f>
        <v>0</v>
      </c>
      <c r="I106" s="2">
        <f>IFERROR(__xludf.DUMMYFUNCTION("""COMPUTED_VALUE"""),0)</f>
        <v>0</v>
      </c>
      <c r="J106" s="2">
        <f>IFERROR(__xludf.DUMMYFUNCTION("""COMPUTED_VALUE"""),0)</f>
        <v>0</v>
      </c>
      <c r="K106" s="2" t="str">
        <f>IFERROR(__xludf.DUMMYFUNCTION("""COMPUTED_VALUE"""),"NON-CGPA")</f>
        <v>NON-CGPA</v>
      </c>
      <c r="L106" s="2" t="str">
        <f>IFERROR(__xludf.DUMMYFUNCTION("""COMPUTED_VALUE"""),"Experiential Learning (Int Only)")</f>
        <v>Experiential Learning (Int Only)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IFERROR(__xludf.DUMMYFUNCTION("""COMPUTED_VALUE"""),"OE")</f>
        <v>OE</v>
      </c>
      <c r="D107" s="2"/>
      <c r="E107" s="2"/>
      <c r="F107" s="3" t="str">
        <f>IFERROR(__xludf.DUMMYFUNCTION("""COMPUTED_VALUE"""),"Online Courses")</f>
        <v>Online Courses</v>
      </c>
      <c r="G107" s="2" t="str">
        <f>IFERROR(__xludf.DUMMYFUNCTION("""COMPUTED_VALUE"""),"-")</f>
        <v>-</v>
      </c>
      <c r="H107" s="2">
        <f>IFERROR(__xludf.DUMMYFUNCTION("""COMPUTED_VALUE"""),0)</f>
        <v>0</v>
      </c>
      <c r="I107" s="2">
        <f>IFERROR(__xludf.DUMMYFUNCTION("""COMPUTED_VALUE"""),0)</f>
        <v>0</v>
      </c>
      <c r="J107" s="2">
        <f>IFERROR(__xludf.DUMMYFUNCTION("""COMPUTED_VALUE"""),0)</f>
        <v>0</v>
      </c>
      <c r="K107" s="2" t="str">
        <f>IFERROR(__xludf.DUMMYFUNCTION("""COMPUTED_VALUE"""),"CGPA")</f>
        <v>CGPA</v>
      </c>
      <c r="L107" s="2" t="str">
        <f>IFERROR(__xludf.DUMMYFUNCTION("""COMPUTED_VALUE"""),"Experiential Learning")</f>
        <v>Experiential Learning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IFERROR(__xludf.DUMMYFUNCTION("""COMPUTED_VALUE"""),"OE")</f>
        <v>OE</v>
      </c>
      <c r="D108" s="2"/>
      <c r="E108" s="2"/>
      <c r="F108" s="3" t="str">
        <f>IFERROR(__xludf.DUMMYFUNCTION("""COMPUTED_VALUE"""),"Open Electives")</f>
        <v>Open Electives</v>
      </c>
      <c r="G108" s="2" t="str">
        <f>IFERROR(__xludf.DUMMYFUNCTION("""COMPUTED_VALUE"""),"-")</f>
        <v>-</v>
      </c>
      <c r="H108" s="2">
        <f>IFERROR(__xludf.DUMMYFUNCTION("""COMPUTED_VALUE"""),0)</f>
        <v>0</v>
      </c>
      <c r="I108" s="2">
        <f>IFERROR(__xludf.DUMMYFUNCTION("""COMPUTED_VALUE"""),0)</f>
        <v>0</v>
      </c>
      <c r="J108" s="2">
        <f>IFERROR(__xludf.DUMMYFUNCTION("""COMPUTED_VALUE"""),0)</f>
        <v>0</v>
      </c>
      <c r="K108" s="2" t="str">
        <f>IFERROR(__xludf.DUMMYFUNCTION("""COMPUTED_VALUE"""),"CGPA")</f>
        <v>CGPA</v>
      </c>
      <c r="L108" s="2" t="str">
        <f>IFERROR(__xludf.DUMMYFUNCTION("""COMPUTED_VALUE"""),"Theory")</f>
        <v>Theory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IFERROR(__xludf.DUMMYFUNCTION("""COMPUTED_VALUE"""),"ES")</f>
        <v>ES</v>
      </c>
      <c r="D109" s="2"/>
      <c r="E109" s="2"/>
      <c r="F109" s="7" t="str">
        <f>IFERROR(__xludf.DUMMYFUNCTION("""COMPUTED_VALUE"""),"Fundamentals of Data Structures using Python")</f>
        <v>Fundamentals of Data Structures using Python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IFERROR(__xludf.DUMMYFUNCTION("""COMPUTED_VALUE"""),"ES")</f>
        <v>ES</v>
      </c>
      <c r="D110" s="2"/>
      <c r="E110" s="2"/>
      <c r="F110" s="7" t="str">
        <f>IFERROR(__xludf.DUMMYFUNCTION("""COMPUTED_VALUE"""),"Basic Electronic Circuits")</f>
        <v>Basic Electronic Circuits</v>
      </c>
      <c r="G110" s="2" t="str">
        <f>IFERROR(__xludf.DUMMYFUNCTION("""COMPUTED_VALUE"""),"19EC302")</f>
        <v>19EC302</v>
      </c>
      <c r="H110" s="2">
        <f>IFERROR(__xludf.DUMMYFUNCTION("""COMPUTED_VALUE"""),3)</f>
        <v>3</v>
      </c>
      <c r="I110" s="2">
        <f>IFERROR(__xludf.DUMMYFUNCTION("""COMPUTED_VALUE"""),1)</f>
        <v>1</v>
      </c>
      <c r="J110" s="2">
        <f>IFERROR(__xludf.DUMMYFUNCTION("""COMPUTED_VALUE"""),4)</f>
        <v>4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ht="13.2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ht="13.2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ht="13.2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ht="13.2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ht="13.2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ht="13.2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ht="13.2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ht="13.2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ht="13.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ht="13.2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ht="13.2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ht="13.2" spans="1:1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</row>
    <row r="136" ht="13.2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ht="13.2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ht="13.2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ht="13.2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ht="13.2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ht="13.2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ve English&quot;)"/>
    <hyperlink ref="F4" r:id="rId3" display="=IFERROR(@__xludf.DUMMYFUNCTION(&quot;&quot;&quot;COMPUTED_VALUE&quot;&quot;&quot;),&quot;English for Engineers&quot;)"/>
    <hyperlink ref="F5" r:id="rId4" display="=IFERROR(@__xludf.DUMMYFUNCTION(&quot;&quot;&quot;COMPUTED_VALUE&quot;&quot;&quot;),&quot;Technical English&quot;)"/>
    <hyperlink ref="F6" r:id="rId5" display="=IFERROR(@__xludf.DUMMYFUNCTION(&quot;&quot;&quot;COMPUTED_VALUE&quot;&quot;&quot;),&quot;Technical Writing and Presentation&quot;)"/>
    <hyperlink ref="F7" r:id="rId6" display="=IFERROR(@__xludf.DUMMYFUNCTION(&quot;&quot;&quot;COMPUTED_VALUE&quot;&quot;&quot;),&quot;Public Speaking&quot;)"/>
    <hyperlink ref="F8" r:id="rId7" display="=IFERROR(@__xludf.DUMMYFUNCTION(&quot;&quot;&quot;COMPUTED_VALUE&quot;&quot;&quot;),&quot;Principles of Management&quot;)"/>
    <hyperlink ref="F9" r:id="rId8" display="=IFERROR(@__xludf.DUMMYFUNCTION(&quot;&quot;&quot;COMPUTED_VALUE&quot;&quot;&quot;),&quot;Total Quality Management&quot;)"/>
    <hyperlink ref="F10" r:id="rId9" display="=IFERROR(@__xludf.DUMMYFUNCTION(&quot;&quot;&quot;COMPUTED_VALUE&quot;&quot;&quot;),&quot;தமிழர் மரபு/ Heritage of Tamils&quot;)"/>
    <hyperlink ref="F11" r:id="rId10" display="=IFERROR(@__xludf.DUMMYFUNCTION(&quot;&quot;&quot;COMPUTED_VALUE&quot;&quot;&quot;),&quot;தமிழரும் தொழில்நுட்பமும்/ Tamils and Technology&quot;)"/>
    <hyperlink ref="F12" r:id="rId11" display="=IFERROR(@__xludf.DUMMYFUNCTION(&quot;&quot;&quot;COMPUTED_VALUE&quot;&quot;&quot;),&quot;Calculus and Laplace Transforms&quot;)"/>
    <hyperlink ref="F13" r:id="rId12" display="=IFERROR(@__xludf.DUMMYFUNCTION(&quot;&quot;&quot;COMPUTED_VALUE&quot;&quot;&quot;),&quot;Complex Variables and Ordinary Differential Equations&quot;)"/>
    <hyperlink ref="F14" r:id="rId13" display="=IFERROR(@__xludf.DUMMYFUNCTION(&quot;&quot;&quot;COMPUTED_VALUE&quot;&quot;&quot;),&quot;Linear Algebra and Numerical Methods&quot;)"/>
    <hyperlink ref="F15" r:id="rId14" display="=IFERROR(@__xludf.DUMMYFUNCTION(&quot;&quot;&quot;COMPUTED_VALUE&quot;&quot;&quot;),&quot;Random Processes and Statistics&quot;)"/>
    <hyperlink ref="F16" r:id="rId15" display="=IFERROR(@__xludf.DUMMYFUNCTION(&quot;&quot;&quot;COMPUTED_VALUE&quot;&quot;&quot;),&quot;Fundamentals of Engineering Physics&quot;)"/>
    <hyperlink ref="F17" r:id="rId16" display="=IFERROR(@__xludf.DUMMYFUNCTION(&quot;&quot;&quot;COMPUTED_VALUE&quot;&quot;&quot;),&quot;Medical Physics&quot;)"/>
    <hyperlink ref="F18" r:id="rId17" display="=IFERROR(@__xludf.DUMMYFUNCTION(&quot;&quot;&quot;COMPUTED_VALUE&quot;&quot;&quot;),&quot;Principles of Chemistry in Engineering&quot;)"/>
    <hyperlink ref="F19" r:id="rId18" display="=IFERROR(@__xludf.DUMMYFUNCTION(&quot;&quot;&quot;COMPUTED_VALUE&quot;&quot;&quot;),&quot;Problem Solving and Python Programming&quot;)"/>
    <hyperlink ref="F20" r:id="rId19" display="=IFERROR(@__xludf.DUMMYFUNCTION(&quot;&quot;&quot;COMPUTED_VALUE&quot;&quot;&quot;),&quot;Electric Circuit Analysis&quot;)"/>
    <hyperlink ref="F21" r:id="rId20" display="=IFERROR(@__xludf.DUMMYFUNCTION(&quot;&quot;&quot;COMPUTED_VALUE&quot;&quot;&quot;),&quot;Electronic Devices&quot;)"/>
    <hyperlink ref="F22" r:id="rId21" display="=IFERROR(@__xludf.DUMMYFUNCTION(&quot;&quot;&quot;COMPUTED_VALUE&quot;&quot;&quot;),&quot;Digital Principles and System Design&quot;)"/>
    <hyperlink ref="F23" r:id="rId22" display="=IFERROR(@__xludf.DUMMYFUNCTION(&quot;&quot;&quot;COMPUTED_VALUE&quot;&quot;&quot;),&quot;Analog and Digital Communication&quot;)"/>
    <hyperlink ref="F24" r:id="rId23" display="=IFERROR(@__xludf.DUMMYFUNCTION(&quot;&quot;&quot;COMPUTED_VALUE&quot;&quot;&quot;),&quot;Engineering Drawing&quot;)"/>
    <hyperlink ref="F25" r:id="rId24" display="=IFERROR(@__xludf.DUMMYFUNCTION(&quot;&quot;&quot;COMPUTED_VALUE&quot;&quot;&quot;),&quot;Signals and Systems&quot;)"/>
    <hyperlink ref="F26" r:id="rId25" display="=IFERROR(@__xludf.DUMMYFUNCTION(&quot;&quot;&quot;COMPUTED_VALUE&quot;&quot;&quot;),&quot;Linear Integrated Circuits&quot;)"/>
    <hyperlink ref="F27" r:id="rId26" display="=IFERROR(@__xludf.DUMMYFUNCTION(&quot;&quot;&quot;COMPUTED_VALUE&quot;&quot;&quot;),&quot;Analysis and Design of Analog ICs&quot;)"/>
    <hyperlink ref="F28" r:id="rId27" display="=IFERROR(@__xludf.DUMMYFUNCTION(&quot;&quot;&quot;COMPUTED_VALUE&quot;&quot;&quot;),&quot;Microprocessor and Microcontroller&quot;)"/>
    <hyperlink ref="F29" r:id="rId28" display="=IFERROR(@__xludf.DUMMYFUNCTION(&quot;&quot;&quot;COMPUTED_VALUE&quot;&quot;&quot;),&quot;Basics of Measurements and Instrumentation&quot;)"/>
    <hyperlink ref="F30" r:id="rId29" display="=IFERROR(@__xludf.DUMMYFUNCTION(&quot;&quot;&quot;COMPUTED_VALUE&quot;&quot;&quot;),&quot;Bio Control Systems&quot;)"/>
    <hyperlink ref="F31" r:id="rId30" display="=IFERROR(@__xludf.DUMMYFUNCTION(&quot;&quot;&quot;COMPUTED_VALUE&quot;&quot;&quot;),&quot;Medical Instrumentation&quot;)"/>
    <hyperlink ref="F32" r:id="rId31" display="=IFERROR(@__xludf.DUMMYFUNCTION(&quot;&quot;&quot;COMPUTED_VALUE&quot;&quot;&quot;),&quot;Pattern Recognition and Artificial Intelligence&quot;)"/>
    <hyperlink ref="F33" r:id="rId32" display="=IFERROR(@__xludf.DUMMYFUNCTION(&quot;&quot;&quot;COMPUTED_VALUE&quot;&quot;&quot;),&quot;Therapeutic Equipment&quot;)"/>
    <hyperlink ref="F34" r:id="rId33" display="=IFERROR(@__xludf.DUMMYFUNCTION(&quot;&quot;&quot;COMPUTED_VALUE&quot;&quot;&quot;),&quot;Medical Image Processing&quot;)"/>
    <hyperlink ref="F35" r:id="rId34" display="=IFERROR(@__xludf.DUMMYFUNCTION(&quot;&quot;&quot;COMPUTED_VALUE&quot;&quot;&quot;),&quot;Medical Informatics&quot;)"/>
    <hyperlink ref="F36" r:id="rId35" display="=IFERROR(@__xludf.DUMMYFUNCTION(&quot;&quot;&quot;COMPUTED_VALUE&quot;&quot;&quot;),&quot;Medical Electronics System Design Laboratory&quot;)"/>
    <hyperlink ref="F37" r:id="rId36" display="=IFERROR(@__xludf.DUMMYFUNCTION(&quot;&quot;&quot;COMPUTED_VALUE&quot;&quot;&quot;),&quot;Hospital Training&quot;)"/>
    <hyperlink ref="F38" r:id="rId37" display="=IFERROR(@__xludf.DUMMYFUNCTION(&quot;&quot;&quot;COMPUTED_VALUE&quot;&quot;&quot;),&quot;Virtual Instrumentation for Clinical Applications&quot;)"/>
    <hyperlink ref="F39" r:id="rId38" display="=IFERROR(@__xludf.DUMMYFUNCTION(&quot;&quot;&quot;COMPUTED_VALUE&quot;&quot;&quot;),&quot;Biomechanics&quot;)"/>
    <hyperlink ref="F40" r:id="rId39" display="=IFERROR(@__xludf.DUMMYFUNCTION(&quot;&quot;&quot;COMPUTED_VALUE&quot;&quot;&quot;),&quot;Biomedical Signal Processing&quot;)"/>
    <hyperlink ref="F41" r:id="rId40" display="=IFERROR(@__xludf.DUMMYFUNCTION(&quot;&quot;&quot;COMPUTED_VALUE&quot;&quot;&quot;),&quot;Anatomy and Human Physiology&quot;)"/>
    <hyperlink ref="F42" r:id="rId41" display="=IFERROR(@__xludf.DUMMYFUNCTION(&quot;&quot;&quot;COMPUTED_VALUE&quot;&quot;&quot;),&quot;Medical Assist Devices&quot;)"/>
    <hyperlink ref="F43" r:id="rId42" display="=IFERROR(@__xludf.DUMMYFUNCTION(&quot;&quot;&quot;COMPUTED_VALUE&quot;&quot;&quot;),&quot;Tele Health Technology&quot;)"/>
    <hyperlink ref="F44" r:id="rId43" display="=IFERROR(@__xludf.DUMMYFUNCTION(&quot;&quot;&quot;COMPUTED_VALUE&quot;&quot;&quot;),&quot;Nano Technology and Applications&quot;)"/>
    <hyperlink ref="F45" r:id="rId44" display="=IFERROR(@__xludf.DUMMYFUNCTION(&quot;&quot;&quot;COMPUTED_VALUE&quot;&quot;&quot;),&quot;Neural Networks and its Applications&quot;)"/>
    <hyperlink ref="F46" r:id="rId45" display="=IFERROR(@__xludf.DUMMYFUNCTION(&quot;&quot;&quot;COMPUTED_VALUE&quot;&quot;&quot;),&quot;Medical Imaging Techniques&quot;)"/>
    <hyperlink ref="F47" r:id="rId46" display="=IFERROR(@__xludf.DUMMYFUNCTION(&quot;&quot;&quot;COMPUTED_VALUE&quot;&quot;&quot;),&quot;Embedded Systems&quot;)"/>
    <hyperlink ref="F48" r:id="rId47" display="=IFERROR(@__xludf.DUMMYFUNCTION(&quot;&quot;&quot;COMPUTED_VALUE&quot;&quot;&quot;),&quot;Embedded Systems and IoT&quot;)"/>
    <hyperlink ref="F49" r:id="rId48" display="=IFERROR(@__xludf.DUMMYFUNCTION(&quot;&quot;&quot;COMPUTED_VALUE&quot;&quot;&quot;),&quot;Virtual Reality and Augmented Reality&quot;)"/>
    <hyperlink ref="F50" r:id="rId49" display="=IFERROR(@__xludf.DUMMYFUNCTION(&quot;&quot;&quot;COMPUTED_VALUE&quot;&quot;&quot;),&quot;Body Area Networks&quot;)"/>
    <hyperlink ref="F51" r:id="rId50" display="=IFERROR(@__xludf.DUMMYFUNCTION(&quot;&quot;&quot;COMPUTED_VALUE&quot;&quot;&quot;),&quot;Bio MEMS&quot;)"/>
    <hyperlink ref="F52" r:id="rId51" display="=IFERROR(@__xludf.DUMMYFUNCTION(&quot;&quot;&quot;COMPUTED_VALUE&quot;&quot;&quot;),&quot;Medical Wearable Systems&quot;)"/>
    <hyperlink ref="F53" r:id="rId52" display="=IFERROR(@__xludf.DUMMYFUNCTION(&quot;&quot;&quot;COMPUTED_VALUE&quot;&quot;&quot;),&quot;Bio Materials and Artificial Organs&quot;)"/>
    <hyperlink ref="F54" r:id="rId53" display="=IFERROR(@__xludf.DUMMYFUNCTION(&quot;&quot;&quot;COMPUTED_VALUE&quot;&quot;&quot;),&quot;Fiber Optics and Lasers in Medicine&quot;)"/>
    <hyperlink ref="F55" r:id="rId54" display="=IFERROR(@__xludf.DUMMYFUNCTION(&quot;&quot;&quot;COMPUTED_VALUE&quot;&quot;&quot;),&quot;Hospital Waste Management&quot;)"/>
    <hyperlink ref="F56" r:id="rId55" display="=IFERROR(@__xludf.DUMMYFUNCTION(&quot;&quot;&quot;COMPUTED_VALUE&quot;&quot;&quot;),&quot;Physiological Modeling&quot;)"/>
    <hyperlink ref="F57" r:id="rId56" display="=IFERROR(@__xludf.DUMMYFUNCTION(&quot;&quot;&quot;COMPUTED_VALUE&quot;&quot;&quot;),&quot;Electrical Safety and Quality Assurance&quot;)"/>
    <hyperlink ref="F58" r:id="rId57" display="=IFERROR(@__xludf.DUMMYFUNCTION(&quot;&quot;&quot;COMPUTED_VALUE&quot;&quot;&quot;),&quot;Brain Computer Interface and its Applications&quot;)"/>
    <hyperlink ref="F59" r:id="rId58" display="=IFERROR(@__xludf.DUMMYFUNCTION(&quot;&quot;&quot;COMPUTED_VALUE&quot;&quot;&quot;),&quot;Biometric Systems&quot;)"/>
    <hyperlink ref="F60" r:id="rId59" display="=IFERROR(@__xludf.DUMMYFUNCTION(&quot;&quot;&quot;COMPUTED_VALUE&quot;&quot;&quot;),&quot;Block Chain Architecture and its Use Cases&quot;)"/>
    <hyperlink ref="F61" r:id="rId60" display="=IFERROR(@__xludf.DUMMYFUNCTION(&quot;&quot;&quot;COMPUTED_VALUE&quot;&quot;&quot;),&quot;Robotics and its Applications&quot;)"/>
    <hyperlink ref="F62" r:id="rId61" display="=IFERROR(@__xludf.DUMMYFUNCTION(&quot;&quot;&quot;COMPUTED_VALUE&quot;&quot;&quot;),&quot;Quantum Computing&quot;)"/>
    <hyperlink ref="F63" r:id="rId62" display="=IFERROR(@__xludf.DUMMYFUNCTION(&quot;&quot;&quot;COMPUTED_VALUE&quot;&quot;&quot;),&quot;Cyber Security&quot;)"/>
    <hyperlink ref="F64" r:id="rId63" display="=IFERROR(@__xludf.DUMMYFUNCTION(&quot;&quot;&quot;COMPUTED_VALUE&quot;&quot;&quot;),&quot;Data Science&quot;)"/>
    <hyperlink ref="F65" r:id="rId64" display="=IFERROR(@__xludf.DUMMYFUNCTION(&quot;&quot;&quot;COMPUTED_VALUE&quot;&quot;&quot;),&quot;Fundamentals of C Programming&quot;)"/>
    <hyperlink ref="F66" r:id="rId65" display="=IFERROR(@__xludf.DUMMYFUNCTION(&quot;&quot;&quot;COMPUTED_VALUE&quot;&quot;&quot;),&quot;Advanced C Programming&quot;)"/>
    <hyperlink ref="F67" r:id="rId66" display="=IFERROR(@__xludf.DUMMYFUNCTION(&quot;&quot;&quot;COMPUTED_VALUE&quot;&quot;&quot;),&quot;Object Oriented Programming using Java&quot;)"/>
    <hyperlink ref="F68" r:id="rId67" display="=IFERROR(@__xludf.DUMMYFUNCTION(&quot;&quot;&quot;COMPUTED_VALUE&quot;&quot;&quot;),&quot;Analysis of Algorithms&quot;)"/>
    <hyperlink ref="F70" r:id="rId68" display="=IFERROR(@__xludf.DUMMYFUNCTION(&quot;&quot;&quot;COMPUTED_VALUE&quot;&quot;&quot;),&quot;Advanced Graph Theory and Applications&quot;)"/>
    <hyperlink ref="F71" r:id="rId69" display="=IFERROR(@__xludf.DUMMYFUNCTION(&quot;&quot;&quot;COMPUTED_VALUE&quot;&quot;&quot;),&quot;Foundation Skills in Integrated Product Development&quot;)"/>
    <hyperlink ref="F72" r:id="rId70" display="=IFERROR(@__xludf.DUMMYFUNCTION(&quot;&quot;&quot;COMPUTED_VALUE&quot;&quot;&quot;),&quot;Medical Device Design&quot;)"/>
    <hyperlink ref="F73" r:id="rId71" display="=IFERROR(@__xludf.DUMMYFUNCTION(&quot;&quot;&quot;COMPUTED_VALUE&quot;&quot;&quot;),&quot;Medical Device Regulations&quot;)"/>
    <hyperlink ref="F74" r:id="rId72" display="=IFERROR(@__xludf.DUMMYFUNCTION(&quot;&quot;&quot;COMPUTED_VALUE&quot;&quot;&quot;),&quot;Patient Safety, Standards and Ethics&quot;)"/>
    <hyperlink ref="F75" r:id="rId73" display="=IFERROR(@__xludf.DUMMYFUNCTION(&quot;&quot;&quot;COMPUTED_VALUE&quot;&quot;&quot;),&quot;Medical Innovation and Entrepreneurship&quot;)"/>
    <hyperlink ref="F76" r:id="rId74" display="=IFERROR(@__xludf.DUMMYFUNCTION(&quot;&quot;&quot;COMPUTED_VALUE&quot;&quot;&quot;),&quot;Rapid Prototyping&quot;)"/>
    <hyperlink ref="F77" r:id="rId75" display="=IFERROR(@__xludf.DUMMYFUNCTION(&quot;&quot;&quot;COMPUTED_VALUE&quot;&quot;&quot;),&quot;Clinical Engineering&quot;)"/>
    <hyperlink ref="F78" r:id="rId76" display="=IFERROR(@__xludf.DUMMYFUNCTION(&quot;&quot;&quot;COMPUTED_VALUE&quot;&quot;&quot;),&quot;Hospital Planning and Management&quot;)"/>
    <hyperlink ref="F79" r:id="rId77" display="=IFERROR(@__xludf.DUMMYFUNCTION(&quot;&quot;&quot;COMPUTED_VALUE&quot;&quot;&quot;),&quot;Medical Waste Management&quot;)"/>
    <hyperlink ref="F80" r:id="rId78" display="=IFERROR(@__xludf.DUMMYFUNCTION(&quot;&quot;&quot;COMPUTED_VALUE&quot;&quot;&quot;),&quot;Economics and Management for Engineers&quot;)"/>
    <hyperlink ref="F81" r:id="rId79" display="=IFERROR(@__xludf.DUMMYFUNCTION(&quot;&quot;&quot;COMPUTED_VALUE&quot;&quot;&quot;),&quot;Biostatistics&quot;)"/>
    <hyperlink ref="F82" r:id="rId80" display="=IFERROR(@__xludf.DUMMYFUNCTION(&quot;&quot;&quot;COMPUTED_VALUE&quot;&quot;&quot;),&quot;Forensic Science in Healthcare&quot;)"/>
    <hyperlink ref="F83" r:id="rId81" display="=IFERROR(@__xludf.DUMMYFUNCTION(&quot;&quot;&quot;COMPUTED_VALUE&quot;&quot;&quot;),&quot;Mini Project&quot;)"/>
    <hyperlink ref="F84" r:id="rId82" display="=IFERROR(@__xludf.DUMMYFUNCTION(&quot;&quot;&quot;COMPUTED_VALUE&quot;&quot;&quot;),&quot;Project Work Phase I&quot;)"/>
    <hyperlink ref="F85" r:id="rId83" display="=IFERROR(@__xludf.DUMMYFUNCTION(&quot;&quot;&quot;COMPUTED_VALUE&quot;&quot;&quot;),&quot;Project Work Phase II&quot;)"/>
    <hyperlink ref="F86" r:id="rId84" display="=IFERROR(@__xludf.DUMMYFUNCTION(&quot;&quot;&quot;COMPUTED_VALUE&quot;&quot;&quot;),&quot;Softskills&quot;)"/>
    <hyperlink ref="F87" r:id="rId85" display="=IFERROR(@__xludf.DUMMYFUNCTION(&quot;&quot;&quot;COMPUTED_VALUE&quot;&quot;&quot;),&quot;Career Development Skills&quot;)"/>
    <hyperlink ref="F88" r:id="rId86" display="=IFERROR(@__xludf.DUMMYFUNCTION(&quot;&quot;&quot;COMPUTED_VALUE&quot;&quot;&quot;),&quot;Creative Skills for Communication&quot;)"/>
    <hyperlink ref="F89" r:id="rId87" display="=IFERROR(@__xludf.DUMMYFUNCTION(&quot;&quot;&quot;COMPUTED_VALUE&quot;&quot;&quot;),&quot;Reasoning Ability&quot;)"/>
    <hyperlink ref="F90" r:id="rId88" display="=IFERROR(@__xludf.DUMMYFUNCTION(&quot;&quot;&quot;COMPUTED_VALUE&quot;&quot;&quot;),&quot;System of Numerical and Logical Terminologies&quot;)"/>
    <hyperlink ref="F91" r:id="rId89" display="=IFERROR(@__xludf.DUMMYFUNCTION(&quot;&quot;&quot;COMPUTED_VALUE&quot;&quot;&quot;),&quot;Advanced Quantitative and Logical Reasoning&quot;)"/>
    <hyperlink ref="F92" r:id="rId90" display="=IFERROR(@__xludf.DUMMYFUNCTION(&quot;&quot;&quot;COMPUTED_VALUE&quot;&quot;&quot;),&quot;Quantitative Ability I&quot;)"/>
    <hyperlink ref="F93" r:id="rId91" display="=IFERROR(@__xludf.DUMMYFUNCTION(&quot;&quot;&quot;COMPUTED_VALUE&quot;&quot;&quot;),&quot;Quantitative Ability II&quot;)"/>
    <hyperlink ref="F94" r:id="rId92" display="=IFERROR(@__xludf.DUMMYFUNCTION(&quot;&quot;&quot;COMPUTED_VALUE&quot;&quot;&quot;),&quot;Employment Enhancement Skills&quot;)"/>
    <hyperlink ref="F95" r:id="rId93" display="=IFERROR(@__xludf.DUMMYFUNCTION(&quot;&quot;&quot;COMPUTED_VALUE&quot;&quot;&quot;),&quot;Employment Enrichment Skills&quot;)"/>
    <hyperlink ref="F96" r:id="rId94" display="=IFERROR(@__xludf.DUMMYFUNCTION(&quot;&quot;&quot;COMPUTED_VALUE&quot;&quot;&quot;),&quot;Company Specific Assessments For Employability&quot;)"/>
    <hyperlink ref="F97" r:id="rId95" display="=IFERROR(@__xludf.DUMMYFUNCTION(&quot;&quot;&quot;COMPUTED_VALUE&quot;&quot;&quot;),&quot;Placement Readiness Assessment&quot;)"/>
    <hyperlink ref="F98" r:id="rId96" display="=IFERROR(@__xludf.DUMMYFUNCTION(&quot;&quot;&quot;COMPUTED_VALUE&quot;&quot;&quot;),&quot;Paper Publication&quot;)"/>
    <hyperlink ref="F99" r:id="rId97" display="=IFERROR(@__xludf.DUMMYFUNCTION(&quot;&quot;&quot;COMPUTED_VALUE&quot;&quot;&quot;),&quot;Professional Ethics&quot;)"/>
    <hyperlink ref="F100" r:id="rId98" display="=IFERROR(@__xludf.DUMMYFUNCTION(&quot;&quot;&quot;COMPUTED_VALUE&quot;&quot;&quot;),&quot;Environmental Science&quot;)"/>
    <hyperlink ref="F101" r:id="rId99" display="=IFERROR(@__xludf.DUMMYFUNCTION(&quot;&quot;&quot;COMPUTED_VALUE&quot;&quot;&quot;),&quot;Constitution of India&quot;)"/>
    <hyperlink ref="F103" r:id="rId100" display="=IFERROR(@__xludf.DUMMYFUNCTION(&quot;&quot;&quot;COMPUTED_VALUE&quot;&quot;&quot;),&quot;Inplant Training&quot;)"/>
    <hyperlink ref="F109" r:id="rId101" display="=IFERROR(@__xludf.DUMMYFUNCTION(&quot;&quot;&quot;COMPUTED_VALUE&quot;&quot;&quot;),&quot;Fundamentals of Data Structures using Python&quot;)"/>
    <hyperlink ref="F110" r:id="rId102" display="=IFERROR(@__xludf.DUMMYFUNCTION(&quot;&quot;&quot;COMPUTED_VALUE&quot;&quot;&quot;),&quot;Basic Electronic Circuits&quot;)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831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""R2019-ECE!A:A""),
IMPORTRANGE(""https://docs.google.com/spreadsheets/d/1UvPg-G_Bj-UNhLC2uL8tntfYsnld_PABqE3impzOchM/edit"", ""R2019-"&amp;"ECE!D:D""),
IMPORTRANGE(""https://docs.google.com/spreadsheets/d/1UvPg-G_Bj-UNhLC2uL8tntfYsnld_PABqE3impzOchM/edit"", ""R2019-ECE!E:E""),
IMPORTRANGE(""https://docs.google.com/spreadsheets/d/1UvPg-G_Bj-UNhLC2uL8tntfYsnld_PABqE3impzOchM/edit"", ""R2019-ECE"&amp;"!F:F""),
IMPORTRANGE(""https://docs.google.com/spreadsheets/d/1UvPg-G_Bj-UNhLC2uL8tntfYsnld_PABqE3impzOchM/edit"", ""R2019-ECE!G:G""),
IMPORTRANGE(""https://docs.google.com/spreadsheets/d/1UvPg-G_Bj-UNhLC2uL8tntfYsnld_PABqE3impzOchM/edit"", ""R2019-ECE!I:"&amp;"I""),
IMPORTRANGE(""https://docs.google.com/spreadsheets/d/1UvPg-G_Bj-UNhLC2uL8tntfYsnld_PABqE3impzOchM/edit"", ""R2019-ECE!N:N""),
IMPORTRANGE(""https://docs.google.com/spreadsheets/d/1UvPg-G_Bj-UNhLC2uL8tntfYsnld_PABqE3impzOchM/edit"", ""R2019-ECE!O:O"""&amp;"),
IMPORTRANGE(""https://docs.google.com/spreadsheets/d/1UvPg-G_Bj-UNhLC2uL8tntfYsnld_PABqE3impzOchM/edit"", ""R2019-ECE!P:P""),
IMPORTRANGE(""https://docs.google.com/spreadsheets/d/1UvPg-G_Bj-UNhLC2uL8tntfYsnld_PABqE3impzOchM/edit"", ""R2019-ECE!Q:Q""),
"&amp;"IMPORTRANGE(""https://docs.google.com/spreadsheets/d/1UvPg-G_Bj-UNhLC2uL8tntfYsnld_PABqE3impzOchM/edit"", ""R2019-ECE!R:R""),
IMPORTRANGE(""https://docs.google.com/spreadsheets/d/1UvPg-G_Bj-UNhLC2uL8tntfYsnld_PABqE3impzOchM/edit"", ""R2019-ECE!S:S""),
IMP"&amp;"ORTRANGE(""https://docs.google.com/spreadsheets/d/1UvPg-G_Bj-UNhLC2uL8tntfYsnld_PABqE3impzOchM/edit"", ""R2019-ECE!V:V""),
IMPORTRANGE(""https://docs.google.com/spreadsheets/d/1UvPg-G_Bj-UNhLC2uL8tntfYsnld_PABqE3impzOchM/edit"", ""R2019-ECE!X:X""),
IMPORT"&amp;"RANGE(""https://docs.google.com/spreadsheets/d/1UvPg-G_Bj-UNhLC2uL8tntfYsnld_PABqE3impzOchM/edit"", ""R2019-ECE!Y:Y""),
IMPORTRANGE(""https://docs.google.com/spreadsheets/d/1UvPg-G_Bj-UNhLC2uL8tntfYsnld_PABqE3impzOchM/edit"", ""R2019-ECE!AA:AA""),
IMPORTR"&amp;"ANGE(""https://docs.google.com/spreadsheets/d/1UvPg-G_Bj-UNhLC2uL8tntfYsnld_PABqE3impzOchM/edit"", ""R2019-ECE!AC:AC""),
IMPORTRANGE(""https://docs.google.com/spreadsheets/d/1UvPg-G_Bj-UNhLC2uL8tntfYsnld_PABqE3impzOchM/edit"", ""R2019-ECE!AD:AD"")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IFERROR(__xludf.DUMMYFUNCTION("""COMPUTED_VALUE"""),"SH1101")</f>
        <v>SH1101</v>
      </c>
      <c r="E3" s="2" t="str">
        <f>IFERROR(__xludf.DUMMYFUNCTION("""COMPUTED_VALUE"""),"19EN101")</f>
        <v>19EN101</v>
      </c>
      <c r="F3" s="7" t="str">
        <f>IFERROR(__xludf.DUMMYFUNCTION("""COMPUTED_VALUE"""),"Communicative English")</f>
        <v>Communicative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IFERROR(__xludf.DUMMYFUNCTION("""COMPUTED_VALUE"""),"SH1106")</f>
        <v>SH1106</v>
      </c>
      <c r="E4" s="2" t="str">
        <f>IFERROR(__xludf.DUMMYFUNCTION("""COMPUTED_VALUE"""),"19EN106")</f>
        <v>19EN106</v>
      </c>
      <c r="F4" s="7" t="str">
        <f>IFERROR(__xludf.DUMMYFUNCTION("""COMPUTED_VALUE"""),"English for Engineers")</f>
        <v>English for Engineers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IFERROR(__xludf.DUMMYFUNCTION("""COMPUTED_VALUE"""),24)</f>
        <v>24</v>
      </c>
      <c r="O4" s="20">
        <f>IFERROR(__xludf.DUMMYFUNCTION("""COMPUTED_VALUE"""),8)</f>
        <v>8</v>
      </c>
      <c r="P4" s="19" t="str">
        <f>IFERROR(__xludf.DUMMYFUNCTION("""COMPUTED_VALUE"""),"BS")</f>
        <v>BS</v>
      </c>
      <c r="Q4" s="2">
        <f>IFERROR(__xludf.DUMMYFUNCTION("""COMPUTED_VALUE"""),24)</f>
        <v>24</v>
      </c>
      <c r="R4" s="20">
        <f>IFERROR(__xludf.DUMMYFUNCTION("""COMPUTED_VALUE"""),8)</f>
        <v>8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LE, Option 1 for Regular")</f>
        <v>Exempted for LE, Option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IFERROR(__xludf.DUMMYFUNCTION("""COMPUTED_VALUE"""),"19EN102")</f>
        <v>19EN102</v>
      </c>
      <c r="F5" s="7" t="str">
        <f>IFERROR(__xludf.DUMMYFUNCTION("""COMPUTED_VALUE"""),"Technical English")</f>
        <v>Technical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IFERROR(__xludf.DUMMYFUNCTION("""COMPUTED_VALUE"""),28)</f>
        <v>28</v>
      </c>
      <c r="O5" s="20">
        <f>IFERROR(__xludf.DUMMYFUNCTION("""COMPUTED_VALUE"""),14)</f>
        <v>14</v>
      </c>
      <c r="P5" s="19" t="str">
        <f>IFERROR(__xludf.DUMMYFUNCTION("""COMPUTED_VALUE"""),"ES")</f>
        <v>ES</v>
      </c>
      <c r="Q5" s="2">
        <f>IFERROR(__xludf.DUMMYFUNCTION("""COMPUTED_VALUE"""),28)</f>
        <v>28</v>
      </c>
      <c r="R5" s="20">
        <f>IFERROR(__xludf.DUMMYFUNCTION("""COMPUTED_VALUE"""),14)</f>
        <v>14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LE, Option 2 for Regular")</f>
        <v>Exempted for LE, Option 2 for Regular</v>
      </c>
      <c r="C6" s="2" t="str">
        <f>IFERROR(__xludf.DUMMYFUNCTION("""COMPUTED_VALUE"""),"HS")</f>
        <v>HS</v>
      </c>
      <c r="D6" s="2" t="str">
        <f>IFERROR(__xludf.DUMMYFUNCTION("""COMPUTED_VALUE"""),"SH1107")</f>
        <v>SH1107</v>
      </c>
      <c r="E6" s="2" t="str">
        <f>IFERROR(__xludf.DUMMYFUNCTION("""COMPUTED_VALUE"""),"19EN107")</f>
        <v>19EN107</v>
      </c>
      <c r="F6" s="7" t="str">
        <f>IFERROR(__xludf.DUMMYFUNCTION("""COMPUTED_VALUE"""),"Technical Writing and Presentation")</f>
        <v>Technical Writing and Presentation</v>
      </c>
      <c r="G6" s="2" t="str">
        <f>IFERROR(__xludf.DUMMYFUNCTION("""COMPUTED_VALUE"""),"-")</f>
        <v>-</v>
      </c>
      <c r="H6" s="2">
        <f>IFERROR(__xludf.DUMMYFUNCTION("""COMPUTED_VALUE"""),0)</f>
        <v>0</v>
      </c>
      <c r="I6" s="2">
        <f>IFERROR(__xludf.DUMMYFUNCTION("""COMPUTED_VALUE"""),2)</f>
        <v>2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IFERROR(__xludf.DUMMYFUNCTION("""COMPUTED_VALUE"""),"Practical (10 Expts)")</f>
        <v>Practical (10 Expts)</v>
      </c>
      <c r="M6" s="19" t="str">
        <f>IFERROR(__xludf.DUMMYFUNCTION("""COMPUTED_VALUE"""),"PC")</f>
        <v>PC</v>
      </c>
      <c r="N6" s="2">
        <f>IFERROR(__xludf.DUMMYFUNCTION("""COMPUTED_VALUE"""),58)</f>
        <v>58</v>
      </c>
      <c r="O6" s="20">
        <f>IFERROR(__xludf.DUMMYFUNCTION("""COMPUTED_VALUE"""),58)</f>
        <v>58</v>
      </c>
      <c r="P6" s="19" t="str">
        <f>IFERROR(__xludf.DUMMYFUNCTION("""COMPUTED_VALUE"""),"PC")</f>
        <v>PC</v>
      </c>
      <c r="Q6" s="2">
        <f>IFERROR(__xludf.DUMMYFUNCTION("""COMPUTED_VALUE"""),58)</f>
        <v>58</v>
      </c>
      <c r="R6" s="20">
        <f>IFERROR(__xludf.DUMMYFUNCTION("""COMPUTED_VALUE"""),58)</f>
        <v>58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LE, Option 2 for Regular")</f>
        <v>Exempted for LE, Option 2 for Regular</v>
      </c>
      <c r="C7" s="2" t="str">
        <f>IFERROR(__xludf.DUMMYFUNCTION("""COMPUTED_VALUE"""),"HS")</f>
        <v>HS</v>
      </c>
      <c r="D7" s="2" t="str">
        <f>IFERROR(__xludf.DUMMYFUNCTION("""COMPUTED_VALUE"""),"SH1105")</f>
        <v>SH1105</v>
      </c>
      <c r="E7" s="2" t="str">
        <f>IFERROR(__xludf.DUMMYFUNCTION("""COMPUTED_VALUE"""),"19EN105")</f>
        <v>19EN105</v>
      </c>
      <c r="F7" s="7" t="str">
        <f>IFERROR(__xludf.DUMMYFUNCTION("""COMPUTED_VALUE"""),"Public Speaking")</f>
        <v>Public Speaking</v>
      </c>
      <c r="G7" s="2" t="str">
        <f>IFERROR(__xludf.DUMMYFUNCTION("""COMPUTED_VALUE"""),"-")</f>
        <v>-</v>
      </c>
      <c r="H7" s="2">
        <f>IFERROR(__xludf.DUMMYFUNCTION("""COMPUTED_VALUE"""),0)</f>
        <v>0</v>
      </c>
      <c r="I7" s="2">
        <f>IFERROR(__xludf.DUMMYFUNCTION("""COMPUTED_VALUE"""),3)</f>
        <v>3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IFERROR(__xludf.DUMMYFUNCTION("""COMPUTED_VALUE"""),"Practical (10 Expts)")</f>
        <v>Practical (10 Expts)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 t="str">
        <f>IFERROR(__xludf.DUMMYFUNCTION("""COMPUTED_VALUE"""),"PE")</f>
        <v>PE</v>
      </c>
      <c r="Q7" s="2">
        <f>IFERROR(__xludf.DUMMYFUNCTION("""COMPUTED_VALUE"""),15)</f>
        <v>15</v>
      </c>
      <c r="R7" s="20">
        <f>IFERROR(__xludf.DUMMYFUNCTION("""COMPUTED_VALUE"""),15)</f>
        <v>15</v>
      </c>
    </row>
    <row r="8" ht="48" customHeight="1" spans="1:18">
      <c r="A8" s="2">
        <f>IFERROR(__xludf.DUMMYFUNCTION("""COMPUTED_VALUE"""),6)</f>
        <v>6</v>
      </c>
      <c r="B8" s="2"/>
      <c r="C8" s="2" t="str">
        <f>IFERROR(__xludf.DUMMYFUNCTION("""COMPUTED_VALUE"""),"HS")</f>
        <v>HS</v>
      </c>
      <c r="D8" s="2" t="str">
        <f>IFERROR(__xludf.DUMMYFUNCTION("""COMPUTED_VALUE"""),"NA")</f>
        <v>NA</v>
      </c>
      <c r="E8" s="2" t="str">
        <f>IFERROR(__xludf.DUMMYFUNCTION("""COMPUTED_VALUE"""),"19MS153")</f>
        <v>19MS153</v>
      </c>
      <c r="F8" s="7" t="str">
        <f>IFERROR(__xludf.DUMMYFUNCTION("""COMPUTED_VALUE"""),"Management and Quality Principles for Engineering")</f>
        <v>Management and Quality Principles for Engineering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 , Any 1 for Regular")</f>
        <v>Exempted for LE , Any 1 for Regular</v>
      </c>
      <c r="C11" s="2" t="str">
        <f>IFERROR(__xludf.DUMMYFUNCTION("""COMPUTED_VALUE"""),"BS")</f>
        <v>BS</v>
      </c>
      <c r="D11" s="2" t="str">
        <f>IFERROR(__xludf.DUMMYFUNCTION("""COMPUTED_VALUE"""),"NA")</f>
        <v>NA</v>
      </c>
      <c r="E11" s="2" t="str">
        <f>IFERROR(__xludf.DUMMYFUNCTION("""COMPUTED_VALUE"""),"19MA202")</f>
        <v>19MA202</v>
      </c>
      <c r="F11" s="7" t="str">
        <f>IFERROR(__xludf.DUMMYFUNCTION("""COMPUTED_VALUE"""),"Calculus and Laplace Transforms")</f>
        <v>Calculus and Laplace Transforms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IFERROR(__xludf.DUMMYFUNCTION("""COMPUTED_VALUE"""),167)</f>
        <v>167</v>
      </c>
      <c r="O11" s="23">
        <f>IFERROR(__xludf.DUMMYFUNCTION("""COMPUTED_VALUE"""),129)</f>
        <v>129</v>
      </c>
      <c r="P11" s="21" t="str">
        <f>IFERROR(__xludf.DUMMYFUNCTION("""COMPUTED_VALUE"""),"TOTAL")</f>
        <v>TOTAL</v>
      </c>
      <c r="Q11" s="22">
        <f>IFERROR(__xludf.DUMMYFUNCTION("""COMPUTED_VALUE"""),169)</f>
        <v>169</v>
      </c>
      <c r="R11" s="23">
        <f>IFERROR(__xludf.DUMMYFUNCTION("""COMPUTED_VALUE"""),129)</f>
        <v>129</v>
      </c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 , Any 1 for Regular")</f>
        <v>Exempted for LE , Any 1 for Regular</v>
      </c>
      <c r="C12" s="2" t="str">
        <f>IFERROR(__xludf.DUMMYFUNCTION("""COMPUTED_VALUE"""),"BS")</f>
        <v>BS</v>
      </c>
      <c r="D12" s="2" t="str">
        <f>IFERROR(__xludf.DUMMYFUNCTION("""COMPUTED_VALUE"""),"SH2201")</f>
        <v>SH2201</v>
      </c>
      <c r="E12" s="2" t="str">
        <f>IFERROR(__xludf.DUMMYFUNCTION("""COMPUTED_VALUE"""),"19MA201")</f>
        <v>19MA201</v>
      </c>
      <c r="F12" s="7" t="str">
        <f>IFERROR(__xludf.DUMMYFUNCTION("""COMPUTED_VALUE"""),"Calculus and Matrix Algebra")</f>
        <v>Calculus and Matrix Algebra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IFERROR(__xludf.DUMMYFUNCTION("""COMPUTED_VALUE"""),"NA")</f>
        <v>NA</v>
      </c>
      <c r="E13" s="2" t="str">
        <f>IFERROR(__xludf.DUMMYFUNCTION("""COMPUTED_VALUE"""),"19MA204")</f>
        <v>19MA204</v>
      </c>
      <c r="F13" s="7" t="str">
        <f>IFERROR(__xludf.DUMMYFUNCTION("""COMPUTED_VALUE"""),"Complex Variables and Ordinary Differential Equations")</f>
        <v>Complex Variables and Ordinary Differential Equations</v>
      </c>
      <c r="G13" s="2" t="str">
        <f>IFERROR(__xludf.DUMMYFUNCTION("""COMPUTED_VALUE"""),"19MA202")</f>
        <v>19MA202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IFERROR(__xludf.DUMMYFUNCTION("""COMPUTED_VALUE"""),"Option 1")</f>
        <v>Option 1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IFERROR(__xludf.DUMMYFUNCTION("""COMPUTED_VALUE"""),"19MA213")</f>
        <v>19MA213</v>
      </c>
      <c r="F14" s="7" t="str">
        <f>IFERROR(__xludf.DUMMYFUNCTION("""COMPUTED_VALUE"""),"Linear Algebra and Numerical Methods")</f>
        <v>Linear Algebra and Numerical Methods</v>
      </c>
      <c r="G14" s="2" t="str">
        <f>IFERROR(__xludf.DUMMYFUNCTION("""COMPUTED_VALUE"""),"19MA202")</f>
        <v>19MA202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IFERROR(__xludf.DUMMYFUNCTION("""COMPUTED_VALUE"""),"Option 1")</f>
        <v>Option 1</v>
      </c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IFERROR(__xludf.DUMMYFUNCTION("""COMPUTED_VALUE"""),"19MA217")</f>
        <v>19MA217</v>
      </c>
      <c r="F15" s="7" t="str">
        <f>IFERROR(__xludf.DUMMYFUNCTION("""COMPUTED_VALUE"""),"Random Processes and Statistics")</f>
        <v>Random Processes and Statistics</v>
      </c>
      <c r="G15" s="2" t="str">
        <f>IFERROR(__xludf.DUMMYFUNCTION("""COMPUTED_VALUE"""),"19MA202")</f>
        <v>19MA202</v>
      </c>
      <c r="H15" s="2">
        <f>IFERROR(__xludf.DUMMYFUNCTION("""COMPUTED_VALUE"""),4)</f>
        <v>4</v>
      </c>
      <c r="I15" s="2">
        <f>IFERROR(__xludf.DUMMYFUNCTION("""COMPUTED_VALUE"""),0)</f>
        <v>0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IFERROR(__xludf.DUMMYFUNCTION("""COMPUTED_VALUE"""),"Option 2")</f>
        <v>Option 2</v>
      </c>
      <c r="C16" s="2" t="str">
        <f>IFERROR(__xludf.DUMMYFUNCTION("""COMPUTED_VALUE"""),"BS")</f>
        <v>BS</v>
      </c>
      <c r="D16" s="2" t="str">
        <f>IFERROR(__xludf.DUMMYFUNCTION("""COMPUTED_VALUE"""),"SH2223")</f>
        <v>SH2223</v>
      </c>
      <c r="E16" s="2" t="str">
        <f>IFERROR(__xludf.DUMMYFUNCTION("""COMPUTED_VALUE"""),"19MA223")</f>
        <v>19MA223</v>
      </c>
      <c r="F16" s="7" t="str">
        <f>IFERROR(__xludf.DUMMYFUNCTION("""COMPUTED_VALUE"""),"Linear Algebra and Probability")</f>
        <v>Linear Algebra and Probability</v>
      </c>
      <c r="G16" s="2" t="str">
        <f>IFERROR(__xludf.DUMMYFUNCTION("""COMPUTED_VALUE"""),"-")</f>
        <v>-</v>
      </c>
      <c r="H16" s="2">
        <f>IFERROR(__xludf.DUMMYFUNCTION("""COMPUTED_VALUE"""),4)</f>
        <v>4</v>
      </c>
      <c r="I16" s="2">
        <f>IFERROR(__xludf.DUMMYFUNCTION("""COMPUTED_VALUE"""),0)</f>
        <v>0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IFERROR(__xludf.DUMMYFUNCTION("""COMPUTED_VALUE"""),"Theory")</f>
        <v>Theory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IFERROR(__xludf.DUMMYFUNCTION("""COMPUTED_VALUE"""),"Option 2")</f>
        <v>Option 2</v>
      </c>
      <c r="C17" s="2" t="str">
        <f>IFERROR(__xludf.DUMMYFUNCTION("""COMPUTED_VALUE"""),"BS")</f>
        <v>BS</v>
      </c>
      <c r="D17" s="2" t="str">
        <f>IFERROR(__xludf.DUMMYFUNCTION("""COMPUTED_VALUE"""),"SH2211")</f>
        <v>SH2211</v>
      </c>
      <c r="E17" s="2" t="str">
        <f>IFERROR(__xludf.DUMMYFUNCTION("""COMPUTED_VALUE"""),"19MA211")</f>
        <v>19MA211</v>
      </c>
      <c r="F17" s="7" t="str">
        <f>IFERROR(__xludf.DUMMYFUNCTION("""COMPUTED_VALUE"""),"Statistics and Numerical Methods")</f>
        <v>Statistics and Numerical Methods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 , Any 1 for Regular")</f>
        <v>Exempted for LE , Any 1 for Regular</v>
      </c>
      <c r="C18" s="2" t="str">
        <f>IFERROR(__xludf.DUMMYFUNCTION("""COMPUTED_VALUE"""),"BS")</f>
        <v>BS</v>
      </c>
      <c r="D18" s="2" t="str">
        <f>IFERROR(__xludf.DUMMYFUNCTION("""COMPUTED_VALUE"""),"NA")</f>
        <v>NA</v>
      </c>
      <c r="E18" s="2" t="str">
        <f>IFERROR(__xludf.DUMMYFUNCTION("""COMPUTED_VALUE"""),"19PH215")</f>
        <v>19PH215</v>
      </c>
      <c r="F18" s="7" t="str">
        <f>IFERROR(__xludf.DUMMYFUNCTION("""COMPUTED_VALUE"""),"Physics of Solid State Materials")</f>
        <v>Physics of Solid State Materials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 , Any 1 for Regular")</f>
        <v>Exempted for LE , Any 1 for Regular</v>
      </c>
      <c r="C19" s="2" t="str">
        <f>IFERROR(__xludf.DUMMYFUNCTION("""COMPUTED_VALUE"""),"BS")</f>
        <v>BS</v>
      </c>
      <c r="D19" s="2" t="str">
        <f>IFERROR(__xludf.DUMMYFUNCTION("""COMPUTED_VALUE"""),"SH3216")</f>
        <v>SH3216</v>
      </c>
      <c r="E19" s="2" t="str">
        <f>IFERROR(__xludf.DUMMYFUNCTION("""COMPUTED_VALUE"""),"19PH216")</f>
        <v>19PH216</v>
      </c>
      <c r="F19" s="7" t="str">
        <f>IFERROR(__xludf.DUMMYFUNCTION("""COMPUTED_VALUE"""),"Physics for Electronics Engineering")</f>
        <v>Physics for Electronics Engineering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IFERROR(__xludf.DUMMYFUNCTION("""COMPUTED_VALUE"""),"BS")</f>
        <v>BS</v>
      </c>
      <c r="D20" s="2" t="str">
        <f>IFERROR(__xludf.DUMMYFUNCTION("""COMPUTED_VALUE"""),"SH4205")</f>
        <v>SH4205</v>
      </c>
      <c r="E20" s="2" t="str">
        <f>IFERROR(__xludf.DUMMYFUNCTION("""COMPUTED_VALUE"""),"19CY205")</f>
        <v>19CY205</v>
      </c>
      <c r="F20" s="7" t="str">
        <f>IFERROR(__xludf.DUMMYFUNCTION("""COMPUTED_VALUE"""),"Principles of Chemistry in Engineering")</f>
        <v>Principles of Chemistry in Engineering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IFERROR(__xludf.DUMMYFUNCTION("""COMPUTED_VALUE"""),1)</f>
        <v>1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IFERROR(__xludf.DUMMYFUNCTION("""COMPUTED_VALUE"""),"NA")</f>
        <v>NA</v>
      </c>
      <c r="E21" s="2" t="str">
        <f>IFERROR(__xludf.DUMMYFUNCTION("""COMPUTED_VALUE"""),"19CS302")</f>
        <v>19CS302</v>
      </c>
      <c r="F21" s="7" t="str">
        <f>IFERROR(__xludf.DUMMYFUNCTION("""COMPUTED_VALUE"""),"Programming in C")</f>
        <v>Programming in C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IFERROR(__xludf.DUMMYFUNCTION("""COMPUTED_VALUE"""),2)</f>
        <v>2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(10 Expts)")</f>
        <v>TIP (10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IFERROR(__xludf.DUMMYFUNCTION("""COMPUTED_VALUE"""),"19CS303")</f>
        <v>19CS303</v>
      </c>
      <c r="F22" s="7" t="str">
        <f>IFERROR(__xludf.DUMMYFUNCTION("""COMPUTED_VALUE"""),"Fundamentals of Data Structures using Python")</f>
        <v>Fundamentals of Data Structures using Python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IFERROR(__xludf.DUMMYFUNCTION("""COMPUTED_VALUE"""),"NA")</f>
        <v>NA</v>
      </c>
      <c r="E23" s="2" t="str">
        <f>IFERROR(__xludf.DUMMYFUNCTION("""COMPUTED_VALUE"""),"19ME302")</f>
        <v>19ME302</v>
      </c>
      <c r="F23" s="7" t="str">
        <f>IFERROR(__xludf.DUMMYFUNCTION("""COMPUTED_VALUE"""),"Engineering Drawing")</f>
        <v>Engineering Drawing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 t="str">
        <f>IFERROR(__xludf.DUMMYFUNCTION("""COMPUTED_VALUE"""),"Exempted for LE , Any 1 for Regular")</f>
        <v>Exempted for LE , Any 1 for Regular</v>
      </c>
      <c r="C24" s="2" t="str">
        <f>IFERROR(__xludf.DUMMYFUNCTION("""COMPUTED_VALUE"""),"ES")</f>
        <v>ES</v>
      </c>
      <c r="D24" s="2" t="str">
        <f>IFERROR(__xludf.DUMMYFUNCTION("""COMPUTED_VALUE"""),"NA")</f>
        <v>NA</v>
      </c>
      <c r="E24" s="2" t="str">
        <f>IFERROR(__xludf.DUMMYFUNCTION("""COMPUTED_VALUE"""),"19EC301")</f>
        <v>19EC301</v>
      </c>
      <c r="F24" s="30" t="str">
        <f>IFERROR(__xludf.DUMMYFUNCTION("""COMPUTED_VALUE"""),"Electric Circuit Analysis")</f>
        <v>Electric Circuit Analysis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 t="str">
        <f>IFERROR(__xludf.DUMMYFUNCTION("""COMPUTED_VALUE"""),"Exempted for LE , Any 1 for Regular")</f>
        <v>Exempted for LE , Any 1 for Regular</v>
      </c>
      <c r="C25" s="2" t="str">
        <f>IFERROR(__xludf.DUMMYFUNCTION("""COMPUTED_VALUE"""),"ES")</f>
        <v>ES</v>
      </c>
      <c r="D25" s="2" t="str">
        <f>IFERROR(__xludf.DUMMYFUNCTION("""COMPUTED_VALUE"""),"EC2301")</f>
        <v>EC2301</v>
      </c>
      <c r="E25" s="2" t="str">
        <f>IFERROR(__xludf.DUMMYFUNCTION("""COMPUTED_VALUE"""),"19EE301")</f>
        <v>19EE301</v>
      </c>
      <c r="F25" s="7" t="str">
        <f>IFERROR(__xludf.DUMMYFUNCTION("""COMPUTED_VALUE"""),"Electric Circuits and Networks")</f>
        <v>Electric Circuits and Networks</v>
      </c>
      <c r="G25" s="2" t="str">
        <f>IFERROR(__xludf.DUMMYFUNCTION("""COMPUTED_VALUE"""),"19MA202")</f>
        <v>19MA202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IFERROR(__xludf.DUMMYFUNCTION("""COMPUTED_VALUE"""),"NA")</f>
        <v>NA</v>
      </c>
      <c r="E26" s="2" t="str">
        <f>IFERROR(__xludf.DUMMYFUNCTION("""COMPUTED_VALUE"""),"19EC303")</f>
        <v>19EC303</v>
      </c>
      <c r="F26" s="7" t="str">
        <f>IFERROR(__xludf.DUMMYFUNCTION("""COMPUTED_VALUE"""),"Digital Principles and System Design")</f>
        <v>Digital Principles and System Design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IFERROR(__xludf.DUMMYFUNCTION("""COMPUTED_VALUE"""),"NA")</f>
        <v>NA</v>
      </c>
      <c r="E27" s="2" t="str">
        <f>IFERROR(__xludf.DUMMYFUNCTION("""COMPUTED_VALUE"""),"19EE307")</f>
        <v>19EE307</v>
      </c>
      <c r="F27" s="7" t="str">
        <f>IFERROR(__xludf.DUMMYFUNCTION("""COMPUTED_VALUE"""),"Basic Electrical Engineering")</f>
        <v>Basic Electrical Engineering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IFERROR(__xludf.DUMMYFUNCTION("""COMPUTED_VALUE"""),"ES")</f>
        <v>ES</v>
      </c>
      <c r="D28" s="2" t="str">
        <f>IFERROR(__xludf.DUMMYFUNCTION("""COMPUTED_VALUE"""),"NA")</f>
        <v>NA</v>
      </c>
      <c r="E28" s="2" t="str">
        <f>IFERROR(__xludf.DUMMYFUNCTION("""COMPUTED_VALUE"""),"19EC304")</f>
        <v>19EC304</v>
      </c>
      <c r="F28" s="7" t="str">
        <f>IFERROR(__xludf.DUMMYFUNCTION("""COMPUTED_VALUE"""),"Electromagnetic Fields")</f>
        <v>Electromagnetic Fields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IFERROR(__xludf.DUMMYFUNCTION("""COMPUTED_VALUE"""),0)</f>
        <v>0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IFERROR(__xludf.DUMMYFUNCTION("""COMPUTED_VALUE"""),"Theory")</f>
        <v>Theory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 t="str">
        <f>IFERROR(__xludf.DUMMYFUNCTION("""COMPUTED_VALUE"""),"Exempted for LE")</f>
        <v>Exempted for LE</v>
      </c>
      <c r="C29" s="2" t="str">
        <f>IFERROR(__xludf.DUMMYFUNCTION("""COMPUTED_VALUE"""),"ES")</f>
        <v>ES</v>
      </c>
      <c r="D29" s="2" t="str">
        <f>IFERROR(__xludf.DUMMYFUNCTION("""COMPUTED_VALUE"""),"EC1302")</f>
        <v>EC1302</v>
      </c>
      <c r="E29" s="2" t="str">
        <f>IFERROR(__xludf.DUMMYFUNCTION("""COMPUTED_VALUE"""),"19EC302")</f>
        <v>19EC302</v>
      </c>
      <c r="F29" s="7" t="str">
        <f>IFERROR(__xludf.DUMMYFUNCTION("""COMPUTED_VALUE"""),"Electronic Devices")</f>
        <v>Electronic Devices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IFERROR(__xludf.DUMMYFUNCTION("""COMPUTED_VALUE"""),"NA")</f>
        <v>NA</v>
      </c>
      <c r="E30" s="2" t="str">
        <f>IFERROR(__xludf.DUMMYFUNCTION("""COMPUTED_VALUE"""),"19EC407")</f>
        <v>19EC407</v>
      </c>
      <c r="F30" s="7" t="str">
        <f>IFERROR(__xludf.DUMMYFUNCTION("""COMPUTED_VALUE"""),"Transmission Lines")</f>
        <v>Transmission Lines</v>
      </c>
      <c r="G30" s="2" t="str">
        <f>IFERROR(__xludf.DUMMYFUNCTION("""COMPUTED_VALUE"""),"19EC304")</f>
        <v>19EC304</v>
      </c>
      <c r="H30" s="2">
        <f>IFERROR(__xludf.DUMMYFUNCTION("""COMPUTED_VALUE"""),3)</f>
        <v>3</v>
      </c>
      <c r="I30" s="2">
        <f>IFERROR(__xludf.DUMMYFUNCTION("""COMPUTED_VALUE"""),0)</f>
        <v>0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 t="str">
        <f>IFERROR(__xludf.DUMMYFUNCTION("""COMPUTED_VALUE"""),"Option 1")</f>
        <v>Option 1</v>
      </c>
      <c r="C31" s="2" t="str">
        <f>IFERROR(__xludf.DUMMYFUNCTION("""COMPUTED_VALUE"""),"PC")</f>
        <v>PC</v>
      </c>
      <c r="D31" s="2" t="str">
        <f>IFERROR(__xludf.DUMMYFUNCTION("""COMPUTED_VALUE"""),"NA")</f>
        <v>NA</v>
      </c>
      <c r="E31" s="2" t="str">
        <f>IFERROR(__xludf.DUMMYFUNCTION("""COMPUTED_VALUE"""),"19EC401")</f>
        <v>19EC401</v>
      </c>
      <c r="F31" s="7" t="str">
        <f>IFERROR(__xludf.DUMMYFUNCTION("""COMPUTED_VALUE"""),"Electronic Circuits I")</f>
        <v>Electronic Circuits I</v>
      </c>
      <c r="G31" s="2" t="str">
        <f>IFERROR(__xludf.DUMMYFUNCTION("""COMPUTED_VALUE"""),"19EC302")</f>
        <v>19EC302</v>
      </c>
      <c r="H31" s="2">
        <f>IFERROR(__xludf.DUMMYFUNCTION("""COMPUTED_VALUE"""),2)</f>
        <v>2</v>
      </c>
      <c r="I31" s="2">
        <f>IFERROR(__xludf.DUMMYFUNCTION("""COMPUTED_VALUE"""),1)</f>
        <v>1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 t="str">
        <f>IFERROR(__xludf.DUMMYFUNCTION("""COMPUTED_VALUE"""),"Option 1")</f>
        <v>Option 1</v>
      </c>
      <c r="C32" s="2" t="str">
        <f>IFERROR(__xludf.DUMMYFUNCTION("""COMPUTED_VALUE"""),"PC")</f>
        <v>PC</v>
      </c>
      <c r="D32" s="2" t="str">
        <f>IFERROR(__xludf.DUMMYFUNCTION("""COMPUTED_VALUE"""),"NA")</f>
        <v>NA</v>
      </c>
      <c r="E32" s="2" t="str">
        <f>IFERROR(__xludf.DUMMYFUNCTION("""COMPUTED_VALUE"""),"19EC404")</f>
        <v>19EC404</v>
      </c>
      <c r="F32" s="7" t="str">
        <f>IFERROR(__xludf.DUMMYFUNCTION("""COMPUTED_VALUE"""),"Electronic Circuits II")</f>
        <v>Electronic Circuits II</v>
      </c>
      <c r="G32" s="2" t="str">
        <f>IFERROR(__xludf.DUMMYFUNCTION("""COMPUTED_VALUE"""),"19EC401")</f>
        <v>19EC401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IFERROR(__xludf.DUMMYFUNCTION("""COMPUTED_VALUE"""),"Option 2")</f>
        <v>Option 2</v>
      </c>
      <c r="C33" s="2" t="str">
        <f>IFERROR(__xludf.DUMMYFUNCTION("""COMPUTED_VALUE"""),"PC")</f>
        <v>PC</v>
      </c>
      <c r="D33" s="2" t="str">
        <f>IFERROR(__xludf.DUMMYFUNCTION("""COMPUTED_VALUE"""),"EC1419")</f>
        <v>EC1419</v>
      </c>
      <c r="E33" s="2" t="str">
        <f>IFERROR(__xludf.DUMMYFUNCTION("""COMPUTED_VALUE"""),"19EC419")</f>
        <v>19EC419</v>
      </c>
      <c r="F33" s="7" t="str">
        <f>IFERROR(__xludf.DUMMYFUNCTION("""COMPUTED_VALUE"""),"Electronic Circuits")</f>
        <v>Electronic Circuits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IFERROR(__xludf.DUMMYFUNCTION("""COMPUTED_VALUE"""),"EC1402")</f>
        <v>EC1402</v>
      </c>
      <c r="E34" s="2" t="str">
        <f>IFERROR(__xludf.DUMMYFUNCTION("""COMPUTED_VALUE"""),"19EC402")</f>
        <v>19EC402</v>
      </c>
      <c r="F34" s="7" t="str">
        <f>IFERROR(__xludf.DUMMYFUNCTION("""COMPUTED_VALUE"""),"Signals and Systems")</f>
        <v>Signals and Systems</v>
      </c>
      <c r="G34" s="2" t="str">
        <f>IFERROR(__xludf.DUMMYFUNCTION("""COMPUTED_VALUE"""),"19MA202")</f>
        <v>19MA202</v>
      </c>
      <c r="H34" s="2">
        <f>IFERROR(__xludf.DUMMYFUNCTION("""COMPUTED_VALUE"""),3)</f>
        <v>3</v>
      </c>
      <c r="I34" s="2">
        <f>IFERROR(__xludf.DUMMYFUNCTION("""COMPUTED_VALUE"""),0)</f>
        <v>0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IFERROR(__xludf.DUMMYFUNCTION("""COMPUTED_VALUE"""),"Theory")</f>
        <v>Theory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 t="str">
        <f>IFERROR(__xludf.DUMMYFUNCTION("""COMPUTED_VALUE"""),"Any 1")</f>
        <v>Any 1</v>
      </c>
      <c r="C35" s="2" t="str">
        <f>IFERROR(__xludf.DUMMYFUNCTION("""COMPUTED_VALUE"""),"PC")</f>
        <v>PC</v>
      </c>
      <c r="D35" s="2" t="str">
        <f>IFERROR(__xludf.DUMMYFUNCTION("""COMPUTED_VALUE"""),"NA")</f>
        <v>NA</v>
      </c>
      <c r="E35" s="2" t="str">
        <f>IFERROR(__xludf.DUMMYFUNCTION("""COMPUTED_VALUE"""),"19EC403")</f>
        <v>19EC403</v>
      </c>
      <c r="F35" s="7" t="str">
        <f>IFERROR(__xludf.DUMMYFUNCTION("""COMPUTED_VALUE"""),"Communication Theory")</f>
        <v>Communication Theory</v>
      </c>
      <c r="G35" s="2" t="str">
        <f>IFERROR(__xludf.DUMMYFUNCTION("""COMPUTED_VALUE"""),"19EC402")</f>
        <v>19EC402</v>
      </c>
      <c r="H35" s="2">
        <f>IFERROR(__xludf.DUMMYFUNCTION("""COMPUTED_VALUE"""),3)</f>
        <v>3</v>
      </c>
      <c r="I35" s="2">
        <f>IFERROR(__xludf.DUMMYFUNCTION("""COMPUTED_VALUE"""),1)</f>
        <v>1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 t="str">
        <f>IFERROR(__xludf.DUMMYFUNCTION("""COMPUTED_VALUE"""),"Any 1")</f>
        <v>Any 1</v>
      </c>
      <c r="C36" s="2" t="str">
        <f>IFERROR(__xludf.DUMMYFUNCTION("""COMPUTED_VALUE"""),"PC")</f>
        <v>PC</v>
      </c>
      <c r="D36" s="2" t="str">
        <f>IFERROR(__xludf.DUMMYFUNCTION("""COMPUTED_VALUE"""),"EC1420")</f>
        <v>EC1420</v>
      </c>
      <c r="E36" s="2" t="str">
        <f>IFERROR(__xludf.DUMMYFUNCTION("""COMPUTED_VALUE"""),"19EC420")</f>
        <v>19EC420</v>
      </c>
      <c r="F36" s="7" t="str">
        <f>IFERROR(__xludf.DUMMYFUNCTION("""COMPUTED_VALUE"""),"Analog Communication")</f>
        <v>Analog Communication</v>
      </c>
      <c r="G36" s="2" t="str">
        <f>IFERROR(__xludf.DUMMYFUNCTION("""COMPUTED_VALUE"""),"19EC402 / EC1402")</f>
        <v>19EC402 / EC1402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IFERROR(__xludf.DUMMYFUNCTION("""COMPUTED_VALUE"""),"EC1406")</f>
        <v>EC1406</v>
      </c>
      <c r="E37" s="2" t="str">
        <f>IFERROR(__xludf.DUMMYFUNCTION("""COMPUTED_VALUE"""),"19EC406")</f>
        <v>19EC406</v>
      </c>
      <c r="F37" s="7" t="str">
        <f>IFERROR(__xludf.DUMMYFUNCTION("""COMPUTED_VALUE"""),"Digital Communication")</f>
        <v>Digital Communication</v>
      </c>
      <c r="G37" s="2" t="str">
        <f>IFERROR(__xludf.DUMMYFUNCTION("""COMPUTED_VALUE"""),"19EC403 / EC1420")</f>
        <v>19EC403 / EC1420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 t="str">
        <f>IFERROR(__xludf.DUMMYFUNCTION("""COMPUTED_VALUE"""),"Any 1")</f>
        <v>Any 1</v>
      </c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IFERROR(__xludf.DUMMYFUNCTION("""COMPUTED_VALUE"""),"19EC405")</f>
        <v>19EC405</v>
      </c>
      <c r="F38" s="7" t="str">
        <f>IFERROR(__xludf.DUMMYFUNCTION("""COMPUTED_VALUE"""),"Linear Integrated Circuits")</f>
        <v>Linear Integrated Circuits</v>
      </c>
      <c r="G38" s="2" t="str">
        <f>IFERROR(__xludf.DUMMYFUNCTION("""COMPUTED_VALUE"""),"19EC302, 19EC308")</f>
        <v>19EC302, 19EC308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 t="str">
        <f>IFERROR(__xludf.DUMMYFUNCTION("""COMPUTED_VALUE"""),"Any 1")</f>
        <v>Any 1</v>
      </c>
      <c r="C39" s="2" t="str">
        <f>IFERROR(__xludf.DUMMYFUNCTION("""COMPUTED_VALUE"""),"PC")</f>
        <v>PC</v>
      </c>
      <c r="D39" s="2" t="str">
        <f>IFERROR(__xludf.DUMMYFUNCTION("""COMPUTED_VALUE"""),"EC1421")</f>
        <v>EC1421</v>
      </c>
      <c r="E39" s="2" t="str">
        <f>IFERROR(__xludf.DUMMYFUNCTION("""COMPUTED_VALUE"""),"19EC421")</f>
        <v>19EC421</v>
      </c>
      <c r="F39" s="7" t="str">
        <f>IFERROR(__xludf.DUMMYFUNCTION("""COMPUTED_VALUE"""),"Analysis and Design of Analog ICs")</f>
        <v>Analysis and Design of Analog ICs</v>
      </c>
      <c r="G39" s="2" t="str">
        <f>IFERROR(__xludf.DUMMYFUNCTION("""COMPUTED_VALUE"""),"19EC302 /19EE405 / EC1302")</f>
        <v>19EC302 /19EE405 / EC1302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IFERROR(__xludf.DUMMYFUNCTION("""COMPUTED_VALUE"""),"EC1823")</f>
        <v>EC1823</v>
      </c>
      <c r="E40" s="2" t="str">
        <f>IFERROR(__xludf.DUMMYFUNCTION("""COMPUTED_VALUE"""),"19EE312")</f>
        <v>19EE312</v>
      </c>
      <c r="F40" s="7" t="str">
        <f>IFERROR(__xludf.DUMMYFUNCTION("""COMPUTED_VALUE"""),"Control System Engineering")</f>
        <v>Control System Engineering</v>
      </c>
      <c r="G40" s="2" t="str">
        <f>IFERROR(__xludf.DUMMYFUNCTION("""COMPUTED_VALUE"""),"19EC402 / EC1402")</f>
        <v>19EC402 / EC1402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IFERROR(__xludf.DUMMYFUNCTION("""COMPUTED_VALUE"""),"EC1408")</f>
        <v>EC1408</v>
      </c>
      <c r="E41" s="2" t="str">
        <f>IFERROR(__xludf.DUMMYFUNCTION("""COMPUTED_VALUE"""),"19EC408")</f>
        <v>19EC408</v>
      </c>
      <c r="F41" s="7" t="str">
        <f>IFERROR(__xludf.DUMMYFUNCTION("""COMPUTED_VALUE"""),"Microprocessor and Microcontroller")</f>
        <v>Microprocessor and Microcontroller</v>
      </c>
      <c r="G41" s="2" t="str">
        <f>IFERROR(__xludf.DUMMYFUNCTION("""COMPUTED_VALUE"""),"19EC303 / EC1801")</f>
        <v>19EC303 / EC1801</v>
      </c>
      <c r="H41" s="2">
        <f>IFERROR(__xludf.DUMMYFUNCTION("""COMPUTED_VALUE"""),3)</f>
        <v>3</v>
      </c>
      <c r="I41" s="2">
        <f>IFERROR(__xludf.DUMMYFUNCTION("""COMPUTED_VALUE"""),1)</f>
        <v>1</v>
      </c>
      <c r="J41" s="2">
        <f>IFERROR(__xludf.DUMMYFUNCTION("""COMPUTED_VALUE"""),4)</f>
        <v>4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IFERROR(__xludf.DUMMYFUNCTION("""COMPUTED_VALUE"""),"EC1409")</f>
        <v>EC1409</v>
      </c>
      <c r="E42" s="2" t="str">
        <f>IFERROR(__xludf.DUMMYFUNCTION("""COMPUTED_VALUE"""),"19EC409")</f>
        <v>19EC409</v>
      </c>
      <c r="F42" s="7" t="str">
        <f>IFERROR(__xludf.DUMMYFUNCTION("""COMPUTED_VALUE"""),"Discrete Time Signal Processing")</f>
        <v>Discrete Time Signal Processing</v>
      </c>
      <c r="G42" s="2" t="str">
        <f>IFERROR(__xludf.DUMMYFUNCTION("""COMPUTED_VALUE"""),"19EC402 / EC1402")</f>
        <v>19EC402 / EC1402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IFERROR(__xludf.DUMMYFUNCTION("""COMPUTED_VALUE"""),"EC1410")</f>
        <v>EC1410</v>
      </c>
      <c r="E43" s="2" t="str">
        <f>IFERROR(__xludf.DUMMYFUNCTION("""COMPUTED_VALUE"""),"19EC410")</f>
        <v>19EC410</v>
      </c>
      <c r="F43" s="7" t="str">
        <f>IFERROR(__xludf.DUMMYFUNCTION("""COMPUTED_VALUE"""),"VLSI Design")</f>
        <v>VLSI Design</v>
      </c>
      <c r="G43" s="2" t="str">
        <f>IFERROR(__xludf.DUMMYFUNCTION("""COMPUTED_VALUE"""),"19EC303 / EC1801 / EC2404")</f>
        <v>19EC303 / EC1801 / EC2404</v>
      </c>
      <c r="H43" s="2">
        <f>IFERROR(__xludf.DUMMYFUNCTION("""COMPUTED_VALUE"""),3)</f>
        <v>3</v>
      </c>
      <c r="I43" s="2">
        <f>IFERROR(__xludf.DUMMYFUNCTION("""COMPUTED_VALUE"""),1)</f>
        <v>1</v>
      </c>
      <c r="J43" s="2">
        <f>IFERROR(__xludf.DUMMYFUNCTION("""COMPUTED_VALUE"""),4)</f>
        <v>4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IFERROR(__xludf.DUMMYFUNCTION("""COMPUTED_VALUE"""),"EC1411")</f>
        <v>EC1411</v>
      </c>
      <c r="E44" s="2" t="str">
        <f>IFERROR(__xludf.DUMMYFUNCTION("""COMPUTED_VALUE"""),"19EC411")</f>
        <v>19EC411</v>
      </c>
      <c r="F44" s="7" t="str">
        <f>IFERROR(__xludf.DUMMYFUNCTION("""COMPUTED_VALUE"""),"Antennas and Microwave Engineering")</f>
        <v>Antennas and Microwave Engineering</v>
      </c>
      <c r="G44" s="2" t="str">
        <f>IFERROR(__xludf.DUMMYFUNCTION("""COMPUTED_VALUE"""),"19EC407")</f>
        <v>19EC407</v>
      </c>
      <c r="H44" s="2">
        <f>IFERROR(__xludf.DUMMYFUNCTION("""COMPUTED_VALUE"""),3)</f>
        <v>3</v>
      </c>
      <c r="I44" s="2">
        <f>IFERROR(__xludf.DUMMYFUNCTION("""COMPUTED_VALUE"""),1)</f>
        <v>1</v>
      </c>
      <c r="J44" s="2">
        <f>IFERROR(__xludf.DUMMYFUNCTION("""COMPUTED_VALUE"""),4)</f>
        <v>4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IFERROR(__xludf.DUMMYFUNCTION("""COMPUTED_VALUE"""),"NA")</f>
        <v>NA</v>
      </c>
      <c r="E45" s="2" t="str">
        <f>IFERROR(__xludf.DUMMYFUNCTION("""COMPUTED_VALUE"""),"19EC412")</f>
        <v>19EC412</v>
      </c>
      <c r="F45" s="7" t="str">
        <f>IFERROR(__xludf.DUMMYFUNCTION("""COMPUTED_VALUE"""),"Communication Networks")</f>
        <v>Communication Networks</v>
      </c>
      <c r="G45" s="2" t="str">
        <f>IFERROR(__xludf.DUMMYFUNCTION("""COMPUTED_VALUE"""),"19EC406")</f>
        <v>19EC406</v>
      </c>
      <c r="H45" s="2">
        <f>IFERROR(__xludf.DUMMYFUNCTION("""COMPUTED_VALUE"""),3)</f>
        <v>3</v>
      </c>
      <c r="I45" s="2">
        <f>IFERROR(__xludf.DUMMYFUNCTION("""COMPUTED_VALUE"""),1)</f>
        <v>1</v>
      </c>
      <c r="J45" s="2">
        <f>IFERROR(__xludf.DUMMYFUNCTION("""COMPUTED_VALUE"""),4)</f>
        <v>4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IFERROR(__xludf.DUMMYFUNCTION("""COMPUTED_VALUE"""),"PC")</f>
        <v>PC</v>
      </c>
      <c r="D46" s="2" t="str">
        <f>IFERROR(__xludf.DUMMYFUNCTION("""COMPUTED_VALUE"""),"EC1413")</f>
        <v>EC1413</v>
      </c>
      <c r="E46" s="2" t="str">
        <f>IFERROR(__xludf.DUMMYFUNCTION("""COMPUTED_VALUE"""),"19EC413")</f>
        <v>19EC413</v>
      </c>
      <c r="F46" s="7" t="str">
        <f>IFERROR(__xludf.DUMMYFUNCTION("""COMPUTED_VALUE"""),"Wireless Communication")</f>
        <v>Wireless Communication</v>
      </c>
      <c r="G46" s="2" t="str">
        <f>IFERROR(__xludf.DUMMYFUNCTION("""COMPUTED_VALUE"""),"19EC406 / EC1406")</f>
        <v>19EC406 / EC1406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 t="str">
        <f>IFERROR(__xludf.DUMMYFUNCTION("""COMPUTED_VALUE"""),"Any 1")</f>
        <v>Any 1</v>
      </c>
      <c r="C47" s="2" t="str">
        <f>IFERROR(__xludf.DUMMYFUNCTION("""COMPUTED_VALUE"""),"PC")</f>
        <v>PC</v>
      </c>
      <c r="D47" s="2" t="str">
        <f>IFERROR(__xludf.DUMMYFUNCTION("""COMPUTED_VALUE"""),"NA")</f>
        <v>NA</v>
      </c>
      <c r="E47" s="2" t="str">
        <f>IFERROR(__xludf.DUMMYFUNCTION("""COMPUTED_VALUE"""),"19EC414")</f>
        <v>19EC414</v>
      </c>
      <c r="F47" s="7" t="str">
        <f>IFERROR(__xludf.DUMMYFUNCTION("""COMPUTED_VALUE"""),"Embedded Systems")</f>
        <v>Embedded Systems</v>
      </c>
      <c r="G47" s="2" t="str">
        <f>IFERROR(__xludf.DUMMYFUNCTION("""COMPUTED_VALUE"""),"19EC408")</f>
        <v>19EC408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 t="str">
        <f>IFERROR(__xludf.DUMMYFUNCTION("""COMPUTED_VALUE"""),"Any 1")</f>
        <v>Any 1</v>
      </c>
      <c r="C48" s="2" t="str">
        <f>IFERROR(__xludf.DUMMYFUNCTION("""COMPUTED_VALUE"""),"PC")</f>
        <v>PC</v>
      </c>
      <c r="D48" s="2" t="str">
        <f>IFERROR(__xludf.DUMMYFUNCTION("""COMPUTED_VALUE"""),"EC1424")</f>
        <v>EC1424</v>
      </c>
      <c r="E48" s="2" t="str">
        <f>IFERROR(__xludf.DUMMYFUNCTION("""COMPUTED_VALUE"""),"19EC424")</f>
        <v>19EC424</v>
      </c>
      <c r="F48" s="7" t="str">
        <f>IFERROR(__xludf.DUMMYFUNCTION("""COMPUTED_VALUE"""),"Embedded Systems and IoT")</f>
        <v>Embedded Systems and IoT</v>
      </c>
      <c r="G48" s="2" t="str">
        <f>IFERROR(__xludf.DUMMYFUNCTION("""COMPUTED_VALUE"""),"19EC408 / EC1408")</f>
        <v>19EC408 / EC1408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IFERROR(__xludf.DUMMYFUNCTION("""COMPUTED_VALUE"""),"PC")</f>
        <v>PC</v>
      </c>
      <c r="D49" s="2" t="str">
        <f>IFERROR(__xludf.DUMMYFUNCTION("""COMPUTED_VALUE"""),"NA")</f>
        <v>NA</v>
      </c>
      <c r="E49" s="2" t="str">
        <f>IFERROR(__xludf.DUMMYFUNCTION("""COMPUTED_VALUE"""),"19EC415")</f>
        <v>19EC415</v>
      </c>
      <c r="F49" s="7" t="str">
        <f>IFERROR(__xludf.DUMMYFUNCTION("""COMPUTED_VALUE"""),"Optical Communication and Networks")</f>
        <v>Optical Communication and Networks</v>
      </c>
      <c r="G49" s="2" t="str">
        <f>IFERROR(__xludf.DUMMYFUNCTION("""COMPUTED_VALUE"""),"19EC406")</f>
        <v>19EC406</v>
      </c>
      <c r="H49" s="2">
        <f>IFERROR(__xludf.DUMMYFUNCTION("""COMPUTED_VALUE"""),3)</f>
        <v>3</v>
      </c>
      <c r="I49" s="2">
        <f>IFERROR(__xludf.DUMMYFUNCTION("""COMPUTED_VALUE"""),1)</f>
        <v>1</v>
      </c>
      <c r="J49" s="2">
        <f>IFERROR(__xludf.DUMMYFUNCTION("""COMPUTED_VALUE"""),4)</f>
        <v>4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IFERROR(__xludf.DUMMYFUNCTION("""COMPUTED_VALUE"""),"PC")</f>
        <v>PC</v>
      </c>
      <c r="D50" s="2" t="str">
        <f>IFERROR(__xludf.DUMMYFUNCTION("""COMPUTED_VALUE"""),"EC1604")</f>
        <v>EC1604</v>
      </c>
      <c r="E50" s="2" t="str">
        <f>IFERROR(__xludf.DUMMYFUNCTION("""COMPUTED_VALUE"""),"19EC604")</f>
        <v>19EC604</v>
      </c>
      <c r="F50" s="7" t="str">
        <f>IFERROR(__xludf.DUMMYFUNCTION("""COMPUTED_VALUE"""),"Consumer Electronics")</f>
        <v>Consumer Electronics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IFERROR(__xludf.DUMMYFUNCTION("""COMPUTED_VALUE"""),"PE(Honours 4)")</f>
        <v>PE(Honours 4)</v>
      </c>
      <c r="D51" s="2" t="str">
        <f>IFERROR(__xludf.DUMMYFUNCTION("""COMPUTED_VALUE"""),"CS1404")</f>
        <v>CS1404</v>
      </c>
      <c r="E51" s="2" t="str">
        <f>IFERROR(__xludf.DUMMYFUNCTION("""COMPUTED_VALUE"""),"19CS404")</f>
        <v>19CS404</v>
      </c>
      <c r="F51" s="3" t="str">
        <f>IFERROR(__xludf.DUMMYFUNCTION("""COMPUTED_VALUE"""),"Database Management System and its Applications")</f>
        <v>Database Management System and its Applications</v>
      </c>
      <c r="G51" s="2" t="str">
        <f>IFERROR(__xludf.DUMMYFUNCTION("""COMPUTED_VALUE"""),"19AI301/19AI304/19CS301/19CS302/19CS303")</f>
        <v>19AI301/19AI304/19CS301/19CS302/19CS303</v>
      </c>
      <c r="H51" s="2">
        <f>IFERROR(__xludf.DUMMYFUNCTION("""COMPUTED_VALUE"""),3)</f>
        <v>3</v>
      </c>
      <c r="I51" s="2">
        <f>IFERROR(__xludf.DUMMYFUNCTION("""COMPUTED_VALUE"""),1)</f>
        <v>1</v>
      </c>
      <c r="J51" s="2">
        <f>IFERROR(__xludf.DUMMYFUNCTION("""COMPUTED_VALUE"""),4)</f>
        <v>4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IFERROR(__xludf.DUMMYFUNCTION("""COMPUTED_VALUE"""),"PE(Honours 4)")</f>
        <v>PE(Honours 4)</v>
      </c>
      <c r="D52" s="2" t="str">
        <f>IFERROR(__xludf.DUMMYFUNCTION("""COMPUTED_VALUE"""),"CS3307")</f>
        <v>CS3307</v>
      </c>
      <c r="E52" s="2" t="str">
        <f>IFERROR(__xludf.DUMMYFUNCTION("""COMPUTED_VALUE"""),"19AI307")</f>
        <v>19AI307</v>
      </c>
      <c r="F52" s="7" t="str">
        <f>IFERROR(__xludf.DUMMYFUNCTION("""COMPUTED_VALUE"""),"Object Oriented Programming using Java")</f>
        <v>Object Oriented Programming using Java</v>
      </c>
      <c r="G52" s="2" t="str">
        <f>IFERROR(__xludf.DUMMYFUNCTION("""COMPUTED_VALUE"""),"19AI304")</f>
        <v>19AI304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IFERROR(__xludf.DUMMYFUNCTION("""COMPUTED_VALUE"""),"PE(Honours)")</f>
        <v>PE(Honours)</v>
      </c>
      <c r="D53" s="2" t="str">
        <f>IFERROR(__xludf.DUMMYFUNCTION("""COMPUTED_VALUE"""),"NA")</f>
        <v>NA</v>
      </c>
      <c r="E53" s="2" t="str">
        <f>IFERROR(__xludf.DUMMYFUNCTION("""COMPUTED_VALUE"""),"19EC501")</f>
        <v>19EC501</v>
      </c>
      <c r="F53" s="7" t="str">
        <f>IFERROR(__xludf.DUMMYFUNCTION("""COMPUTED_VALUE"""),"Multimedia Compression Techniques")</f>
        <v>Multimedia Compression Techniques</v>
      </c>
      <c r="G53" s="2" t="str">
        <f>IFERROR(__xludf.DUMMYFUNCTION("""COMPUTED_VALUE"""),"19EC409 / 19BM408")</f>
        <v>19EC409 / 19BM408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IFERROR(__xludf.DUMMYFUNCTION("""COMPUTED_VALUE"""),"PE(Honours)")</f>
        <v>PE(Honours)</v>
      </c>
      <c r="D54" s="2" t="str">
        <f>IFERROR(__xludf.DUMMYFUNCTION("""COMPUTED_VALUE"""),"NA")</f>
        <v>NA</v>
      </c>
      <c r="E54" s="2" t="str">
        <f>IFERROR(__xludf.DUMMYFUNCTION("""COMPUTED_VALUE"""),"19EC502")</f>
        <v>19EC502</v>
      </c>
      <c r="F54" s="7" t="str">
        <f>IFERROR(__xludf.DUMMYFUNCTION("""COMPUTED_VALUE"""),"Speech Processing")</f>
        <v>Speech Processing</v>
      </c>
      <c r="G54" s="2" t="str">
        <f>IFERROR(__xludf.DUMMYFUNCTION("""COMPUTED_VALUE"""),"19EC409 / 19BM408")</f>
        <v>19EC409 / 19BM408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IFERROR(__xludf.DUMMYFUNCTION("""COMPUTED_VALUE"""),"PE(Honours)")</f>
        <v>PE(Honours)</v>
      </c>
      <c r="D55" s="2" t="str">
        <f>IFERROR(__xludf.DUMMYFUNCTION("""COMPUTED_VALUE"""),"EC1503")</f>
        <v>EC1503</v>
      </c>
      <c r="E55" s="2" t="str">
        <f>IFERROR(__xludf.DUMMYFUNCTION("""COMPUTED_VALUE"""),"19EC503")</f>
        <v>19EC503</v>
      </c>
      <c r="F55" s="7" t="str">
        <f>IFERROR(__xludf.DUMMYFUNCTION("""COMPUTED_VALUE"""),"Digital Image Processing")</f>
        <v>Digital Image Processing</v>
      </c>
      <c r="G55" s="2" t="str">
        <f>IFERROR(__xludf.DUMMYFUNCTION("""COMPUTED_VALUE"""),"19EC409 / EC1409")</f>
        <v>19EC409 / EC1409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IFERROR(__xludf.DUMMYFUNCTION("""COMPUTED_VALUE"""),"PE(Honours)")</f>
        <v>PE(Honours)</v>
      </c>
      <c r="D56" s="2" t="str">
        <f>IFERROR(__xludf.DUMMYFUNCTION("""COMPUTED_VALUE"""),"EC1504")</f>
        <v>EC1504</v>
      </c>
      <c r="E56" s="2" t="str">
        <f>IFERROR(__xludf.DUMMYFUNCTION("""COMPUTED_VALUE"""),"19EC504")</f>
        <v>19EC504</v>
      </c>
      <c r="F56" s="3" t="str">
        <f>IFERROR(__xludf.DUMMYFUNCTION("""COMPUTED_VALUE"""),"DSP Processors")</f>
        <v>DSP Processors</v>
      </c>
      <c r="G56" s="2" t="str">
        <f>IFERROR(__xludf.DUMMYFUNCTION("""COMPUTED_VALUE"""),"19EC409")</f>
        <v>19EC409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IFERROR(__xludf.DUMMYFUNCTION("""COMPUTED_VALUE"""),"PE(Honours)")</f>
        <v>PE(Honours)</v>
      </c>
      <c r="D57" s="2" t="str">
        <f>IFERROR(__xludf.DUMMYFUNCTION("""COMPUTED_VALUE"""),"NA")</f>
        <v>NA</v>
      </c>
      <c r="E57" s="2" t="str">
        <f>IFERROR(__xludf.DUMMYFUNCTION("""COMPUTED_VALUE"""),"19EC505")</f>
        <v>19EC505</v>
      </c>
      <c r="F57" s="7" t="str">
        <f>IFERROR(__xludf.DUMMYFUNCTION("""COMPUTED_VALUE"""),"Bio Signal Processing")</f>
        <v>Bio Signal Processing</v>
      </c>
      <c r="G57" s="2" t="str">
        <f>IFERROR(__xludf.DUMMYFUNCTION("""COMPUTED_VALUE"""),"19EC409")</f>
        <v>19EC409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IFERROR(__xludf.DUMMYFUNCTION("""COMPUTED_VALUE"""),"PE(Honours)")</f>
        <v>PE(Honours)</v>
      </c>
      <c r="D58" s="2" t="str">
        <f>IFERROR(__xludf.DUMMYFUNCTION("""COMPUTED_VALUE"""),"EC1524")</f>
        <v>EC1524</v>
      </c>
      <c r="E58" s="2" t="str">
        <f>IFERROR(__xludf.DUMMYFUNCTION("""COMPUTED_VALUE"""),"19EC524")</f>
        <v>19EC524</v>
      </c>
      <c r="F58" s="7" t="str">
        <f>IFERROR(__xludf.DUMMYFUNCTION("""COMPUTED_VALUE"""),"Natural Language Processing")</f>
        <v>Natural Language Processing</v>
      </c>
      <c r="G58" s="2" t="str">
        <f>IFERROR(__xludf.DUMMYFUNCTION("""COMPUTED_VALUE"""),"19EC409 / EC1409")</f>
        <v>19EC409 / EC1409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IFERROR(__xludf.DUMMYFUNCTION("""COMPUTED_VALUE"""),"CS1501")</f>
        <v>CS1501</v>
      </c>
      <c r="E59" s="2" t="str">
        <f>IFERROR(__xludf.DUMMYFUNCTION("""COMPUTED_VALUE"""),"19CS501")</f>
        <v>19CS501</v>
      </c>
      <c r="F59" s="7" t="str">
        <f>IFERROR(__xludf.DUMMYFUNCTION("""COMPUTED_VALUE"""),"Machine Learning")</f>
        <v>Machine Learning</v>
      </c>
      <c r="G59" s="2" t="str">
        <f>IFERROR(__xludf.DUMMYFUNCTION("""COMPUTED_VALUE"""),"19MA212/ 19MA218")</f>
        <v>19MA212/ 19MA218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IFERROR(__xludf.DUMMYFUNCTION("""COMPUTED_VALUE"""),"CS1524")</f>
        <v>CS1524</v>
      </c>
      <c r="E60" s="2" t="str">
        <f>IFERROR(__xludf.DUMMYFUNCTION("""COMPUTED_VALUE"""),"19CS524")</f>
        <v>19CS524</v>
      </c>
      <c r="F60" s="7" t="str">
        <f>IFERROR(__xludf.DUMMYFUNCTION("""COMPUTED_VALUE"""),"Deep Learning")</f>
        <v>Deep Learning</v>
      </c>
      <c r="G60" s="2" t="str">
        <f>IFERROR(__xludf.DUMMYFUNCTION("""COMPUTED_VALUE"""),"19CS501")</f>
        <v>19CS501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IFERROR(__xludf.DUMMYFUNCTION("""COMPUTED_VALUE"""),"CS1526")</f>
        <v>CS1526</v>
      </c>
      <c r="E61" s="2" t="str">
        <f>IFERROR(__xludf.DUMMYFUNCTION("""COMPUTED_VALUE"""),"19CS526")</f>
        <v>19CS526</v>
      </c>
      <c r="F61" s="3" t="str">
        <f>IFERROR(__xludf.DUMMYFUNCTION("""COMPUTED_VALUE"""),"R Programming")</f>
        <v>R Programming</v>
      </c>
      <c r="G61" s="2" t="str">
        <f>IFERROR(__xludf.DUMMYFUNCTION("""COMPUTED_VALUE"""),"19CS301/19CS303")</f>
        <v>19CS301/19CS303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IFERROR(__xludf.DUMMYFUNCTION("""COMPUTED_VALUE"""),"CS1519")</f>
        <v>CS1519</v>
      </c>
      <c r="E62" s="2" t="str">
        <f>IFERROR(__xludf.DUMMYFUNCTION("""COMPUTED_VALUE"""),"19CS519")</f>
        <v>19CS519</v>
      </c>
      <c r="F62" s="7" t="str">
        <f>IFERROR(__xludf.DUMMYFUNCTION("""COMPUTED_VALUE"""),"Data Science")</f>
        <v>Data Science</v>
      </c>
      <c r="G62" s="2" t="str">
        <f>IFERROR(__xludf.DUMMYFUNCTION("""COMPUTED_VALUE"""),"19CS301/19CS501")</f>
        <v>19CS301/19CS501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IFERROR(__xludf.DUMMYFUNCTION("""COMPUTED_VALUE"""),"CS1520")</f>
        <v>CS1520</v>
      </c>
      <c r="E63" s="2" t="str">
        <f>IFERROR(__xludf.DUMMYFUNCTION("""COMPUTED_VALUE"""),"19CS520")</f>
        <v>19CS520</v>
      </c>
      <c r="F63" s="7" t="str">
        <f>IFERROR(__xludf.DUMMYFUNCTION("""COMPUTED_VALUE"""),"Big Data Analytics")</f>
        <v>Big Data Analytics</v>
      </c>
      <c r="G63" s="2" t="str">
        <f>IFERROR(__xludf.DUMMYFUNCTION("""COMPUTED_VALUE"""),"19CS411/19CS519")</f>
        <v>19CS411/19CS519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IFERROR(__xludf.DUMMYFUNCTION("""COMPUTED_VALUE"""),"NA")</f>
        <v>NA</v>
      </c>
      <c r="E64" s="2" t="str">
        <f>IFERROR(__xludf.DUMMYFUNCTION("""COMPUTED_VALUE"""),"19CS413")</f>
        <v>19CS413</v>
      </c>
      <c r="F64" s="7" t="str">
        <f>IFERROR(__xludf.DUMMYFUNCTION("""COMPUTED_VALUE"""),"Artificial Intelligence")</f>
        <v>Artificial Intelligence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IFERROR(__xludf.DUMMYFUNCTION("""COMPUTED_VALUE"""),1)</f>
        <v>1</v>
      </c>
      <c r="J64" s="2">
        <f>IFERROR(__xludf.DUMMYFUNCTION("""COMPUTED_VALUE"""),4)</f>
        <v>4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IFERROR(__xludf.DUMMYFUNCTION("""COMPUTED_VALUE"""),"CS1542")</f>
        <v>CS1542</v>
      </c>
      <c r="E65" s="2" t="str">
        <f>IFERROR(__xludf.DUMMYFUNCTION("""COMPUTED_VALUE"""),"19CS542")</f>
        <v>19CS542</v>
      </c>
      <c r="F65" s="7" t="str">
        <f>IFERROR(__xludf.DUMMYFUNCTION("""COMPUTED_VALUE"""),"Embedded Board Design")</f>
        <v>Embedded Board Design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IFERROR(__xludf.DUMMYFUNCTION("""COMPUTED_VALUE"""),"CS1543")</f>
        <v>CS1543</v>
      </c>
      <c r="E66" s="2" t="str">
        <f>IFERROR(__xludf.DUMMYFUNCTION("""COMPUTED_VALUE"""),"19CS543")</f>
        <v>19CS543</v>
      </c>
      <c r="F66" s="7" t="str">
        <f>IFERROR(__xludf.DUMMYFUNCTION("""COMPUTED_VALUE"""),"Embedded Board Manufacturing")</f>
        <v>Embedded Board Manufacturing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IFERROR(__xludf.DUMMYFUNCTION("""COMPUTED_VALUE"""),"CS1515")</f>
        <v>CS1515</v>
      </c>
      <c r="E67" s="2" t="str">
        <f>IFERROR(__xludf.DUMMYFUNCTION("""COMPUTED_VALUE"""),"19CS515")</f>
        <v>19CS515</v>
      </c>
      <c r="F67" s="7" t="str">
        <f>IFERROR(__xludf.DUMMYFUNCTION("""COMPUTED_VALUE"""),"Block Chain Architecture and its Use Cases")</f>
        <v>Block Chain Architecture and its Use Cases</v>
      </c>
      <c r="G67" s="2" t="str">
        <f>IFERROR(__xludf.DUMMYFUNCTION("""COMPUTED_VALUE"""),"19CS412")</f>
        <v>19CS412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IFERROR(__xludf.DUMMYFUNCTION("""COMPUTED_VALUE"""),"CS1529")</f>
        <v>CS1529</v>
      </c>
      <c r="E68" s="2" t="str">
        <f>IFERROR(__xludf.DUMMYFUNCTION("""COMPUTED_VALUE"""),"19CS529")</f>
        <v>19CS529</v>
      </c>
      <c r="F68" s="7" t="str">
        <f>IFERROR(__xludf.DUMMYFUNCTION("""COMPUTED_VALUE"""),"Quantum Computing")</f>
        <v>Quantum Computing</v>
      </c>
      <c r="G68" s="2" t="str">
        <f>IFERROR(__xludf.DUMMYFUNCTION("""COMPUTED_VALUE"""),"19CS301/19CS303")</f>
        <v>19CS301/19CS303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IFERROR(__xludf.DUMMYFUNCTION("""COMPUTED_VALUE"""),"CS1530")</f>
        <v>CS1530</v>
      </c>
      <c r="E69" s="2" t="str">
        <f>IFERROR(__xludf.DUMMYFUNCTION("""COMPUTED_VALUE"""),"19CS530")</f>
        <v>19CS530</v>
      </c>
      <c r="F69" s="7" t="str">
        <f>IFERROR(__xludf.DUMMYFUNCTION("""COMPUTED_VALUE"""),"Cyber Security")</f>
        <v>Cyber Security</v>
      </c>
      <c r="G69" s="2" t="str">
        <f>IFERROR(__xludf.DUMMYFUNCTION("""COMPUTED_VALUE"""),"19CS412")</f>
        <v>19CS412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IFERROR(__xludf.DUMMYFUNCTION("""COMPUTED_VALUE"""),"CS1531")</f>
        <v>CS1531</v>
      </c>
      <c r="E70" s="2" t="str">
        <f>IFERROR(__xludf.DUMMYFUNCTION("""COMPUTED_VALUE"""),"19CS531")</f>
        <v>19CS531</v>
      </c>
      <c r="F70" s="7" t="str">
        <f>IFERROR(__xludf.DUMMYFUNCTION("""COMPUTED_VALUE"""),"Virtual Reality")</f>
        <v>Virtual Reality</v>
      </c>
      <c r="G70" s="2" t="str">
        <f>IFERROR(__xludf.DUMMYFUNCTION("""COMPUTED_VALUE"""),"19CS401/19CS301")</f>
        <v>19CS401/19CS301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IFERROR(__xludf.DUMMYFUNCTION("""COMPUTED_VALUE"""),"CS3301")</f>
        <v>CS3301</v>
      </c>
      <c r="E71" s="2" t="str">
        <f>IFERROR(__xludf.DUMMYFUNCTION("""COMPUTED_VALUE"""),"19AI301")</f>
        <v>19AI301</v>
      </c>
      <c r="F71" s="7" t="str">
        <f>IFERROR(__xludf.DUMMYFUNCTION("""COMPUTED_VALUE"""),"Python Programming")</f>
        <v>Python Programming</v>
      </c>
      <c r="G71" s="2" t="str">
        <f>IFERROR(__xludf.DUMMYFUNCTION("""COMPUTED_VALUE"""),"-")</f>
        <v>-</v>
      </c>
      <c r="H71" s="2">
        <f>IFERROR(__xludf.DUMMYFUNCTION("""COMPUTED_VALUE"""),2)</f>
        <v>2</v>
      </c>
      <c r="I71" s="2">
        <f>IFERROR(__xludf.DUMMYFUNCTION("""COMPUTED_VALUE"""),1)</f>
        <v>1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IFERROR(__xludf.DUMMYFUNCTION("""COMPUTED_VALUE"""),"PE(Honours 1)")</f>
        <v>PE(Honours 1)</v>
      </c>
      <c r="D72" s="2" t="str">
        <f>IFERROR(__xludf.DUMMYFUNCTION("""COMPUTED_VALUE"""),"NA")</f>
        <v>NA</v>
      </c>
      <c r="E72" s="2" t="str">
        <f>IFERROR(__xludf.DUMMYFUNCTION("""COMPUTED_VALUE"""),"19EC506")</f>
        <v>19EC506</v>
      </c>
      <c r="F72" s="7" t="str">
        <f>IFERROR(__xludf.DUMMYFUNCTION("""COMPUTED_VALUE"""),"Essentials of Cryptography and Network Security")</f>
        <v>Essentials of Cryptography and Network Security</v>
      </c>
      <c r="G72" s="2" t="str">
        <f>IFERROR(__xludf.DUMMYFUNCTION("""COMPUTED_VALUE"""),"19EC412")</f>
        <v>19EC412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IFERROR(__xludf.DUMMYFUNCTION("""COMPUTED_VALUE"""),"PE(Honours 1)")</f>
        <v>PE(Honours 1)</v>
      </c>
      <c r="D73" s="2" t="str">
        <f>IFERROR(__xludf.DUMMYFUNCTION("""COMPUTED_VALUE"""),"NA")</f>
        <v>NA</v>
      </c>
      <c r="E73" s="2" t="str">
        <f>IFERROR(__xludf.DUMMYFUNCTION("""COMPUTED_VALUE"""),"19EC507")</f>
        <v>19EC507</v>
      </c>
      <c r="F73" s="7" t="str">
        <f>IFERROR(__xludf.DUMMYFUNCTION("""COMPUTED_VALUE"""),"Wireless Networks")</f>
        <v>Wireless Networks</v>
      </c>
      <c r="G73" s="2" t="str">
        <f>IFERROR(__xludf.DUMMYFUNCTION("""COMPUTED_VALUE"""),"19EC412")</f>
        <v>19EC412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IFERROR(__xludf.DUMMYFUNCTION("""COMPUTED_VALUE"""),"PE(Honours 1)")</f>
        <v>PE(Honours 1)</v>
      </c>
      <c r="D74" s="2" t="str">
        <f>IFERROR(__xludf.DUMMYFUNCTION("""COMPUTED_VALUE"""),"NA")</f>
        <v>NA</v>
      </c>
      <c r="E74" s="2" t="str">
        <f>IFERROR(__xludf.DUMMYFUNCTION("""COMPUTED_VALUE"""),"19EC508")</f>
        <v>19EC508</v>
      </c>
      <c r="F74" s="7" t="str">
        <f>IFERROR(__xludf.DUMMYFUNCTION("""COMPUTED_VALUE"""),"Ad Hoc and Wireless Sensor Networks")</f>
        <v>Ad Hoc and Wireless Sensor Networks</v>
      </c>
      <c r="G74" s="2" t="str">
        <f>IFERROR(__xludf.DUMMYFUNCTION("""COMPUTED_VALUE"""),"19EC412")</f>
        <v>19EC412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IFERROR(__xludf.DUMMYFUNCTION("""COMPUTED_VALUE"""),"PE(Honours 1)")</f>
        <v>PE(Honours 1)</v>
      </c>
      <c r="D75" s="2" t="str">
        <f>IFERROR(__xludf.DUMMYFUNCTION("""COMPUTED_VALUE"""),"NA")</f>
        <v>NA</v>
      </c>
      <c r="E75" s="2" t="str">
        <f>IFERROR(__xludf.DUMMYFUNCTION("""COMPUTED_VALUE"""),"19EC510")</f>
        <v>19EC510</v>
      </c>
      <c r="F75" s="7" t="str">
        <f>IFERROR(__xludf.DUMMYFUNCTION("""COMPUTED_VALUE"""),"Peer-to-Peer Computing")</f>
        <v>Peer-to-Peer Computing</v>
      </c>
      <c r="G75" s="2" t="str">
        <f>IFERROR(__xludf.DUMMYFUNCTION("""COMPUTED_VALUE"""),"19EC412")</f>
        <v>19EC412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IFERROR(__xludf.DUMMYFUNCTION("""COMPUTED_VALUE"""),"PE(Honours 1)")</f>
        <v>PE(Honours 1)</v>
      </c>
      <c r="D76" s="2" t="str">
        <f>IFERROR(__xludf.DUMMYFUNCTION("""COMPUTED_VALUE"""),"EC1418")</f>
        <v>EC1418</v>
      </c>
      <c r="E76" s="2" t="str">
        <f>IFERROR(__xludf.DUMMYFUNCTION("""COMPUTED_VALUE"""),"NA")</f>
        <v>NA</v>
      </c>
      <c r="F76" s="7" t="str">
        <f>IFERROR(__xludf.DUMMYFUNCTION("""COMPUTED_VALUE"""),"Communication Networks and Cyber Security")</f>
        <v>Communication Networks and Cyber Security</v>
      </c>
      <c r="G76" s="2" t="str">
        <f>IFERROR(__xludf.DUMMYFUNCTION("""COMPUTED_VALUE"""),"EC1406")</f>
        <v>EC1406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IFERROR(__xludf.DUMMYFUNCTION("""COMPUTED_VALUE"""),"PE(Honours 1)")</f>
        <v>PE(Honours 1)</v>
      </c>
      <c r="D77" s="2" t="str">
        <f>IFERROR(__xludf.DUMMYFUNCTION("""COMPUTED_VALUE"""),"CS1557")</f>
        <v>CS1557</v>
      </c>
      <c r="E77" s="2" t="str">
        <f>IFERROR(__xludf.DUMMYFUNCTION("""COMPUTED_VALUE"""),"19CS557")</f>
        <v>19CS557</v>
      </c>
      <c r="F77" s="3" t="str">
        <f>IFERROR(__xludf.DUMMYFUNCTION("""COMPUTED_VALUE"""),"Software Defined Networks")</f>
        <v>Software Defined Networks</v>
      </c>
      <c r="G77" s="2" t="str">
        <f>IFERROR(__xludf.DUMMYFUNCTION("""COMPUTED_VALUE"""),"-")</f>
        <v>-</v>
      </c>
      <c r="H77" s="2">
        <f>IFERROR(__xludf.DUMMYFUNCTION("""COMPUTED_VALUE"""),2)</f>
        <v>2</v>
      </c>
      <c r="I77" s="2">
        <f>IFERROR(__xludf.DUMMYFUNCTION("""COMPUTED_VALUE"""),1)</f>
        <v>1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IFERROR(__xludf.DUMMYFUNCTION("""COMPUTED_VALUE"""),"TIP (6 Expts)")</f>
        <v>TIP (6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IFERROR(__xludf.DUMMYFUNCTION("""COMPUTED_VALUE"""),"PE(Honours 2)")</f>
        <v>PE(Honours 2)</v>
      </c>
      <c r="D78" s="2" t="str">
        <f>IFERROR(__xludf.DUMMYFUNCTION("""COMPUTED_VALUE"""),"EC1511")</f>
        <v>EC1511</v>
      </c>
      <c r="E78" s="2" t="str">
        <f>IFERROR(__xludf.DUMMYFUNCTION("""COMPUTED_VALUE"""),"19EC511")</f>
        <v>19EC511</v>
      </c>
      <c r="F78" s="7" t="str">
        <f>IFERROR(__xludf.DUMMYFUNCTION("""COMPUTED_VALUE"""),"Satellite Communication")</f>
        <v>Satellite Communication</v>
      </c>
      <c r="G78" s="2" t="str">
        <f>IFERROR(__xludf.DUMMYFUNCTION("""COMPUTED_VALUE"""),"19EC406 / EC1406")</f>
        <v>19EC406 / EC1406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IFERROR(__xludf.DUMMYFUNCTION("""COMPUTED_VALUE"""),"PE(Honours 2)")</f>
        <v>PE(Honours 2)</v>
      </c>
      <c r="D79" s="2" t="str">
        <f>IFERROR(__xludf.DUMMYFUNCTION("""COMPUTED_VALUE"""),"NA")</f>
        <v>NA</v>
      </c>
      <c r="E79" s="2" t="str">
        <f>IFERROR(__xludf.DUMMYFUNCTION("""COMPUTED_VALUE"""),"19EC512")</f>
        <v>19EC512</v>
      </c>
      <c r="F79" s="7" t="str">
        <f>IFERROR(__xludf.DUMMYFUNCTION("""COMPUTED_VALUE"""),"Electromagnetic Interference and Compatibility")</f>
        <v>Electromagnetic Interference and Compatibility</v>
      </c>
      <c r="G79" s="2" t="str">
        <f>IFERROR(__xludf.DUMMYFUNCTION("""COMPUTED_VALUE"""),"19EC411")</f>
        <v>19EC411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IFERROR(__xludf.DUMMYFUNCTION("""COMPUTED_VALUE"""),"PE(Honours 2)")</f>
        <v>PE(Honours 2)</v>
      </c>
      <c r="D80" s="2" t="str">
        <f>IFERROR(__xludf.DUMMYFUNCTION("""COMPUTED_VALUE"""),"NA")</f>
        <v>NA</v>
      </c>
      <c r="E80" s="2" t="str">
        <f>IFERROR(__xludf.DUMMYFUNCTION("""COMPUTED_VALUE"""),"19EC513")</f>
        <v>19EC513</v>
      </c>
      <c r="F80" s="7" t="str">
        <f>IFERROR(__xludf.DUMMYFUNCTION("""COMPUTED_VALUE"""),"Cognitive Radio")</f>
        <v>Cognitive Radio</v>
      </c>
      <c r="G80" s="2" t="str">
        <f>IFERROR(__xludf.DUMMYFUNCTION("""COMPUTED_VALUE"""),"19EC413")</f>
        <v>19EC413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IFERROR(__xludf.DUMMYFUNCTION("""COMPUTED_VALUE"""),"PE(Honours 2)")</f>
        <v>PE(Honours 2)</v>
      </c>
      <c r="D81" s="2" t="str">
        <f>IFERROR(__xludf.DUMMYFUNCTION("""COMPUTED_VALUE"""),"NA")</f>
        <v>NA</v>
      </c>
      <c r="E81" s="2" t="str">
        <f>IFERROR(__xludf.DUMMYFUNCTION("""COMPUTED_VALUE"""),"19EC514")</f>
        <v>19EC514</v>
      </c>
      <c r="F81" s="7" t="str">
        <f>IFERROR(__xludf.DUMMYFUNCTION("""COMPUTED_VALUE"""),"Radar and Navigational Aids")</f>
        <v>Radar and Navigational Aids</v>
      </c>
      <c r="G81" s="2" t="str">
        <f>IFERROR(__xludf.DUMMYFUNCTION("""COMPUTED_VALUE"""),"19EC406")</f>
        <v>19EC406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IFERROR(__xludf.DUMMYFUNCTION("""COMPUTED_VALUE"""),"PE(Honours 2)")</f>
        <v>PE(Honours 2)</v>
      </c>
      <c r="D82" s="2" t="str">
        <f>IFERROR(__xludf.DUMMYFUNCTION("""COMPUTED_VALUE"""),"NA")</f>
        <v>NA</v>
      </c>
      <c r="E82" s="2" t="str">
        <f>IFERROR(__xludf.DUMMYFUNCTION("""COMPUTED_VALUE"""),"19EC515")</f>
        <v>19EC515</v>
      </c>
      <c r="F82" s="7" t="str">
        <f>IFERROR(__xludf.DUMMYFUNCTION("""COMPUTED_VALUE"""),"RF Circuit Design")</f>
        <v>RF Circuit Design</v>
      </c>
      <c r="G82" s="2" t="str">
        <f>IFERROR(__xludf.DUMMYFUNCTION("""COMPUTED_VALUE"""),"19EC411")</f>
        <v>19EC411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IFERROR(__xludf.DUMMYFUNCTION("""COMPUTED_VALUE"""),"PE(Honours 2)")</f>
        <v>PE(Honours 2)</v>
      </c>
      <c r="D83" s="2" t="str">
        <f>IFERROR(__xludf.DUMMYFUNCTION("""COMPUTED_VALUE"""),"EC1525")</f>
        <v>EC1525</v>
      </c>
      <c r="E83" s="2" t="str">
        <f>IFERROR(__xludf.DUMMYFUNCTION("""COMPUTED_VALUE"""),"19EC525")</f>
        <v>19EC525</v>
      </c>
      <c r="F83" s="7" t="str">
        <f>IFERROR(__xludf.DUMMYFUNCTION("""COMPUTED_VALUE"""),"RF MEMS and MOEMS")</f>
        <v>RF MEMS and MOEMS</v>
      </c>
      <c r="G83" s="2" t="str">
        <f>IFERROR(__xludf.DUMMYFUNCTION("""COMPUTED_VALUE"""),"19EC520")</f>
        <v>19EC520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 t="str">
        <f>IFERROR(__xludf.DUMMYFUNCTION("""COMPUTED_VALUE"""),"Any 1")</f>
        <v>Any 1</v>
      </c>
      <c r="C84" s="2" t="str">
        <f>IFERROR(__xludf.DUMMYFUNCTION("""COMPUTED_VALUE"""),"PE(Honours 3)")</f>
        <v>PE(Honours 3)</v>
      </c>
      <c r="D84" s="2" t="str">
        <f>IFERROR(__xludf.DUMMYFUNCTION("""COMPUTED_VALUE"""),"NA")</f>
        <v>NA</v>
      </c>
      <c r="E84" s="2" t="str">
        <f>IFERROR(__xludf.DUMMYFUNCTION("""COMPUTED_VALUE"""),"19EC516")</f>
        <v>19EC516</v>
      </c>
      <c r="F84" s="7" t="str">
        <f>IFERROR(__xludf.DUMMYFUNCTION("""COMPUTED_VALUE"""),"HDL Programming")</f>
        <v>HDL Programming</v>
      </c>
      <c r="G84" s="2" t="str">
        <f>IFERROR(__xludf.DUMMYFUNCTION("""COMPUTED_VALUE"""),"19EC303")</f>
        <v>19EC303</v>
      </c>
      <c r="H84" s="2">
        <f>IFERROR(__xludf.DUMMYFUNCTION("""COMPUTED_VALUE"""),3)</f>
        <v>3</v>
      </c>
      <c r="I84" s="2">
        <f>IFERROR(__xludf.DUMMYFUNCTION("""COMPUTED_VALUE"""),0)</f>
        <v>0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IFERROR(__xludf.DUMMYFUNCTION("""COMPUTED_VALUE"""),"Theory")</f>
        <v>Theory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 t="str">
        <f>IFERROR(__xludf.DUMMYFUNCTION("""COMPUTED_VALUE"""),"Any 1")</f>
        <v>Any 1</v>
      </c>
      <c r="C85" s="2" t="str">
        <f>IFERROR(__xludf.DUMMYFUNCTION("""COMPUTED_VALUE"""),"PE(Honours 3)")</f>
        <v>PE(Honours 3)</v>
      </c>
      <c r="D85" s="2" t="str">
        <f>IFERROR(__xludf.DUMMYFUNCTION("""COMPUTED_VALUE"""),"EC1523")</f>
        <v>EC1523</v>
      </c>
      <c r="E85" s="2" t="str">
        <f>IFERROR(__xludf.DUMMYFUNCTION("""COMPUTED_VALUE"""),"19EC523")</f>
        <v>19EC523</v>
      </c>
      <c r="F85" s="7" t="str">
        <f>IFERROR(__xludf.DUMMYFUNCTION("""COMPUTED_VALUE"""),"Verilog HDL")</f>
        <v>Verilog HDL</v>
      </c>
      <c r="G85" s="2" t="str">
        <f>IFERROR(__xludf.DUMMYFUNCTION("""COMPUTED_VALUE"""),"19EC303 / EC1801 / EC2404")</f>
        <v>19EC303 / EC1801 / EC2404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IFERROR(__xludf.DUMMYFUNCTION("""COMPUTED_VALUE"""),"PE(Honours 3)")</f>
        <v>PE(Honours 3)</v>
      </c>
      <c r="D86" s="2" t="str">
        <f>IFERROR(__xludf.DUMMYFUNCTION("""COMPUTED_VALUE"""),"EC1517")</f>
        <v>EC1517</v>
      </c>
      <c r="E86" s="2" t="str">
        <f>IFERROR(__xludf.DUMMYFUNCTION("""COMPUTED_VALUE"""),"19EC517")</f>
        <v>19EC517</v>
      </c>
      <c r="F86" s="7" t="str">
        <f>IFERROR(__xludf.DUMMYFUNCTION("""COMPUTED_VALUE"""),"Low Power VLSI Design")</f>
        <v>Low Power VLSI Design</v>
      </c>
      <c r="G86" s="2" t="str">
        <f>IFERROR(__xludf.DUMMYFUNCTION("""COMPUTED_VALUE"""),"19EC410 / EC1410")</f>
        <v>19EC410 / EC1410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IFERROR(__xludf.DUMMYFUNCTION("""COMPUTED_VALUE"""),"PE(Honours 3)")</f>
        <v>PE(Honours 3)</v>
      </c>
      <c r="D87" s="2" t="str">
        <f>IFERROR(__xludf.DUMMYFUNCTION("""COMPUTED_VALUE"""),"EC1518")</f>
        <v>EC1518</v>
      </c>
      <c r="E87" s="2" t="str">
        <f>IFERROR(__xludf.DUMMYFUNCTION("""COMPUTED_VALUE"""),"19EC518 ")</f>
        <v>19EC518 </v>
      </c>
      <c r="F87" s="7" t="str">
        <f>IFERROR(__xludf.DUMMYFUNCTION("""COMPUTED_VALUE"""),"CMOS Analog IC Design")</f>
        <v>CMOS Analog IC Design</v>
      </c>
      <c r="G87" s="2" t="str">
        <f>IFERROR(__xludf.DUMMYFUNCTION("""COMPUTED_VALUE"""),"19EC410")</f>
        <v>19EC410</v>
      </c>
      <c r="H87" s="2">
        <f>IFERROR(__xludf.DUMMYFUNCTION("""COMPUTED_VALUE"""),3)</f>
        <v>3</v>
      </c>
      <c r="I87" s="2">
        <f>IFERROR(__xludf.DUMMYFUNCTION("""COMPUTED_VALUE"""),0)</f>
        <v>0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IFERROR(__xludf.DUMMYFUNCTION("""COMPUTED_VALUE"""),"Theory")</f>
        <v>Theory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IFERROR(__xludf.DUMMYFUNCTION("""COMPUTED_VALUE"""),"PE(Honours 3)")</f>
        <v>PE(Honours 3)</v>
      </c>
      <c r="D88" s="2" t="str">
        <f>IFERROR(__xludf.DUMMYFUNCTION("""COMPUTED_VALUE"""),"EC1519")</f>
        <v>EC1519</v>
      </c>
      <c r="E88" s="2" t="str">
        <f>IFERROR(__xludf.DUMMYFUNCTION("""COMPUTED_VALUE"""),"19EC519")</f>
        <v>19EC519</v>
      </c>
      <c r="F88" s="7" t="str">
        <f>IFERROR(__xludf.DUMMYFUNCTION("""COMPUTED_VALUE"""),"Testing of VLSI Circuits")</f>
        <v>Testing of VLSI Circuits</v>
      </c>
      <c r="G88" s="2" t="str">
        <f>IFERROR(__xludf.DUMMYFUNCTION("""COMPUTED_VALUE"""),"19EC410 / EC1410")</f>
        <v>19EC410 / EC1410</v>
      </c>
      <c r="H88" s="2">
        <f>IFERROR(__xludf.DUMMYFUNCTION("""COMPUTED_VALUE"""),3)</f>
        <v>3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IFERROR(__xludf.DUMMYFUNCTION("""COMPUTED_VALUE"""),"Theory")</f>
        <v>Theory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IFERROR(__xludf.DUMMYFUNCTION("""COMPUTED_VALUE"""),"PE(Honours 3)")</f>
        <v>PE(Honours 3)</v>
      </c>
      <c r="D89" s="2" t="str">
        <f>IFERROR(__xludf.DUMMYFUNCTION("""COMPUTED_VALUE"""),"EC1521")</f>
        <v>EC1521</v>
      </c>
      <c r="E89" s="2" t="str">
        <f>IFERROR(__xludf.DUMMYFUNCTION("""COMPUTED_VALUE"""),"19EC521")</f>
        <v>19EC521</v>
      </c>
      <c r="F89" s="7" t="str">
        <f>IFERROR(__xludf.DUMMYFUNCTION("""COMPUTED_VALUE"""),"System Verilog for Design and Verification")</f>
        <v>System Verilog for Design and Verification</v>
      </c>
      <c r="G89" s="2" t="str">
        <f>IFERROR(__xludf.DUMMYFUNCTION("""COMPUTED_VALUE""")," 19EC523 / EC1523")</f>
        <v> 19EC523 / EC1523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IFERROR(__xludf.DUMMYFUNCTION("""COMPUTED_VALUE"""),"PE(Honours 3)")</f>
        <v>PE(Honours 3)</v>
      </c>
      <c r="D90" s="2" t="str">
        <f>IFERROR(__xludf.DUMMYFUNCTION("""COMPUTED_VALUE"""),"EC1522")</f>
        <v>EC1522</v>
      </c>
      <c r="E90" s="2" t="str">
        <f>IFERROR(__xludf.DUMMYFUNCTION("""COMPUTED_VALUE"""),"19EC522")</f>
        <v>19EC522</v>
      </c>
      <c r="F90" s="7" t="str">
        <f>IFERROR(__xludf.DUMMYFUNCTION("""COMPUTED_VALUE"""),"Physical Design for VLSI")</f>
        <v>Physical Design for VLSI</v>
      </c>
      <c r="G90" s="2" t="str">
        <f>IFERROR(__xludf.DUMMYFUNCTION("""COMPUTED_VALUE"""),"19EC410 / EC1410")</f>
        <v>19EC410 / EC1410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IFERROR(__xludf.DUMMYFUNCTION("""COMPUTED_VALUE"""),"EC1520")</f>
        <v>EC1520</v>
      </c>
      <c r="E91" s="2" t="str">
        <f>IFERROR(__xludf.DUMMYFUNCTION("""COMPUTED_VALUE"""),"19EC520")</f>
        <v>19EC520</v>
      </c>
      <c r="F91" s="7" t="str">
        <f>IFERROR(__xludf.DUMMYFUNCTION("""COMPUTED_VALUE"""),"Introduction to MEMS and NEMS")</f>
        <v>Introduction to MEMS and NEMS</v>
      </c>
      <c r="G91" s="2" t="str">
        <f>IFERROR(__xludf.DUMMYFUNCTION("""COMPUTED_VALUE"""),"-")</f>
        <v>-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IFERROR(__xludf.DUMMYFUNCTION("""COMPUTED_VALUE"""),"CS1532")</f>
        <v>CS1532</v>
      </c>
      <c r="E92" s="2" t="str">
        <f>IFERROR(__xludf.DUMMYFUNCTION("""COMPUTED_VALUE"""),"19CS532")</f>
        <v>19CS532</v>
      </c>
      <c r="F92" s="7" t="str">
        <f>IFERROR(__xludf.DUMMYFUNCTION("""COMPUTED_VALUE"""),"Professional Readiness for Innovation, Employability and Entrepreneurship")</f>
        <v>Professional Readiness for Innovation, Employability and Entrepreneurship</v>
      </c>
      <c r="G92" s="2" t="str">
        <f>IFERROR(__xludf.DUMMYFUNCTION("""COMPUTED_VALUE"""),"-")</f>
        <v>-</v>
      </c>
      <c r="H92" s="2">
        <f>IFERROR(__xludf.DUMMYFUNCTION("""COMPUTED_VALUE"""),0)</f>
        <v>0</v>
      </c>
      <c r="I92" s="2">
        <f>IFERROR(__xludf.DUMMYFUNCTION("""COMPUTED_VALUE"""),3)</f>
        <v>3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IFERROR(__xludf.DUMMYFUNCTION("""COMPUTED_VALUE"""),"Practical (10 Expts)")</f>
        <v>Practical (10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IFERROR(__xludf.DUMMYFUNCTION("""COMPUTED_VALUE"""),"PE(Honours 4)")</f>
        <v>PE(Honours 4)</v>
      </c>
      <c r="D93" s="2" t="str">
        <f>IFERROR(__xludf.DUMMYFUNCTION("""COMPUTED_VALUE"""),"CS3404")</f>
        <v>CS3404</v>
      </c>
      <c r="E93" s="2" t="str">
        <f>IFERROR(__xludf.DUMMYFUNCTION("""COMPUTED_VALUE"""),"19AI404")</f>
        <v>19AI404</v>
      </c>
      <c r="F93" s="7" t="str">
        <f>IFERROR(__xludf.DUMMYFUNCTION("""COMPUTED_VALUE"""),"Analysis of Algorithms")</f>
        <v>Analysis of Algorithms</v>
      </c>
      <c r="G93" s="2" t="str">
        <f>IFERROR(__xludf.DUMMYFUNCTION("""COMPUTED_VALUE"""),"19AI301")</f>
        <v>19AI301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IFERROR(__xludf.DUMMYFUNCTION("""COMPUTED_VALUE"""),"PE(Honours 4)")</f>
        <v>PE(Honours 4)</v>
      </c>
      <c r="D94" s="2" t="str">
        <f>IFERROR(__xludf.DUMMYFUNCTION("""COMPUTED_VALUE"""),"CS1509")</f>
        <v>CS1509</v>
      </c>
      <c r="E94" s="2" t="str">
        <f>IFERROR(__xludf.DUMMYFUNCTION("""COMPUTED_VALUE"""),"19CS509")</f>
        <v>19CS509</v>
      </c>
      <c r="F94" s="7" t="str">
        <f>IFERROR(__xludf.DUMMYFUNCTION("""COMPUTED_VALUE"""),"Graph Theory and Applications")</f>
        <v>Graph Theory and Applications</v>
      </c>
      <c r="G94" s="2" t="str">
        <f>IFERROR(__xludf.DUMMYFUNCTION("""COMPUTED_VALUE"""),"19MA206")</f>
        <v>19MA206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IFERROR(__xludf.DUMMYFUNCTION("""COMPUTED_VALUE"""),"PE(Honours 4)")</f>
        <v>PE(Honours 4)</v>
      </c>
      <c r="D95" s="2" t="str">
        <f>IFERROR(__xludf.DUMMYFUNCTION("""COMPUTED_VALUE"""),"CS3405")</f>
        <v>CS3405</v>
      </c>
      <c r="E95" s="2" t="str">
        <f>IFERROR(__xludf.DUMMYFUNCTION("""COMPUTED_VALUE"""),"19AI405")</f>
        <v>19AI405</v>
      </c>
      <c r="F95" s="7" t="str">
        <f>IFERROR(__xludf.DUMMYFUNCTION("""COMPUTED_VALUE"""),"Fundamentals of Artificial Intelligence")</f>
        <v>Fundamentals of Artificial Intelligence</v>
      </c>
      <c r="G95" s="2" t="str">
        <f>IFERROR(__xludf.DUMMYFUNCTION("""COMPUTED_VALUE"""),"19CS301")</f>
        <v>19CS301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IFERROR(__xludf.DUMMYFUNCTION("""COMPUTED_VALUE"""),"PE(Honours 4)")</f>
        <v>PE(Honours 4)</v>
      </c>
      <c r="D96" s="2" t="str">
        <f>IFERROR(__xludf.DUMMYFUNCTION("""COMPUTED_VALUE"""),"NA")</f>
        <v>NA</v>
      </c>
      <c r="E96" s="2" t="str">
        <f>IFERROR(__xludf.DUMMYFUNCTION("""COMPUTED_VALUE"""),"19CS301")</f>
        <v>19CS301</v>
      </c>
      <c r="F96" s="7" t="str">
        <f>IFERROR(__xludf.DUMMYFUNCTION("""COMPUTED_VALUE"""),"Problem Solving and Python Programming")</f>
        <v>Problem Solving and Python Programming</v>
      </c>
      <c r="G96" s="2" t="str">
        <f>IFERROR(__xludf.DUMMYFUNCTION("""COMPUTED_VALUE"""),"-")</f>
        <v>-</v>
      </c>
      <c r="H96" s="2">
        <f>IFERROR(__xludf.DUMMYFUNCTION("""COMPUTED_VALUE"""),3)</f>
        <v>3</v>
      </c>
      <c r="I96" s="2">
        <f>IFERROR(__xludf.DUMMYFUNCTION("""COMPUTED_VALUE"""),1)</f>
        <v>1</v>
      </c>
      <c r="J96" s="2">
        <f>IFERROR(__xludf.DUMMYFUNCTION("""COMPUTED_VALUE"""),4)</f>
        <v>4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IFERROR(__xludf.DUMMYFUNCTION("""COMPUTED_VALUE"""),"OE")</f>
        <v>OE</v>
      </c>
      <c r="D97" s="2" t="str">
        <f>IFERROR(__xludf.DUMMYFUNCTION("""COMPUTED_VALUE"""),"XXXXXX")</f>
        <v>XXXXXX</v>
      </c>
      <c r="E97" s="2" t="str">
        <f>IFERROR(__xludf.DUMMYFUNCTION("""COMPUTED_VALUE"""),"19XXXXX")</f>
        <v>19XXXXX</v>
      </c>
      <c r="F97" s="3" t="str">
        <f>IFERROR(__xludf.DUMMYFUNCTION("""COMPUTED_VALUE"""),"Open Electives")</f>
        <v>Open Electives</v>
      </c>
      <c r="G97" s="2" t="str">
        <f>IFERROR(__xludf.DUMMYFUNCTION("""COMPUTED_VALUE"""),"-")</f>
        <v>-</v>
      </c>
      <c r="H97" s="2">
        <f>IFERROR(__xludf.DUMMYFUNCTION("""COMPUTED_VALUE"""),0)</f>
        <v>0</v>
      </c>
      <c r="I97" s="2">
        <f>IFERROR(__xludf.DUMMYFUNCTION("""COMPUTED_VALUE"""),0)</f>
        <v>0</v>
      </c>
      <c r="J97" s="2">
        <f>IFERROR(__xludf.DUMMYFUNCTION("""COMPUTED_VALUE"""),0)</f>
        <v>0</v>
      </c>
      <c r="K97" s="2" t="str">
        <f>IFERROR(__xludf.DUMMYFUNCTION("""COMPUTED_VALUE"""),"CGPA")</f>
        <v>CGPA</v>
      </c>
      <c r="L97" s="2" t="str">
        <f>IFERROR(__xludf.DUMMYFUNCTION("""COMPUTED_VALUE"""),"Theory")</f>
        <v>Theory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IFERROR(__xludf.DUMMYFUNCTION("""COMPUTED_VALUE"""),"OE")</f>
        <v>OE</v>
      </c>
      <c r="D98" s="2" t="str">
        <f>IFERROR(__xludf.DUMMYFUNCTION("""COMPUTED_VALUE"""),"XXXXXX")</f>
        <v>XXXXXX</v>
      </c>
      <c r="E98" s="2" t="str">
        <f>IFERROR(__xludf.DUMMYFUNCTION("""COMPUTED_VALUE"""),"19XXXXX")</f>
        <v>19XXXXX</v>
      </c>
      <c r="F98" s="3" t="str">
        <f>IFERROR(__xludf.DUMMYFUNCTION("""COMPUTED_VALUE"""),"Online Courses")</f>
        <v>Online Courses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 t="str">
        <f>IFERROR(__xludf.DUMMYFUNCTION("""COMPUTED_VALUE"""),"CGPA")</f>
        <v>CGPA</v>
      </c>
      <c r="L98" s="2" t="str">
        <f>IFERROR(__xludf.DUMMYFUNCTION("""COMPUTED_VALUE"""),"Experiential Learning")</f>
        <v>Experiential Learning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IFERROR(__xludf.DUMMYFUNCTION("""COMPUTED_VALUE"""),"OE")</f>
        <v>OE</v>
      </c>
      <c r="D99" s="2" t="str">
        <f>IFERROR(__xludf.DUMMYFUNCTION("""COMPUTED_VALUE"""),"XXXXXX")</f>
        <v>XXXXXX</v>
      </c>
      <c r="E99" s="2" t="str">
        <f>IFERROR(__xludf.DUMMYFUNCTION("""COMPUTED_VALUE"""),"19XXXXX")</f>
        <v>19XXXXX</v>
      </c>
      <c r="F99" s="3" t="str">
        <f>IFERROR(__xludf.DUMMYFUNCTION("""COMPUTED_VALUE"""),"Online Courses")</f>
        <v>Online Courses</v>
      </c>
      <c r="G99" s="2" t="str">
        <f>IFERROR(__xludf.DUMMYFUNCTION("""COMPUTED_VALUE"""),"-")</f>
        <v>-</v>
      </c>
      <c r="H99" s="2">
        <f>IFERROR(__xludf.DUMMYFUNCTION("""COMPUTED_VALUE"""),0)</f>
        <v>0</v>
      </c>
      <c r="I99" s="2">
        <f>IFERROR(__xludf.DUMMYFUNCTION("""COMPUTED_VALUE"""),0)</f>
        <v>0</v>
      </c>
      <c r="J99" s="2">
        <f>IFERROR(__xludf.DUMMYFUNCTION("""COMPUTED_VALUE"""),0)</f>
        <v>0</v>
      </c>
      <c r="K99" s="2" t="str">
        <f>IFERROR(__xludf.DUMMYFUNCTION("""COMPUTED_VALUE"""),"CGPA")</f>
        <v>CGPA</v>
      </c>
      <c r="L99" s="2" t="str">
        <f>IFERROR(__xludf.DUMMYFUNCTION("""COMPUTED_VALUE"""),"Experiential Learning")</f>
        <v>Experiential Learning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IFERROR(__xludf.DUMMYFUNCTION("""COMPUTED_VALUE"""),"EEC")</f>
        <v>EEC</v>
      </c>
      <c r="D100" s="2" t="str">
        <f>IFERROR(__xludf.DUMMYFUNCTION("""COMPUTED_VALUE"""),"EC1701")</f>
        <v>EC1701</v>
      </c>
      <c r="E100" s="2" t="str">
        <f>IFERROR(__xludf.DUMMYFUNCTION("""COMPUTED_VALUE"""),"19EC701")</f>
        <v>19EC701</v>
      </c>
      <c r="F100" s="7" t="str">
        <f>IFERROR(__xludf.DUMMYFUNCTION("""COMPUTED_VALUE"""),"Mini Project")</f>
        <v>Mini Project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IFERROR(__xludf.DUMMYFUNCTION("""COMPUTED_VALUE"""),2)</f>
        <v>2</v>
      </c>
      <c r="J100" s="2">
        <f>IFERROR(__xludf.DUMMYFUNCTION("""COMPUTED_VALUE"""),2)</f>
        <v>2</v>
      </c>
      <c r="K100" s="2" t="str">
        <f>IFERROR(__xludf.DUMMYFUNCTION("""COMPUTED_VALUE"""),"CGPA")</f>
        <v>CGPA</v>
      </c>
      <c r="L100" s="2" t="str">
        <f>IFERROR(__xludf.DUMMYFUNCTION("""COMPUTED_VALUE"""),"Project (Int Only)")</f>
        <v>Project (Int Only)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IFERROR(__xludf.DUMMYFUNCTION("""COMPUTED_VALUE"""),"EEC")</f>
        <v>EEC</v>
      </c>
      <c r="D101" s="2" t="str">
        <f>IFERROR(__xludf.DUMMYFUNCTION("""COMPUTED_VALUE"""),"EC1702")</f>
        <v>EC1702</v>
      </c>
      <c r="E101" s="2" t="str">
        <f>IFERROR(__xludf.DUMMYFUNCTION("""COMPUTED_VALUE"""),"19EC702")</f>
        <v>19EC702</v>
      </c>
      <c r="F101" s="7" t="str">
        <f>IFERROR(__xludf.DUMMYFUNCTION("""COMPUTED_VALUE"""),"Project Work Phase I")</f>
        <v>Project Work Phase I</v>
      </c>
      <c r="G101" s="2" t="str">
        <f>IFERROR(__xludf.DUMMYFUNCTION("""COMPUTED_VALUE"""),"-")</f>
        <v>-</v>
      </c>
      <c r="H101" s="2">
        <f>IFERROR(__xludf.DUMMYFUNCTION("""COMPUTED_VALUE"""),0)</f>
        <v>0</v>
      </c>
      <c r="I101" s="2">
        <f>IFERROR(__xludf.DUMMYFUNCTION("""COMPUTED_VALUE"""),2)</f>
        <v>2</v>
      </c>
      <c r="J101" s="2">
        <f>IFERROR(__xludf.DUMMYFUNCTION("""COMPUTED_VALUE"""),2)</f>
        <v>2</v>
      </c>
      <c r="K101" s="2" t="str">
        <f>IFERROR(__xludf.DUMMYFUNCTION("""COMPUTED_VALUE"""),"CGPA")</f>
        <v>CGPA</v>
      </c>
      <c r="L101" s="2" t="str">
        <f>IFERROR(__xludf.DUMMYFUNCTION("""COMPUTED_VALUE"""),"Project (Int Only)")</f>
        <v>Project (Int Only)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IFERROR(__xludf.DUMMYFUNCTION("""COMPUTED_VALUE"""),"EEC")</f>
        <v>EEC</v>
      </c>
      <c r="D102" s="2" t="str">
        <f>IFERROR(__xludf.DUMMYFUNCTION("""COMPUTED_VALUE"""),"EC1703")</f>
        <v>EC1703</v>
      </c>
      <c r="E102" s="2" t="str">
        <f>IFERROR(__xludf.DUMMYFUNCTION("""COMPUTED_VALUE"""),"19EC703")</f>
        <v>19EC703</v>
      </c>
      <c r="F102" s="7" t="str">
        <f>IFERROR(__xludf.DUMMYFUNCTION("""COMPUTED_VALUE"""),"Project Work Phase II")</f>
        <v>Project Work Phase II</v>
      </c>
      <c r="G102" s="2" t="str">
        <f>IFERROR(__xludf.DUMMYFUNCTION("""COMPUTED_VALUE"""),"19EC702")</f>
        <v>19EC702</v>
      </c>
      <c r="H102" s="2">
        <f>IFERROR(__xludf.DUMMYFUNCTION("""COMPUTED_VALUE"""),0)</f>
        <v>0</v>
      </c>
      <c r="I102" s="2">
        <f>IFERROR(__xludf.DUMMYFUNCTION("""COMPUTED_VALUE"""),6)</f>
        <v>6</v>
      </c>
      <c r="J102" s="2">
        <f>IFERROR(__xludf.DUMMYFUNCTION("""COMPUTED_VALUE"""),6)</f>
        <v>6</v>
      </c>
      <c r="K102" s="2" t="str">
        <f>IFERROR(__xludf.DUMMYFUNCTION("""COMPUTED_VALUE"""),"CGPA")</f>
        <v>CGPA</v>
      </c>
      <c r="L102" s="2" t="str">
        <f>IFERROR(__xludf.DUMMYFUNCTION("""COMPUTED_VALUE"""),"Project")</f>
        <v>Project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 t="str">
        <f>IFERROR(__xludf.DUMMYFUNCTION("""COMPUTED_VALUE"""),"Any 1")</f>
        <v>Any 1</v>
      </c>
      <c r="C103" s="2" t="str">
        <f>IFERROR(__xludf.DUMMYFUNCTION("""COMPUTED_VALUE"""),"EEC")</f>
        <v>EEC</v>
      </c>
      <c r="D103" s="2" t="str">
        <f>IFERROR(__xludf.DUMMYFUNCTION("""COMPUTED_VALUE"""),"NA")</f>
        <v>NA</v>
      </c>
      <c r="E103" s="2" t="str">
        <f>IFERROR(__xludf.DUMMYFUNCTION("""COMPUTED_VALUE"""),"19EY701")</f>
        <v>19EY701</v>
      </c>
      <c r="F103" s="7" t="str">
        <f>IFERROR(__xludf.DUMMYFUNCTION("""COMPUTED_VALUE"""),"Softskills")</f>
        <v>Softskills</v>
      </c>
      <c r="G103" s="2" t="str">
        <f>IFERROR(__xludf.DUMMYFUNCTION("""COMPUTED_VALUE"""),"-")</f>
        <v>-</v>
      </c>
      <c r="H103" s="2">
        <f>IFERROR(__xludf.DUMMYFUNCTION("""COMPUTED_VALUE"""),0)</f>
        <v>0</v>
      </c>
      <c r="I103" s="2">
        <f>IFERROR(__xludf.DUMMYFUNCTION("""COMPUTED_VALUE"""),1)</f>
        <v>1</v>
      </c>
      <c r="J103" s="2">
        <f>IFERROR(__xludf.DUMMYFUNCTION("""COMPUTED_VALUE"""),1)</f>
        <v>1</v>
      </c>
      <c r="K103" s="2" t="str">
        <f>IFERROR(__xludf.DUMMYFUNCTION("""COMPUTED_VALUE"""),"CGPA")</f>
        <v>CGPA</v>
      </c>
      <c r="L103" s="2" t="str">
        <f>IFERROR(__xludf.DUMMYFUNCTION("""COMPUTED_VALUE"""),"Practical (6 Expts)")</f>
        <v>Practical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 t="str">
        <f>IFERROR(__xludf.DUMMYFUNCTION("""COMPUTED_VALUE"""),"Any 1")</f>
        <v>Any 1</v>
      </c>
      <c r="C104" s="2" t="str">
        <f>IFERROR(__xludf.DUMMYFUNCTION("""COMPUTED_VALUE"""),"EEC")</f>
        <v>EEC</v>
      </c>
      <c r="D104" s="2" t="str">
        <f>IFERROR(__xludf.DUMMYFUNCTION("""COMPUTED_VALUE"""),"SH6708")</f>
        <v>SH6708</v>
      </c>
      <c r="E104" s="2" t="str">
        <f>IFERROR(__xludf.DUMMYFUNCTION("""COMPUTED_VALUE"""),"19EY708")</f>
        <v>19EY708</v>
      </c>
      <c r="F104" s="7" t="str">
        <f>IFERROR(__xludf.DUMMYFUNCTION("""COMPUTED_VALUE"""),"Career Development Skills")</f>
        <v>Career Development Skills</v>
      </c>
      <c r="G104" s="2" t="str">
        <f>IFERROR(__xludf.DUMMYFUNCTION("""COMPUTED_VALUE"""),"NIL")</f>
        <v>NIL</v>
      </c>
      <c r="H104" s="2">
        <f>IFERROR(__xludf.DUMMYFUNCTION("""COMPUTED_VALUE"""),1)</f>
        <v>1</v>
      </c>
      <c r="I104" s="2">
        <f>IFERROR(__xludf.DUMMYFUNCTION("""COMPUTED_VALUE"""),0)</f>
        <v>0</v>
      </c>
      <c r="J104" s="2">
        <f>IFERROR(__xludf.DUMMYFUNCTION("""COMPUTED_VALUE"""),1)</f>
        <v>1</v>
      </c>
      <c r="K104" s="2" t="str">
        <f>IFERROR(__xludf.DUMMYFUNCTION("""COMPUTED_VALUE"""),"CGPA")</f>
        <v>CGPA</v>
      </c>
      <c r="L104" s="2" t="str">
        <f>IFERROR(__xludf.DUMMYFUNCTION("""COMPUTED_VALUE"""),"Theory (Int Only)")</f>
        <v>Theory (Int Only)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 t="str">
        <f>IFERROR(__xludf.DUMMYFUNCTION("""COMPUTED_VALUE"""),"Any 1")</f>
        <v>Any 1</v>
      </c>
      <c r="C105" s="2" t="str">
        <f>IFERROR(__xludf.DUMMYFUNCTION("""COMPUTED_VALUE"""),"EEC")</f>
        <v>EEC</v>
      </c>
      <c r="D105" s="2" t="str">
        <f>IFERROR(__xludf.DUMMYFUNCTION("""COMPUTED_VALUE"""),"NA")</f>
        <v>NA</v>
      </c>
      <c r="E105" s="2" t="str">
        <f>IFERROR(__xludf.DUMMYFUNCTION("""COMPUTED_VALUE"""),"19EY702")</f>
        <v>19EY702</v>
      </c>
      <c r="F105" s="7" t="str">
        <f>IFERROR(__xludf.DUMMYFUNCTION("""COMPUTED_VALUE"""),"Creative Skills for Communication")</f>
        <v>Creative Skills for Communication</v>
      </c>
      <c r="G105" s="2" t="str">
        <f>IFERROR(__xludf.DUMMYFUNCTION("""COMPUTED_VALUE"""),"-")</f>
        <v>-</v>
      </c>
      <c r="H105" s="2">
        <f>IFERROR(__xludf.DUMMYFUNCTION("""COMPUTED_VALUE"""),0)</f>
        <v>0</v>
      </c>
      <c r="I105" s="2">
        <f>IFERROR(__xludf.DUMMYFUNCTION("""COMPUTED_VALUE"""),1)</f>
        <v>1</v>
      </c>
      <c r="J105" s="2">
        <f>IFERROR(__xludf.DUMMYFUNCTION("""COMPUTED_VALUE"""),1)</f>
        <v>1</v>
      </c>
      <c r="K105" s="2" t="str">
        <f>IFERROR(__xludf.DUMMYFUNCTION("""COMPUTED_VALUE"""),"CGPA")</f>
        <v>CGPA</v>
      </c>
      <c r="L105" s="2" t="str">
        <f>IFERROR(__xludf.DUMMYFUNCTION("""COMPUTED_VALUE"""),"Practical (6 Expts)")</f>
        <v>Practical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 t="str">
        <f>IFERROR(__xludf.DUMMYFUNCTION("""COMPUTED_VALUE"""),"Any 1")</f>
        <v>Any 1</v>
      </c>
      <c r="C106" s="2" t="str">
        <f>IFERROR(__xludf.DUMMYFUNCTION("""COMPUTED_VALUE"""),"EEC")</f>
        <v>EEC</v>
      </c>
      <c r="D106" s="2" t="str">
        <f>IFERROR(__xludf.DUMMYFUNCTION("""COMPUTED_VALUE"""),"SH6709")</f>
        <v>SH6709</v>
      </c>
      <c r="E106" s="2" t="str">
        <f>IFERROR(__xludf.DUMMYFUNCTION("""COMPUTED_VALUE"""),"19EY709")</f>
        <v>19EY709</v>
      </c>
      <c r="F106" s="7" t="str">
        <f>IFERROR(__xludf.DUMMYFUNCTION("""COMPUTED_VALUE"""),"Reasoning Ability")</f>
        <v>Reasoning Ability</v>
      </c>
      <c r="G106" s="2" t="str">
        <f>IFERROR(__xludf.DUMMYFUNCTION("""COMPUTED_VALUE"""),"NIL")</f>
        <v>NIL</v>
      </c>
      <c r="H106" s="2">
        <f>IFERROR(__xludf.DUMMYFUNCTION("""COMPUTED_VALUE"""),1)</f>
        <v>1</v>
      </c>
      <c r="I106" s="2">
        <f>IFERROR(__xludf.DUMMYFUNCTION("""COMPUTED_VALUE"""),0)</f>
        <v>0</v>
      </c>
      <c r="J106" s="2">
        <f>IFERROR(__xludf.DUMMYFUNCTION("""COMPUTED_VALUE"""),1)</f>
        <v>1</v>
      </c>
      <c r="K106" s="2" t="str">
        <f>IFERROR(__xludf.DUMMYFUNCTION("""COMPUTED_VALUE"""),"CGPA")</f>
        <v>CGPA</v>
      </c>
      <c r="L106" s="2" t="str">
        <f>IFERROR(__xludf.DUMMYFUNCTION("""COMPUTED_VALUE"""),"Theory (Int Only)")</f>
        <v>Theory (Int Only)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 t="str">
        <f>IFERROR(__xludf.DUMMYFUNCTION("""COMPUTED_VALUE"""),"Option 1")</f>
        <v>Option 1</v>
      </c>
      <c r="C107" s="2" t="str">
        <f>IFERROR(__xludf.DUMMYFUNCTION("""COMPUTED_VALUE"""),"EEC")</f>
        <v>EEC</v>
      </c>
      <c r="D107" s="2" t="str">
        <f>IFERROR(__xludf.DUMMYFUNCTION("""COMPUTED_VALUE"""),"NA")</f>
        <v>NA</v>
      </c>
      <c r="E107" s="2" t="str">
        <f>IFERROR(__xludf.DUMMYFUNCTION("""COMPUTED_VALUE"""),"19EY703")</f>
        <v>19EY703</v>
      </c>
      <c r="F107" s="7" t="str">
        <f>IFERROR(__xludf.DUMMYFUNCTION("""COMPUTED_VALUE"""),"System of Numerical and Logical Terminologies")</f>
        <v>System of Numerical and Logical Terminologies</v>
      </c>
      <c r="G107" s="2" t="str">
        <f>IFERROR(__xludf.DUMMYFUNCTION("""COMPUTED_VALUE"""),"-")</f>
        <v>-</v>
      </c>
      <c r="H107" s="2">
        <f>IFERROR(__xludf.DUMMYFUNCTION("""COMPUTED_VALUE"""),0)</f>
        <v>0</v>
      </c>
      <c r="I107" s="2">
        <f>IFERROR(__xludf.DUMMYFUNCTION("""COMPUTED_VALUE"""),1)</f>
        <v>1</v>
      </c>
      <c r="J107" s="2">
        <f>IFERROR(__xludf.DUMMYFUNCTION("""COMPUTED_VALUE"""),1)</f>
        <v>1</v>
      </c>
      <c r="K107" s="2" t="str">
        <f>IFERROR(__xludf.DUMMYFUNCTION("""COMPUTED_VALUE"""),"CGPA")</f>
        <v>CGPA</v>
      </c>
      <c r="L107" s="2" t="str">
        <f>IFERROR(__xludf.DUMMYFUNCTION("""COMPUTED_VALUE"""),"Practical (6 Expts)")</f>
        <v>Practical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 t="str">
        <f>IFERROR(__xludf.DUMMYFUNCTION("""COMPUTED_VALUE"""),"Option 1")</f>
        <v>Option 1</v>
      </c>
      <c r="C108" s="2" t="str">
        <f>IFERROR(__xludf.DUMMYFUNCTION("""COMPUTED_VALUE"""),"EEC")</f>
        <v>EEC</v>
      </c>
      <c r="D108" s="2" t="str">
        <f>IFERROR(__xludf.DUMMYFUNCTION("""COMPUTED_VALUE"""),"NA")</f>
        <v>NA</v>
      </c>
      <c r="E108" s="2" t="str">
        <f>IFERROR(__xludf.DUMMYFUNCTION("""COMPUTED_VALUE"""),"19EY704")</f>
        <v>19EY704</v>
      </c>
      <c r="F108" s="7" t="str">
        <f>IFERROR(__xludf.DUMMYFUNCTION("""COMPUTED_VALUE"""),"Advanced Quantitative and Logical Reasoning")</f>
        <v>Advanced Quantitative and Logical Reasoning</v>
      </c>
      <c r="G108" s="2" t="str">
        <f>IFERROR(__xludf.DUMMYFUNCTION("""COMPUTED_VALUE"""),"-")</f>
        <v>-</v>
      </c>
      <c r="H108" s="2">
        <f>IFERROR(__xludf.DUMMYFUNCTION("""COMPUTED_VALUE"""),0)</f>
        <v>0</v>
      </c>
      <c r="I108" s="2">
        <f>IFERROR(__xludf.DUMMYFUNCTION("""COMPUTED_VALUE"""),1)</f>
        <v>1</v>
      </c>
      <c r="J108" s="2">
        <f>IFERROR(__xludf.DUMMYFUNCTION("""COMPUTED_VALUE"""),1)</f>
        <v>1</v>
      </c>
      <c r="K108" s="2" t="str">
        <f>IFERROR(__xludf.DUMMYFUNCTION("""COMPUTED_VALUE"""),"CGPA")</f>
        <v>CGPA</v>
      </c>
      <c r="L108" s="2" t="str">
        <f>IFERROR(__xludf.DUMMYFUNCTION("""COMPUTED_VALUE"""),"Practical (6 Expts)")</f>
        <v>Practical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 t="str">
        <f>IFERROR(__xludf.DUMMYFUNCTION("""COMPUTED_VALUE"""),"Option 2")</f>
        <v>Option 2</v>
      </c>
      <c r="C109" s="2" t="str">
        <f>IFERROR(__xludf.DUMMYFUNCTION("""COMPUTED_VALUE"""),"EEC")</f>
        <v>EEC</v>
      </c>
      <c r="D109" s="2" t="str">
        <f>IFERROR(__xludf.DUMMYFUNCTION("""COMPUTED_VALUE"""),"SH6710")</f>
        <v>SH6710</v>
      </c>
      <c r="E109" s="2" t="str">
        <f>IFERROR(__xludf.DUMMYFUNCTION("""COMPUTED_VALUE"""),"19EY710")</f>
        <v>19EY710</v>
      </c>
      <c r="F109" s="7" t="str">
        <f>IFERROR(__xludf.DUMMYFUNCTION("""COMPUTED_VALUE"""),"Quantitative Ability I")</f>
        <v>Quantitative Ability I</v>
      </c>
      <c r="G109" s="2" t="str">
        <f>IFERROR(__xludf.DUMMYFUNCTION("""COMPUTED_VALUE"""),"NIL")</f>
        <v>NIL</v>
      </c>
      <c r="H109" s="2">
        <f>IFERROR(__xludf.DUMMYFUNCTION("""COMPUTED_VALUE"""),1)</f>
        <v>1</v>
      </c>
      <c r="I109" s="2">
        <f>IFERROR(__xludf.DUMMYFUNCTION("""COMPUTED_VALUE"""),0)</f>
        <v>0</v>
      </c>
      <c r="J109" s="2">
        <f>IFERROR(__xludf.DUMMYFUNCTION("""COMPUTED_VALUE"""),1)</f>
        <v>1</v>
      </c>
      <c r="K109" s="2" t="str">
        <f>IFERROR(__xludf.DUMMYFUNCTION("""COMPUTED_VALUE"""),"CGPA")</f>
        <v>CGPA</v>
      </c>
      <c r="L109" s="2" t="str">
        <f>IFERROR(__xludf.DUMMYFUNCTION("""COMPUTED_VALUE"""),"Theory (Int Only)")</f>
        <v>Theory (Int Only)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 t="str">
        <f>IFERROR(__xludf.DUMMYFUNCTION("""COMPUTED_VALUE"""),"Option 2")</f>
        <v>Option 2</v>
      </c>
      <c r="C110" s="2" t="str">
        <f>IFERROR(__xludf.DUMMYFUNCTION("""COMPUTED_VALUE"""),"EEC")</f>
        <v>EEC</v>
      </c>
      <c r="D110" s="2" t="str">
        <f>IFERROR(__xludf.DUMMYFUNCTION("""COMPUTED_VALUE"""),"SH6711")</f>
        <v>SH6711</v>
      </c>
      <c r="E110" s="2" t="str">
        <f>IFERROR(__xludf.DUMMYFUNCTION("""COMPUTED_VALUE"""),"19EY711")</f>
        <v>19EY711</v>
      </c>
      <c r="F110" s="7" t="str">
        <f>IFERROR(__xludf.DUMMYFUNCTION("""COMPUTED_VALUE"""),"Quantitative Ability II")</f>
        <v>Quantitative Ability II</v>
      </c>
      <c r="G110" s="2" t="str">
        <f>IFERROR(__xludf.DUMMYFUNCTION("""COMPUTED_VALUE"""),"SH6710 /19EY710")</f>
        <v>SH6710 /19EY710</v>
      </c>
      <c r="H110" s="2">
        <f>IFERROR(__xludf.DUMMYFUNCTION("""COMPUTED_VALUE"""),1)</f>
        <v>1</v>
      </c>
      <c r="I110" s="2">
        <f>IFERROR(__xludf.DUMMYFUNCTION("""COMPUTED_VALUE"""),0)</f>
        <v>0</v>
      </c>
      <c r="J110" s="2">
        <f>IFERROR(__xludf.DUMMYFUNCTION("""COMPUTED_VALUE"""),1)</f>
        <v>1</v>
      </c>
      <c r="K110" s="2" t="str">
        <f>IFERROR(__xludf.DUMMYFUNCTION("""COMPUTED_VALUE"""),"CGPA")</f>
        <v>CGPA</v>
      </c>
      <c r="L110" s="2" t="str">
        <f>IFERROR(__xludf.DUMMYFUNCTION("""COMPUTED_VALUE"""),"Theory (Int Only)")</f>
        <v>Theory (Int Only)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 t="str">
        <f>IFERROR(__xludf.DUMMYFUNCTION("""COMPUTED_VALUE"""),"Any 1")</f>
        <v>Any 1</v>
      </c>
      <c r="C111" s="2" t="str">
        <f>IFERROR(__xludf.DUMMYFUNCTION("""COMPUTED_VALUE"""),"EEC")</f>
        <v>EEC</v>
      </c>
      <c r="D111" s="2" t="str">
        <f>IFERROR(__xludf.DUMMYFUNCTION("""COMPUTED_VALUE"""),"NA")</f>
        <v>NA</v>
      </c>
      <c r="E111" s="2" t="str">
        <f>IFERROR(__xludf.DUMMYFUNCTION("""COMPUTED_VALUE"""),"19EY705")</f>
        <v>19EY705</v>
      </c>
      <c r="F111" s="7" t="str">
        <f>IFERROR(__xludf.DUMMYFUNCTION("""COMPUTED_VALUE"""),"Employment Enhancement Skills")</f>
        <v>Employment Enhancement Skills</v>
      </c>
      <c r="G111" s="2" t="str">
        <f>IFERROR(__xludf.DUMMYFUNCTION("""COMPUTED_VALUE"""),"-")</f>
        <v>-</v>
      </c>
      <c r="H111" s="2">
        <f>IFERROR(__xludf.DUMMYFUNCTION("""COMPUTED_VALUE"""),0)</f>
        <v>0</v>
      </c>
      <c r="I111" s="2">
        <f>IFERROR(__xludf.DUMMYFUNCTION("""COMPUTED_VALUE"""),1)</f>
        <v>1</v>
      </c>
      <c r="J111" s="2">
        <f>IFERROR(__xludf.DUMMYFUNCTION("""COMPUTED_VALUE"""),1)</f>
        <v>1</v>
      </c>
      <c r="K111" s="2" t="str">
        <f>IFERROR(__xludf.DUMMYFUNCTION("""COMPUTED_VALUE"""),"CGPA")</f>
        <v>CGPA</v>
      </c>
      <c r="L111" s="2" t="str">
        <f>IFERROR(__xludf.DUMMYFUNCTION("""COMPUTED_VALUE"""),"Practical (6 Expts)")</f>
        <v>Practical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 t="str">
        <f>IFERROR(__xludf.DUMMYFUNCTION("""COMPUTED_VALUE"""),"Any 1")</f>
        <v>Any 1</v>
      </c>
      <c r="C112" s="2" t="str">
        <f>IFERROR(__xludf.DUMMYFUNCTION("""COMPUTED_VALUE"""),"EEC")</f>
        <v>EEC</v>
      </c>
      <c r="D112" s="2" t="str">
        <f>IFERROR(__xludf.DUMMYFUNCTION("""COMPUTED_VALUE"""),"SH6712")</f>
        <v>SH6712</v>
      </c>
      <c r="E112" s="2" t="str">
        <f>IFERROR(__xludf.DUMMYFUNCTION("""COMPUTED_VALUE"""),"19EY712")</f>
        <v>19EY712</v>
      </c>
      <c r="F112" s="7" t="str">
        <f>IFERROR(__xludf.DUMMYFUNCTION("""COMPUTED_VALUE"""),"Employment Enrichment Skills")</f>
        <v>Employment Enrichment Skills</v>
      </c>
      <c r="G112" s="2" t="str">
        <f>IFERROR(__xludf.DUMMYFUNCTION("""COMPUTED_VALUE"""),"19EY702 / 19EY709 / SH6709")</f>
        <v>19EY702 / 19EY709 / SH6709</v>
      </c>
      <c r="H112" s="2">
        <f>IFERROR(__xludf.DUMMYFUNCTION("""COMPUTED_VALUE"""),1)</f>
        <v>1</v>
      </c>
      <c r="I112" s="2">
        <f>IFERROR(__xludf.DUMMYFUNCTION("""COMPUTED_VALUE"""),0)</f>
        <v>0</v>
      </c>
      <c r="J112" s="2">
        <f>IFERROR(__xludf.DUMMYFUNCTION("""COMPUTED_VALUE"""),1)</f>
        <v>1</v>
      </c>
      <c r="K112" s="2" t="str">
        <f>IFERROR(__xludf.DUMMYFUNCTION("""COMPUTED_VALUE"""),"CGPA")</f>
        <v>CGPA</v>
      </c>
      <c r="L112" s="2" t="str">
        <f>IFERROR(__xludf.DUMMYFUNCTION("""COMPUTED_VALUE"""),"Theory (Int Only)")</f>
        <v>Theory (Int Only)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 t="str">
        <f>IFERROR(__xludf.DUMMYFUNCTION("""COMPUTED_VALUE"""),"Any 1")</f>
        <v>Any 1</v>
      </c>
      <c r="C113" s="2" t="str">
        <f>IFERROR(__xludf.DUMMYFUNCTION("""COMPUTED_VALUE"""),"EEC")</f>
        <v>EEC</v>
      </c>
      <c r="D113" s="2" t="str">
        <f>IFERROR(__xludf.DUMMYFUNCTION("""COMPUTED_VALUE"""),"NA")</f>
        <v>NA</v>
      </c>
      <c r="E113" s="2" t="str">
        <f>IFERROR(__xludf.DUMMYFUNCTION("""COMPUTED_VALUE"""),"19EY706")</f>
        <v>19EY706</v>
      </c>
      <c r="F113" s="7" t="str">
        <f>IFERROR(__xludf.DUMMYFUNCTION("""COMPUTED_VALUE"""),"Company Specific Assessments For Employability")</f>
        <v>Company Specific Assessments For Employability</v>
      </c>
      <c r="G113" s="2" t="str">
        <f>IFERROR(__xludf.DUMMYFUNCTION("""COMPUTED_VALUE"""),"-")</f>
        <v>-</v>
      </c>
      <c r="H113" s="2">
        <f>IFERROR(__xludf.DUMMYFUNCTION("""COMPUTED_VALUE"""),0)</f>
        <v>0</v>
      </c>
      <c r="I113" s="2">
        <f>IFERROR(__xludf.DUMMYFUNCTION("""COMPUTED_VALUE"""),1)</f>
        <v>1</v>
      </c>
      <c r="J113" s="2">
        <f>IFERROR(__xludf.DUMMYFUNCTION("""COMPUTED_VALUE"""),1)</f>
        <v>1</v>
      </c>
      <c r="K113" s="2" t="str">
        <f>IFERROR(__xludf.DUMMYFUNCTION("""COMPUTED_VALUE"""),"CGPA")</f>
        <v>CGPA</v>
      </c>
      <c r="L113" s="2" t="str">
        <f>IFERROR(__xludf.DUMMYFUNCTION("""COMPUTED_VALUE"""),"Practical (6 Expts)")</f>
        <v>Practical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IFERROR(__xludf.DUMMYFUNCTION("""COMPUTED_VALUE"""),"EEC")</f>
        <v>EEC</v>
      </c>
      <c r="D114" s="2" t="str">
        <f>IFERROR(__xludf.DUMMYFUNCTION("""COMPUTED_VALUE"""),"SH6707")</f>
        <v>SH6707</v>
      </c>
      <c r="E114" s="2" t="str">
        <f>IFERROR(__xludf.DUMMYFUNCTION("""COMPUTED_VALUE"""),"19EY707")</f>
        <v>19EY707</v>
      </c>
      <c r="F114" s="7" t="str">
        <f>IFERROR(__xludf.DUMMYFUNCTION("""COMPUTED_VALUE"""),"Paper Publication")</f>
        <v>Paper Publication</v>
      </c>
      <c r="G114" s="2" t="str">
        <f>IFERROR(__xludf.DUMMYFUNCTION("""COMPUTED_VALUE"""),"-")</f>
        <v>-</v>
      </c>
      <c r="H114" s="2">
        <f>IFERROR(__xludf.DUMMYFUNCTION("""COMPUTED_VALUE"""),0)</f>
        <v>0</v>
      </c>
      <c r="I114" s="2">
        <f>IFERROR(__xludf.DUMMYFUNCTION("""COMPUTED_VALUE"""),0)</f>
        <v>0</v>
      </c>
      <c r="J114" s="2">
        <f>IFERROR(__xludf.DUMMYFUNCTION("""COMPUTED_VALUE"""),1)</f>
        <v>1</v>
      </c>
      <c r="K114" s="2" t="str">
        <f>IFERROR(__xludf.DUMMYFUNCTION("""COMPUTED_VALUE"""),"NON-CGPA")</f>
        <v>NON-CGPA</v>
      </c>
      <c r="L114" s="2" t="str">
        <f>IFERROR(__xludf.DUMMYFUNCTION("""COMPUTED_VALUE"""),"Experiential Learning (Int Only)")</f>
        <v>Experiential Learning (Int Only)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IFERROR(__xludf.DUMMYFUNCTION("""COMPUTED_VALUE"""),"MC")</f>
        <v>MC</v>
      </c>
      <c r="D115" s="2" t="str">
        <f>IFERROR(__xludf.DUMMYFUNCTION("""COMPUTED_VALUE"""),"NA")</f>
        <v>NA</v>
      </c>
      <c r="E115" s="2" t="str">
        <f>IFERROR(__xludf.DUMMYFUNCTION("""COMPUTED_VALUE"""),"19MC801")</f>
        <v>19MC801</v>
      </c>
      <c r="F115" s="7" t="str">
        <f>IFERROR(__xludf.DUMMYFUNCTION("""COMPUTED_VALUE"""),"Professional Ethics")</f>
        <v>Professional Ethics</v>
      </c>
      <c r="G115" s="2" t="str">
        <f>IFERROR(__xludf.DUMMYFUNCTION("""COMPUTED_VALUE"""),"-")</f>
        <v>-</v>
      </c>
      <c r="H115" s="2">
        <f>IFERROR(__xludf.DUMMYFUNCTION("""COMPUTED_VALUE"""),0)</f>
        <v>0</v>
      </c>
      <c r="I115" s="2">
        <f>IFERROR(__xludf.DUMMYFUNCTION("""COMPUTED_VALUE"""),0)</f>
        <v>0</v>
      </c>
      <c r="J115" s="2">
        <f>IFERROR(__xludf.DUMMYFUNCTION("""COMPUTED_VALUE"""),0)</f>
        <v>0</v>
      </c>
      <c r="K115" s="2" t="str">
        <f>IFERROR(__xludf.DUMMYFUNCTION("""COMPUTED_VALUE"""),"NON - CGPA")</f>
        <v>NON - CGPA</v>
      </c>
      <c r="L115" s="2" t="str">
        <f>IFERROR(__xludf.DUMMYFUNCTION("""COMPUTED_VALUE"""),"Theory (Int Only)")</f>
        <v>Theory (Int Only)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IFERROR(__xludf.DUMMYFUNCTION("""COMPUTED_VALUE"""),"MC")</f>
        <v>MC</v>
      </c>
      <c r="D116" s="2" t="str">
        <f>IFERROR(__xludf.DUMMYFUNCTION("""COMPUTED_VALUE"""),"NA")</f>
        <v>NA</v>
      </c>
      <c r="E116" s="2" t="str">
        <f>IFERROR(__xludf.DUMMYFUNCTION("""COMPUTED_VALUE"""),"19MC802")</f>
        <v>19MC802</v>
      </c>
      <c r="F116" s="7" t="str">
        <f>IFERROR(__xludf.DUMMYFUNCTION("""COMPUTED_VALUE"""),"Environmental Science")</f>
        <v>Environmental Science</v>
      </c>
      <c r="G116" s="2" t="str">
        <f>IFERROR(__xludf.DUMMYFUNCTION("""COMPUTED_VALUE"""),"-")</f>
        <v>-</v>
      </c>
      <c r="H116" s="2">
        <f>IFERROR(__xludf.DUMMYFUNCTION("""COMPUTED_VALUE"""),0)</f>
        <v>0</v>
      </c>
      <c r="I116" s="2">
        <f>IFERROR(__xludf.DUMMYFUNCTION("""COMPUTED_VALUE"""),0)</f>
        <v>0</v>
      </c>
      <c r="J116" s="2">
        <f>IFERROR(__xludf.DUMMYFUNCTION("""COMPUTED_VALUE"""),0)</f>
        <v>0</v>
      </c>
      <c r="K116" s="2" t="str">
        <f>IFERROR(__xludf.DUMMYFUNCTION("""COMPUTED_VALUE"""),"CGPA")</f>
        <v>CGPA</v>
      </c>
      <c r="L116" s="2" t="str">
        <f>IFERROR(__xludf.DUMMYFUNCTION("""COMPUTED_VALUE"""),"Theory (Int Only)")</f>
        <v>Theory (Int Only)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IFERROR(__xludf.DUMMYFUNCTION("""COMPUTED_VALUE"""),"MC")</f>
        <v>MC</v>
      </c>
      <c r="D117" s="2" t="str">
        <f>IFERROR(__xludf.DUMMYFUNCTION("""COMPUTED_VALUE"""),"NA")</f>
        <v>NA</v>
      </c>
      <c r="E117" s="2" t="str">
        <f>IFERROR(__xludf.DUMMYFUNCTION("""COMPUTED_VALUE"""),"19MC803")</f>
        <v>19MC803</v>
      </c>
      <c r="F117" s="7" t="str">
        <f>IFERROR(__xludf.DUMMYFUNCTION("""COMPUTED_VALUE"""),"Constitution of India")</f>
        <v>Constitution of India</v>
      </c>
      <c r="G117" s="2" t="str">
        <f>IFERROR(__xludf.DUMMYFUNCTION("""COMPUTED_VALUE"""),"-")</f>
        <v>-</v>
      </c>
      <c r="H117" s="2">
        <f>IFERROR(__xludf.DUMMYFUNCTION("""COMPUTED_VALUE"""),0)</f>
        <v>0</v>
      </c>
      <c r="I117" s="2">
        <f>IFERROR(__xludf.DUMMYFUNCTION("""COMPUTED_VALUE"""),0)</f>
        <v>0</v>
      </c>
      <c r="J117" s="2">
        <f>IFERROR(__xludf.DUMMYFUNCTION("""COMPUTED_VALUE"""),0)</f>
        <v>0</v>
      </c>
      <c r="K117" s="2" t="str">
        <f>IFERROR(__xludf.DUMMYFUNCTION("""COMPUTED_VALUE"""),"CGPA")</f>
        <v>CGPA</v>
      </c>
      <c r="L117" s="2" t="str">
        <f>IFERROR(__xludf.DUMMYFUNCTION("""COMPUTED_VALUE"""),"Theory (Int Only)")</f>
        <v>Theory (Int Only)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IFERROR(__xludf.DUMMYFUNCTION("""COMPUTED_VALUE"""),"MC")</f>
        <v>MC</v>
      </c>
      <c r="D118" s="2" t="str">
        <f>IFERROR(__xludf.DUMMYFUNCTION("""COMPUTED_VALUE"""),"NA")</f>
        <v>NA</v>
      </c>
      <c r="E118" s="2" t="str">
        <f>IFERROR(__xludf.DUMMYFUNCTION("""COMPUTED_VALUE"""),"19MC804")</f>
        <v>19MC804</v>
      </c>
      <c r="F118" s="3" t="str">
        <f>IFERROR(__xludf.DUMMYFUNCTION("""COMPUTED_VALUE"""),"Internship/Entrepreneurship/Consultancy")</f>
        <v>Internship/Entrepreneurship/Consultancy</v>
      </c>
      <c r="G118" s="2" t="str">
        <f>IFERROR(__xludf.DUMMYFUNCTION("""COMPUTED_VALUE"""),"-")</f>
        <v>-</v>
      </c>
      <c r="H118" s="2">
        <f>IFERROR(__xludf.DUMMYFUNCTION("""COMPUTED_VALUE"""),0)</f>
        <v>0</v>
      </c>
      <c r="I118" s="2">
        <f>IFERROR(__xludf.DUMMYFUNCTION("""COMPUTED_VALUE"""),0)</f>
        <v>0</v>
      </c>
      <c r="J118" s="2">
        <f>IFERROR(__xludf.DUMMYFUNCTION("""COMPUTED_VALUE"""),2)</f>
        <v>2</v>
      </c>
      <c r="K118" s="2" t="str">
        <f>IFERROR(__xludf.DUMMYFUNCTION("""COMPUTED_VALUE"""),"NON-CGPA")</f>
        <v>NON-CGPA</v>
      </c>
      <c r="L118" s="2" t="str">
        <f>IFERROR(__xludf.DUMMYFUNCTION("""COMPUTED_VALUE"""),"Experiential Learning (Int Only)")</f>
        <v>Experiential Learning (Int Only)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 t="str">
        <f>IFERROR(__xludf.DUMMYFUNCTION("""COMPUTED_VALUE"""),"Any 1")</f>
        <v>Any 1</v>
      </c>
      <c r="C119" s="2" t="str">
        <f>IFERROR(__xludf.DUMMYFUNCTION("""COMPUTED_VALUE"""),"MC")</f>
        <v>MC</v>
      </c>
      <c r="D119" s="2" t="str">
        <f>IFERROR(__xludf.DUMMYFUNCTION("""COMPUTED_VALUE"""),"SH6803")</f>
        <v>SH6803</v>
      </c>
      <c r="E119" s="2" t="str">
        <f>IFERROR(__xludf.DUMMYFUNCTION("""COMPUTED_VALUE"""),"19MC807")</f>
        <v>19MC807</v>
      </c>
      <c r="F119" s="3" t="str">
        <f>IFERROR(__xludf.DUMMYFUNCTION("""COMPUTED_VALUE"""),"National Service Scheme")</f>
        <v>National Service Scheme</v>
      </c>
      <c r="G119" s="2" t="str">
        <f>IFERROR(__xludf.DUMMYFUNCTION("""COMPUTED_VALUE"""),"-")</f>
        <v>-</v>
      </c>
      <c r="H119" s="2">
        <f>IFERROR(__xludf.DUMMYFUNCTION("""COMPUTED_VALUE"""),0)</f>
        <v>0</v>
      </c>
      <c r="I119" s="2">
        <f>IFERROR(__xludf.DUMMYFUNCTION("""COMPUTED_VALUE"""),0)</f>
        <v>0</v>
      </c>
      <c r="J119" s="2">
        <f>IFERROR(__xludf.DUMMYFUNCTION("""COMPUTED_VALUE"""),0)</f>
        <v>0</v>
      </c>
      <c r="K119" s="2" t="str">
        <f>IFERROR(__xludf.DUMMYFUNCTION("""COMPUTED_VALUE"""),"NON-CGPA")</f>
        <v>NON-CGPA</v>
      </c>
      <c r="L119" s="2" t="str">
        <f>IFERROR(__xludf.DUMMYFUNCTION("""COMPUTED_VALUE"""),"Experiential Learning (Int Only)")</f>
        <v>Experiential Learning (Int Only)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 t="str">
        <f>IFERROR(__xludf.DUMMYFUNCTION("""COMPUTED_VALUE"""),"Any 1")</f>
        <v>Any 1</v>
      </c>
      <c r="C120" s="2" t="str">
        <f>IFERROR(__xludf.DUMMYFUNCTION("""COMPUTED_VALUE"""),"MC")</f>
        <v>MC</v>
      </c>
      <c r="D120" s="2" t="str">
        <f>IFERROR(__xludf.DUMMYFUNCTION("""COMPUTED_VALUE"""),"SH8807")</f>
        <v>SH8807</v>
      </c>
      <c r="E120" s="2" t="str">
        <f>IFERROR(__xludf.DUMMYFUNCTION("""COMPUTED_VALUE"""),"19MC808")</f>
        <v>19MC808</v>
      </c>
      <c r="F120" s="3" t="str">
        <f>IFERROR(__xludf.DUMMYFUNCTION("""COMPUTED_VALUE"""),"National Sports Organization ")</f>
        <v>National Sports Organization </v>
      </c>
      <c r="G120" s="2" t="str">
        <f>IFERROR(__xludf.DUMMYFUNCTION("""COMPUTED_VALUE"""),"-")</f>
        <v>-</v>
      </c>
      <c r="H120" s="2">
        <f>IFERROR(__xludf.DUMMYFUNCTION("""COMPUTED_VALUE"""),0)</f>
        <v>0</v>
      </c>
      <c r="I120" s="2">
        <f>IFERROR(__xludf.DUMMYFUNCTION("""COMPUTED_VALUE"""),0)</f>
        <v>0</v>
      </c>
      <c r="J120" s="2">
        <f>IFERROR(__xludf.DUMMYFUNCTION("""COMPUTED_VALUE"""),0)</f>
        <v>0</v>
      </c>
      <c r="K120" s="2" t="str">
        <f>IFERROR(__xludf.DUMMYFUNCTION("""COMPUTED_VALUE"""),"NON-CGPA")</f>
        <v>NON-CGPA</v>
      </c>
      <c r="L120" s="2" t="str">
        <f>IFERROR(__xludf.DUMMYFUNCTION("""COMPUTED_VALUE"""),"Experiential Learning (Int Only)")</f>
        <v>Experiential Learning (Int Only)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 t="str">
        <f>IFERROR(__xludf.DUMMYFUNCTION("""COMPUTED_VALUE"""),"Any 1")</f>
        <v>Any 1</v>
      </c>
      <c r="C121" s="2" t="str">
        <f>IFERROR(__xludf.DUMMYFUNCTION("""COMPUTED_VALUE"""),"MC")</f>
        <v>MC</v>
      </c>
      <c r="D121" s="2" t="str">
        <f>IFERROR(__xludf.DUMMYFUNCTION("""COMPUTED_VALUE"""),"SH8808")</f>
        <v>SH8808</v>
      </c>
      <c r="E121" s="2" t="str">
        <f>IFERROR(__xludf.DUMMYFUNCTION("""COMPUTED_VALUE"""),"19MC809")</f>
        <v>19MC809</v>
      </c>
      <c r="F121" s="3" t="str">
        <f>IFERROR(__xludf.DUMMYFUNCTION("""COMPUTED_VALUE"""),"Youth Red Cross")</f>
        <v>Youth Red Cross</v>
      </c>
      <c r="G121" s="2" t="str">
        <f>IFERROR(__xludf.DUMMYFUNCTION("""COMPUTED_VALUE"""),"-")</f>
        <v>-</v>
      </c>
      <c r="H121" s="2">
        <f>IFERROR(__xludf.DUMMYFUNCTION("""COMPUTED_VALUE"""),0)</f>
        <v>0</v>
      </c>
      <c r="I121" s="2">
        <f>IFERROR(__xludf.DUMMYFUNCTION("""COMPUTED_VALUE"""),0)</f>
        <v>0</v>
      </c>
      <c r="J121" s="2">
        <f>IFERROR(__xludf.DUMMYFUNCTION("""COMPUTED_VALUE"""),0)</f>
        <v>0</v>
      </c>
      <c r="K121" s="2" t="str">
        <f>IFERROR(__xludf.DUMMYFUNCTION("""COMPUTED_VALUE"""),"NON-CGPA")</f>
        <v>NON-CGPA</v>
      </c>
      <c r="L121" s="2" t="str">
        <f>IFERROR(__xludf.DUMMYFUNCTION("""COMPUTED_VALUE"""),"Experiential Learning (Int Only)")</f>
        <v>Experiential Learning (Int Only)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 t="str">
        <f>IFERROR(__xludf.DUMMYFUNCTION("""COMPUTED_VALUE"""),"Any 1")</f>
        <v>Any 1</v>
      </c>
      <c r="C122" s="2" t="str">
        <f>IFERROR(__xludf.DUMMYFUNCTION("""COMPUTED_VALUE"""),"MC")</f>
        <v>MC</v>
      </c>
      <c r="D122" s="2" t="str">
        <f>IFERROR(__xludf.DUMMYFUNCTION("""COMPUTED_VALUE"""),"SH6713")</f>
        <v>SH6713</v>
      </c>
      <c r="E122" s="2" t="str">
        <f>IFERROR(__xludf.DUMMYFUNCTION("""COMPUTED_VALUE"""),"19EY713")</f>
        <v>19EY713</v>
      </c>
      <c r="F122" s="7" t="str">
        <f>IFERROR(__xludf.DUMMYFUNCTION("""COMPUTED_VALUE"""),"Placement Readiness Assessment")</f>
        <v>Placement Readiness Assessment</v>
      </c>
      <c r="G122" s="2" t="str">
        <f>IFERROR(__xludf.DUMMYFUNCTION("""COMPUTED_VALUE"""),"19EY704 / 19EY711/SH6711")</f>
        <v>19EY704 / 19EY711/SH6711</v>
      </c>
      <c r="H122" s="2">
        <f>IFERROR(__xludf.DUMMYFUNCTION("""COMPUTED_VALUE"""),1)</f>
        <v>1</v>
      </c>
      <c r="I122" s="2">
        <f>IFERROR(__xludf.DUMMYFUNCTION("""COMPUTED_VALUE"""),0)</f>
        <v>0</v>
      </c>
      <c r="J122" s="2">
        <f>IFERROR(__xludf.DUMMYFUNCTION("""COMPUTED_VALUE"""),1)</f>
        <v>1</v>
      </c>
      <c r="K122" s="2" t="str">
        <f>IFERROR(__xludf.DUMMYFUNCTION("""COMPUTED_VALUE"""),"CGPA")</f>
        <v>CGPA</v>
      </c>
      <c r="L122" s="2" t="str">
        <f>IFERROR(__xludf.DUMMYFUNCTION("""COMPUTED_VALUE"""),"Theory (Int Only)")</f>
        <v>Theory (Int Only)</v>
      </c>
      <c r="M122" s="9"/>
      <c r="N122" s="9"/>
      <c r="O122" s="9"/>
      <c r="P122" s="9"/>
      <c r="Q122" s="9"/>
      <c r="R122" s="9"/>
    </row>
    <row r="123" ht="13.2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ht="13.2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ht="13.2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ht="13.2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ht="13.2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ht="13.2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ht="13.2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ht="13.2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ht="13.2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ht="13.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ht="13.2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ht="13.2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ht="13.2" spans="1:1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</row>
    <row r="136" ht="13.2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ht="13.2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ht="13.2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ht="13.2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ht="13.2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ht="13.2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ve English&quot;)"/>
    <hyperlink ref="F4" r:id="rId3" display="=IFERROR(@__xludf.DUMMYFUNCTION(&quot;&quot;&quot;COMPUTED_VALUE&quot;&quot;&quot;),&quot;English for Engineers&quot;)"/>
    <hyperlink ref="F5" r:id="rId4" display="=IFERROR(@__xludf.DUMMYFUNCTION(&quot;&quot;&quot;COMPUTED_VALUE&quot;&quot;&quot;),&quot;Technical English&quot;)"/>
    <hyperlink ref="F6" r:id="rId5" display="=IFERROR(@__xludf.DUMMYFUNCTION(&quot;&quot;&quot;COMPUTED_VALUE&quot;&quot;&quot;),&quot;Technical Writing and Presentation&quot;)"/>
    <hyperlink ref="F7" r:id="rId6" display="=IFERROR(@__xludf.DUMMYFUNCTION(&quot;&quot;&quot;COMPUTED_VALUE&quot;&quot;&quot;),&quot;Public Speaking&quot;)"/>
    <hyperlink ref="F8" r:id="rId7" display="=IFERROR(@__xludf.DUMMYFUNCTION(&quot;&quot;&quot;COMPUTED_VALUE&quot;&quot;&quot;),&quot;Management and Quality Principles for Engineering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Calculus and Laplace Transforms&quot;)"/>
    <hyperlink ref="F12" r:id="rId11" display="=IFERROR(@__xludf.DUMMYFUNCTION(&quot;&quot;&quot;COMPUTED_VALUE&quot;&quot;&quot;),&quot;Calculus and Matrix Algebra&quot;)"/>
    <hyperlink ref="F13" r:id="rId12" display="=IFERROR(@__xludf.DUMMYFUNCTION(&quot;&quot;&quot;COMPUTED_VALUE&quot;&quot;&quot;),&quot;Complex Variables and Ordinary Differential Equations&quot;)"/>
    <hyperlink ref="F14" r:id="rId13" display="=IFERROR(@__xludf.DUMMYFUNCTION(&quot;&quot;&quot;COMPUTED_VALUE&quot;&quot;&quot;),&quot;Linear Algebra and Numerical Methods&quot;)"/>
    <hyperlink ref="F15" r:id="rId14" display="=IFERROR(@__xludf.DUMMYFUNCTION(&quot;&quot;&quot;COMPUTED_VALUE&quot;&quot;&quot;),&quot;Random Processes and Statistics&quot;)"/>
    <hyperlink ref="F16" r:id="rId15" display="=IFERROR(@__xludf.DUMMYFUNCTION(&quot;&quot;&quot;COMPUTED_VALUE&quot;&quot;&quot;),&quot;Linear Algebra and Probability&quot;)"/>
    <hyperlink ref="F17" r:id="rId16" display="=IFERROR(@__xludf.DUMMYFUNCTION(&quot;&quot;&quot;COMPUTED_VALUE&quot;&quot;&quot;),&quot;Statistics and Numerical Methods&quot;)"/>
    <hyperlink ref="F18" r:id="rId17" display="=IFERROR(@__xludf.DUMMYFUNCTION(&quot;&quot;&quot;COMPUTED_VALUE&quot;&quot;&quot;),&quot;Physics of Solid State Materials&quot;)"/>
    <hyperlink ref="F19" r:id="rId18" display="=IFERROR(@__xludf.DUMMYFUNCTION(&quot;&quot;&quot;COMPUTED_VALUE&quot;&quot;&quot;),&quot;Physics for Electronics Engineering&quot;)"/>
    <hyperlink ref="F20" r:id="rId19" display="=IFERROR(@__xludf.DUMMYFUNCTION(&quot;&quot;&quot;COMPUTED_VALUE&quot;&quot;&quot;),&quot;Principles of Chemistry in Engineering&quot;)"/>
    <hyperlink ref="F21" r:id="rId20" display="=IFERROR(@__xludf.DUMMYFUNCTION(&quot;&quot;&quot;COMPUTED_VALUE&quot;&quot;&quot;),&quot;Programming in C&quot;)"/>
    <hyperlink ref="F22" r:id="rId21" display="=IFERROR(@__xludf.DUMMYFUNCTION(&quot;&quot;&quot;COMPUTED_VALUE&quot;&quot;&quot;),&quot;Fundamentals of Data Structures using Python&quot;)"/>
    <hyperlink ref="F23" r:id="rId22" display="=IFERROR(@__xludf.DUMMYFUNCTION(&quot;&quot;&quot;COMPUTED_VALUE&quot;&quot;&quot;),&quot;Engineering Drawing&quot;)"/>
    <hyperlink ref="F24" r:id="rId23" display="=IFERROR(@__xludf.DUMMYFUNCTION(&quot;&quot;&quot;COMPUTED_VALUE&quot;&quot;&quot;),&quot;Electric Circuit Analysis&quot;)"/>
    <hyperlink ref="F25" r:id="rId24" display="=IFERROR(@__xludf.DUMMYFUNCTION(&quot;&quot;&quot;COMPUTED_VALUE&quot;&quot;&quot;),&quot;Electric Circuits and Networks&quot;)"/>
    <hyperlink ref="F26" r:id="rId25" display="=IFERROR(@__xludf.DUMMYFUNCTION(&quot;&quot;&quot;COMPUTED_VALUE&quot;&quot;&quot;),&quot;Digital Principles and System Design&quot;)"/>
    <hyperlink ref="F27" r:id="rId26" display="=IFERROR(@__xludf.DUMMYFUNCTION(&quot;&quot;&quot;COMPUTED_VALUE&quot;&quot;&quot;),&quot;Basic Electrical Engineering&quot;)"/>
    <hyperlink ref="F28" r:id="rId27" display="=IFERROR(@__xludf.DUMMYFUNCTION(&quot;&quot;&quot;COMPUTED_VALUE&quot;&quot;&quot;),&quot;Electromagnetic Fields&quot;)"/>
    <hyperlink ref="F29" r:id="rId28" display="=IFERROR(@__xludf.DUMMYFUNCTION(&quot;&quot;&quot;COMPUTED_VALUE&quot;&quot;&quot;),&quot;Electronic Devices&quot;)"/>
    <hyperlink ref="F30" r:id="rId29" display="=IFERROR(@__xludf.DUMMYFUNCTION(&quot;&quot;&quot;COMPUTED_VALUE&quot;&quot;&quot;),&quot;Transmission Lines&quot;)"/>
    <hyperlink ref="F31" r:id="rId30" display="=IFERROR(@__xludf.DUMMYFUNCTION(&quot;&quot;&quot;COMPUTED_VALUE&quot;&quot;&quot;),&quot;Electronic Circuits I&quot;)"/>
    <hyperlink ref="F32" r:id="rId31" display="=IFERROR(@__xludf.DUMMYFUNCTION(&quot;&quot;&quot;COMPUTED_VALUE&quot;&quot;&quot;),&quot;Electronic Circuits II&quot;)"/>
    <hyperlink ref="F33" r:id="rId32" display="=IFERROR(@__xludf.DUMMYFUNCTION(&quot;&quot;&quot;COMPUTED_VALUE&quot;&quot;&quot;),&quot;Electronic Circuits&quot;)"/>
    <hyperlink ref="F34" r:id="rId33" display="=IFERROR(@__xludf.DUMMYFUNCTION(&quot;&quot;&quot;COMPUTED_VALUE&quot;&quot;&quot;),&quot;Signals and Systems&quot;)"/>
    <hyperlink ref="F35" r:id="rId34" display="=IFERROR(@__xludf.DUMMYFUNCTION(&quot;&quot;&quot;COMPUTED_VALUE&quot;&quot;&quot;),&quot;Communication Theory&quot;)"/>
    <hyperlink ref="F36" r:id="rId35" display="=IFERROR(@__xludf.DUMMYFUNCTION(&quot;&quot;&quot;COMPUTED_VALUE&quot;&quot;&quot;),&quot;Analog Communication&quot;)"/>
    <hyperlink ref="F37" r:id="rId36" display="=IFERROR(@__xludf.DUMMYFUNCTION(&quot;&quot;&quot;COMPUTED_VALUE&quot;&quot;&quot;),&quot;Digital Communication&quot;)"/>
    <hyperlink ref="F38" r:id="rId37" display="=IFERROR(@__xludf.DUMMYFUNCTION(&quot;&quot;&quot;COMPUTED_VALUE&quot;&quot;&quot;),&quot;Linear Integrated Circuits&quot;)"/>
    <hyperlink ref="F39" r:id="rId38" display="=IFERROR(@__xludf.DUMMYFUNCTION(&quot;&quot;&quot;COMPUTED_VALUE&quot;&quot;&quot;),&quot;Analysis and Design of Analog ICs&quot;)"/>
    <hyperlink ref="F40" r:id="rId39" display="=IFERROR(@__xludf.DUMMYFUNCTION(&quot;&quot;&quot;COMPUTED_VALUE&quot;&quot;&quot;),&quot;Control System Engineering&quot;)"/>
    <hyperlink ref="F41" r:id="rId40" display="=IFERROR(@__xludf.DUMMYFUNCTION(&quot;&quot;&quot;COMPUTED_VALUE&quot;&quot;&quot;),&quot;Microprocessor and Microcontroller&quot;)"/>
    <hyperlink ref="F42" r:id="rId41" display="=IFERROR(@__xludf.DUMMYFUNCTION(&quot;&quot;&quot;COMPUTED_VALUE&quot;&quot;&quot;),&quot;Discrete Time Signal Processing&quot;)"/>
    <hyperlink ref="F43" r:id="rId42" display="=IFERROR(@__xludf.DUMMYFUNCTION(&quot;&quot;&quot;COMPUTED_VALUE&quot;&quot;&quot;),&quot;VLSI Design&quot;)"/>
    <hyperlink ref="F44" r:id="rId43" display="=IFERROR(@__xludf.DUMMYFUNCTION(&quot;&quot;&quot;COMPUTED_VALUE&quot;&quot;&quot;),&quot;Antennas and Microwave Engineering&quot;)"/>
    <hyperlink ref="F45" r:id="rId44" display="=IFERROR(@__xludf.DUMMYFUNCTION(&quot;&quot;&quot;COMPUTED_VALUE&quot;&quot;&quot;),&quot;Communication Networks&quot;)"/>
    <hyperlink ref="F46" r:id="rId45" display="=IFERROR(@__xludf.DUMMYFUNCTION(&quot;&quot;&quot;COMPUTED_VALUE&quot;&quot;&quot;),&quot;Wireless Communication&quot;)"/>
    <hyperlink ref="F47" r:id="rId46" display="=IFERROR(@__xludf.DUMMYFUNCTION(&quot;&quot;&quot;COMPUTED_VALUE&quot;&quot;&quot;),&quot;Embedded Systems&quot;)"/>
    <hyperlink ref="F48" r:id="rId47" display="=IFERROR(@__xludf.DUMMYFUNCTION(&quot;&quot;&quot;COMPUTED_VALUE&quot;&quot;&quot;),&quot;Embedded Systems and IoT&quot;)"/>
    <hyperlink ref="F49" r:id="rId48" display="=IFERROR(@__xludf.DUMMYFUNCTION(&quot;&quot;&quot;COMPUTED_VALUE&quot;&quot;&quot;),&quot;Optical Communication and Networks&quot;)"/>
    <hyperlink ref="F50" r:id="rId49" display="=IFERROR(@__xludf.DUMMYFUNCTION(&quot;&quot;&quot;COMPUTED_VALUE&quot;&quot;&quot;),&quot;Consumer Electronics&quot;)"/>
    <hyperlink ref="F52" r:id="rId50" display="=IFERROR(@__xludf.DUMMYFUNCTION(&quot;&quot;&quot;COMPUTED_VALUE&quot;&quot;&quot;),&quot;Object Oriented Programming using Java&quot;)"/>
    <hyperlink ref="F53" r:id="rId51" display="=IFERROR(@__xludf.DUMMYFUNCTION(&quot;&quot;&quot;COMPUTED_VALUE&quot;&quot;&quot;),&quot;Multimedia Compression Techniques&quot;)"/>
    <hyperlink ref="F54" r:id="rId52" display="=IFERROR(@__xludf.DUMMYFUNCTION(&quot;&quot;&quot;COMPUTED_VALUE&quot;&quot;&quot;),&quot;Speech Processing&quot;)"/>
    <hyperlink ref="F55" r:id="rId53" display="=IFERROR(@__xludf.DUMMYFUNCTION(&quot;&quot;&quot;COMPUTED_VALUE&quot;&quot;&quot;),&quot;Digital Image Processing&quot;)"/>
    <hyperlink ref="F57" r:id="rId54" display="=IFERROR(@__xludf.DUMMYFUNCTION(&quot;&quot;&quot;COMPUTED_VALUE&quot;&quot;&quot;),&quot;Bio Signal Processing&quot;)"/>
    <hyperlink ref="F58" r:id="rId55" display="=IFERROR(@__xludf.DUMMYFUNCTION(&quot;&quot;&quot;COMPUTED_VALUE&quot;&quot;&quot;),&quot;Natural Language Processing&quot;)"/>
    <hyperlink ref="F59" r:id="rId56" display="=IFERROR(@__xludf.DUMMYFUNCTION(&quot;&quot;&quot;COMPUTED_VALUE&quot;&quot;&quot;),&quot;Machine Learning&quot;)"/>
    <hyperlink ref="F60" r:id="rId57" display="=IFERROR(@__xludf.DUMMYFUNCTION(&quot;&quot;&quot;COMPUTED_VALUE&quot;&quot;&quot;),&quot;Deep Learning&quot;)"/>
    <hyperlink ref="F62" r:id="rId58" display="=IFERROR(@__xludf.DUMMYFUNCTION(&quot;&quot;&quot;COMPUTED_VALUE&quot;&quot;&quot;),&quot;Data Science&quot;)"/>
    <hyperlink ref="F63" r:id="rId59" display="=IFERROR(@__xludf.DUMMYFUNCTION(&quot;&quot;&quot;COMPUTED_VALUE&quot;&quot;&quot;),&quot;Big Data Analytics&quot;)"/>
    <hyperlink ref="F64" r:id="rId60" display="=IFERROR(@__xludf.DUMMYFUNCTION(&quot;&quot;&quot;COMPUTED_VALUE&quot;&quot;&quot;),&quot;Artificial Intelligence&quot;)"/>
    <hyperlink ref="F65" r:id="rId61" display="=IFERROR(@__xludf.DUMMYFUNCTION(&quot;&quot;&quot;COMPUTED_VALUE&quot;&quot;&quot;),&quot;Embedded Board Design&quot;)"/>
    <hyperlink ref="F66" r:id="rId62" display="=IFERROR(@__xludf.DUMMYFUNCTION(&quot;&quot;&quot;COMPUTED_VALUE&quot;&quot;&quot;),&quot;Embedded Board Manufacturing&quot;)"/>
    <hyperlink ref="F67" r:id="rId63" display="=IFERROR(@__xludf.DUMMYFUNCTION(&quot;&quot;&quot;COMPUTED_VALUE&quot;&quot;&quot;),&quot;Block Chain Architecture and its Use Cases&quot;)"/>
    <hyperlink ref="F68" r:id="rId64" display="=IFERROR(@__xludf.DUMMYFUNCTION(&quot;&quot;&quot;COMPUTED_VALUE&quot;&quot;&quot;),&quot;Quantum Computing&quot;)"/>
    <hyperlink ref="F69" r:id="rId65" display="=IFERROR(@__xludf.DUMMYFUNCTION(&quot;&quot;&quot;COMPUTED_VALUE&quot;&quot;&quot;),&quot;Cyber Security&quot;)"/>
    <hyperlink ref="F70" r:id="rId66" display="=IFERROR(@__xludf.DUMMYFUNCTION(&quot;&quot;&quot;COMPUTED_VALUE&quot;&quot;&quot;),&quot;Virtual Reality&quot;)"/>
    <hyperlink ref="F71" r:id="rId67" display="=IFERROR(@__xludf.DUMMYFUNCTION(&quot;&quot;&quot;COMPUTED_VALUE&quot;&quot;&quot;),&quot;Python Programming&quot;)"/>
    <hyperlink ref="F72" r:id="rId68" display="=IFERROR(@__xludf.DUMMYFUNCTION(&quot;&quot;&quot;COMPUTED_VALUE&quot;&quot;&quot;),&quot;Essentials of Cryptography and Network Security&quot;)"/>
    <hyperlink ref="F73" r:id="rId69" display="=IFERROR(@__xludf.DUMMYFUNCTION(&quot;&quot;&quot;COMPUTED_VALUE&quot;&quot;&quot;),&quot;Wireless Networks&quot;)"/>
    <hyperlink ref="F74" r:id="rId70" display="=IFERROR(@__xludf.DUMMYFUNCTION(&quot;&quot;&quot;COMPUTED_VALUE&quot;&quot;&quot;),&quot;Ad Hoc and Wireless Sensor Networks&quot;)"/>
    <hyperlink ref="F75" r:id="rId71" display="=IFERROR(@__xludf.DUMMYFUNCTION(&quot;&quot;&quot;COMPUTED_VALUE&quot;&quot;&quot;),&quot;Peer-to-Peer Computing&quot;)"/>
    <hyperlink ref="F76" r:id="rId72" display="=IFERROR(@__xludf.DUMMYFUNCTION(&quot;&quot;&quot;COMPUTED_VALUE&quot;&quot;&quot;),&quot;Communication Networks and Cyber Security&quot;)"/>
    <hyperlink ref="F78" r:id="rId73" display="=IFERROR(@__xludf.DUMMYFUNCTION(&quot;&quot;&quot;COMPUTED_VALUE&quot;&quot;&quot;),&quot;Satellite Communication&quot;)"/>
    <hyperlink ref="F79" r:id="rId74" display="=IFERROR(@__xludf.DUMMYFUNCTION(&quot;&quot;&quot;COMPUTED_VALUE&quot;&quot;&quot;),&quot;Electromagnetic Interference and Compatibility&quot;)"/>
    <hyperlink ref="F80" r:id="rId75" display="=IFERROR(@__xludf.DUMMYFUNCTION(&quot;&quot;&quot;COMPUTED_VALUE&quot;&quot;&quot;),&quot;Cognitive Radio&quot;)"/>
    <hyperlink ref="F81" r:id="rId76" display="=IFERROR(@__xludf.DUMMYFUNCTION(&quot;&quot;&quot;COMPUTED_VALUE&quot;&quot;&quot;),&quot;Radar and Navigational Aids&quot;)"/>
    <hyperlink ref="F82" r:id="rId77" display="=IFERROR(@__xludf.DUMMYFUNCTION(&quot;&quot;&quot;COMPUTED_VALUE&quot;&quot;&quot;),&quot;RF Circuit Design&quot;)"/>
    <hyperlink ref="F83" r:id="rId78" display="=IFERROR(@__xludf.DUMMYFUNCTION(&quot;&quot;&quot;COMPUTED_VALUE&quot;&quot;&quot;),&quot;RF MEMS and MOEMS&quot;)"/>
    <hyperlink ref="F84" r:id="rId79" display="=IFERROR(@__xludf.DUMMYFUNCTION(&quot;&quot;&quot;COMPUTED_VALUE&quot;&quot;&quot;),&quot;HDL Programming&quot;)"/>
    <hyperlink ref="F85" r:id="rId80" display="=IFERROR(@__xludf.DUMMYFUNCTION(&quot;&quot;&quot;COMPUTED_VALUE&quot;&quot;&quot;),&quot;Verilog HDL&quot;)"/>
    <hyperlink ref="F86" r:id="rId81" display="=IFERROR(@__xludf.DUMMYFUNCTION(&quot;&quot;&quot;COMPUTED_VALUE&quot;&quot;&quot;),&quot;Low Power VLSI Design&quot;)"/>
    <hyperlink ref="F87" r:id="rId82" display="=IFERROR(@__xludf.DUMMYFUNCTION(&quot;&quot;&quot;COMPUTED_VALUE&quot;&quot;&quot;),&quot;CMOS Analog IC Design&quot;)"/>
    <hyperlink ref="F88" r:id="rId83" display="=IFERROR(@__xludf.DUMMYFUNCTION(&quot;&quot;&quot;COMPUTED_VALUE&quot;&quot;&quot;),&quot;Testing of VLSI Circuits&quot;)"/>
    <hyperlink ref="F89" r:id="rId84" display="=IFERROR(@__xludf.DUMMYFUNCTION(&quot;&quot;&quot;COMPUTED_VALUE&quot;&quot;&quot;),&quot;System Verilog for Design and Verification&quot;)"/>
    <hyperlink ref="F90" r:id="rId85" display="=IFERROR(@__xludf.DUMMYFUNCTION(&quot;&quot;&quot;COMPUTED_VALUE&quot;&quot;&quot;),&quot;Physical Design for VLSI&quot;)"/>
    <hyperlink ref="F91" r:id="rId86" display="=IFERROR(@__xludf.DUMMYFUNCTION(&quot;&quot;&quot;COMPUTED_VALUE&quot;&quot;&quot;),&quot;Introduction to MEMS and NEMS&quot;)"/>
    <hyperlink ref="F92" r:id="rId87" display="=IFERROR(@__xludf.DUMMYFUNCTION(&quot;&quot;&quot;COMPUTED_VALUE&quot;&quot;&quot;),&quot;Professional Readiness for Innovation, Employability and Entrepreneurship&quot;)"/>
    <hyperlink ref="F93" r:id="rId88" display="=IFERROR(@__xludf.DUMMYFUNCTION(&quot;&quot;&quot;COMPUTED_VALUE&quot;&quot;&quot;),&quot;Analysis of Algorithms&quot;)"/>
    <hyperlink ref="F94" r:id="rId89" display="=IFERROR(@__xludf.DUMMYFUNCTION(&quot;&quot;&quot;COMPUTED_VALUE&quot;&quot;&quot;),&quot;Graph Theory and Applications&quot;)"/>
    <hyperlink ref="F95" r:id="rId90" display="=IFERROR(@__xludf.DUMMYFUNCTION(&quot;&quot;&quot;COMPUTED_VALUE&quot;&quot;&quot;),&quot;Fundamentals of Artificial Intelligence&quot;)"/>
    <hyperlink ref="F96" r:id="rId91" display="=IFERROR(@__xludf.DUMMYFUNCTION(&quot;&quot;&quot;COMPUTED_VALUE&quot;&quot;&quot;),&quot;Problem Solving and Python Programming&quot;)"/>
    <hyperlink ref="F100" r:id="rId92" display="=IFERROR(@__xludf.DUMMYFUNCTION(&quot;&quot;&quot;COMPUTED_VALUE&quot;&quot;&quot;),&quot;Mini Project&quot;)"/>
    <hyperlink ref="F101" r:id="rId93" display="=IFERROR(@__xludf.DUMMYFUNCTION(&quot;&quot;&quot;COMPUTED_VALUE&quot;&quot;&quot;),&quot;Project Work Phase I&quot;)"/>
    <hyperlink ref="F102" r:id="rId94" display="=IFERROR(@__xludf.DUMMYFUNCTION(&quot;&quot;&quot;COMPUTED_VALUE&quot;&quot;&quot;),&quot;Project Work Phase II&quot;)"/>
    <hyperlink ref="F103" r:id="rId95" display="=IFERROR(@__xludf.DUMMYFUNCTION(&quot;&quot;&quot;COMPUTED_VALUE&quot;&quot;&quot;),&quot;Softskills&quot;)"/>
    <hyperlink ref="F104" r:id="rId96" display="=IFERROR(@__xludf.DUMMYFUNCTION(&quot;&quot;&quot;COMPUTED_VALUE&quot;&quot;&quot;),&quot;Career Development Skills&quot;)"/>
    <hyperlink ref="F105" r:id="rId97" display="=IFERROR(@__xludf.DUMMYFUNCTION(&quot;&quot;&quot;COMPUTED_VALUE&quot;&quot;&quot;),&quot;Creative Skills for Communication&quot;)"/>
    <hyperlink ref="F106" r:id="rId98" display="=IFERROR(@__xludf.DUMMYFUNCTION(&quot;&quot;&quot;COMPUTED_VALUE&quot;&quot;&quot;),&quot;Reasoning Ability&quot;)"/>
    <hyperlink ref="F107" r:id="rId99" display="=IFERROR(@__xludf.DUMMYFUNCTION(&quot;&quot;&quot;COMPUTED_VALUE&quot;&quot;&quot;),&quot;System of Numerical and Logical Terminologies&quot;)"/>
    <hyperlink ref="F108" r:id="rId100" display="=IFERROR(@__xludf.DUMMYFUNCTION(&quot;&quot;&quot;COMPUTED_VALUE&quot;&quot;&quot;),&quot;Advanced Quantitative and Logical Reasoning&quot;)"/>
    <hyperlink ref="F109" r:id="rId101" display="=IFERROR(@__xludf.DUMMYFUNCTION(&quot;&quot;&quot;COMPUTED_VALUE&quot;&quot;&quot;),&quot;Quantitative Ability I&quot;)"/>
    <hyperlink ref="F110" r:id="rId102" display="=IFERROR(@__xludf.DUMMYFUNCTION(&quot;&quot;&quot;COMPUTED_VALUE&quot;&quot;&quot;),&quot;Quantitative Ability II&quot;)"/>
    <hyperlink ref="F111" r:id="rId103" display="=IFERROR(@__xludf.DUMMYFUNCTION(&quot;&quot;&quot;COMPUTED_VALUE&quot;&quot;&quot;),&quot;Employment Enhancement Skills&quot;)"/>
    <hyperlink ref="F112" r:id="rId104" display="=IFERROR(@__xludf.DUMMYFUNCTION(&quot;&quot;&quot;COMPUTED_VALUE&quot;&quot;&quot;),&quot;Employment Enrichment Skills&quot;)"/>
    <hyperlink ref="F113" r:id="rId105" display="=IFERROR(@__xludf.DUMMYFUNCTION(&quot;&quot;&quot;COMPUTED_VALUE&quot;&quot;&quot;),&quot;Company Specific Assessments For Employability&quot;)"/>
    <hyperlink ref="F114" r:id="rId106" display="=IFERROR(@__xludf.DUMMYFUNCTION(&quot;&quot;&quot;COMPUTED_VALUE&quot;&quot;&quot;),&quot;Paper Publication&quot;)"/>
    <hyperlink ref="F115" r:id="rId107" display="=IFERROR(@__xludf.DUMMYFUNCTION(&quot;&quot;&quot;COMPUTED_VALUE&quot;&quot;&quot;),&quot;Professional Ethics&quot;)"/>
    <hyperlink ref="F116" r:id="rId108" display="=IFERROR(@__xludf.DUMMYFUNCTION(&quot;&quot;&quot;COMPUTED_VALUE&quot;&quot;&quot;),&quot;Environmental Science&quot;)"/>
    <hyperlink ref="F117" r:id="rId109" display="=IFERROR(@__xludf.DUMMYFUNCTION(&quot;&quot;&quot;COMPUTED_VALUE&quot;&quot;&quot;),&quot;Constitution of India&quot;)"/>
    <hyperlink ref="F122" r:id="rId110" display="=IFERROR(@__xludf.DUMMYFUNCTION(&quot;&quot;&quot;COMPUTED_VALUE&quot;&quot;&quot;),&quot;Placement Readiness Assessment&quot;)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79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""R2024-ECE!A:A""),
IMPORTRANGE(""https://docs.google.com/spreadsheets/d/1UvPg-G_Bj-UNhLC2uL8tntfYsnld_PABqE3impzOchM/edit"", ""R2024-"&amp;"ECE!D:D""),
IMPORTRANGE(""https://docs.google.com/spreadsheets/d/1UvPg-G_Bj-UNhLC2uL8tntfYsnld_PABqE3impzOchM/edit"", ""R2024-ECE!E:E""),
IMPORTRANGE(""https://docs.google.com/spreadsheets/d/1UvPg-G_Bj-UNhLC2uL8tntfYsnld_PABqE3impzOchM/edit"", ""R2024-ECE"&amp;"!F:F""),
IMPORTRANGE(""https://docs.google.com/spreadsheets/d/1UvPg-G_Bj-UNhLC2uL8tntfYsnld_PABqE3impzOchM/edit"", ""R2024-ECE!G:G""),
IMPORTRANGE(""https://docs.google.com/spreadsheets/d/1UvPg-G_Bj-UNhLC2uL8tntfYsnld_PABqE3impzOchM/edit"", ""R2024-ECE!I:"&amp;"I""),
IMPORTRANGE(""https://docs.google.com/spreadsheets/d/1UvPg-G_Bj-UNhLC2uL8tntfYsnld_PABqE3impzOchM/edit"", ""R2024-ECE!N:N""),
IMPORTRANGE(""https://docs.google.com/spreadsheets/d/1UvPg-G_Bj-UNhLC2uL8tntfYsnld_PABqE3impzOchM/edit"", ""R2024-ECE!O:O"""&amp;"),
IMPORTRANGE(""https://docs.google.com/spreadsheets/d/1UvPg-G_Bj-UNhLC2uL8tntfYsnld_PABqE3impzOchM/edit"", ""R2024-ECE!P:P""),
IMPORTRANGE(""https://docs.google.com/spreadsheets/d/1UvPg-G_Bj-UNhLC2uL8tntfYsnld_PABqE3impzOchM/edit"", ""R2024-ECE!Q:Q""),
"&amp;"IMPORTRANGE(""https://docs.google.com/spreadsheets/d/1UvPg-G_Bj-UNhLC2uL8tntfYsnld_PABqE3impzOchM/edit"", ""R2024-ECE!R:R""),
IMPORTRANGE(""https://docs.google.com/spreadsheets/d/1UvPg-G_Bj-UNhLC2uL8tntfYsnld_PABqE3impzOchM/edit"", ""R2024-ECE!S:S""),
IMP"&amp;"ORTRANGE(""https://docs.google.com/spreadsheets/d/1UvPg-G_Bj-UNhLC2uL8tntfYsnld_PABqE3impzOchM/edit"", ""R2024-ECE!V:V""),
IMPORTRANGE(""https://docs.google.com/spreadsheets/d/1UvPg-G_Bj-UNhLC2uL8tntfYsnld_PABqE3impzOchM/edit"", ""R2024-ECE!X:X""),
IMPORT"&amp;"RANGE(""https://docs.google.com/spreadsheets/d/1UvPg-G_Bj-UNhLC2uL8tntfYsnld_PABqE3impzOchM/edit"", ""R2024-ECE!Y:Y"")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IFERROR(__xludf.DUMMYFUNCTION("""COMPUTED_VALUE"""),"SH1106")</f>
        <v>SH1106</v>
      </c>
      <c r="E3" s="2" t="str">
        <f>IFERROR(__xludf.DUMMYFUNCTION("""COMPUTED_VALUE"""),"19EN106")</f>
        <v>19EN106</v>
      </c>
      <c r="F3" s="7" t="str">
        <f>IFERROR(__xludf.DUMMYFUNCTION("""COMPUTED_VALUE"""),"English for Engineers")</f>
        <v>English for Engineers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IFERROR(__xludf.DUMMYFUNCTION("""COMPUTED_VALUE"""),13)</f>
        <v>13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/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IFERROR(__xludf.DUMMYFUNCTION("""COMPUTED_VALUE"""),21)</f>
        <v>21</v>
      </c>
      <c r="O4" s="20">
        <f>IFERROR(__xludf.DUMMYFUNCTION("""COMPUTED_VALUE"""),6)</f>
        <v>6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LE")</f>
        <v>Exempted for LE</v>
      </c>
      <c r="C5" s="2" t="str">
        <f>IFERROR(__xludf.DUMMYFUNCTION("""COMPUTED_VALUE"""),"HS")</f>
        <v>HS</v>
      </c>
      <c r="D5" s="2" t="str">
        <f>IFERROR(__xludf.DUMMYFUNCTION("""COMPUTED_VALUE"""),"SH9801")</f>
        <v>SH9801</v>
      </c>
      <c r="E5" s="2" t="str">
        <f>IFERROR(__xludf.DUMMYFUNCTION("""COMPUTED_VALUE"""),"NA")</f>
        <v>NA</v>
      </c>
      <c r="F5" s="7" t="str">
        <f>IFERROR(__xludf.DUMMYFUNCTION("""COMPUTED_VALUE"""),"Organizational Behavior and Leadership")</f>
        <v>Organizational Behavior and Leadership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IFERROR(__xludf.DUMMYFUNCTION("""COMPUTED_VALUE"""),0)</f>
        <v>0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IFERROR(__xludf.DUMMYFUNCTION("""COMPUTED_VALUE"""),24)</f>
        <v>24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/>
      <c r="C6" s="2" t="str">
        <f>IFERROR(__xludf.DUMMYFUNCTION("""COMPUTED_VALUE"""),"HS")</f>
        <v>HS</v>
      </c>
      <c r="D6" s="2" t="str">
        <f>IFERROR(__xludf.DUMMYFUNCTION("""COMPUTED_VALUE"""),"SH7801")</f>
        <v>SH7801</v>
      </c>
      <c r="E6" s="2" t="str">
        <f>IFERROR(__xludf.DUMMYFUNCTION("""COMPUTED_VALUE"""),"NA")</f>
        <v>NA</v>
      </c>
      <c r="F6" s="7" t="str">
        <f>IFERROR(__xludf.DUMMYFUNCTION("""COMPUTED_VALUE"""),"Human Values and Professional Ethics")</f>
        <v>Human Values and Professional Ethics</v>
      </c>
      <c r="G6" s="2" t="str">
        <f>IFERROR(__xludf.DUMMYFUNCTION("""COMPUTED_VALUE"""),"-")</f>
        <v>-</v>
      </c>
      <c r="H6" s="2">
        <f>IFERROR(__xludf.DUMMYFUNCTION("""COMPUTED_VALUE"""),2)</f>
        <v>2</v>
      </c>
      <c r="I6" s="2">
        <f>IFERROR(__xludf.DUMMYFUNCTION("""COMPUTED_VALUE"""),0)</f>
        <v>0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IFERROR(__xludf.DUMMYFUNCTION("""COMPUTED_VALUE"""),59)</f>
        <v>59</v>
      </c>
      <c r="O6" s="20">
        <f>IFERROR(__xludf.DUMMYFUNCTION("""COMPUTED_VALUE"""),57)</f>
        <v>57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IFERROR(__xludf.DUMMYFUNCTION("""COMPUTED_VALUE"""),"SH7101")</f>
        <v>SH7101</v>
      </c>
      <c r="E7" s="2" t="str">
        <f>IFERROR(__xludf.DUMMYFUNCTION("""COMPUTED_VALUE"""),"22HS101")</f>
        <v>22HS101</v>
      </c>
      <c r="F7" s="7" t="str">
        <f>IFERROR(__xludf.DUMMYFUNCTION("""COMPUTED_VALUE"""),"தமிழர் மரபு/ Heritage of Tamils")</f>
        <v>தமிழர் மரபு/ Heritage of Tamils</v>
      </c>
      <c r="G7" s="2" t="str">
        <f>IFERROR(__xludf.DUMMYFUNCTION("""COMPUTED_VALUE"""),"-")</f>
        <v>-</v>
      </c>
      <c r="H7" s="2">
        <f>IFERROR(__xludf.DUMMYFUNCTION("""COMPUTED_VALUE"""),1)</f>
        <v>1</v>
      </c>
      <c r="I7" s="2">
        <f>IFERROR(__xludf.DUMMYFUNCTION("""COMPUTED_VALUE"""),0)</f>
        <v>0</v>
      </c>
      <c r="J7" s="2">
        <f>IFERROR(__xludf.DUMMYFUNCTION("""COMPUTED_VALUE"""),1)</f>
        <v>1</v>
      </c>
      <c r="K7" s="2" t="str">
        <f>IFERROR(__xludf.DUMMYFUNCTION("""COMPUTED_VALUE"""),"CGPA")</f>
        <v>CGPA</v>
      </c>
      <c r="L7" s="18" t="str">
        <f>IFERROR(__xludf.DUMMYFUNCTION("""COMPUTED_VALUE"""),"Theory (Int Only)")</f>
        <v>Theory (Int Only)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IFERROR(__xludf.DUMMYFUNCTION("""COMPUTED_VALUE"""),"SH7102")</f>
        <v>SH7102</v>
      </c>
      <c r="E8" s="2" t="str">
        <f>IFERROR(__xludf.DUMMYFUNCTION("""COMPUTED_VALUE"""),"22HS102")</f>
        <v>22HS102</v>
      </c>
      <c r="F8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8" s="2" t="str">
        <f>IFERROR(__xludf.DUMMYFUNCTION("""COMPUTED_VALUE"""),"-")</f>
        <v>-</v>
      </c>
      <c r="H8" s="2">
        <f>IFERROR(__xludf.DUMMYFUNCTION("""COMPUTED_VALUE"""),1)</f>
        <v>1</v>
      </c>
      <c r="I8" s="2">
        <f>IFERROR(__xludf.DUMMYFUNCTION("""COMPUTED_VALUE"""),0)</f>
        <v>0</v>
      </c>
      <c r="J8" s="2">
        <f>IFERROR(__xludf.DUMMYFUNCTION("""COMPUTED_VALUE"""),1)</f>
        <v>1</v>
      </c>
      <c r="K8" s="2" t="str">
        <f>IFERROR(__xludf.DUMMYFUNCTION("""COMPUTED_VALUE"""),"CGPA")</f>
        <v>CGPA</v>
      </c>
      <c r="L8" s="18" t="str">
        <f>IFERROR(__xludf.DUMMYFUNCTION("""COMPUTED_VALUE"""),"Theory (Int Only)")</f>
        <v>Theory (Int Only)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IFERROR(__xludf.DUMMYFUNCTION("""COMPUTED_VALUE"""),"BS")</f>
        <v>BS</v>
      </c>
      <c r="D9" s="2" t="str">
        <f>IFERROR(__xludf.DUMMYFUNCTION("""COMPUTED_VALUE"""),"SH3216")</f>
        <v>SH3216</v>
      </c>
      <c r="E9" s="2" t="str">
        <f>IFERROR(__xludf.DUMMYFUNCTION("""COMPUTED_VALUE"""),"19PH216")</f>
        <v>19PH216</v>
      </c>
      <c r="F9" s="7" t="str">
        <f>IFERROR(__xludf.DUMMYFUNCTION("""COMPUTED_VALUE"""),"Physics for Electronics Engineering")</f>
        <v>Physics for Electronics Engineering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IFERROR(__xludf.DUMMYFUNCTION("""COMPUTED_VALUE"""),1)</f>
        <v>1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IFERROR(__xludf.DUMMYFUNCTION("""COMPUTED_VALUE"""),"TIP (6 Expts)")</f>
        <v>TIP (6 Expts)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IFERROR(__xludf.DUMMYFUNCTION("""COMPUTED_VALUE"""),"BS")</f>
        <v>BS</v>
      </c>
      <c r="D10" s="2" t="str">
        <f>IFERROR(__xludf.DUMMYFUNCTION("""COMPUTED_VALUE"""),"SH4805")</f>
        <v>SH4805</v>
      </c>
      <c r="E10" s="2" t="str">
        <f>IFERROR(__xludf.DUMMYFUNCTION("""COMPUTED_VALUE"""),"NA")</f>
        <v>NA</v>
      </c>
      <c r="F10" s="7" t="str">
        <f>IFERROR(__xludf.DUMMYFUNCTION("""COMPUTED_VALUE"""),"Chemistry of Engineering Materials")</f>
        <v>Chemistry of Engineering Materials</v>
      </c>
      <c r="G10" s="2" t="str">
        <f>IFERROR(__xludf.DUMMYFUNCTION("""COMPUTED_VALUE"""),"-")</f>
        <v>-</v>
      </c>
      <c r="H10" s="2">
        <f>IFERROR(__xludf.DUMMYFUNCTION("""COMPUTED_VALUE"""),2)</f>
        <v>2</v>
      </c>
      <c r="I10" s="2">
        <f>IFERROR(__xludf.DUMMYFUNCTION("""COMPUTED_VALUE"""),1)</f>
        <v>1</v>
      </c>
      <c r="J10" s="2">
        <f>IFERROR(__xludf.DUMMYFUNCTION("""COMPUTED_VALUE"""),3)</f>
        <v>3</v>
      </c>
      <c r="K10" s="2" t="str">
        <f>IFERROR(__xludf.DUMMYFUNCTION("""COMPUTED_VALUE"""),"CGPA")</f>
        <v>CGPA</v>
      </c>
      <c r="L10" s="18" t="str">
        <f>IFERROR(__xludf.DUMMYFUNCTION("""COMPUTED_VALUE"""),"TIP (6 Expts)")</f>
        <v>TIP (6 Expts)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IFERROR(__xludf.DUMMYFUNCTION("""COMPUTED_VALUE"""),"SH2201")</f>
        <v>SH2201</v>
      </c>
      <c r="E11" s="2" t="str">
        <f>IFERROR(__xludf.DUMMYFUNCTION("""COMPUTED_VALUE"""),"19MA201")</f>
        <v>19MA201</v>
      </c>
      <c r="F11" s="7" t="str">
        <f>IFERROR(__xludf.DUMMYFUNCTION("""COMPUTED_VALUE"""),"Calculus and Matrix Algebra")</f>
        <v>Calculus and Matrix Algebra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IFERROR(__xludf.DUMMYFUNCTION("""COMPUTED_VALUE"""),163)</f>
        <v>163</v>
      </c>
      <c r="O11" s="23">
        <f>IFERROR(__xludf.DUMMYFUNCTION("""COMPUTED_VALUE"""),124)</f>
        <v>124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IFERROR(__xludf.DUMMYFUNCTION("""COMPUTED_VALUE"""),"SH2211")</f>
        <v>SH2211</v>
      </c>
      <c r="E12" s="2" t="str">
        <f>IFERROR(__xludf.DUMMYFUNCTION("""COMPUTED_VALUE"""),"19MA211")</f>
        <v>19MA211</v>
      </c>
      <c r="F12" s="7" t="str">
        <f>IFERROR(__xludf.DUMMYFUNCTION("""COMPUTED_VALUE"""),"Statistics and Numerical Methods")</f>
        <v>Statistics and Numerical Methods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IFERROR(__xludf.DUMMYFUNCTION("""COMPUTED_VALUE"""),"SH2223")</f>
        <v>SH2223</v>
      </c>
      <c r="E13" s="2" t="str">
        <f>IFERROR(__xludf.DUMMYFUNCTION("""COMPUTED_VALUE"""),"19MA223")</f>
        <v>19MA223</v>
      </c>
      <c r="F13" s="7" t="str">
        <f>IFERROR(__xludf.DUMMYFUNCTION("""COMPUTED_VALUE"""),"Linear Algebra and Probability")</f>
        <v>Linear Algebra and Probability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IFERROR(__xludf.DUMMYFUNCTION("""COMPUTED_VALUE"""),"SH4801")</f>
        <v>SH4801</v>
      </c>
      <c r="E14" s="2" t="str">
        <f>IFERROR(__xludf.DUMMYFUNCTION("""COMPUTED_VALUE"""),"NA")</f>
        <v>NA</v>
      </c>
      <c r="F14" s="7" t="str">
        <f>IFERROR(__xludf.DUMMYFUNCTION("""COMPUTED_VALUE"""),"Environmental Sciences and Sustainability")</f>
        <v>Environmental Sciences and Sustainability</v>
      </c>
      <c r="G14" s="2" t="str">
        <f>IFERROR(__xludf.DUMMYFUNCTION("""COMPUTED_VALUE"""),"-")</f>
        <v>-</v>
      </c>
      <c r="H14" s="2">
        <f>IFERROR(__xludf.DUMMYFUNCTION("""COMPUTED_VALUE"""),2)</f>
        <v>2</v>
      </c>
      <c r="I14" s="2">
        <f>IFERROR(__xludf.DUMMYFUNCTION("""COMPUTED_VALUE"""),0)</f>
        <v>0</v>
      </c>
      <c r="J14" s="2">
        <f>IFERROR(__xludf.DUMMYFUNCTION("""COMPUTED_VALUE"""),2)</f>
        <v>2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IFERROR(__xludf.DUMMYFUNCTION("""COMPUTED_VALUE"""),"ES")</f>
        <v>ES</v>
      </c>
      <c r="D15" s="2" t="str">
        <f>IFERROR(__xludf.DUMMYFUNCTION("""COMPUTED_VALUE"""),"EC2301")</f>
        <v>EC2301</v>
      </c>
      <c r="E15" s="2" t="str">
        <f>IFERROR(__xludf.DUMMYFUNCTION("""COMPUTED_VALUE"""),"19EE301")</f>
        <v>19EE301</v>
      </c>
      <c r="F15" s="7" t="str">
        <f>IFERROR(__xludf.DUMMYFUNCTION("""COMPUTED_VALUE"""),"Electric Circuits and Networks")</f>
        <v>Electric Circuits and Networks</v>
      </c>
      <c r="G15" s="2" t="str">
        <f>IFERROR(__xludf.DUMMYFUNCTION("""COMPUTED_VALUE"""),"19MA202")</f>
        <v>19MA202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IFERROR(__xludf.DUMMYFUNCTION("""COMPUTED_VALUE"""),"ES")</f>
        <v>ES</v>
      </c>
      <c r="D16" s="2" t="str">
        <f>IFERROR(__xludf.DUMMYFUNCTION("""COMPUTED_VALUE"""),"CS3304")</f>
        <v>CS3304</v>
      </c>
      <c r="E16" s="2" t="str">
        <f>IFERROR(__xludf.DUMMYFUNCTION("""COMPUTED_VALUE"""),"19AI304")</f>
        <v>19AI304</v>
      </c>
      <c r="F16" s="7" t="str">
        <f>IFERROR(__xludf.DUMMYFUNCTION("""COMPUTED_VALUE"""),"Fundamentals of C Programming")</f>
        <v>Fundamentals of C Programming</v>
      </c>
      <c r="G16" s="2" t="str">
        <f>IFERROR(__xludf.DUMMYFUNCTION("""COMPUTED_VALUE"""),"-")</f>
        <v>-</v>
      </c>
      <c r="H16" s="2">
        <f>IFERROR(__xludf.DUMMYFUNCTION("""COMPUTED_VALUE"""),2)</f>
        <v>2</v>
      </c>
      <c r="I16" s="2">
        <f>IFERROR(__xludf.DUMMYFUNCTION("""COMPUTED_VALUE"""),1)</f>
        <v>1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IFERROR(__xludf.DUMMYFUNCTION("""COMPUTED_VALUE"""),"ES")</f>
        <v>ES</v>
      </c>
      <c r="D17" s="2" t="str">
        <f>IFERROR(__xludf.DUMMYFUNCTION("""COMPUTED_VALUE"""),"CS3305")</f>
        <v>CS3305</v>
      </c>
      <c r="E17" s="2" t="str">
        <f>IFERROR(__xludf.DUMMYFUNCTION("""COMPUTED_VALUE"""),"19AI305")</f>
        <v>19AI305</v>
      </c>
      <c r="F17" s="7" t="str">
        <f>IFERROR(__xludf.DUMMYFUNCTION("""COMPUTED_VALUE"""),"Advanced C Programming")</f>
        <v>Advanced C Programming</v>
      </c>
      <c r="G17" s="2" t="str">
        <f>IFERROR(__xludf.DUMMYFUNCTION("""COMPUTED_VALUE"""),"19AI304 / CS3304")</f>
        <v>19AI304 / CS3304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IFERROR(__xludf.DUMMYFUNCTION("""COMPUTED_VALUE"""),"CS3408")</f>
        <v>CS3408</v>
      </c>
      <c r="E18" s="2" t="str">
        <f>IFERROR(__xludf.DUMMYFUNCTION("""COMPUTED_VALUE"""),"19AI408")</f>
        <v>19AI408</v>
      </c>
      <c r="F18" s="7" t="str">
        <f>IFERROR(__xludf.DUMMYFUNCTION("""COMPUTED_VALUE"""),"Data Structures")</f>
        <v>Data Structures</v>
      </c>
      <c r="G18" s="2" t="str">
        <f>IFERROR(__xludf.DUMMYFUNCTION("""COMPUTED_VALUE"""),"19AI304 / CS3304")</f>
        <v>19AI304 / CS3304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IFERROR(__xludf.DUMMYFUNCTION("""COMPUTED_VALUE"""),"NA")</f>
        <v>NA</v>
      </c>
      <c r="E19" s="2" t="str">
        <f>IFERROR(__xludf.DUMMYFUNCTION("""COMPUTED_VALUE"""),"19CS301")</f>
        <v>19CS301</v>
      </c>
      <c r="F19" s="7" t="str">
        <f>IFERROR(__xludf.DUMMYFUNCTION("""COMPUTED_VALUE"""),"Problem Solving and Python Programming")</f>
        <v>Problem Solving and Python Programming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IFERROR(__xludf.DUMMYFUNCTION("""COMPUTED_VALUE"""),"Any 1")</f>
        <v>Any 1</v>
      </c>
      <c r="C20" s="2" t="str">
        <f>IFERROR(__xludf.DUMMYFUNCTION("""COMPUTED_VALUE"""),"ES")</f>
        <v>ES</v>
      </c>
      <c r="D20" s="2" t="str">
        <f>IFERROR(__xludf.DUMMYFUNCTION("""COMPUTED_VALUE"""),"CS3306")</f>
        <v>CS3306</v>
      </c>
      <c r="E20" s="2" t="str">
        <f>IFERROR(__xludf.DUMMYFUNCTION("""COMPUTED_VALUE"""),"19AI306")</f>
        <v>19AI306</v>
      </c>
      <c r="F20" s="7" t="str">
        <f>IFERROR(__xludf.DUMMYFUNCTION("""COMPUTED_VALUE"""),"Object Oriented Programming using C++")</f>
        <v>Object Oriented Programming using C++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IFERROR(__xludf.DUMMYFUNCTION("""COMPUTED_VALUE"""),"Any 1")</f>
        <v>Any 1</v>
      </c>
      <c r="C21" s="2" t="str">
        <f>IFERROR(__xludf.DUMMYFUNCTION("""COMPUTED_VALUE"""),"ES")</f>
        <v>ES</v>
      </c>
      <c r="D21" s="2" t="str">
        <f>IFERROR(__xludf.DUMMYFUNCTION("""COMPUTED_VALUE"""),"CS3307")</f>
        <v>CS3307</v>
      </c>
      <c r="E21" s="2" t="str">
        <f>IFERROR(__xludf.DUMMYFUNCTION("""COMPUTED_VALUE"""),"19AI307")</f>
        <v>19AI307</v>
      </c>
      <c r="F21" s="7" t="str">
        <f>IFERROR(__xludf.DUMMYFUNCTION("""COMPUTED_VALUE"""),"Object Oriented Programming using Java")</f>
        <v>Object Oriented Programming using Java</v>
      </c>
      <c r="G21" s="2" t="str">
        <f>IFERROR(__xludf.DUMMYFUNCTION("""COMPUTED_VALUE"""),"p-")</f>
        <v>p-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IFERROR(__xludf.DUMMYFUNCTION("""COMPUTED_VALUE"""),"EC1302")</f>
        <v>EC1302</v>
      </c>
      <c r="E22" s="2" t="str">
        <f>IFERROR(__xludf.DUMMYFUNCTION("""COMPUTED_VALUE"""),"19EC302")</f>
        <v>19EC302</v>
      </c>
      <c r="F22" s="7" t="str">
        <f>IFERROR(__xludf.DUMMYFUNCTION("""COMPUTED_VALUE"""),"Electronic Devices")</f>
        <v>Electronic Devices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IFERROR(__xludf.DUMMYFUNCTION("""COMPUTED_VALUE"""),1)</f>
        <v>1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IFERROR(__xludf.DUMMYFUNCTION("""COMPUTED_VALUE"""),"PC")</f>
        <v>PC</v>
      </c>
      <c r="D23" s="2" t="str">
        <f>IFERROR(__xludf.DUMMYFUNCTION("""COMPUTED_VALUE"""),"EC1402")</f>
        <v>EC1402</v>
      </c>
      <c r="E23" s="2" t="str">
        <f>IFERROR(__xludf.DUMMYFUNCTION("""COMPUTED_VALUE"""),"19EC402")</f>
        <v>19EC402</v>
      </c>
      <c r="F23" s="7" t="str">
        <f>IFERROR(__xludf.DUMMYFUNCTION("""COMPUTED_VALUE"""),"Signals and Systems")</f>
        <v>Signals and Systems</v>
      </c>
      <c r="G23" s="2" t="str">
        <f>IFERROR(__xludf.DUMMYFUNCTION("""COMPUTED_VALUE"""),"19MA202")</f>
        <v>19MA202</v>
      </c>
      <c r="H23" s="2">
        <f>IFERROR(__xludf.DUMMYFUNCTION("""COMPUTED_VALUE"""),3)</f>
        <v>3</v>
      </c>
      <c r="I23" s="2">
        <f>IFERROR(__xludf.DUMMYFUNCTION("""COMPUTED_VALUE"""),0)</f>
        <v>0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IFERROR(__xludf.DUMMYFUNCTION("""COMPUTED_VALUE"""),"EC1801")</f>
        <v>EC1801</v>
      </c>
      <c r="E24" s="2" t="str">
        <f>IFERROR(__xludf.DUMMYFUNCTION("""COMPUTED_VALUE"""),"NA")</f>
        <v>NA</v>
      </c>
      <c r="F24" s="7" t="str">
        <f>IFERROR(__xludf.DUMMYFUNCTION("""COMPUTED_VALUE"""),"Digital Logic Circuits Design")</f>
        <v>Digital Logic Circuits Design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IFERROR(__xludf.DUMMYFUNCTION("""COMPUTED_VALUE"""),"EC1419")</f>
        <v>EC1419</v>
      </c>
      <c r="E25" s="2" t="str">
        <f>IFERROR(__xludf.DUMMYFUNCTION("""COMPUTED_VALUE"""),"19EC419")</f>
        <v>19EC419</v>
      </c>
      <c r="F25" s="7" t="str">
        <f>IFERROR(__xludf.DUMMYFUNCTION("""COMPUTED_VALUE"""),"Electronic Circuits")</f>
        <v>Electronic Circuits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IFERROR(__xludf.DUMMYFUNCTION("""COMPUTED_VALUE"""),"EC1802")</f>
        <v>EC1802</v>
      </c>
      <c r="E26" s="2" t="str">
        <f>IFERROR(__xludf.DUMMYFUNCTION("""COMPUTED_VALUE"""),"NA")</f>
        <v>NA</v>
      </c>
      <c r="F26" s="7" t="str">
        <f>IFERROR(__xludf.DUMMYFUNCTION("""COMPUTED_VALUE"""),"Electromagnetic Theory and Transmission Lines")</f>
        <v>Electromagnetic Theory and Transmission Lines</v>
      </c>
      <c r="G26" s="2" t="str">
        <f>IFERROR(__xludf.DUMMYFUNCTION("""COMPUTED_VALUE"""),"-")</f>
        <v>-</v>
      </c>
      <c r="H26" s="2">
        <f>IFERROR(__xludf.DUMMYFUNCTION("""COMPUTED_VALUE"""),4)</f>
        <v>4</v>
      </c>
      <c r="I26" s="2">
        <f>IFERROR(__xludf.DUMMYFUNCTION("""COMPUTED_VALUE"""),0)</f>
        <v>0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IFERROR(__xludf.DUMMYFUNCTION("""COMPUTED_VALUE"""),"Theory")</f>
        <v>Theory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IFERROR(__xludf.DUMMYFUNCTION("""COMPUTED_VALUE"""),"EC1421")</f>
        <v>EC1421</v>
      </c>
      <c r="E27" s="2" t="str">
        <f>IFERROR(__xludf.DUMMYFUNCTION("""COMPUTED_VALUE"""),"19EC421")</f>
        <v>19EC421</v>
      </c>
      <c r="F27" s="7" t="str">
        <f>IFERROR(__xludf.DUMMYFUNCTION("""COMPUTED_VALUE"""),"Analysis and Design of Analog ICs")</f>
        <v>Analysis and Design of Analog ICs</v>
      </c>
      <c r="G27" s="2" t="str">
        <f>IFERROR(__xludf.DUMMYFUNCTION("""COMPUTED_VALUE"""),"19EC302 /19EE405 / EC1302")</f>
        <v>19EC302 /19EE405 / EC1302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IFERROR(__xludf.DUMMYFUNCTION("""COMPUTED_VALUE"""),"EC1420")</f>
        <v>EC1420</v>
      </c>
      <c r="E28" s="2" t="str">
        <f>IFERROR(__xludf.DUMMYFUNCTION("""COMPUTED_VALUE"""),"19EC420")</f>
        <v>19EC420</v>
      </c>
      <c r="F28" s="7" t="str">
        <f>IFERROR(__xludf.DUMMYFUNCTION("""COMPUTED_VALUE"""),"Analog Communication")</f>
        <v>Analog Communication</v>
      </c>
      <c r="G28" s="2" t="str">
        <f>IFERROR(__xludf.DUMMYFUNCTION("""COMPUTED_VALUE"""),"19EC402 / EC1402")</f>
        <v>19EC402 / EC1402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IFERROR(__xludf.DUMMYFUNCTION("""COMPUTED_VALUE"""),"EC1406")</f>
        <v>EC1406</v>
      </c>
      <c r="E29" s="2" t="str">
        <f>IFERROR(__xludf.DUMMYFUNCTION("""COMPUTED_VALUE"""),"19EC406")</f>
        <v>19EC406</v>
      </c>
      <c r="F29" s="7" t="str">
        <f>IFERROR(__xludf.DUMMYFUNCTION("""COMPUTED_VALUE"""),"Digital Communication")</f>
        <v>Digital Communication</v>
      </c>
      <c r="G29" s="2" t="str">
        <f>IFERROR(__xludf.DUMMYFUNCTION("""COMPUTED_VALUE"""),"19EC403 / EC1420")</f>
        <v>19EC403 / EC1420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IFERROR(__xludf.DUMMYFUNCTION("""COMPUTED_VALUE"""),"EC1409")</f>
        <v>EC1409</v>
      </c>
      <c r="E30" s="2" t="str">
        <f>IFERROR(__xludf.DUMMYFUNCTION("""COMPUTED_VALUE"""),"19EC409")</f>
        <v>19EC409</v>
      </c>
      <c r="F30" s="7" t="str">
        <f>IFERROR(__xludf.DUMMYFUNCTION("""COMPUTED_VALUE"""),"Discrete Time Signal Processing")</f>
        <v>Discrete Time Signal Processing</v>
      </c>
      <c r="G30" s="2" t="str">
        <f>IFERROR(__xludf.DUMMYFUNCTION("""COMPUTED_VALUE"""),"19EC402 / EC1402")</f>
        <v>19EC402 / EC1402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IFERROR(__xludf.DUMMYFUNCTION("""COMPUTED_VALUE"""),"EC1410")</f>
        <v>EC1410</v>
      </c>
      <c r="E31" s="2" t="str">
        <f>IFERROR(__xludf.DUMMYFUNCTION("""COMPUTED_VALUE"""),"19EC410")</f>
        <v>19EC410</v>
      </c>
      <c r="F31" s="7" t="str">
        <f>IFERROR(__xludf.DUMMYFUNCTION("""COMPUTED_VALUE"""),"VLSI Design")</f>
        <v>VLSI Design</v>
      </c>
      <c r="G31" s="2" t="str">
        <f>IFERROR(__xludf.DUMMYFUNCTION("""COMPUTED_VALUE"""),"19EC303 / EC1801 / EC2404")</f>
        <v>19EC303 / EC1801 / EC2404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IFERROR(__xludf.DUMMYFUNCTION("""COMPUTED_VALUE"""),"EC1413")</f>
        <v>EC1413</v>
      </c>
      <c r="E32" s="2" t="str">
        <f>IFERROR(__xludf.DUMMYFUNCTION("""COMPUTED_VALUE"""),"19EC413")</f>
        <v>19EC413</v>
      </c>
      <c r="F32" s="7" t="str">
        <f>IFERROR(__xludf.DUMMYFUNCTION("""COMPUTED_VALUE"""),"Wireless Communication")</f>
        <v>Wireless Communication</v>
      </c>
      <c r="G32" s="2" t="str">
        <f>IFERROR(__xludf.DUMMYFUNCTION("""COMPUTED_VALUE"""),"19EC406 / EC1406")</f>
        <v>19EC406 / EC1406</v>
      </c>
      <c r="H32" s="2">
        <f>IFERROR(__xludf.DUMMYFUNCTION("""COMPUTED_VALUE"""),3)</f>
        <v>3</v>
      </c>
      <c r="I32" s="2">
        <f>IFERROR(__xludf.DUMMYFUNCTION("""COMPUTED_VALUE"""),0)</f>
        <v>0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IFERROR(__xludf.DUMMYFUNCTION("""COMPUTED_VALUE"""),"Theory")</f>
        <v>Theory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IFERROR(__xludf.DUMMYFUNCTION("""COMPUTED_VALUE"""),"EC1424")</f>
        <v>EC1424</v>
      </c>
      <c r="E33" s="2" t="str">
        <f>IFERROR(__xludf.DUMMYFUNCTION("""COMPUTED_VALUE"""),"19EC424")</f>
        <v>19EC424</v>
      </c>
      <c r="F33" s="7" t="str">
        <f>IFERROR(__xludf.DUMMYFUNCTION("""COMPUTED_VALUE"""),"Embedded Systems and IoT")</f>
        <v>Embedded Systems and IoT</v>
      </c>
      <c r="G33" s="2" t="str">
        <f>IFERROR(__xludf.DUMMYFUNCTION("""COMPUTED_VALUE"""),"19EC408 / EC1408")</f>
        <v>19EC408 / EC1408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IFERROR(__xludf.DUMMYFUNCTION("""COMPUTED_VALUE"""),"NA")</f>
        <v>NA</v>
      </c>
      <c r="E34" s="2" t="str">
        <f>IFERROR(__xludf.DUMMYFUNCTION("""COMPUTED_VALUE"""),"19EC423")</f>
        <v>19EC423</v>
      </c>
      <c r="F34" s="7" t="str">
        <f>IFERROR(__xludf.DUMMYFUNCTION("""COMPUTED_VALUE"""),"Cryptography and Network Security")</f>
        <v>Cryptography and Network Security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IFERROR(__xludf.DUMMYFUNCTION("""COMPUTED_VALUE"""),"EC1823")</f>
        <v>EC1823</v>
      </c>
      <c r="E35" s="2" t="str">
        <f>IFERROR(__xludf.DUMMYFUNCTION("""COMPUTED_VALUE"""),"19EE312")</f>
        <v>19EE312</v>
      </c>
      <c r="F35" s="7" t="str">
        <f>IFERROR(__xludf.DUMMYFUNCTION("""COMPUTED_VALUE"""),"Control System Engineering")</f>
        <v>Control System Engineering</v>
      </c>
      <c r="G35" s="2" t="str">
        <f>IFERROR(__xludf.DUMMYFUNCTION("""COMPUTED_VALUE"""),"19EC402 / EC1402")</f>
        <v>19EC402 / EC1402</v>
      </c>
      <c r="H35" s="2">
        <f>IFERROR(__xludf.DUMMYFUNCTION("""COMPUTED_VALUE"""),3)</f>
        <v>3</v>
      </c>
      <c r="I35" s="2">
        <f>IFERROR(__xludf.DUMMYFUNCTION("""COMPUTED_VALUE"""),0)</f>
        <v>0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IFERROR(__xludf.DUMMYFUNCTION("""COMPUTED_VALUE"""),"#N/A")</f>
        <v>#N/A</v>
      </c>
      <c r="E36" s="2" t="str">
        <f>IFERROR(__xludf.DUMMYFUNCTION("""COMPUTED_VALUE"""),"#N/A")</f>
        <v>#N/A</v>
      </c>
      <c r="F36" s="3" t="str">
        <f>IFERROR(__xludf.DUMMYFUNCTION("""COMPUTED_VALUE"""),"#N/A")</f>
        <v>#N/A</v>
      </c>
      <c r="G36" s="2" t="str">
        <f>IFERROR(__xludf.DUMMYFUNCTION("""COMPUTED_VALUE"""),"#N/A")</f>
        <v>#N/A</v>
      </c>
      <c r="H36" s="2" t="str">
        <f>IFERROR(__xludf.DUMMYFUNCTION("""COMPUTED_VALUE"""),"#N/A")</f>
        <v>#N/A</v>
      </c>
      <c r="I36" s="2" t="str">
        <f>IFERROR(__xludf.DUMMYFUNCTION("""COMPUTED_VALUE"""),"#N/A")</f>
        <v>#N/A</v>
      </c>
      <c r="J36" s="2" t="str">
        <f>IFERROR(__xludf.DUMMYFUNCTION("""COMPUTED_VALUE"""),"#N/A")</f>
        <v>#N/A</v>
      </c>
      <c r="K36" s="2" t="str">
        <f>IFERROR(__xludf.DUMMYFUNCTION("""COMPUTED_VALUE"""),"#N/A")</f>
        <v>#N/A</v>
      </c>
      <c r="L36" s="2" t="str">
        <f>IFERROR(__xludf.DUMMYFUNCTION("""COMPUTED_VALUE"""),"#N/A")</f>
        <v>#N/A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IFERROR(__xludf.DUMMYFUNCTION("""COMPUTED_VALUE"""),"NA")</f>
        <v>NA</v>
      </c>
      <c r="E37" s="2" t="str">
        <f>IFERROR(__xludf.DUMMYFUNCTION("""COMPUTED_VALUE"""),"19EC415")</f>
        <v>19EC415</v>
      </c>
      <c r="F37" s="7" t="str">
        <f>IFERROR(__xludf.DUMMYFUNCTION("""COMPUTED_VALUE"""),"Optical Communication and Networks")</f>
        <v>Optical Communication and Networks</v>
      </c>
      <c r="G37" s="2" t="str">
        <f>IFERROR(__xludf.DUMMYFUNCTION("""COMPUTED_VALUE"""),"19EC406")</f>
        <v>19EC406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IFERROR(__xludf.DUMMYFUNCTION("""COMPUTED_VALUE"""),"EC1520")</f>
        <v>EC1520</v>
      </c>
      <c r="E38" s="2" t="str">
        <f>IFERROR(__xludf.DUMMYFUNCTION("""COMPUTED_VALUE"""),"19EC520")</f>
        <v>19EC520</v>
      </c>
      <c r="F38" s="7" t="str">
        <f>IFERROR(__xludf.DUMMYFUNCTION("""COMPUTED_VALUE"""),"Introduction to MEMS and NEMS")</f>
        <v>Introduction to MEMS and NEMS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IFERROR(__xludf.DUMMYFUNCTION("""COMPUTED_VALUE"""),0)</f>
        <v>0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IFERROR(__xludf.DUMMYFUNCTION("""COMPUTED_VALUE"""),"Theory")</f>
        <v>Theory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IFERROR(__xludf.DUMMYFUNCTION("""COMPUTED_VALUE"""),"PE(Honours)")</f>
        <v>PE(Honours)</v>
      </c>
      <c r="D39" s="2" t="str">
        <f>IFERROR(__xludf.DUMMYFUNCTION("""COMPUTED_VALUE"""),"EC1523")</f>
        <v>EC1523</v>
      </c>
      <c r="E39" s="2" t="str">
        <f>IFERROR(__xludf.DUMMYFUNCTION("""COMPUTED_VALUE"""),"19EC523")</f>
        <v>19EC523</v>
      </c>
      <c r="F39" s="7" t="str">
        <f>IFERROR(__xludf.DUMMYFUNCTION("""COMPUTED_VALUE"""),"Verilog HDL")</f>
        <v>Verilog HDL</v>
      </c>
      <c r="G39" s="2" t="str">
        <f>IFERROR(__xludf.DUMMYFUNCTION("""COMPUTED_VALUE"""),"19EC303 / EC1801 / EC2404")</f>
        <v>19EC303 / EC1801 / EC2404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IFERROR(__xludf.DUMMYFUNCTION("""COMPUTED_VALUE"""),"PE(Honours)")</f>
        <v>PE(Honours)</v>
      </c>
      <c r="D40" s="2" t="str">
        <f>IFERROR(__xludf.DUMMYFUNCTION("""COMPUTED_VALUE"""),"EC1521")</f>
        <v>EC1521</v>
      </c>
      <c r="E40" s="2" t="str">
        <f>IFERROR(__xludf.DUMMYFUNCTION("""COMPUTED_VALUE"""),"19EC521")</f>
        <v>19EC521</v>
      </c>
      <c r="F40" s="7" t="str">
        <f>IFERROR(__xludf.DUMMYFUNCTION("""COMPUTED_VALUE"""),"System Verilog for Design and Verification")</f>
        <v>System Verilog for Design and Verification</v>
      </c>
      <c r="G40" s="2" t="str">
        <f>IFERROR(__xludf.DUMMYFUNCTION("""COMPUTED_VALUE""")," 19EC523 / EC1523")</f>
        <v> 19EC523 / EC1523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IFERROR(__xludf.DUMMYFUNCTION("""COMPUTED_VALUE"""),"PE(Honours)")</f>
        <v>PE(Honours)</v>
      </c>
      <c r="D41" s="2" t="str">
        <f>IFERROR(__xludf.DUMMYFUNCTION("""COMPUTED_VALUE"""),"EC1522")</f>
        <v>EC1522</v>
      </c>
      <c r="E41" s="2" t="str">
        <f>IFERROR(__xludf.DUMMYFUNCTION("""COMPUTED_VALUE"""),"19EC522")</f>
        <v>19EC522</v>
      </c>
      <c r="F41" s="7" t="str">
        <f>IFERROR(__xludf.DUMMYFUNCTION("""COMPUTED_VALUE"""),"Physical Design for VLSI")</f>
        <v>Physical Design for VLSI</v>
      </c>
      <c r="G41" s="2" t="str">
        <f>IFERROR(__xludf.DUMMYFUNCTION("""COMPUTED_VALUE"""),"19EC410 / EC1410")</f>
        <v>19EC410 / EC1410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IFERROR(__xludf.DUMMYFUNCTION("""COMPUTED_VALUE"""),"PE(Honours)")</f>
        <v>PE(Honours)</v>
      </c>
      <c r="D42" s="2" t="str">
        <f>IFERROR(__xludf.DUMMYFUNCTION("""COMPUTED_VALUE"""),"EC1822")</f>
        <v>EC1822</v>
      </c>
      <c r="E42" s="2" t="str">
        <f>IFERROR(__xludf.DUMMYFUNCTION("""COMPUTED_VALUE"""),"19EC822")</f>
        <v>19EC822</v>
      </c>
      <c r="F42" s="7" t="str">
        <f>IFERROR(__xludf.DUMMYFUNCTION("""COMPUTED_VALUE"""),"VLSI Technology")</f>
        <v>VLSI Technology</v>
      </c>
      <c r="G42" s="2" t="str">
        <f>IFERROR(__xludf.DUMMYFUNCTION("""COMPUTED_VALUE"""),"EC1410 / 19EC410")</f>
        <v>EC1410 / 19EC410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IFERROR(__xludf.DUMMYFUNCTION("""COMPUTED_VALUE"""),"PE(Honours)")</f>
        <v>PE(Honours)</v>
      </c>
      <c r="D43" s="2" t="str">
        <f>IFERROR(__xludf.DUMMYFUNCTION("""COMPUTED_VALUE"""),"EC1517")</f>
        <v>EC1517</v>
      </c>
      <c r="E43" s="2" t="str">
        <f>IFERROR(__xludf.DUMMYFUNCTION("""COMPUTED_VALUE"""),"19EC517")</f>
        <v>19EC517</v>
      </c>
      <c r="F43" s="7" t="str">
        <f>IFERROR(__xludf.DUMMYFUNCTION("""COMPUTED_VALUE"""),"Low Power VLSI Design")</f>
        <v>Low Power VLSI Design</v>
      </c>
      <c r="G43" s="2" t="str">
        <f>IFERROR(__xludf.DUMMYFUNCTION("""COMPUTED_VALUE"""),"19EC410 / EC1410")</f>
        <v>19EC410 / EC1410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IFERROR(__xludf.DUMMYFUNCTION("""COMPUTED_VALUE"""),"PE(Honours)")</f>
        <v>PE(Honours)</v>
      </c>
      <c r="D44" s="2" t="str">
        <f>IFERROR(__xludf.DUMMYFUNCTION("""COMPUTED_VALUE"""),"EC1519")</f>
        <v>EC1519</v>
      </c>
      <c r="E44" s="2" t="str">
        <f>IFERROR(__xludf.DUMMYFUNCTION("""COMPUTED_VALUE"""),"19EC519")</f>
        <v>19EC519</v>
      </c>
      <c r="F44" s="7" t="str">
        <f>IFERROR(__xludf.DUMMYFUNCTION("""COMPUTED_VALUE"""),"Testing of VLSI Circuits")</f>
        <v>Testing of VLSI Circuits</v>
      </c>
      <c r="G44" s="2" t="str">
        <f>IFERROR(__xludf.DUMMYFUNCTION("""COMPUTED_VALUE"""),"19EC410 / EC1410")</f>
        <v>19EC410 / EC1410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IFERROR(__xludf.DUMMYFUNCTION("""COMPUTED_VALUE"""),"PE(Honours 1)")</f>
        <v>PE(Honours 1)</v>
      </c>
      <c r="D45" s="2" t="str">
        <f>IFERROR(__xludf.DUMMYFUNCTION("""COMPUTED_VALUE"""),"EC1524")</f>
        <v>EC1524</v>
      </c>
      <c r="E45" s="2" t="str">
        <f>IFERROR(__xludf.DUMMYFUNCTION("""COMPUTED_VALUE"""),"19EC524")</f>
        <v>19EC524</v>
      </c>
      <c r="F45" s="7" t="str">
        <f>IFERROR(__xludf.DUMMYFUNCTION("""COMPUTED_VALUE"""),"Natural Language Processing")</f>
        <v>Natural Language Processing</v>
      </c>
      <c r="G45" s="2" t="str">
        <f>IFERROR(__xludf.DUMMYFUNCTION("""COMPUTED_VALUE"""),"19EC409 / EC1409")</f>
        <v>19EC409 / EC1409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IFERROR(__xludf.DUMMYFUNCTION("""COMPUTED_VALUE"""),"PE(Honours 1)")</f>
        <v>PE(Honours 1)</v>
      </c>
      <c r="D46" s="2" t="str">
        <f>IFERROR(__xludf.DUMMYFUNCTION("""COMPUTED_VALUE"""),"EC1503")</f>
        <v>EC1503</v>
      </c>
      <c r="E46" s="2" t="str">
        <f>IFERROR(__xludf.DUMMYFUNCTION("""COMPUTED_VALUE"""),"19EC503")</f>
        <v>19EC503</v>
      </c>
      <c r="F46" s="7" t="str">
        <f>IFERROR(__xludf.DUMMYFUNCTION("""COMPUTED_VALUE"""),"Digital Image Processing")</f>
        <v>Digital Image Processing</v>
      </c>
      <c r="G46" s="2" t="str">
        <f>IFERROR(__xludf.DUMMYFUNCTION("""COMPUTED_VALUE"""),"19EC409 / EC1409")</f>
        <v>19EC409 / EC1409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IFERROR(__xludf.DUMMYFUNCTION("""COMPUTED_VALUE"""),"PE(Honours 1)")</f>
        <v>PE(Honours 1)</v>
      </c>
      <c r="D47" s="2" t="str">
        <f>IFERROR(__xludf.DUMMYFUNCTION("""COMPUTED_VALUE"""),"EC1803")</f>
        <v>EC1803</v>
      </c>
      <c r="E47" s="2" t="str">
        <f>IFERROR(__xludf.DUMMYFUNCTION("""COMPUTED_VALUE"""),"NA")</f>
        <v>NA</v>
      </c>
      <c r="F47" s="7" t="str">
        <f>IFERROR(__xludf.DUMMYFUNCTION("""COMPUTED_VALUE"""),"Computer Vision and Pattern Recognition")</f>
        <v>Computer Vision and Pattern Recognition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IFERROR(__xludf.DUMMYFUNCTION("""COMPUTED_VALUE"""),"PE(Honours 1)")</f>
        <v>PE(Honours 1)</v>
      </c>
      <c r="D48" s="2" t="str">
        <f>IFERROR(__xludf.DUMMYFUNCTION("""COMPUTED_VALUE"""),"CS1557")</f>
        <v>CS1557</v>
      </c>
      <c r="E48" s="2" t="str">
        <f>IFERROR(__xludf.DUMMYFUNCTION("""COMPUTED_VALUE"""),"19CS557")</f>
        <v>19CS557</v>
      </c>
      <c r="F48" s="3" t="str">
        <f>IFERROR(__xludf.DUMMYFUNCTION("""COMPUTED_VALUE"""),"Software Defined Networks")</f>
        <v>Software Defined Networks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IFERROR(__xludf.DUMMYFUNCTION("""COMPUTED_VALUE"""),"PE(Honours 1)")</f>
        <v>PE(Honours 1)</v>
      </c>
      <c r="D49" s="2" t="str">
        <f>IFERROR(__xludf.DUMMYFUNCTION("""COMPUTED_VALUE"""),"EC1804")</f>
        <v>EC1804</v>
      </c>
      <c r="E49" s="2" t="str">
        <f>IFERROR(__xludf.DUMMYFUNCTION("""COMPUTED_VALUE"""),"NA")</f>
        <v>NA</v>
      </c>
      <c r="F49" s="7" t="str">
        <f>IFERROR(__xludf.DUMMYFUNCTION("""COMPUTED_VALUE"""),"Wireless Sensor Network Design")</f>
        <v>Wireless Sensor Network Design</v>
      </c>
      <c r="G49" s="2" t="str">
        <f>IFERROR(__xludf.DUMMYFUNCTION("""COMPUTED_VALUE"""),"EC1421")</f>
        <v>EC1421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IFERROR(__xludf.DUMMYFUNCTION("""COMPUTED_VALUE"""),"PE(Honours 1)")</f>
        <v>PE(Honours 1)</v>
      </c>
      <c r="D50" s="2" t="str">
        <f>IFERROR(__xludf.DUMMYFUNCTION("""COMPUTED_VALUE"""),"EC1805")</f>
        <v>EC1805</v>
      </c>
      <c r="E50" s="2" t="str">
        <f>IFERROR(__xludf.DUMMYFUNCTION("""COMPUTED_VALUE"""),"NA")</f>
        <v>NA</v>
      </c>
      <c r="F50" s="7" t="str">
        <f>IFERROR(__xludf.DUMMYFUNCTION("""COMPUTED_VALUE"""),"Data Storage Technologies")</f>
        <v>Data Storage Technologies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IFERROR(__xludf.DUMMYFUNCTION("""COMPUTED_VALUE"""),"PE(Honours 1)")</f>
        <v>PE(Honours 1)</v>
      </c>
      <c r="D51" s="2" t="str">
        <f>IFERROR(__xludf.DUMMYFUNCTION("""COMPUTED_VALUE"""),"#N/A")</f>
        <v>#N/A</v>
      </c>
      <c r="E51" s="2" t="str">
        <f>IFERROR(__xludf.DUMMYFUNCTION("""COMPUTED_VALUE"""),"#N/A")</f>
        <v>#N/A</v>
      </c>
      <c r="F51" s="3" t="str">
        <f>IFERROR(__xludf.DUMMYFUNCTION("""COMPUTED_VALUE"""),"#N/A")</f>
        <v>#N/A</v>
      </c>
      <c r="G51" s="2" t="str">
        <f>IFERROR(__xludf.DUMMYFUNCTION("""COMPUTED_VALUE"""),"#N/A")</f>
        <v>#N/A</v>
      </c>
      <c r="H51" s="2" t="str">
        <f>IFERROR(__xludf.DUMMYFUNCTION("""COMPUTED_VALUE"""),"#N/A")</f>
        <v>#N/A</v>
      </c>
      <c r="I51" s="2" t="str">
        <f>IFERROR(__xludf.DUMMYFUNCTION("""COMPUTED_VALUE"""),"#N/A")</f>
        <v>#N/A</v>
      </c>
      <c r="J51" s="2" t="str">
        <f>IFERROR(__xludf.DUMMYFUNCTION("""COMPUTED_VALUE"""),"#N/A")</f>
        <v>#N/A</v>
      </c>
      <c r="K51" s="2" t="str">
        <f>IFERROR(__xludf.DUMMYFUNCTION("""COMPUTED_VALUE"""),"#N/A")</f>
        <v>#N/A</v>
      </c>
      <c r="L51" s="2" t="str">
        <f>IFERROR(__xludf.DUMMYFUNCTION("""COMPUTED_VALUE"""),"#N/A")</f>
        <v>#N/A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IFERROR(__xludf.DUMMYFUNCTION("""COMPUTED_VALUE"""),"PE(Honours 2)")</f>
        <v>PE(Honours 2)</v>
      </c>
      <c r="D52" s="2" t="str">
        <f>IFERROR(__xludf.DUMMYFUNCTION("""COMPUTED_VALUE"""),"EC1806")</f>
        <v>EC1806</v>
      </c>
      <c r="E52" s="2" t="str">
        <f>IFERROR(__xludf.DUMMYFUNCTION("""COMPUTED_VALUE"""),"NA")</f>
        <v>NA</v>
      </c>
      <c r="F52" s="7" t="str">
        <f>IFERROR(__xludf.DUMMYFUNCTION("""COMPUTED_VALUE"""),"Software for Embedded System")</f>
        <v>Software for Embedded System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IFERROR(__xludf.DUMMYFUNCTION("""COMPUTED_VALUE"""),"PE(Honours 2)")</f>
        <v>PE(Honours 2)</v>
      </c>
      <c r="D53" s="2" t="str">
        <f>IFERROR(__xludf.DUMMYFUNCTION("""COMPUTED_VALUE"""),"EC1807")</f>
        <v>EC1807</v>
      </c>
      <c r="E53" s="2" t="str">
        <f>IFERROR(__xludf.DUMMYFUNCTION("""COMPUTED_VALUE"""),"NA")</f>
        <v>NA</v>
      </c>
      <c r="F53" s="7" t="str">
        <f>IFERROR(__xludf.DUMMYFUNCTION("""COMPUTED_VALUE"""),"Real Time Operating Systems")</f>
        <v>Real Time Operating Systems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IFERROR(__xludf.DUMMYFUNCTION("""COMPUTED_VALUE"""),"PE(Honours 2)")</f>
        <v>PE(Honours 2)</v>
      </c>
      <c r="D54" s="2" t="str">
        <f>IFERROR(__xludf.DUMMYFUNCTION("""COMPUTED_VALUE"""),"EC1808")</f>
        <v>EC1808</v>
      </c>
      <c r="E54" s="2" t="str">
        <f>IFERROR(__xludf.DUMMYFUNCTION("""COMPUTED_VALUE"""),"NA")</f>
        <v>NA</v>
      </c>
      <c r="F54" s="7" t="str">
        <f>IFERROR(__xludf.DUMMYFUNCTION("""COMPUTED_VALUE"""),"Automotive Embedded Systems")</f>
        <v>Automotive Embedded Systems</v>
      </c>
      <c r="G54" s="2" t="str">
        <f>IFERROR(__xludf.DUMMYFUNCTION("""COMPUTED_VALUE"""),"EC1424")</f>
        <v>EC1424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IFERROR(__xludf.DUMMYFUNCTION("""COMPUTED_VALUE"""),"PE(Honours 2)")</f>
        <v>PE(Honours 2)</v>
      </c>
      <c r="D55" s="2" t="str">
        <f>IFERROR(__xludf.DUMMYFUNCTION("""COMPUTED_VALUE"""),"EC1809")</f>
        <v>EC1809</v>
      </c>
      <c r="E55" s="2" t="str">
        <f>IFERROR(__xludf.DUMMYFUNCTION("""COMPUTED_VALUE"""),"NA")</f>
        <v>NA</v>
      </c>
      <c r="F55" s="7" t="str">
        <f>IFERROR(__xludf.DUMMYFUNCTION("""COMPUTED_VALUE"""),"IoT Processors")</f>
        <v>IoT Processors</v>
      </c>
      <c r="G55" s="2" t="str">
        <f>IFERROR(__xludf.DUMMYFUNCTION("""COMPUTED_VALUE"""),"EC1424")</f>
        <v>EC1424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IFERROR(__xludf.DUMMYFUNCTION("""COMPUTED_VALUE"""),"PE(Honours 2)")</f>
        <v>PE(Honours 2)</v>
      </c>
      <c r="D56" s="2" t="str">
        <f>IFERROR(__xludf.DUMMYFUNCTION("""COMPUTED_VALUE"""),"EC1810")</f>
        <v>EC1810</v>
      </c>
      <c r="E56" s="2" t="str">
        <f>IFERROR(__xludf.DUMMYFUNCTION("""COMPUTED_VALUE"""),"NA")</f>
        <v>NA</v>
      </c>
      <c r="F56" s="7" t="str">
        <f>IFERROR(__xludf.DUMMYFUNCTION("""COMPUTED_VALUE"""),"IoT Based System Design")</f>
        <v>IoT Based System Design</v>
      </c>
      <c r="G56" s="2" t="str">
        <f>IFERROR(__xludf.DUMMYFUNCTION("""COMPUTED_VALUE"""),"EC1424")</f>
        <v>EC1424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IFERROR(__xludf.DUMMYFUNCTION("""COMPUTED_VALUE"""),"PE(Honours 2)")</f>
        <v>PE(Honours 2)</v>
      </c>
      <c r="D57" s="2" t="str">
        <f>IFERROR(__xludf.DUMMYFUNCTION("""COMPUTED_VALUE"""),"NA")</f>
        <v>NA</v>
      </c>
      <c r="E57" s="2" t="str">
        <f>IFERROR(__xludf.DUMMYFUNCTION("""COMPUTED_VALUE"""),"19CS525")</f>
        <v>19CS525</v>
      </c>
      <c r="F57" s="7" t="str">
        <f>IFERROR(__xludf.DUMMYFUNCTION("""COMPUTED_VALUE"""),"Industrial IOT")</f>
        <v>Industrial IOT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IFERROR(__xludf.DUMMYFUNCTION("""COMPUTED_VALUE"""),"PE(Honours 3)")</f>
        <v>PE(Honours 3)</v>
      </c>
      <c r="D58" s="2" t="str">
        <f>IFERROR(__xludf.DUMMYFUNCTION("""COMPUTED_VALUE"""),"EC1811")</f>
        <v>EC1811</v>
      </c>
      <c r="E58" s="2" t="str">
        <f>IFERROR(__xludf.DUMMYFUNCTION("""COMPUTED_VALUE"""),"NA")</f>
        <v>NA</v>
      </c>
      <c r="F58" s="7" t="str">
        <f>IFERROR(__xludf.DUMMYFUNCTION("""COMPUTED_VALUE"""),"5G Communication and Networks")</f>
        <v>5G Communication and Networks</v>
      </c>
      <c r="G58" s="2" t="str">
        <f>IFERROR(__xludf.DUMMYFUNCTION("""COMPUTED_VALUE"""),"-")</f>
        <v>-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IFERROR(__xludf.DUMMYFUNCTION("""COMPUTED_VALUE"""),"PE(Honours 3)")</f>
        <v>PE(Honours 3)</v>
      </c>
      <c r="D59" s="2" t="str">
        <f>IFERROR(__xludf.DUMMYFUNCTION("""COMPUTED_VALUE"""),"EC1812")</f>
        <v>EC1812</v>
      </c>
      <c r="E59" s="2" t="str">
        <f>IFERROR(__xludf.DUMMYFUNCTION("""COMPUTED_VALUE"""),"NA")</f>
        <v>NA</v>
      </c>
      <c r="F59" s="7" t="str">
        <f>IFERROR(__xludf.DUMMYFUNCTION("""COMPUTED_VALUE"""),"5G Edge and Cloud Computing")</f>
        <v>5G Edge and Cloud Computing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IFERROR(__xludf.DUMMYFUNCTION("""COMPUTED_VALUE"""),"PE(Honours 3)")</f>
        <v>PE(Honours 3)</v>
      </c>
      <c r="D60" s="2" t="str">
        <f>IFERROR(__xludf.DUMMYFUNCTION("""COMPUTED_VALUE"""),"EC1813")</f>
        <v>EC1813</v>
      </c>
      <c r="E60" s="2" t="str">
        <f>IFERROR(__xludf.DUMMYFUNCTION("""COMPUTED_VALUE"""),"NA")</f>
        <v>NA</v>
      </c>
      <c r="F60" s="7" t="str">
        <f>IFERROR(__xludf.DUMMYFUNCTION("""COMPUTED_VALUE"""),"5G Blockchains and Security")</f>
        <v>5G Blockchains and Security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IFERROR(__xludf.DUMMYFUNCTION("""COMPUTED_VALUE"""),"PE(Honours 3)")</f>
        <v>PE(Honours 3)</v>
      </c>
      <c r="D61" s="2" t="str">
        <f>IFERROR(__xludf.DUMMYFUNCTION("""COMPUTED_VALUE"""),"EC1814")</f>
        <v>EC1814</v>
      </c>
      <c r="E61" s="2" t="str">
        <f>IFERROR(__xludf.DUMMYFUNCTION("""COMPUTED_VALUE"""),"NA")</f>
        <v>NA</v>
      </c>
      <c r="F61" s="7" t="str">
        <f>IFERROR(__xludf.DUMMYFUNCTION("""COMPUTED_VALUE"""),"Smart Healthcare Systems")</f>
        <v>Smart Healthcare Systems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IFERROR(__xludf.DUMMYFUNCTION("""COMPUTED_VALUE"""),"PE(Honours 3)")</f>
        <v>PE(Honours 3)</v>
      </c>
      <c r="D62" s="2" t="str">
        <f>IFERROR(__xludf.DUMMYFUNCTION("""COMPUTED_VALUE"""),"EC1815")</f>
        <v>EC1815</v>
      </c>
      <c r="E62" s="2" t="str">
        <f>IFERROR(__xludf.DUMMYFUNCTION("""COMPUTED_VALUE"""),"NA")</f>
        <v>NA</v>
      </c>
      <c r="F62" s="7" t="str">
        <f>IFERROR(__xludf.DUMMYFUNCTION("""COMPUTED_VALUE"""),"AR and VR for 5G")</f>
        <v>AR and VR for 5G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IFERROR(__xludf.DUMMYFUNCTION("""COMPUTED_VALUE"""),"PE(Honours 3)")</f>
        <v>PE(Honours 3)</v>
      </c>
      <c r="D63" s="2" t="str">
        <f>IFERROR(__xludf.DUMMYFUNCTION("""COMPUTED_VALUE"""),"EC1816")</f>
        <v>EC1816</v>
      </c>
      <c r="E63" s="2" t="str">
        <f>IFERROR(__xludf.DUMMYFUNCTION("""COMPUTED_VALUE"""),"NA")</f>
        <v>NA</v>
      </c>
      <c r="F63" s="7" t="str">
        <f>IFERROR(__xludf.DUMMYFUNCTION("""COMPUTED_VALUE"""),"6G Communication Technologies")</f>
        <v>6G Communication Technologies</v>
      </c>
      <c r="G63" s="2" t="str">
        <f>IFERROR(__xludf.DUMMYFUNCTION("""COMPUTED_VALUE"""),"-")</f>
        <v>-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IFERROR(__xludf.DUMMYFUNCTION("""COMPUTED_VALUE"""),"PE(Honours 3)")</f>
        <v>PE(Honours 3)</v>
      </c>
      <c r="D64" s="2" t="str">
        <f>IFERROR(__xludf.DUMMYFUNCTION("""COMPUTED_VALUE"""),"EC1511")</f>
        <v>EC1511</v>
      </c>
      <c r="E64" s="2" t="str">
        <f>IFERROR(__xludf.DUMMYFUNCTION("""COMPUTED_VALUE"""),"19EC511")</f>
        <v>19EC511</v>
      </c>
      <c r="F64" s="7" t="str">
        <f>IFERROR(__xludf.DUMMYFUNCTION("""COMPUTED_VALUE"""),"Satellite Communication")</f>
        <v>Satellite Communication</v>
      </c>
      <c r="G64" s="2" t="str">
        <f>IFERROR(__xludf.DUMMYFUNCTION("""COMPUTED_VALUE"""),"19EC406 / EC1406")</f>
        <v>19EC406 / EC1406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IFERROR(__xludf.DUMMYFUNCTION("""COMPUTED_VALUE"""),"PE(Honours 4)")</f>
        <v>PE(Honours 4)</v>
      </c>
      <c r="D65" s="2" t="str">
        <f>IFERROR(__xludf.DUMMYFUNCTION("""COMPUTED_VALUE"""),"EC1817")</f>
        <v>EC1817</v>
      </c>
      <c r="E65" s="2" t="str">
        <f>IFERROR(__xludf.DUMMYFUNCTION("""COMPUTED_VALUE"""),"NA")</f>
        <v>NA</v>
      </c>
      <c r="F65" s="7" t="str">
        <f>IFERROR(__xludf.DUMMYFUNCTION("""COMPUTED_VALUE"""),"MEMS Fabrication and Integration")</f>
        <v>MEMS Fabrication and Integration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IFERROR(__xludf.DUMMYFUNCTION("""COMPUTED_VALUE"""),"PE(Honours 4)")</f>
        <v>PE(Honours 4)</v>
      </c>
      <c r="D66" s="2" t="str">
        <f>IFERROR(__xludf.DUMMYFUNCTION("""COMPUTED_VALUE"""),"EC1818")</f>
        <v>EC1818</v>
      </c>
      <c r="E66" s="2" t="str">
        <f>IFERROR(__xludf.DUMMYFUNCTION("""COMPUTED_VALUE"""),"NA")</f>
        <v>NA</v>
      </c>
      <c r="F66" s="7" t="str">
        <f>IFERROR(__xludf.DUMMYFUNCTION("""COMPUTED_VALUE"""),"FEA and MEMS Simulation")</f>
        <v>FEA and MEMS Simulation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IFERROR(__xludf.DUMMYFUNCTION("""COMPUTED_VALUE"""),"PE(Honours 4)")</f>
        <v>PE(Honours 4)</v>
      </c>
      <c r="D67" s="2" t="str">
        <f>IFERROR(__xludf.DUMMYFUNCTION("""COMPUTED_VALUE"""),"EC1525")</f>
        <v>EC1525</v>
      </c>
      <c r="E67" s="2" t="str">
        <f>IFERROR(__xludf.DUMMYFUNCTION("""COMPUTED_VALUE"""),"19EC525")</f>
        <v>19EC525</v>
      </c>
      <c r="F67" s="7" t="str">
        <f>IFERROR(__xludf.DUMMYFUNCTION("""COMPUTED_VALUE"""),"RF MEMS and MOEMS")</f>
        <v>RF MEMS and MOEMS</v>
      </c>
      <c r="G67" s="2" t="str">
        <f>IFERROR(__xludf.DUMMYFUNCTION("""COMPUTED_VALUE"""),"19EC520")</f>
        <v>19EC520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IFERROR(__xludf.DUMMYFUNCTION("""COMPUTED_VALUE"""),"PE(Honours 4)")</f>
        <v>PE(Honours 4)</v>
      </c>
      <c r="D68" s="2" t="str">
        <f>IFERROR(__xludf.DUMMYFUNCTION("""COMPUTED_VALUE"""),"EC1819")</f>
        <v>EC1819</v>
      </c>
      <c r="E68" s="2" t="str">
        <f>IFERROR(__xludf.DUMMYFUNCTION("""COMPUTED_VALUE"""),"NA")</f>
        <v>NA</v>
      </c>
      <c r="F68" s="7" t="str">
        <f>IFERROR(__xludf.DUMMYFUNCTION("""COMPUTED_VALUE"""),"BioMEMS and Microfluidics")</f>
        <v>BioMEMS and Microfluidics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IFERROR(__xludf.DUMMYFUNCTION("""COMPUTED_VALUE"""),"PE(Honours 4)")</f>
        <v>PE(Honours 4)</v>
      </c>
      <c r="D69" s="2" t="str">
        <f>IFERROR(__xludf.DUMMYFUNCTION("""COMPUTED_VALUE"""),"EC1820")</f>
        <v>EC1820</v>
      </c>
      <c r="E69" s="2" t="str">
        <f>IFERROR(__xludf.DUMMYFUNCTION("""COMPUTED_VALUE"""),"NA")</f>
        <v>NA</v>
      </c>
      <c r="F69" s="7" t="str">
        <f>IFERROR(__xludf.DUMMYFUNCTION("""COMPUTED_VALUE"""),"Nanoscience and Nano Technology")</f>
        <v>Nanoscience and Nano Technology</v>
      </c>
      <c r="G69" s="2" t="str">
        <f>IFERROR(__xludf.DUMMYFUNCTION("""COMPUTED_VALUE"""),"-")</f>
        <v>-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IFERROR(__xludf.DUMMYFUNCTION("""COMPUTED_VALUE"""),"PE(Honours 4)")</f>
        <v>PE(Honours 4)</v>
      </c>
      <c r="D70" s="2" t="str">
        <f>IFERROR(__xludf.DUMMYFUNCTION("""COMPUTED_VALUE"""),"EC1821")</f>
        <v>EC1821</v>
      </c>
      <c r="E70" s="2" t="str">
        <f>IFERROR(__xludf.DUMMYFUNCTION("""COMPUTED_VALUE"""),"NA")</f>
        <v>NA</v>
      </c>
      <c r="F70" s="7" t="str">
        <f>IFERROR(__xludf.DUMMYFUNCTION("""COMPUTED_VALUE"""),"Design, Testability and Applications of MEMS and NEMS")</f>
        <v>Design, Testability and Applications of MEMS and NEMS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IFERROR(__xludf.DUMMYFUNCTION("""COMPUTED_VALUE"""),"CS3404")</f>
        <v>CS3404</v>
      </c>
      <c r="E71" s="2" t="str">
        <f>IFERROR(__xludf.DUMMYFUNCTION("""COMPUTED_VALUE"""),"19AI404")</f>
        <v>19AI404</v>
      </c>
      <c r="F71" s="7" t="str">
        <f>IFERROR(__xludf.DUMMYFUNCTION("""COMPUTED_VALUE"""),"Analysis of Algorithms")</f>
        <v>Analysis of Algorithms</v>
      </c>
      <c r="G71" s="2" t="str">
        <f>IFERROR(__xludf.DUMMYFUNCTION("""COMPUTED_VALUE"""),"19AI301")</f>
        <v>19AI301</v>
      </c>
      <c r="H71" s="2">
        <f>IFERROR(__xludf.DUMMYFUNCTION("""COMPUTED_VALUE"""),2)</f>
        <v>2</v>
      </c>
      <c r="I71" s="2">
        <f>IFERROR(__xludf.DUMMYFUNCTION("""COMPUTED_VALUE"""),1)</f>
        <v>1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IFERROR(__xludf.DUMMYFUNCTION("""COMPUTED_VALUE"""),"CS1404")</f>
        <v>CS1404</v>
      </c>
      <c r="E72" s="2" t="str">
        <f>IFERROR(__xludf.DUMMYFUNCTION("""COMPUTED_VALUE"""),"19CS404")</f>
        <v>19CS404</v>
      </c>
      <c r="F72" s="3" t="str">
        <f>IFERROR(__xludf.DUMMYFUNCTION("""COMPUTED_VALUE"""),"Database Management System and its Applications")</f>
        <v>Database Management System and its Applications</v>
      </c>
      <c r="G72" s="2" t="str">
        <f>IFERROR(__xludf.DUMMYFUNCTION("""COMPUTED_VALUE"""),"19AI301/19AI304/19CS301/19CS302/19CS303")</f>
        <v>19AI301/19AI304/19CS301/19CS302/19CS303</v>
      </c>
      <c r="H72" s="2">
        <f>IFERROR(__xludf.DUMMYFUNCTION("""COMPUTED_VALUE"""),3)</f>
        <v>3</v>
      </c>
      <c r="I72" s="2">
        <f>IFERROR(__xludf.DUMMYFUNCTION("""COMPUTED_VALUE"""),1)</f>
        <v>1</v>
      </c>
      <c r="J72" s="2">
        <f>IFERROR(__xludf.DUMMYFUNCTION("""COMPUTED_VALUE"""),4)</f>
        <v>4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IFERROR(__xludf.DUMMYFUNCTION("""COMPUTED_VALUE"""),"CS1509")</f>
        <v>CS1509</v>
      </c>
      <c r="E73" s="2" t="str">
        <f>IFERROR(__xludf.DUMMYFUNCTION("""COMPUTED_VALUE"""),"19CS509")</f>
        <v>19CS509</v>
      </c>
      <c r="F73" s="7" t="str">
        <f>IFERROR(__xludf.DUMMYFUNCTION("""COMPUTED_VALUE"""),"Graph Theory and Applications")</f>
        <v>Graph Theory and Applications</v>
      </c>
      <c r="G73" s="2" t="str">
        <f>IFERROR(__xludf.DUMMYFUNCTION("""COMPUTED_VALUE"""),"19MA206")</f>
        <v>19MA206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IFERROR(__xludf.DUMMYFUNCTION("""COMPUTED_VALUE"""),"CS3410")</f>
        <v>CS3410</v>
      </c>
      <c r="E74" s="2" t="str">
        <f>IFERROR(__xludf.DUMMYFUNCTION("""COMPUTED_VALUE"""),"19AI410")</f>
        <v>19AI410</v>
      </c>
      <c r="F74" s="7" t="str">
        <f>IFERROR(__xludf.DUMMYFUNCTION("""COMPUTED_VALUE"""),"Introduction to Machine Learning")</f>
        <v>Introduction to Machine Learning</v>
      </c>
      <c r="G74" s="2" t="str">
        <f>IFERROR(__xludf.DUMMYFUNCTION("""COMPUTED_VALUE"""),"-")</f>
        <v>-</v>
      </c>
      <c r="H74" s="2">
        <f>IFERROR(__xludf.DUMMYFUNCTION("""COMPUTED_VALUE"""),2)</f>
        <v>2</v>
      </c>
      <c r="I74" s="2">
        <f>IFERROR(__xludf.DUMMYFUNCTION("""COMPUTED_VALUE"""),1)</f>
        <v>1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IFERROR(__xludf.DUMMYFUNCTION("""COMPUTED_VALUE"""),"CS3801")</f>
        <v>CS3801</v>
      </c>
      <c r="E75" s="2" t="str">
        <f>IFERROR(__xludf.DUMMYFUNCTION("""COMPUTED_VALUE"""),"NA")</f>
        <v>NA</v>
      </c>
      <c r="F75" s="7" t="str">
        <f>IFERROR(__xludf.DUMMYFUNCTION("""COMPUTED_VALUE"""),"Artificial Intelligence and Applications")</f>
        <v>Artificial Intelligence and Applications</v>
      </c>
      <c r="G75" s="2" t="str">
        <f>IFERROR(__xludf.DUMMYFUNCTION("""COMPUTED_VALUE"""),"-")</f>
        <v>-</v>
      </c>
      <c r="H75" s="2">
        <f>IFERROR(__xludf.DUMMYFUNCTION("""COMPUTED_VALUE"""),1)</f>
        <v>1</v>
      </c>
      <c r="I75" s="2">
        <f>IFERROR(__xludf.DUMMYFUNCTION("""COMPUTED_VALUE"""),2)</f>
        <v>2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 (Int Only) and Practical (10 Expts)")</f>
        <v>Theory (Int Only) and Practical (10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IFERROR(__xludf.DUMMYFUNCTION("""COMPUTED_VALUE"""),"CS1542")</f>
        <v>CS1542</v>
      </c>
      <c r="E76" s="2" t="str">
        <f>IFERROR(__xludf.DUMMYFUNCTION("""COMPUTED_VALUE"""),"19CS542")</f>
        <v>19CS542</v>
      </c>
      <c r="F76" s="7" t="str">
        <f>IFERROR(__xludf.DUMMYFUNCTION("""COMPUTED_VALUE"""),"Embedded Board Design")</f>
        <v>Embedded Board Design</v>
      </c>
      <c r="G76" s="2" t="str">
        <f>IFERROR(__xludf.DUMMYFUNCTION("""COMPUTED_VALUE"""),"-")</f>
        <v>-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IFERROR(__xludf.DUMMYFUNCTION("""COMPUTED_VALUE"""),"CS1543")</f>
        <v>CS1543</v>
      </c>
      <c r="E77" s="2" t="str">
        <f>IFERROR(__xludf.DUMMYFUNCTION("""COMPUTED_VALUE"""),"19CS543")</f>
        <v>19CS543</v>
      </c>
      <c r="F77" s="7" t="str">
        <f>IFERROR(__xludf.DUMMYFUNCTION("""COMPUTED_VALUE"""),"Embedded Board Manufacturing")</f>
        <v>Embedded Board Manufacturing</v>
      </c>
      <c r="G77" s="2" t="str">
        <f>IFERROR(__xludf.DUMMYFUNCTION("""COMPUTED_VALUE"""),"-")</f>
        <v>-</v>
      </c>
      <c r="H77" s="2">
        <f>IFERROR(__xludf.DUMMYFUNCTION("""COMPUTED_VALUE"""),2)</f>
        <v>2</v>
      </c>
      <c r="I77" s="2">
        <f>IFERROR(__xludf.DUMMYFUNCTION("""COMPUTED_VALUE"""),1)</f>
        <v>1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IFERROR(__xludf.DUMMYFUNCTION("""COMPUTED_VALUE"""),"TIP (6 Expts)")</f>
        <v>TIP (6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IFERROR(__xludf.DUMMYFUNCTION("""COMPUTED_VALUE"""),"EEC")</f>
        <v>EEC</v>
      </c>
      <c r="D78" s="2" t="str">
        <f>IFERROR(__xludf.DUMMYFUNCTION("""COMPUTED_VALUE"""),"EC1701")</f>
        <v>EC1701</v>
      </c>
      <c r="E78" s="2" t="str">
        <f>IFERROR(__xludf.DUMMYFUNCTION("""COMPUTED_VALUE"""),"19EC701")</f>
        <v>19EC701</v>
      </c>
      <c r="F78" s="7" t="str">
        <f>IFERROR(__xludf.DUMMYFUNCTION("""COMPUTED_VALUE"""),"Mini Project")</f>
        <v>Mini Project</v>
      </c>
      <c r="G78" s="2" t="str">
        <f>IFERROR(__xludf.DUMMYFUNCTION("""COMPUTED_VALUE"""),"-")</f>
        <v>-</v>
      </c>
      <c r="H78" s="2">
        <f>IFERROR(__xludf.DUMMYFUNCTION("""COMPUTED_VALUE"""),0)</f>
        <v>0</v>
      </c>
      <c r="I78" s="2">
        <f>IFERROR(__xludf.DUMMYFUNCTION("""COMPUTED_VALUE"""),2)</f>
        <v>2</v>
      </c>
      <c r="J78" s="2">
        <f>IFERROR(__xludf.DUMMYFUNCTION("""COMPUTED_VALUE"""),2)</f>
        <v>2</v>
      </c>
      <c r="K78" s="2" t="str">
        <f>IFERROR(__xludf.DUMMYFUNCTION("""COMPUTED_VALUE"""),"CGPA")</f>
        <v>CGPA</v>
      </c>
      <c r="L78" s="2" t="str">
        <f>IFERROR(__xludf.DUMMYFUNCTION("""COMPUTED_VALUE"""),"Project (Int Only)")</f>
        <v>Project (Int Only)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 t="str">
        <f>IFERROR(__xludf.DUMMYFUNCTION("""COMPUTED_VALUE"""),"Option 1")</f>
        <v>Option 1</v>
      </c>
      <c r="C79" s="2" t="str">
        <f>IFERROR(__xludf.DUMMYFUNCTION("""COMPUTED_VALUE"""),"EEC")</f>
        <v>EEC</v>
      </c>
      <c r="D79" s="2" t="str">
        <f>IFERROR(__xludf.DUMMYFUNCTION("""COMPUTED_VALUE"""),"EC1702")</f>
        <v>EC1702</v>
      </c>
      <c r="E79" s="2" t="str">
        <f>IFERROR(__xludf.DUMMYFUNCTION("""COMPUTED_VALUE"""),"19EC702")</f>
        <v>19EC702</v>
      </c>
      <c r="F79" s="7" t="str">
        <f>IFERROR(__xludf.DUMMYFUNCTION("""COMPUTED_VALUE"""),"Project Work Phase I")</f>
        <v>Project Work Phase I</v>
      </c>
      <c r="G79" s="2" t="str">
        <f>IFERROR(__xludf.DUMMYFUNCTION("""COMPUTED_VALUE"""),"-")</f>
        <v>-</v>
      </c>
      <c r="H79" s="2">
        <f>IFERROR(__xludf.DUMMYFUNCTION("""COMPUTED_VALUE"""),0)</f>
        <v>0</v>
      </c>
      <c r="I79" s="2">
        <f>IFERROR(__xludf.DUMMYFUNCTION("""COMPUTED_VALUE"""),2)</f>
        <v>2</v>
      </c>
      <c r="J79" s="2">
        <f>IFERROR(__xludf.DUMMYFUNCTION("""COMPUTED_VALUE"""),2)</f>
        <v>2</v>
      </c>
      <c r="K79" s="2" t="str">
        <f>IFERROR(__xludf.DUMMYFUNCTION("""COMPUTED_VALUE"""),"CGPA")</f>
        <v>CGPA</v>
      </c>
      <c r="L79" s="2" t="str">
        <f>IFERROR(__xludf.DUMMYFUNCTION("""COMPUTED_VALUE"""),"Project (Int Only)")</f>
        <v>Project (Int Only)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 t="str">
        <f>IFERROR(__xludf.DUMMYFUNCTION("""COMPUTED_VALUE"""),"Option 1")</f>
        <v>Option 1</v>
      </c>
      <c r="C80" s="2" t="str">
        <f>IFERROR(__xludf.DUMMYFUNCTION("""COMPUTED_VALUE"""),"EEC")</f>
        <v>EEC</v>
      </c>
      <c r="D80" s="2" t="str">
        <f>IFERROR(__xludf.DUMMYFUNCTION("""COMPUTED_VALUE"""),"EC1703")</f>
        <v>EC1703</v>
      </c>
      <c r="E80" s="2" t="str">
        <f>IFERROR(__xludf.DUMMYFUNCTION("""COMPUTED_VALUE"""),"19EC703")</f>
        <v>19EC703</v>
      </c>
      <c r="F80" s="7" t="str">
        <f>IFERROR(__xludf.DUMMYFUNCTION("""COMPUTED_VALUE"""),"Project Work Phase II")</f>
        <v>Project Work Phase II</v>
      </c>
      <c r="G80" s="2" t="str">
        <f>IFERROR(__xludf.DUMMYFUNCTION("""COMPUTED_VALUE"""),"19EC702")</f>
        <v>19EC702</v>
      </c>
      <c r="H80" s="2">
        <f>IFERROR(__xludf.DUMMYFUNCTION("""COMPUTED_VALUE"""),0)</f>
        <v>0</v>
      </c>
      <c r="I80" s="2">
        <f>IFERROR(__xludf.DUMMYFUNCTION("""COMPUTED_VALUE"""),6)</f>
        <v>6</v>
      </c>
      <c r="J80" s="2">
        <f>IFERROR(__xludf.DUMMYFUNCTION("""COMPUTED_VALUE"""),6)</f>
        <v>6</v>
      </c>
      <c r="K80" s="2" t="str">
        <f>IFERROR(__xludf.DUMMYFUNCTION("""COMPUTED_VALUE"""),"CGPA")</f>
        <v>CGPA</v>
      </c>
      <c r="L80" s="2" t="str">
        <f>IFERROR(__xludf.DUMMYFUNCTION("""COMPUTED_VALUE"""),"Project")</f>
        <v>Project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IFERROR(__xludf.DUMMYFUNCTION("""COMPUTED_VALUE"""),"EEC")</f>
        <v>EEC</v>
      </c>
      <c r="D81" s="2" t="str">
        <f>IFERROR(__xludf.DUMMYFUNCTION("""COMPUTED_VALUE"""),"SH6802")</f>
        <v>SH6802</v>
      </c>
      <c r="E81" s="2" t="str">
        <f>IFERROR(__xludf.DUMMYFUNCTION("""COMPUTED_VALUE"""),"NA")</f>
        <v>NA</v>
      </c>
      <c r="F81" s="3" t="str">
        <f>IFERROR(__xludf.DUMMYFUNCTION("""COMPUTED_VALUE"""),"Start Up")</f>
        <v>Start Up</v>
      </c>
      <c r="G81" s="2" t="str">
        <f>IFERROR(__xludf.DUMMYFUNCTION("""COMPUTED_VALUE"""),"-")</f>
        <v>-</v>
      </c>
      <c r="H81" s="2">
        <f>IFERROR(__xludf.DUMMYFUNCTION("""COMPUTED_VALUE"""),0)</f>
        <v>0</v>
      </c>
      <c r="I81" s="2">
        <f>IFERROR(__xludf.DUMMYFUNCTION("""COMPUTED_VALUE"""),8)</f>
        <v>8</v>
      </c>
      <c r="J81" s="2">
        <f>IFERROR(__xludf.DUMMYFUNCTION("""COMPUTED_VALUE"""),8)</f>
        <v>8</v>
      </c>
      <c r="K81" s="2" t="str">
        <f>IFERROR(__xludf.DUMMYFUNCTION("""COMPUTED_VALUE"""),"CGPA")</f>
        <v>CGPA</v>
      </c>
      <c r="L81" s="2" t="str">
        <f>IFERROR(__xludf.DUMMYFUNCTION("""COMPUTED_VALUE"""),"Project")</f>
        <v>Project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IFERROR(__xludf.DUMMYFUNCTION("""COMPUTED_VALUE"""),"EEC")</f>
        <v>EEC</v>
      </c>
      <c r="D82" s="2" t="str">
        <f>IFERROR(__xludf.DUMMYFUNCTION("""COMPUTED_VALUE"""),"SH6708")</f>
        <v>SH6708</v>
      </c>
      <c r="E82" s="2" t="str">
        <f>IFERROR(__xludf.DUMMYFUNCTION("""COMPUTED_VALUE"""),"19EY708")</f>
        <v>19EY708</v>
      </c>
      <c r="F82" s="7" t="str">
        <f>IFERROR(__xludf.DUMMYFUNCTION("""COMPUTED_VALUE"""),"Career Development Skills")</f>
        <v>Career Development Skills</v>
      </c>
      <c r="G82" s="2" t="str">
        <f>IFERROR(__xludf.DUMMYFUNCTION("""COMPUTED_VALUE"""),"NIL")</f>
        <v>NIL</v>
      </c>
      <c r="H82" s="2">
        <f>IFERROR(__xludf.DUMMYFUNCTION("""COMPUTED_VALUE"""),1)</f>
        <v>1</v>
      </c>
      <c r="I82" s="2">
        <f>IFERROR(__xludf.DUMMYFUNCTION("""COMPUTED_VALUE"""),0)</f>
        <v>0</v>
      </c>
      <c r="J82" s="2">
        <f>IFERROR(__xludf.DUMMYFUNCTION("""COMPUTED_VALUE"""),1)</f>
        <v>1</v>
      </c>
      <c r="K82" s="2" t="str">
        <f>IFERROR(__xludf.DUMMYFUNCTION("""COMPUTED_VALUE"""),"CGPA")</f>
        <v>CGPA</v>
      </c>
      <c r="L82" s="2" t="str">
        <f>IFERROR(__xludf.DUMMYFUNCTION("""COMPUTED_VALUE"""),"Theory (Int Only)")</f>
        <v>Theory (Int Only)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IFERROR(__xludf.DUMMYFUNCTION("""COMPUTED_VALUE"""),"EEC")</f>
        <v>EEC</v>
      </c>
      <c r="D83" s="2" t="str">
        <f>IFERROR(__xludf.DUMMYFUNCTION("""COMPUTED_VALUE"""),"SH6709")</f>
        <v>SH6709</v>
      </c>
      <c r="E83" s="2" t="str">
        <f>IFERROR(__xludf.DUMMYFUNCTION("""COMPUTED_VALUE"""),"19EY709")</f>
        <v>19EY709</v>
      </c>
      <c r="F83" s="7" t="str">
        <f>IFERROR(__xludf.DUMMYFUNCTION("""COMPUTED_VALUE"""),"Reasoning Ability")</f>
        <v>Reasoning Ability</v>
      </c>
      <c r="G83" s="2" t="str">
        <f>IFERROR(__xludf.DUMMYFUNCTION("""COMPUTED_VALUE"""),"NIL")</f>
        <v>NIL</v>
      </c>
      <c r="H83" s="2">
        <f>IFERROR(__xludf.DUMMYFUNCTION("""COMPUTED_VALUE"""),1)</f>
        <v>1</v>
      </c>
      <c r="I83" s="2">
        <f>IFERROR(__xludf.DUMMYFUNCTION("""COMPUTED_VALUE"""),0)</f>
        <v>0</v>
      </c>
      <c r="J83" s="2">
        <f>IFERROR(__xludf.DUMMYFUNCTION("""COMPUTED_VALUE"""),1)</f>
        <v>1</v>
      </c>
      <c r="K83" s="2" t="str">
        <f>IFERROR(__xludf.DUMMYFUNCTION("""COMPUTED_VALUE"""),"CGPA")</f>
        <v>CGPA</v>
      </c>
      <c r="L83" s="2" t="str">
        <f>IFERROR(__xludf.DUMMYFUNCTION("""COMPUTED_VALUE"""),"Theory (Int Only)")</f>
        <v>Theory (Int Only)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IFERROR(__xludf.DUMMYFUNCTION("""COMPUTED_VALUE"""),"EEC")</f>
        <v>EEC</v>
      </c>
      <c r="D84" s="2" t="str">
        <f>IFERROR(__xludf.DUMMYFUNCTION("""COMPUTED_VALUE"""),"SH6710")</f>
        <v>SH6710</v>
      </c>
      <c r="E84" s="2" t="str">
        <f>IFERROR(__xludf.DUMMYFUNCTION("""COMPUTED_VALUE"""),"19EY710")</f>
        <v>19EY710</v>
      </c>
      <c r="F84" s="7" t="str">
        <f>IFERROR(__xludf.DUMMYFUNCTION("""COMPUTED_VALUE"""),"Quantitative Ability I")</f>
        <v>Quantitative Ability I</v>
      </c>
      <c r="G84" s="2" t="str">
        <f>IFERROR(__xludf.DUMMYFUNCTION("""COMPUTED_VALUE"""),"NIL")</f>
        <v>NIL</v>
      </c>
      <c r="H84" s="2">
        <f>IFERROR(__xludf.DUMMYFUNCTION("""COMPUTED_VALUE"""),1)</f>
        <v>1</v>
      </c>
      <c r="I84" s="2">
        <f>IFERROR(__xludf.DUMMYFUNCTION("""COMPUTED_VALUE"""),0)</f>
        <v>0</v>
      </c>
      <c r="J84" s="2">
        <f>IFERROR(__xludf.DUMMYFUNCTION("""COMPUTED_VALUE"""),1)</f>
        <v>1</v>
      </c>
      <c r="K84" s="2" t="str">
        <f>IFERROR(__xludf.DUMMYFUNCTION("""COMPUTED_VALUE"""),"CGPA")</f>
        <v>CGPA</v>
      </c>
      <c r="L84" s="2" t="str">
        <f>IFERROR(__xludf.DUMMYFUNCTION("""COMPUTED_VALUE"""),"Theory (Int Only)")</f>
        <v>Theory (Int Only)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IFERROR(__xludf.DUMMYFUNCTION("""COMPUTED_VALUE"""),"EEC")</f>
        <v>EEC</v>
      </c>
      <c r="D85" s="2" t="str">
        <f>IFERROR(__xludf.DUMMYFUNCTION("""COMPUTED_VALUE"""),"SH6711")</f>
        <v>SH6711</v>
      </c>
      <c r="E85" s="2" t="str">
        <f>IFERROR(__xludf.DUMMYFUNCTION("""COMPUTED_VALUE"""),"19EY711")</f>
        <v>19EY711</v>
      </c>
      <c r="F85" s="7" t="str">
        <f>IFERROR(__xludf.DUMMYFUNCTION("""COMPUTED_VALUE"""),"Quantitative Ability II")</f>
        <v>Quantitative Ability II</v>
      </c>
      <c r="G85" s="2" t="str">
        <f>IFERROR(__xludf.DUMMYFUNCTION("""COMPUTED_VALUE"""),"SH6710 /19EY710")</f>
        <v>SH6710 /19EY710</v>
      </c>
      <c r="H85" s="2">
        <f>IFERROR(__xludf.DUMMYFUNCTION("""COMPUTED_VALUE"""),1)</f>
        <v>1</v>
      </c>
      <c r="I85" s="2">
        <f>IFERROR(__xludf.DUMMYFUNCTION("""COMPUTED_VALUE"""),0)</f>
        <v>0</v>
      </c>
      <c r="J85" s="2">
        <f>IFERROR(__xludf.DUMMYFUNCTION("""COMPUTED_VALUE"""),1)</f>
        <v>1</v>
      </c>
      <c r="K85" s="2" t="str">
        <f>IFERROR(__xludf.DUMMYFUNCTION("""COMPUTED_VALUE"""),"CGPA")</f>
        <v>CGPA</v>
      </c>
      <c r="L85" s="2" t="str">
        <f>IFERROR(__xludf.DUMMYFUNCTION("""COMPUTED_VALUE"""),"Theory (Int Only)")</f>
        <v>Theory (Int Only)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IFERROR(__xludf.DUMMYFUNCTION("""COMPUTED_VALUE"""),"EEC")</f>
        <v>EEC</v>
      </c>
      <c r="D86" s="2" t="str">
        <f>IFERROR(__xludf.DUMMYFUNCTION("""COMPUTED_VALUE"""),"SH6712")</f>
        <v>SH6712</v>
      </c>
      <c r="E86" s="2" t="str">
        <f>IFERROR(__xludf.DUMMYFUNCTION("""COMPUTED_VALUE"""),"19EY712")</f>
        <v>19EY712</v>
      </c>
      <c r="F86" s="7" t="str">
        <f>IFERROR(__xludf.DUMMYFUNCTION("""COMPUTED_VALUE"""),"Employment Enrichment Skills")</f>
        <v>Employment Enrichment Skills</v>
      </c>
      <c r="G86" s="2" t="str">
        <f>IFERROR(__xludf.DUMMYFUNCTION("""COMPUTED_VALUE"""),"19EY702 / 19EY709 / SH6709")</f>
        <v>19EY702 / 19EY709 / SH6709</v>
      </c>
      <c r="H86" s="2">
        <f>IFERROR(__xludf.DUMMYFUNCTION("""COMPUTED_VALUE"""),1)</f>
        <v>1</v>
      </c>
      <c r="I86" s="2">
        <f>IFERROR(__xludf.DUMMYFUNCTION("""COMPUTED_VALUE"""),0)</f>
        <v>0</v>
      </c>
      <c r="J86" s="2">
        <f>IFERROR(__xludf.DUMMYFUNCTION("""COMPUTED_VALUE"""),1)</f>
        <v>1</v>
      </c>
      <c r="K86" s="2" t="str">
        <f>IFERROR(__xludf.DUMMYFUNCTION("""COMPUTED_VALUE"""),"CGPA")</f>
        <v>CGPA</v>
      </c>
      <c r="L86" s="2" t="str">
        <f>IFERROR(__xludf.DUMMYFUNCTION("""COMPUTED_VALUE"""),"Theory (Int Only)")</f>
        <v>Theory (Int Only)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IFERROR(__xludf.DUMMYFUNCTION("""COMPUTED_VALUE"""),"EEC")</f>
        <v>EEC</v>
      </c>
      <c r="D87" s="2" t="str">
        <f>IFERROR(__xludf.DUMMYFUNCTION("""COMPUTED_VALUE"""),"SH6713")</f>
        <v>SH6713</v>
      </c>
      <c r="E87" s="2" t="str">
        <f>IFERROR(__xludf.DUMMYFUNCTION("""COMPUTED_VALUE"""),"19EY713")</f>
        <v>19EY713</v>
      </c>
      <c r="F87" s="7" t="str">
        <f>IFERROR(__xludf.DUMMYFUNCTION("""COMPUTED_VALUE"""),"Placement Readiness Assessment")</f>
        <v>Placement Readiness Assessment</v>
      </c>
      <c r="G87" s="2" t="str">
        <f>IFERROR(__xludf.DUMMYFUNCTION("""COMPUTED_VALUE"""),"19EY704 / 19EY711/SH6711")</f>
        <v>19EY704 / 19EY711/SH6711</v>
      </c>
      <c r="H87" s="2">
        <f>IFERROR(__xludf.DUMMYFUNCTION("""COMPUTED_VALUE"""),1)</f>
        <v>1</v>
      </c>
      <c r="I87" s="2">
        <f>IFERROR(__xludf.DUMMYFUNCTION("""COMPUTED_VALUE"""),0)</f>
        <v>0</v>
      </c>
      <c r="J87" s="2">
        <f>IFERROR(__xludf.DUMMYFUNCTION("""COMPUTED_VALUE"""),1)</f>
        <v>1</v>
      </c>
      <c r="K87" s="2" t="str">
        <f>IFERROR(__xludf.DUMMYFUNCTION("""COMPUTED_VALUE"""),"CGPA")</f>
        <v>CGPA</v>
      </c>
      <c r="L87" s="2" t="str">
        <f>IFERROR(__xludf.DUMMYFUNCTION("""COMPUTED_VALUE"""),"Theory (Int Only)")</f>
        <v>Theory (Int Only)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IFERROR(__xludf.DUMMYFUNCTION("""COMPUTED_VALUE"""),"EEC")</f>
        <v>EEC</v>
      </c>
      <c r="D88" s="2" t="str">
        <f>IFERROR(__xludf.DUMMYFUNCTION("""COMPUTED_VALUE"""),"SH6707")</f>
        <v>SH6707</v>
      </c>
      <c r="E88" s="2" t="str">
        <f>IFERROR(__xludf.DUMMYFUNCTION("""COMPUTED_VALUE"""),"19EY707")</f>
        <v>19EY707</v>
      </c>
      <c r="F88" s="7" t="str">
        <f>IFERROR(__xludf.DUMMYFUNCTION("""COMPUTED_VALUE"""),"Paper Publication")</f>
        <v>Paper Publication</v>
      </c>
      <c r="G88" s="2" t="str">
        <f>IFERROR(__xludf.DUMMYFUNCTION("""COMPUTED_VALUE"""),"-")</f>
        <v>-</v>
      </c>
      <c r="H88" s="2">
        <f>IFERROR(__xludf.DUMMYFUNCTION("""COMPUTED_VALUE"""),0)</f>
        <v>0</v>
      </c>
      <c r="I88" s="2">
        <f>IFERROR(__xludf.DUMMYFUNCTION("""COMPUTED_VALUE"""),0)</f>
        <v>0</v>
      </c>
      <c r="J88" s="2">
        <f>IFERROR(__xludf.DUMMYFUNCTION("""COMPUTED_VALUE"""),1)</f>
        <v>1</v>
      </c>
      <c r="K88" s="2" t="str">
        <f>IFERROR(__xludf.DUMMYFUNCTION("""COMPUTED_VALUE"""),"NON-CGPA")</f>
        <v>NON-CGPA</v>
      </c>
      <c r="L88" s="2" t="str">
        <f>IFERROR(__xludf.DUMMYFUNCTION("""COMPUTED_VALUE"""),"Experiential Learning (Int Only)")</f>
        <v>Experiential Learning (Int Only)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IFERROR(__xludf.DUMMYFUNCTION("""COMPUTED_VALUE"""),"OE")</f>
        <v>OE</v>
      </c>
      <c r="D89" s="2" t="str">
        <f>IFERROR(__xludf.DUMMYFUNCTION("""COMPUTED_VALUE"""),"XXXXXX")</f>
        <v>XXXXXX</v>
      </c>
      <c r="E89" s="2" t="str">
        <f>IFERROR(__xludf.DUMMYFUNCTION("""COMPUTED_VALUE"""),"19XXXXX")</f>
        <v>19XXXXX</v>
      </c>
      <c r="F89" s="3" t="str">
        <f>IFERROR(__xludf.DUMMYFUNCTION("""COMPUTED_VALUE"""),"Open Electives")</f>
        <v>Open Electives</v>
      </c>
      <c r="G89" s="2" t="str">
        <f>IFERROR(__xludf.DUMMYFUNCTION("""COMPUTED_VALUE"""),"-")</f>
        <v>-</v>
      </c>
      <c r="H89" s="2">
        <f>IFERROR(__xludf.DUMMYFUNCTION("""COMPUTED_VALUE"""),0)</f>
        <v>0</v>
      </c>
      <c r="I89" s="2">
        <f>IFERROR(__xludf.DUMMYFUNCTION("""COMPUTED_VALUE"""),0)</f>
        <v>0</v>
      </c>
      <c r="J89" s="2">
        <f>IFERROR(__xludf.DUMMYFUNCTION("""COMPUTED_VALUE"""),0)</f>
        <v>0</v>
      </c>
      <c r="K89" s="2" t="str">
        <f>IFERROR(__xludf.DUMMYFUNCTION("""COMPUTED_VALUE"""),"CGPA")</f>
        <v>CGPA</v>
      </c>
      <c r="L89" s="2" t="str">
        <f>IFERROR(__xludf.DUMMYFUNCTION("""COMPUTED_VALUE"""),"Theory")</f>
        <v>Theory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IFERROR(__xludf.DUMMYFUNCTION("""COMPUTED_VALUE"""),"MC")</f>
        <v>MC</v>
      </c>
      <c r="D90" s="2" t="str">
        <f>IFERROR(__xludf.DUMMYFUNCTION("""COMPUTED_VALUE"""),"SH8801")</f>
        <v>SH8801</v>
      </c>
      <c r="E90" s="2" t="str">
        <f>IFERROR(__xludf.DUMMYFUNCTION("""COMPUTED_VALUE"""),"NA")</f>
        <v>NA</v>
      </c>
      <c r="F90" s="7" t="str">
        <f>IFERROR(__xludf.DUMMYFUNCTION("""COMPUTED_VALUE"""),"Constitutionalism and Artificial Intelligence Policies in India")</f>
        <v>Constitutionalism and Artificial Intelligence Policies in India</v>
      </c>
      <c r="G90" s="2" t="str">
        <f>IFERROR(__xludf.DUMMYFUNCTION("""COMPUTED_VALUE"""),"-")</f>
        <v>-</v>
      </c>
      <c r="H90" s="2">
        <f>IFERROR(__xludf.DUMMYFUNCTION("""COMPUTED_VALUE"""),1)</f>
        <v>1</v>
      </c>
      <c r="I90" s="2">
        <f>IFERROR(__xludf.DUMMYFUNCTION("""COMPUTED_VALUE"""),0)</f>
        <v>0</v>
      </c>
      <c r="J90" s="2">
        <f>IFERROR(__xludf.DUMMYFUNCTION("""COMPUTED_VALUE"""),1)</f>
        <v>1</v>
      </c>
      <c r="K90" s="2" t="str">
        <f>IFERROR(__xludf.DUMMYFUNCTION("""COMPUTED_VALUE"""),"NON-CGPA")</f>
        <v>NON-CGPA</v>
      </c>
      <c r="L90" s="2" t="str">
        <f>IFERROR(__xludf.DUMMYFUNCTION("""COMPUTED_VALUE"""),"Theory (Int Only)")</f>
        <v>Theory (Int Only)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 t="str">
        <f>IFERROR(__xludf.DUMMYFUNCTION("""COMPUTED_VALUE"""),"Any 1")</f>
        <v>Any 1</v>
      </c>
      <c r="C91" s="2" t="str">
        <f>IFERROR(__xludf.DUMMYFUNCTION("""COMPUTED_VALUE"""),"MC")</f>
        <v>MC</v>
      </c>
      <c r="D91" s="2" t="str">
        <f>IFERROR(__xludf.DUMMYFUNCTION("""COMPUTED_VALUE"""),"SH8802")</f>
        <v>SH8802</v>
      </c>
      <c r="E91" s="2" t="str">
        <f>IFERROR(__xludf.DUMMYFUNCTION("""COMPUTED_VALUE"""),"NA")</f>
        <v>NA</v>
      </c>
      <c r="F91" s="7" t="str">
        <f>IFERROR(__xludf.DUMMYFUNCTION("""COMPUTED_VALUE"""),"Internship")</f>
        <v>Internship</v>
      </c>
      <c r="G91" s="2" t="str">
        <f>IFERROR(__xludf.DUMMYFUNCTION("""COMPUTED_VALUE"""),"-")</f>
        <v>-</v>
      </c>
      <c r="H91" s="2">
        <f>IFERROR(__xludf.DUMMYFUNCTION("""COMPUTED_VALUE"""),0)</f>
        <v>0</v>
      </c>
      <c r="I91" s="2">
        <f>IFERROR(__xludf.DUMMYFUNCTION("""COMPUTED_VALUE"""),0)</f>
        <v>0</v>
      </c>
      <c r="J91" s="2">
        <f>IFERROR(__xludf.DUMMYFUNCTION("""COMPUTED_VALUE"""),2)</f>
        <v>2</v>
      </c>
      <c r="K91" s="2" t="str">
        <f>IFERROR(__xludf.DUMMYFUNCTION("""COMPUTED_VALUE"""),"NON-CGPA")</f>
        <v>NON-CGPA</v>
      </c>
      <c r="L91" s="2" t="str">
        <f>IFERROR(__xludf.DUMMYFUNCTION("""COMPUTED_VALUE"""),"Experiential Learning (Int Only)")</f>
        <v>Experiential Learning (Int Only)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 t="str">
        <f>IFERROR(__xludf.DUMMYFUNCTION("""COMPUTED_VALUE"""),"Any 1")</f>
        <v>Any 1</v>
      </c>
      <c r="C92" s="2" t="str">
        <f>IFERROR(__xludf.DUMMYFUNCTION("""COMPUTED_VALUE"""),"MC")</f>
        <v>MC</v>
      </c>
      <c r="D92" s="2" t="str">
        <f>IFERROR(__xludf.DUMMYFUNCTION("""COMPUTED_VALUE"""),"SH8803")</f>
        <v>SH8803</v>
      </c>
      <c r="E92" s="2" t="str">
        <f>IFERROR(__xludf.DUMMYFUNCTION("""COMPUTED_VALUE"""),"NA")</f>
        <v>NA</v>
      </c>
      <c r="F92" s="3" t="str">
        <f>IFERROR(__xludf.DUMMYFUNCTION("""COMPUTED_VALUE"""),"Entrepreneurship")</f>
        <v>Entrepreneurship</v>
      </c>
      <c r="G92" s="2" t="str">
        <f>IFERROR(__xludf.DUMMYFUNCTION("""COMPUTED_VALUE"""),"-")</f>
        <v>-</v>
      </c>
      <c r="H92" s="2">
        <f>IFERROR(__xludf.DUMMYFUNCTION("""COMPUTED_VALUE"""),0)</f>
        <v>0</v>
      </c>
      <c r="I92" s="2">
        <f>IFERROR(__xludf.DUMMYFUNCTION("""COMPUTED_VALUE"""),0)</f>
        <v>0</v>
      </c>
      <c r="J92" s="2">
        <f>IFERROR(__xludf.DUMMYFUNCTION("""COMPUTED_VALUE"""),2)</f>
        <v>2</v>
      </c>
      <c r="K92" s="2" t="str">
        <f>IFERROR(__xludf.DUMMYFUNCTION("""COMPUTED_VALUE"""),"NON-CGPA")</f>
        <v>NON-CGPA</v>
      </c>
      <c r="L92" s="2" t="str">
        <f>IFERROR(__xludf.DUMMYFUNCTION("""COMPUTED_VALUE"""),"Experiential Learning (Int Only)")</f>
        <v>Experiential Learning (Int Only)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 t="str">
        <f>IFERROR(__xludf.DUMMYFUNCTION("""COMPUTED_VALUE"""),"Any 1")</f>
        <v>Any 1</v>
      </c>
      <c r="C93" s="2" t="str">
        <f>IFERROR(__xludf.DUMMYFUNCTION("""COMPUTED_VALUE"""),"MC")</f>
        <v>MC</v>
      </c>
      <c r="D93" s="2" t="str">
        <f>IFERROR(__xludf.DUMMYFUNCTION("""COMPUTED_VALUE"""),"SH6803")</f>
        <v>SH6803</v>
      </c>
      <c r="E93" s="2" t="str">
        <f>IFERROR(__xludf.DUMMYFUNCTION("""COMPUTED_VALUE"""),"19MC807")</f>
        <v>19MC807</v>
      </c>
      <c r="F93" s="3" t="str">
        <f>IFERROR(__xludf.DUMMYFUNCTION("""COMPUTED_VALUE"""),"National Service Scheme")</f>
        <v>National Service Scheme</v>
      </c>
      <c r="G93" s="2" t="str">
        <f>IFERROR(__xludf.DUMMYFUNCTION("""COMPUTED_VALUE"""),"-")</f>
        <v>-</v>
      </c>
      <c r="H93" s="2">
        <f>IFERROR(__xludf.DUMMYFUNCTION("""COMPUTED_VALUE"""),0)</f>
        <v>0</v>
      </c>
      <c r="I93" s="2">
        <f>IFERROR(__xludf.DUMMYFUNCTION("""COMPUTED_VALUE"""),0)</f>
        <v>0</v>
      </c>
      <c r="J93" s="2">
        <f>IFERROR(__xludf.DUMMYFUNCTION("""COMPUTED_VALUE"""),0)</f>
        <v>0</v>
      </c>
      <c r="K93" s="2" t="str">
        <f>IFERROR(__xludf.DUMMYFUNCTION("""COMPUTED_VALUE"""),"NON-CGPA")</f>
        <v>NON-CGPA</v>
      </c>
      <c r="L93" s="2" t="str">
        <f>IFERROR(__xludf.DUMMYFUNCTION("""COMPUTED_VALUE"""),"Experiential Learning (Int Only)")</f>
        <v>Experiential Learning (Int Only)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 t="str">
        <f>IFERROR(__xludf.DUMMYFUNCTION("""COMPUTED_VALUE"""),"Any 1")</f>
        <v>Any 1</v>
      </c>
      <c r="C94" s="2" t="str">
        <f>IFERROR(__xludf.DUMMYFUNCTION("""COMPUTED_VALUE"""),"MC")</f>
        <v>MC</v>
      </c>
      <c r="D94" s="2" t="str">
        <f>IFERROR(__xludf.DUMMYFUNCTION("""COMPUTED_VALUE"""),"SH8807")</f>
        <v>SH8807</v>
      </c>
      <c r="E94" s="2" t="str">
        <f>IFERROR(__xludf.DUMMYFUNCTION("""COMPUTED_VALUE"""),"19MC808")</f>
        <v>19MC808</v>
      </c>
      <c r="F94" s="3" t="str">
        <f>IFERROR(__xludf.DUMMYFUNCTION("""COMPUTED_VALUE"""),"National Sports Organization ")</f>
        <v>National Sports Organization </v>
      </c>
      <c r="G94" s="2" t="str">
        <f>IFERROR(__xludf.DUMMYFUNCTION("""COMPUTED_VALUE"""),"-")</f>
        <v>-</v>
      </c>
      <c r="H94" s="2">
        <f>IFERROR(__xludf.DUMMYFUNCTION("""COMPUTED_VALUE"""),0)</f>
        <v>0</v>
      </c>
      <c r="I94" s="2">
        <f>IFERROR(__xludf.DUMMYFUNCTION("""COMPUTED_VALUE"""),0)</f>
        <v>0</v>
      </c>
      <c r="J94" s="2">
        <f>IFERROR(__xludf.DUMMYFUNCTION("""COMPUTED_VALUE"""),0)</f>
        <v>0</v>
      </c>
      <c r="K94" s="2" t="str">
        <f>IFERROR(__xludf.DUMMYFUNCTION("""COMPUTED_VALUE"""),"NON-CGPA")</f>
        <v>NON-CGPA</v>
      </c>
      <c r="L94" s="2" t="str">
        <f>IFERROR(__xludf.DUMMYFUNCTION("""COMPUTED_VALUE"""),"Experiential Learning (Int Only)")</f>
        <v>Experiential Learning (Int Only)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 t="str">
        <f>IFERROR(__xludf.DUMMYFUNCTION("""COMPUTED_VALUE"""),"Any 1")</f>
        <v>Any 1</v>
      </c>
      <c r="C95" s="2" t="str">
        <f>IFERROR(__xludf.DUMMYFUNCTION("""COMPUTED_VALUE"""),"MC")</f>
        <v>MC</v>
      </c>
      <c r="D95" s="2" t="str">
        <f>IFERROR(__xludf.DUMMYFUNCTION("""COMPUTED_VALUE"""),"SH8808")</f>
        <v>SH8808</v>
      </c>
      <c r="E95" s="2" t="str">
        <f>IFERROR(__xludf.DUMMYFUNCTION("""COMPUTED_VALUE"""),"19MC809")</f>
        <v>19MC809</v>
      </c>
      <c r="F95" s="3" t="str">
        <f>IFERROR(__xludf.DUMMYFUNCTION("""COMPUTED_VALUE"""),"Youth Red Cross")</f>
        <v>Youth Red Cross</v>
      </c>
      <c r="G95" s="2" t="str">
        <f>IFERROR(__xludf.DUMMYFUNCTION("""COMPUTED_VALUE"""),"-")</f>
        <v>-</v>
      </c>
      <c r="H95" s="2">
        <f>IFERROR(__xludf.DUMMYFUNCTION("""COMPUTED_VALUE"""),0)</f>
        <v>0</v>
      </c>
      <c r="I95" s="2">
        <f>IFERROR(__xludf.DUMMYFUNCTION("""COMPUTED_VALUE"""),0)</f>
        <v>0</v>
      </c>
      <c r="J95" s="2">
        <f>IFERROR(__xludf.DUMMYFUNCTION("""COMPUTED_VALUE"""),0)</f>
        <v>0</v>
      </c>
      <c r="K95" s="2" t="str">
        <f>IFERROR(__xludf.DUMMYFUNCTION("""COMPUTED_VALUE"""),"NON-CGPA")</f>
        <v>NON-CGPA</v>
      </c>
      <c r="L95" s="2" t="str">
        <f>IFERROR(__xludf.DUMMYFUNCTION("""COMPUTED_VALUE"""),"Experiential Learning (Int Only)")</f>
        <v>Experiential Learning (Int Only)</v>
      </c>
      <c r="M95" s="9"/>
      <c r="N95" s="9"/>
      <c r="O95" s="9"/>
      <c r="P95" s="9"/>
      <c r="Q95" s="9"/>
      <c r="R95" s="9"/>
    </row>
    <row r="96" ht="48" customHeight="1" spans="1:18">
      <c r="A96" s="2"/>
      <c r="B96" s="2"/>
      <c r="C96" s="2"/>
      <c r="D96" s="2"/>
      <c r="E96" s="2"/>
      <c r="F96" s="3"/>
      <c r="G96" s="2"/>
      <c r="H96" s="2"/>
      <c r="I96" s="2"/>
      <c r="J96" s="2"/>
      <c r="K96" s="2"/>
      <c r="L96" s="2"/>
      <c r="M96" s="9"/>
      <c r="N96" s="9"/>
      <c r="O96" s="9"/>
      <c r="P96" s="9"/>
      <c r="Q96" s="9"/>
      <c r="R96" s="9"/>
    </row>
    <row r="97" ht="48" customHeight="1" spans="1:18">
      <c r="A97" s="2"/>
      <c r="B97" s="2"/>
      <c r="C97" s="2"/>
      <c r="D97" s="2"/>
      <c r="E97" s="2"/>
      <c r="F97" s="3"/>
      <c r="G97" s="2"/>
      <c r="H97" s="2"/>
      <c r="I97" s="2"/>
      <c r="J97" s="2"/>
      <c r="K97" s="2"/>
      <c r="L97" s="2"/>
      <c r="M97" s="9"/>
      <c r="N97" s="9"/>
      <c r="O97" s="9"/>
      <c r="P97" s="9"/>
      <c r="Q97" s="9"/>
      <c r="R97" s="9"/>
    </row>
    <row r="98" ht="48" customHeight="1" spans="1:18">
      <c r="A98" s="2"/>
      <c r="B98" s="2"/>
      <c r="C98" s="2"/>
      <c r="D98" s="2"/>
      <c r="E98" s="2"/>
      <c r="F98" s="3"/>
      <c r="G98" s="2"/>
      <c r="H98" s="2"/>
      <c r="I98" s="2"/>
      <c r="J98" s="2"/>
      <c r="K98" s="2"/>
      <c r="L98" s="2"/>
      <c r="M98" s="9"/>
      <c r="N98" s="9"/>
      <c r="O98" s="9"/>
      <c r="P98" s="9"/>
      <c r="Q98" s="9"/>
      <c r="R98" s="9"/>
    </row>
    <row r="99" ht="48" customHeight="1" spans="1:18">
      <c r="A99" s="2"/>
      <c r="B99" s="2"/>
      <c r="C99" s="2"/>
      <c r="D99" s="2"/>
      <c r="E99" s="2"/>
      <c r="F99" s="3"/>
      <c r="G99" s="2"/>
      <c r="H99" s="2"/>
      <c r="I99" s="2"/>
      <c r="J99" s="2"/>
      <c r="K99" s="2"/>
      <c r="L99" s="2"/>
      <c r="M99" s="9"/>
      <c r="N99" s="9"/>
      <c r="O99" s="9"/>
      <c r="P99" s="9"/>
      <c r="Q99" s="9"/>
      <c r="R99" s="9"/>
    </row>
    <row r="100" ht="48" customHeight="1" spans="1:18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9"/>
      <c r="N100" s="9"/>
      <c r="O100" s="9"/>
      <c r="P100" s="9"/>
      <c r="Q100" s="9"/>
      <c r="R100" s="9"/>
    </row>
    <row r="101" ht="48" customHeight="1" spans="1:18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9"/>
      <c r="N101" s="9"/>
      <c r="O101" s="9"/>
      <c r="P101" s="9"/>
      <c r="Q101" s="9"/>
      <c r="R101" s="9"/>
    </row>
    <row r="102" ht="48" customHeight="1" spans="1:18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9"/>
      <c r="N102" s="9"/>
      <c r="O102" s="9"/>
      <c r="P102" s="9"/>
      <c r="Q102" s="9"/>
      <c r="R102" s="9"/>
    </row>
    <row r="103" ht="48" customHeight="1" spans="1:18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9"/>
      <c r="N103" s="9"/>
      <c r="O103" s="9"/>
      <c r="P103" s="9"/>
      <c r="Q103" s="9"/>
      <c r="R103" s="9"/>
    </row>
    <row r="104" ht="48" customHeight="1" spans="1:18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9"/>
      <c r="N104" s="9"/>
      <c r="O104" s="9"/>
      <c r="P104" s="9"/>
      <c r="Q104" s="9"/>
      <c r="R104" s="9"/>
    </row>
    <row r="105" ht="48" customHeight="1" spans="1:18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9"/>
      <c r="N105" s="9"/>
      <c r="O105" s="9"/>
      <c r="P105" s="9"/>
      <c r="Q105" s="9"/>
      <c r="R105" s="9"/>
    </row>
    <row r="106" ht="48" customHeight="1" spans="1:18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9"/>
      <c r="N106" s="9"/>
      <c r="O106" s="9"/>
      <c r="P106" s="9"/>
      <c r="Q106" s="9"/>
      <c r="R106" s="9"/>
    </row>
    <row r="107" ht="48" customHeight="1" spans="1:18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</row>
    <row r="124" ht="13.2" spans="1: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</row>
    <row r="125" ht="13.2" spans="1: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</row>
    <row r="126" ht="13.2" spans="1: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</row>
    <row r="127" ht="13.2" spans="1: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</row>
    <row r="128" ht="13.2" spans="1: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</row>
    <row r="129" ht="13.2" spans="1: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</row>
    <row r="130" ht="13.2" spans="1: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</row>
    <row r="131" ht="13.2" spans="1: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</row>
    <row r="132" ht="13.2" spans="1: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</row>
    <row r="133" ht="13.2" spans="1: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</row>
    <row r="134" ht="13.2" spans="1: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</row>
    <row r="135" ht="13.2" spans="1: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</row>
    <row r="136" ht="13.2" spans="1: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</row>
    <row r="137" ht="13.2" spans="1: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</row>
    <row r="138" ht="13.2" spans="1: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</row>
    <row r="139" ht="13.2" spans="1: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</row>
    <row r="140" ht="13.2" spans="1: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</row>
    <row r="141" ht="13.2" spans="1: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</row>
    <row r="142" ht="13.2" spans="1: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</row>
    <row r="143" ht="13.2" spans="1: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</row>
    <row r="144" ht="13.2" spans="1: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</row>
    <row r="145" ht="13.2" spans="1: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</row>
    <row r="146" ht="13.2" spans="1: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</row>
    <row r="147" ht="13.2" spans="1: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</row>
    <row r="148" ht="13.2" spans="1: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</row>
    <row r="149" ht="13.2" spans="1: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</row>
    <row r="150" ht="13.2" spans="1: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</row>
    <row r="151" ht="13.2" spans="1: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</row>
    <row r="152" ht="13.2" spans="1: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</row>
    <row r="153" ht="13.2" spans="1: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</row>
    <row r="154" ht="13.2" spans="1: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</row>
    <row r="155" ht="13.2" spans="1: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</row>
    <row r="156" ht="13.2" spans="1: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</row>
    <row r="157" ht="13.2" spans="1: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</row>
    <row r="158" ht="13.2" spans="1: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</row>
    <row r="159" ht="13.2" spans="1: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</row>
    <row r="160" ht="13.2" spans="1: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</row>
    <row r="161" ht="13.2" spans="1: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</row>
    <row r="162" ht="13.2" spans="1: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</row>
    <row r="163" ht="13.2" spans="1: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English for Engineers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Organizational Behavior and Leadership&quot;)"/>
    <hyperlink ref="F6" r:id="rId5" display="=IFERROR(@__xludf.DUMMYFUNCTION(&quot;&quot;&quot;COMPUTED_VALUE&quot;&quot;&quot;),&quot;Human Values and Professional Ethics&quot;)"/>
    <hyperlink ref="F7" r:id="rId6" display="=IFERROR(@__xludf.DUMMYFUNCTION(&quot;&quot;&quot;COMPUTED_VALUE&quot;&quot;&quot;),&quot;தமிழர் மரபு/ Heritage of Tamils&quot;)"/>
    <hyperlink ref="F8" r:id="rId7" display="=IFERROR(@__xludf.DUMMYFUNCTION(&quot;&quot;&quot;COMPUTED_VALUE&quot;&quot;&quot;),&quot;தமிழரும் தொழில்நுட்பமும்/ Tamils and Technology&quot;)"/>
    <hyperlink ref="F9" r:id="rId8" display="=IFERROR(@__xludf.DUMMYFUNCTION(&quot;&quot;&quot;COMPUTED_VALUE&quot;&quot;&quot;),&quot;Physics for Electronics Engineering&quot;)"/>
    <hyperlink ref="F10" r:id="rId9" display="=IFERROR(@__xludf.DUMMYFUNCTION(&quot;&quot;&quot;COMPUTED_VALUE&quot;&quot;&quot;),&quot;Chemistry of Engineering Materials&quot;)"/>
    <hyperlink ref="F11" r:id="rId10" display="=IFERROR(@__xludf.DUMMYFUNCTION(&quot;&quot;&quot;COMPUTED_VALUE&quot;&quot;&quot;),&quot;Calculus and Matrix Algebra&quot;)"/>
    <hyperlink ref="F12" r:id="rId11" display="=IFERROR(@__xludf.DUMMYFUNCTION(&quot;&quot;&quot;COMPUTED_VALUE&quot;&quot;&quot;),&quot;Statistics and Numerical Methods&quot;)"/>
    <hyperlink ref="F13" r:id="rId12" display="=IFERROR(@__xludf.DUMMYFUNCTION(&quot;&quot;&quot;COMPUTED_VALUE&quot;&quot;&quot;),&quot;Linear Algebra and Probability&quot;)"/>
    <hyperlink ref="F14" r:id="rId13" display="=IFERROR(@__xludf.DUMMYFUNCTION(&quot;&quot;&quot;COMPUTED_VALUE&quot;&quot;&quot;),&quot;Environmental Sciences and Sustainability&quot;)"/>
    <hyperlink ref="F15" r:id="rId14" display="=IFERROR(@__xludf.DUMMYFUNCTION(&quot;&quot;&quot;COMPUTED_VALUE&quot;&quot;&quot;),&quot;Electric Circuits and Networks&quot;)"/>
    <hyperlink ref="F16" r:id="rId15" display="=IFERROR(@__xludf.DUMMYFUNCTION(&quot;&quot;&quot;COMPUTED_VALUE&quot;&quot;&quot;),&quot;Fundamentals of C Programming&quot;)"/>
    <hyperlink ref="F17" r:id="rId16" display="=IFERROR(@__xludf.DUMMYFUNCTION(&quot;&quot;&quot;COMPUTED_VALUE&quot;&quot;&quot;),&quot;Advanced C Programming&quot;)"/>
    <hyperlink ref="F18" r:id="rId17" display="=IFERROR(@__xludf.DUMMYFUNCTION(&quot;&quot;&quot;COMPUTED_VALUE&quot;&quot;&quot;),&quot;Data Structures&quot;)"/>
    <hyperlink ref="F19" r:id="rId18" display="=IFERROR(@__xludf.DUMMYFUNCTION(&quot;&quot;&quot;COMPUTED_VALUE&quot;&quot;&quot;),&quot;Problem Solving and Python Programming&quot;)"/>
    <hyperlink ref="F20" r:id="rId19" display="=IFERROR(@__xludf.DUMMYFUNCTION(&quot;&quot;&quot;COMPUTED_VALUE&quot;&quot;&quot;),&quot;Object Oriented Programming using C++&quot;)"/>
    <hyperlink ref="F21" r:id="rId20" display="=IFERROR(@__xludf.DUMMYFUNCTION(&quot;&quot;&quot;COMPUTED_VALUE&quot;&quot;&quot;),&quot;Object Oriented Programming using Java&quot;)"/>
    <hyperlink ref="F22" r:id="rId21" display="=IFERROR(@__xludf.DUMMYFUNCTION(&quot;&quot;&quot;COMPUTED_VALUE&quot;&quot;&quot;),&quot;Electronic Devices&quot;)"/>
    <hyperlink ref="F23" r:id="rId22" display="=IFERROR(@__xludf.DUMMYFUNCTION(&quot;&quot;&quot;COMPUTED_VALUE&quot;&quot;&quot;),&quot;Signals and Systems&quot;)"/>
    <hyperlink ref="F24" r:id="rId23" display="=IFERROR(@__xludf.DUMMYFUNCTION(&quot;&quot;&quot;COMPUTED_VALUE&quot;&quot;&quot;),&quot;Digital Logic Circuits Design&quot;)"/>
    <hyperlink ref="F25" r:id="rId24" display="=IFERROR(@__xludf.DUMMYFUNCTION(&quot;&quot;&quot;COMPUTED_VALUE&quot;&quot;&quot;),&quot;Electronic Circuits&quot;)"/>
    <hyperlink ref="F26" r:id="rId25" display="=IFERROR(@__xludf.DUMMYFUNCTION(&quot;&quot;&quot;COMPUTED_VALUE&quot;&quot;&quot;),&quot;Electromagnetic Theory and Transmission Lines&quot;)"/>
    <hyperlink ref="F27" r:id="rId26" display="=IFERROR(@__xludf.DUMMYFUNCTION(&quot;&quot;&quot;COMPUTED_VALUE&quot;&quot;&quot;),&quot;Analysis and Design of Analog ICs&quot;)"/>
    <hyperlink ref="F28" r:id="rId27" display="=IFERROR(@__xludf.DUMMYFUNCTION(&quot;&quot;&quot;COMPUTED_VALUE&quot;&quot;&quot;),&quot;Analog Communication&quot;)"/>
    <hyperlink ref="F29" r:id="rId28" display="=IFERROR(@__xludf.DUMMYFUNCTION(&quot;&quot;&quot;COMPUTED_VALUE&quot;&quot;&quot;),&quot;Digital Communication&quot;)"/>
    <hyperlink ref="F30" r:id="rId29" display="=IFERROR(@__xludf.DUMMYFUNCTION(&quot;&quot;&quot;COMPUTED_VALUE&quot;&quot;&quot;),&quot;Discrete Time Signal Processing&quot;)"/>
    <hyperlink ref="F31" r:id="rId30" display="=IFERROR(@__xludf.DUMMYFUNCTION(&quot;&quot;&quot;COMPUTED_VALUE&quot;&quot;&quot;),&quot;VLSI Design&quot;)"/>
    <hyperlink ref="F32" r:id="rId31" display="=IFERROR(@__xludf.DUMMYFUNCTION(&quot;&quot;&quot;COMPUTED_VALUE&quot;&quot;&quot;),&quot;Wireless Communication&quot;)"/>
    <hyperlink ref="F33" r:id="rId32" display="=IFERROR(@__xludf.DUMMYFUNCTION(&quot;&quot;&quot;COMPUTED_VALUE&quot;&quot;&quot;),&quot;Embedded Systems and IoT&quot;)"/>
    <hyperlink ref="F34" r:id="rId33" display="=IFERROR(@__xludf.DUMMYFUNCTION(&quot;&quot;&quot;COMPUTED_VALUE&quot;&quot;&quot;),&quot;Cryptography and Network Security&quot;)"/>
    <hyperlink ref="F35" r:id="rId34" display="=IFERROR(@__xludf.DUMMYFUNCTION(&quot;&quot;&quot;COMPUTED_VALUE&quot;&quot;&quot;),&quot;Control System Engineering&quot;)"/>
    <hyperlink ref="F37" r:id="rId35" display="=IFERROR(@__xludf.DUMMYFUNCTION(&quot;&quot;&quot;COMPUTED_VALUE&quot;&quot;&quot;),&quot;Optical Communication and Networks&quot;)"/>
    <hyperlink ref="F38" r:id="rId36" display="=IFERROR(@__xludf.DUMMYFUNCTION(&quot;&quot;&quot;COMPUTED_VALUE&quot;&quot;&quot;),&quot;Introduction to MEMS and NEMS&quot;)"/>
    <hyperlink ref="F39" r:id="rId37" display="=IFERROR(@__xludf.DUMMYFUNCTION(&quot;&quot;&quot;COMPUTED_VALUE&quot;&quot;&quot;),&quot;Verilog HDL&quot;)"/>
    <hyperlink ref="F40" r:id="rId38" display="=IFERROR(@__xludf.DUMMYFUNCTION(&quot;&quot;&quot;COMPUTED_VALUE&quot;&quot;&quot;),&quot;System Verilog for Design and Verification&quot;)"/>
    <hyperlink ref="F41" r:id="rId39" display="=IFERROR(@__xludf.DUMMYFUNCTION(&quot;&quot;&quot;COMPUTED_VALUE&quot;&quot;&quot;),&quot;Physical Design for VLSI&quot;)"/>
    <hyperlink ref="F42" r:id="rId40" display="=IFERROR(@__xludf.DUMMYFUNCTION(&quot;&quot;&quot;COMPUTED_VALUE&quot;&quot;&quot;),&quot;VLSI Technology&quot;)"/>
    <hyperlink ref="F43" r:id="rId41" display="=IFERROR(@__xludf.DUMMYFUNCTION(&quot;&quot;&quot;COMPUTED_VALUE&quot;&quot;&quot;),&quot;Low Power VLSI Design&quot;)"/>
    <hyperlink ref="F44" r:id="rId42" display="=IFERROR(@__xludf.DUMMYFUNCTION(&quot;&quot;&quot;COMPUTED_VALUE&quot;&quot;&quot;),&quot;Testing of VLSI Circuits&quot;)"/>
    <hyperlink ref="F45" r:id="rId43" display="=IFERROR(@__xludf.DUMMYFUNCTION(&quot;&quot;&quot;COMPUTED_VALUE&quot;&quot;&quot;),&quot;Natural Language Processing&quot;)"/>
    <hyperlink ref="F46" r:id="rId44" display="=IFERROR(@__xludf.DUMMYFUNCTION(&quot;&quot;&quot;COMPUTED_VALUE&quot;&quot;&quot;),&quot;Digital Image Processing&quot;)"/>
    <hyperlink ref="F47" r:id="rId45" display="=IFERROR(@__xludf.DUMMYFUNCTION(&quot;&quot;&quot;COMPUTED_VALUE&quot;&quot;&quot;),&quot;Computer Vision and Pattern Recognition&quot;)"/>
    <hyperlink ref="F49" r:id="rId46" display="=IFERROR(@__xludf.DUMMYFUNCTION(&quot;&quot;&quot;COMPUTED_VALUE&quot;&quot;&quot;),&quot;Wireless Sensor Network Design&quot;)"/>
    <hyperlink ref="F50" r:id="rId47" display="=IFERROR(@__xludf.DUMMYFUNCTION(&quot;&quot;&quot;COMPUTED_VALUE&quot;&quot;&quot;),&quot;Data Storage Technologies&quot;)"/>
    <hyperlink ref="F52" r:id="rId48" display="=IFERROR(@__xludf.DUMMYFUNCTION(&quot;&quot;&quot;COMPUTED_VALUE&quot;&quot;&quot;),&quot;Software for Embedded System&quot;)"/>
    <hyperlink ref="F53" r:id="rId49" display="=IFERROR(@__xludf.DUMMYFUNCTION(&quot;&quot;&quot;COMPUTED_VALUE&quot;&quot;&quot;),&quot;Real Time Operating Systems&quot;)"/>
    <hyperlink ref="F54" r:id="rId50" display="=IFERROR(@__xludf.DUMMYFUNCTION(&quot;&quot;&quot;COMPUTED_VALUE&quot;&quot;&quot;),&quot;Automotive Embedded Systems&quot;)"/>
    <hyperlink ref="F55" r:id="rId51" display="=IFERROR(@__xludf.DUMMYFUNCTION(&quot;&quot;&quot;COMPUTED_VALUE&quot;&quot;&quot;),&quot;IoT Processors&quot;)"/>
    <hyperlink ref="F56" r:id="rId52" display="=IFERROR(@__xludf.DUMMYFUNCTION(&quot;&quot;&quot;COMPUTED_VALUE&quot;&quot;&quot;),&quot;IoT Based System Design&quot;)"/>
    <hyperlink ref="F57" r:id="rId53" display="=IFERROR(@__xludf.DUMMYFUNCTION(&quot;&quot;&quot;COMPUTED_VALUE&quot;&quot;&quot;),&quot;Industrial IOT&quot;)"/>
    <hyperlink ref="F58" r:id="rId54" display="=IFERROR(@__xludf.DUMMYFUNCTION(&quot;&quot;&quot;COMPUTED_VALUE&quot;&quot;&quot;),&quot;5G Communication and Networks&quot;)"/>
    <hyperlink ref="F59" r:id="rId55" display="=IFERROR(@__xludf.DUMMYFUNCTION(&quot;&quot;&quot;COMPUTED_VALUE&quot;&quot;&quot;),&quot;5G Edge and Cloud Computing&quot;)"/>
    <hyperlink ref="F60" r:id="rId56" display="=IFERROR(@__xludf.DUMMYFUNCTION(&quot;&quot;&quot;COMPUTED_VALUE&quot;&quot;&quot;),&quot;5G Blockchains and Security&quot;)"/>
    <hyperlink ref="F61" r:id="rId57" display="=IFERROR(@__xludf.DUMMYFUNCTION(&quot;&quot;&quot;COMPUTED_VALUE&quot;&quot;&quot;),&quot;Smart Healthcare Systems&quot;)"/>
    <hyperlink ref="F62" r:id="rId58" display="=IFERROR(@__xludf.DUMMYFUNCTION(&quot;&quot;&quot;COMPUTED_VALUE&quot;&quot;&quot;),&quot;AR and VR for 5G&quot;)"/>
    <hyperlink ref="F63" r:id="rId59" display="=IFERROR(@__xludf.DUMMYFUNCTION(&quot;&quot;&quot;COMPUTED_VALUE&quot;&quot;&quot;),&quot;6G Communication Technologies&quot;)"/>
    <hyperlink ref="F64" r:id="rId60" display="=IFERROR(@__xludf.DUMMYFUNCTION(&quot;&quot;&quot;COMPUTED_VALUE&quot;&quot;&quot;),&quot;Satellite Communication&quot;)"/>
    <hyperlink ref="F65" r:id="rId61" display="=IFERROR(@__xludf.DUMMYFUNCTION(&quot;&quot;&quot;COMPUTED_VALUE&quot;&quot;&quot;),&quot;MEMS Fabrication and Integration&quot;)"/>
    <hyperlink ref="F66" r:id="rId62" display="=IFERROR(@__xludf.DUMMYFUNCTION(&quot;&quot;&quot;COMPUTED_VALUE&quot;&quot;&quot;),&quot;FEA and MEMS Simulation&quot;)"/>
    <hyperlink ref="F67" r:id="rId63" display="=IFERROR(@__xludf.DUMMYFUNCTION(&quot;&quot;&quot;COMPUTED_VALUE&quot;&quot;&quot;),&quot;RF MEMS and MOEMS&quot;)"/>
    <hyperlink ref="F68" r:id="rId64" display="=IFERROR(@__xludf.DUMMYFUNCTION(&quot;&quot;&quot;COMPUTED_VALUE&quot;&quot;&quot;),&quot;BioMEMS and Microfluidics&quot;)"/>
    <hyperlink ref="F69" r:id="rId65" display="=IFERROR(@__xludf.DUMMYFUNCTION(&quot;&quot;&quot;COMPUTED_VALUE&quot;&quot;&quot;),&quot;Nanoscience and Nano Technology&quot;)"/>
    <hyperlink ref="F70" r:id="rId66" display="=IFERROR(@__xludf.DUMMYFUNCTION(&quot;&quot;&quot;COMPUTED_VALUE&quot;&quot;&quot;),&quot;Design, Testability and Applications of MEMS and NEMS&quot;)"/>
    <hyperlink ref="F71" r:id="rId67" display="=IFERROR(@__xludf.DUMMYFUNCTION(&quot;&quot;&quot;COMPUTED_VALUE&quot;&quot;&quot;),&quot;Analysis of Algorithms&quot;)"/>
    <hyperlink ref="F73" r:id="rId68" display="=IFERROR(@__xludf.DUMMYFUNCTION(&quot;&quot;&quot;COMPUTED_VALUE&quot;&quot;&quot;),&quot;Graph Theory and Applications&quot;)"/>
    <hyperlink ref="F74" r:id="rId69" display="=IFERROR(@__xludf.DUMMYFUNCTION(&quot;&quot;&quot;COMPUTED_VALUE&quot;&quot;&quot;),&quot;Introduction to Machine Learning&quot;)"/>
    <hyperlink ref="F75" r:id="rId70" display="=IFERROR(@__xludf.DUMMYFUNCTION(&quot;&quot;&quot;COMPUTED_VALUE&quot;&quot;&quot;),&quot;Artificial Intelligence and Applications&quot;)"/>
    <hyperlink ref="F76" r:id="rId71" display="=IFERROR(@__xludf.DUMMYFUNCTION(&quot;&quot;&quot;COMPUTED_VALUE&quot;&quot;&quot;),&quot;Embedded Board Design&quot;)"/>
    <hyperlink ref="F77" r:id="rId72" display="=IFERROR(@__xludf.DUMMYFUNCTION(&quot;&quot;&quot;COMPUTED_VALUE&quot;&quot;&quot;),&quot;Embedded Board Manufacturing&quot;)"/>
    <hyperlink ref="F78" r:id="rId73" display="=IFERROR(@__xludf.DUMMYFUNCTION(&quot;&quot;&quot;COMPUTED_VALUE&quot;&quot;&quot;),&quot;Mini Project&quot;)"/>
    <hyperlink ref="F79" r:id="rId74" display="=IFERROR(@__xludf.DUMMYFUNCTION(&quot;&quot;&quot;COMPUTED_VALUE&quot;&quot;&quot;),&quot;Project Work Phase I&quot;)"/>
    <hyperlink ref="F80" r:id="rId75" display="=IFERROR(@__xludf.DUMMYFUNCTION(&quot;&quot;&quot;COMPUTED_VALUE&quot;&quot;&quot;),&quot;Project Work Phase II&quot;)"/>
    <hyperlink ref="F82" r:id="rId76" display="=IFERROR(@__xludf.DUMMYFUNCTION(&quot;&quot;&quot;COMPUTED_VALUE&quot;&quot;&quot;),&quot;Career Development Skills&quot;)"/>
    <hyperlink ref="F83" r:id="rId77" display="=IFERROR(@__xludf.DUMMYFUNCTION(&quot;&quot;&quot;COMPUTED_VALUE&quot;&quot;&quot;),&quot;Reasoning Ability&quot;)"/>
    <hyperlink ref="F84" r:id="rId78" display="=IFERROR(@__xludf.DUMMYFUNCTION(&quot;&quot;&quot;COMPUTED_VALUE&quot;&quot;&quot;),&quot;Quantitative Ability I&quot;)"/>
    <hyperlink ref="F85" r:id="rId79" display="=IFERROR(@__xludf.DUMMYFUNCTION(&quot;&quot;&quot;COMPUTED_VALUE&quot;&quot;&quot;),&quot;Quantitative Ability II&quot;)"/>
    <hyperlink ref="F86" r:id="rId80" display="=IFERROR(@__xludf.DUMMYFUNCTION(&quot;&quot;&quot;COMPUTED_VALUE&quot;&quot;&quot;),&quot;Employment Enrichment Skills&quot;)"/>
    <hyperlink ref="F87" r:id="rId81" display="=IFERROR(@__xludf.DUMMYFUNCTION(&quot;&quot;&quot;COMPUTED_VALUE&quot;&quot;&quot;),&quot;Placement Readiness Assessment&quot;)"/>
    <hyperlink ref="F88" r:id="rId82" display="=IFERROR(@__xludf.DUMMYFUNCTION(&quot;&quot;&quot;COMPUTED_VALUE&quot;&quot;&quot;),&quot;Paper Publication&quot;)"/>
    <hyperlink ref="F90" r:id="rId83" display="=IFERROR(@__xludf.DUMMYFUNCTION(&quot;&quot;&quot;COMPUTED_VALUE&quot;&quot;&quot;),&quot;Constitutionalism and Artificial Intelligence Policies in India&quot;)"/>
    <hyperlink ref="F91" r:id="rId84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794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""R2019-EIE!A:A""),
IMPORTRANGE(""https://docs.google.com/spreadsheets/d/1UvPg-G_Bj-UNhLC2uL8tntfYsnld_PABqE3impzOchM/edit"", ""R2019-"&amp;"EIE!D:D""),
IMPORTRANGE(""https://docs.google.com/spreadsheets/d/1UvPg-G_Bj-UNhLC2uL8tntfYsnld_PABqE3impzOchM/edit"", ""R2019-EIE!E:E""),
IMPORTRANGE(""https://docs.google.com/spreadsheets/d/1UvPg-G_Bj-UNhLC2uL8tntfYsnld_PABqE3impzOchM/edit"", ""R2019-EIE"&amp;"!F:F""),
IMPORTRANGE(""https://docs.google.com/spreadsheets/d/1UvPg-G_Bj-UNhLC2uL8tntfYsnld_PABqE3impzOchM/edit"", ""R2019-EIE!G:G""),
IMPORTRANGE(""https://docs.google.com/spreadsheets/d/1UvPg-G_Bj-UNhLC2uL8tntfYsnld_PABqE3impzOchM/edit"", ""R2019-EIE!I:"&amp;"I""),
IMPORTRANGE(""https://docs.google.com/spreadsheets/d/1UvPg-G_Bj-UNhLC2uL8tntfYsnld_PABqE3impzOchM/edit"", ""R2019-EIE!N:N""),
IMPORTRANGE(""https://docs.google.com/spreadsheets/d/1UvPg-G_Bj-UNhLC2uL8tntfYsnld_PABqE3impzOchM/edit"", ""R2019-EIE!O:O"""&amp;"),
IMPORTRANGE(""https://docs.google.com/spreadsheets/d/1UvPg-G_Bj-UNhLC2uL8tntfYsnld_PABqE3impzOchM/edit"", ""R2019-EIE!P:P""),
IMPORTRANGE(""https://docs.google.com/spreadsheets/d/1UvPg-G_Bj-UNhLC2uL8tntfYsnld_PABqE3impzOchM/edit"", ""R2019-EIE!Q:Q""),
"&amp;"IMPORTRANGE(""https://docs.google.com/spreadsheets/d/1UvPg-G_Bj-UNhLC2uL8tntfYsnld_PABqE3impzOchM/edit"", ""R2019-EIE!R:R""),
IMPORTRANGE(""https://docs.google.com/spreadsheets/d/1UvPg-G_Bj-UNhLC2uL8tntfYsnld_PABqE3impzOchM/edit"", ""R2019-EIE!S:S""),
IMP"&amp;"ORTRANGE(""https://docs.google.com/spreadsheets/d/1UvPg-G_Bj-UNhLC2uL8tntfYsnld_PABqE3impzOchM/edit"", ""R2019-EIE!V:V""),
IMPORTRANGE(""https://docs.google.com/spreadsheets/d/1UvPg-G_Bj-UNhLC2uL8tntfYsnld_PABqE3impzOchM/edit"", ""R2019-EIE!X:X""),
IMPORT"&amp;"RANGE(""https://docs.google.com/spreadsheets/d/1UvPg-G_Bj-UNhLC2uL8tntfYsnld_PABqE3impzOchM/edit"", ""R2019-EIE!Y:Y"")})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IFERROR(__xludf.DUMMYFUNCTION("""COMPUTED_VALUE"""),"SH1101")</f>
        <v>SH1101</v>
      </c>
      <c r="E3" s="2" t="str">
        <f>IFERROR(__xludf.DUMMYFUNCTION("""COMPUTED_VALUE"""),"19EN101")</f>
        <v>19EN101</v>
      </c>
      <c r="F3" s="7" t="str">
        <f>IFERROR(__xludf.DUMMYFUNCTION("""COMPUTED_VALUE"""),"Communicative English")</f>
        <v>Communicative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IFERROR(__xludf.DUMMYFUNCTION("""COMPUTED_VALUE"""),"SH1106")</f>
        <v>SH1106</v>
      </c>
      <c r="E4" s="2" t="str">
        <f>IFERROR(__xludf.DUMMYFUNCTION("""COMPUTED_VALUE"""),"19EN106")</f>
        <v>19EN106</v>
      </c>
      <c r="F4" s="7" t="str">
        <f>IFERROR(__xludf.DUMMYFUNCTION("""COMPUTED_VALUE"""),"English for Engineers")</f>
        <v>English for Engineers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IFERROR(__xludf.DUMMYFUNCTION("""COMPUTED_VALUE"""),6)</f>
        <v>6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LE, Option 1 for Regular")</f>
        <v>Exempted for LE, Option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IFERROR(__xludf.DUMMYFUNCTION("""COMPUTED_VALUE"""),"19EN102")</f>
        <v>19EN102</v>
      </c>
      <c r="F5" s="7" t="str">
        <f>IFERROR(__xludf.DUMMYFUNCTION("""COMPUTED_VALUE"""),"Technical English")</f>
        <v>Technical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IFERROR(__xludf.DUMMYFUNCTION("""COMPUTED_VALUE"""),25)</f>
        <v>25</v>
      </c>
      <c r="O5" s="20">
        <f>IFERROR(__xludf.DUMMYFUNCTION("""COMPUTED_VALUE"""),11)</f>
        <v>11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LE, Option 2 for Regular")</f>
        <v>Exempted for LE, Option 2 for Regular</v>
      </c>
      <c r="C6" s="2" t="str">
        <f>IFERROR(__xludf.DUMMYFUNCTION("""COMPUTED_VALUE"""),"HS")</f>
        <v>HS</v>
      </c>
      <c r="D6" s="2" t="str">
        <f>IFERROR(__xludf.DUMMYFUNCTION("""COMPUTED_VALUE"""),"SH1107")</f>
        <v>SH1107</v>
      </c>
      <c r="E6" s="2" t="str">
        <f>IFERROR(__xludf.DUMMYFUNCTION("""COMPUTED_VALUE"""),"19EN107")</f>
        <v>19EN107</v>
      </c>
      <c r="F6" s="7" t="str">
        <f>IFERROR(__xludf.DUMMYFUNCTION("""COMPUTED_VALUE"""),"Technical Writing and Presentation")</f>
        <v>Technical Writing and Presentation</v>
      </c>
      <c r="G6" s="2" t="str">
        <f>IFERROR(__xludf.DUMMYFUNCTION("""COMPUTED_VALUE"""),"-")</f>
        <v>-</v>
      </c>
      <c r="H6" s="2">
        <f>IFERROR(__xludf.DUMMYFUNCTION("""COMPUTED_VALUE"""),0)</f>
        <v>0</v>
      </c>
      <c r="I6" s="2">
        <f>IFERROR(__xludf.DUMMYFUNCTION("""COMPUTED_VALUE"""),2)</f>
        <v>2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IFERROR(__xludf.DUMMYFUNCTION("""COMPUTED_VALUE"""),"Practical (10 Expts)")</f>
        <v>Practical (10 Expts)</v>
      </c>
      <c r="M6" s="19" t="str">
        <f>IFERROR(__xludf.DUMMYFUNCTION("""COMPUTED_VALUE"""),"PC")</f>
        <v>PC</v>
      </c>
      <c r="N6" s="2">
        <f>IFERROR(__xludf.DUMMYFUNCTION("""COMPUTED_VALUE"""),58)</f>
        <v>58</v>
      </c>
      <c r="O6" s="20">
        <f>IFERROR(__xludf.DUMMYFUNCTION("""COMPUTED_VALUE"""),58)</f>
        <v>58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LE, Option 2 for Regular")</f>
        <v>Exempted for LE, Option 2 for Regular</v>
      </c>
      <c r="C7" s="2" t="str">
        <f>IFERROR(__xludf.DUMMYFUNCTION("""COMPUTED_VALUE"""),"HS")</f>
        <v>HS</v>
      </c>
      <c r="D7" s="2" t="str">
        <f>IFERROR(__xludf.DUMMYFUNCTION("""COMPUTED_VALUE"""),"SH1105")</f>
        <v>SH1105</v>
      </c>
      <c r="E7" s="2" t="str">
        <f>IFERROR(__xludf.DUMMYFUNCTION("""COMPUTED_VALUE"""),"19EN105")</f>
        <v>19EN105</v>
      </c>
      <c r="F7" s="7" t="str">
        <f>IFERROR(__xludf.DUMMYFUNCTION("""COMPUTED_VALUE"""),"Public Speaking")</f>
        <v>Public Speaking</v>
      </c>
      <c r="G7" s="2" t="str">
        <f>IFERROR(__xludf.DUMMYFUNCTION("""COMPUTED_VALUE"""),"-")</f>
        <v>-</v>
      </c>
      <c r="H7" s="2">
        <f>IFERROR(__xludf.DUMMYFUNCTION("""COMPUTED_VALUE"""),0)</f>
        <v>0</v>
      </c>
      <c r="I7" s="2">
        <f>IFERROR(__xludf.DUMMYFUNCTION("""COMPUTED_VALUE"""),3)</f>
        <v>3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IFERROR(__xludf.DUMMYFUNCTION("""COMPUTED_VALUE"""),"Practical (10 Expts)")</f>
        <v>Practical (10 Expts)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/>
      <c r="C8" s="2" t="str">
        <f>IFERROR(__xludf.DUMMYFUNCTION("""COMPUTED_VALUE"""),"HS")</f>
        <v>HS</v>
      </c>
      <c r="D8" s="2" t="str">
        <f>IFERROR(__xludf.DUMMYFUNCTION("""COMPUTED_VALUE"""),"NA")</f>
        <v>NA</v>
      </c>
      <c r="E8" s="2" t="str">
        <f>IFERROR(__xludf.DUMMYFUNCTION("""COMPUTED_VALUE"""),"19MS151")</f>
        <v>19MS151</v>
      </c>
      <c r="F8" s="7" t="str">
        <f>IFERROR(__xludf.DUMMYFUNCTION("""COMPUTED_VALUE"""),"Principles of Management")</f>
        <v>Principles of Management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/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IFERROR(__xludf.DUMMYFUNCTION("""COMPUTED_VALUE"""),"NA")</f>
        <v>NA</v>
      </c>
      <c r="E11" s="2" t="str">
        <f>IFERROR(__xludf.DUMMYFUNCTION("""COMPUTED_VALUE"""),"19MA202")</f>
        <v>19MA202</v>
      </c>
      <c r="F11" s="7" t="str">
        <f>IFERROR(__xludf.DUMMYFUNCTION("""COMPUTED_VALUE"""),"Calculus and Laplace Transforms")</f>
        <v>Calculus and Laplace Transforms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IFERROR(__xludf.DUMMYFUNCTION("""COMPUTED_VALUE"""),165)</f>
        <v>165</v>
      </c>
      <c r="O11" s="23">
        <f>IFERROR(__xludf.DUMMYFUNCTION("""COMPUTED_VALUE"""),124)</f>
        <v>124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IFERROR(__xludf.DUMMYFUNCTION("""COMPUTED_VALUE"""),"NA")</f>
        <v>NA</v>
      </c>
      <c r="E12" s="2" t="str">
        <f>IFERROR(__xludf.DUMMYFUNCTION("""COMPUTED_VALUE"""),"19MA207")</f>
        <v>19MA207</v>
      </c>
      <c r="F12" s="7" t="str">
        <f>IFERROR(__xludf.DUMMYFUNCTION("""COMPUTED_VALUE"""),"Numerical Methods and Partial Differential Equations")</f>
        <v>Numerical Methods and Partial Differential Equations</v>
      </c>
      <c r="G12" s="2" t="str">
        <f>IFERROR(__xludf.DUMMYFUNCTION("""COMPUTED_VALUE"""),"19MA202")</f>
        <v>19MA202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IFERROR(__xludf.DUMMYFUNCTION("""COMPUTED_VALUE"""),"NA")</f>
        <v>NA</v>
      </c>
      <c r="E13" s="2" t="str">
        <f>IFERROR(__xludf.DUMMYFUNCTION("""COMPUTED_VALUE"""),"19MA214")</f>
        <v>19MA214</v>
      </c>
      <c r="F13" s="7" t="str">
        <f>IFERROR(__xludf.DUMMYFUNCTION("""COMPUTED_VALUE"""),"Series and Transforms")</f>
        <v>Series and Transforms</v>
      </c>
      <c r="G13" s="2" t="str">
        <f>IFERROR(__xludf.DUMMYFUNCTION("""COMPUTED_VALUE"""),"19MA202/19MA207")</f>
        <v>19MA202/19MA207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IFERROR(__xludf.DUMMYFUNCTION("""COMPUTED_VALUE"""),"19PH201")</f>
        <v>19PH201</v>
      </c>
      <c r="F14" s="7" t="str">
        <f>IFERROR(__xludf.DUMMYFUNCTION("""COMPUTED_VALUE"""),"Basics of Engineering Physics")</f>
        <v>Basics of Engineering Physics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IFERROR(__xludf.DUMMYFUNCTION("""COMPUTED_VALUE"""),0)</f>
        <v>0</v>
      </c>
      <c r="J14" s="2">
        <f>IFERROR(__xludf.DUMMYFUNCTION("""COMPUTED_VALUE"""),3)</f>
        <v>3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IFERROR(__xludf.DUMMYFUNCTION("""COMPUTED_VALUE"""),"19PH210")</f>
        <v>19PH210</v>
      </c>
      <c r="F15" s="7" t="str">
        <f>IFERROR(__xludf.DUMMYFUNCTION("""COMPUTED_VALUE"""),"Solid State Physics")</f>
        <v>Solid State Physics</v>
      </c>
      <c r="G15" s="2" t="str">
        <f>IFERROR(__xludf.DUMMYFUNCTION("""COMPUTED_VALUE"""),"19PH201")</f>
        <v>19PH201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IFERROR(__xludf.DUMMYFUNCTION("""COMPUTED_VALUE"""),"NA")</f>
        <v>NA</v>
      </c>
      <c r="E16" s="2" t="str">
        <f>IFERROR(__xludf.DUMMYFUNCTION("""COMPUTED_VALUE"""),"19CY207")</f>
        <v>19CY207</v>
      </c>
      <c r="F16" s="7" t="str">
        <f>IFERROR(__xludf.DUMMYFUNCTION("""COMPUTED_VALUE"""),"Applied Chemistry")</f>
        <v>Applied Chemistry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IFERROR(__xludf.DUMMYFUNCTION("""COMPUTED_VALUE"""),"BS")</f>
        <v>BS</v>
      </c>
      <c r="D17" s="2" t="str">
        <f>IFERROR(__xludf.DUMMYFUNCTION("""COMPUTED_VALUE"""),"NA")</f>
        <v>NA</v>
      </c>
      <c r="E17" s="2" t="str">
        <f>IFERROR(__xludf.DUMMYFUNCTION("""COMPUTED_VALUE"""),"19BY201")</f>
        <v>19BY201</v>
      </c>
      <c r="F17" s="7" t="str">
        <f>IFERROR(__xludf.DUMMYFUNCTION("""COMPUTED_VALUE"""),"Introduction to Biology")</f>
        <v>Introduction to Biology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IFERROR(__xludf.DUMMYFUNCTION("""COMPUTED_VALUE"""),0)</f>
        <v>0</v>
      </c>
      <c r="J17" s="2">
        <f>IFERROR(__xludf.DUMMYFUNCTION("""COMPUTED_VALUE"""),2)</f>
        <v>2</v>
      </c>
      <c r="K17" s="2" t="str">
        <f>IFERROR(__xludf.DUMMYFUNCTION("""COMPUTED_VALUE"""),"CGPA")</f>
        <v>CGPA</v>
      </c>
      <c r="L17" s="2" t="str">
        <f>IFERROR(__xludf.DUMMYFUNCTION("""COMPUTED_VALUE"""),"Theory")</f>
        <v>Theory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IFERROR(__xludf.DUMMYFUNCTION("""COMPUTED_VALUE"""),"NA")</f>
        <v>NA</v>
      </c>
      <c r="E18" s="2" t="str">
        <f>IFERROR(__xludf.DUMMYFUNCTION("""COMPUTED_VALUE"""),"19CS301")</f>
        <v>19CS301</v>
      </c>
      <c r="F18" s="7" t="str">
        <f>IFERROR(__xludf.DUMMYFUNCTION("""COMPUTED_VALUE"""),"Problem Solving and Python Programming")</f>
        <v>Problem Solving and Python Programming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IFERROR(__xludf.DUMMYFUNCTION("""COMPUTED_VALUE"""),"NA")</f>
        <v>NA</v>
      </c>
      <c r="E19" s="2" t="str">
        <f>IFERROR(__xludf.DUMMYFUNCTION("""COMPUTED_VALUE"""),"19ME302")</f>
        <v>19ME302</v>
      </c>
      <c r="F19" s="7" t="str">
        <f>IFERROR(__xludf.DUMMYFUNCTION("""COMPUTED_VALUE"""),"Engineering Drawing")</f>
        <v>Engineering Drawing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IFERROR(__xludf.DUMMYFUNCTION("""COMPUTED_VALUE"""),"NA")</f>
        <v>NA</v>
      </c>
      <c r="E20" s="2" t="str">
        <f>IFERROR(__xludf.DUMMYFUNCTION("""COMPUTED_VALUE"""),"19ME306")</f>
        <v>19ME306</v>
      </c>
      <c r="F20" s="7" t="str">
        <f>IFERROR(__xludf.DUMMYFUNCTION("""COMPUTED_VALUE"""),"Basic Civil and Mechanical Engineering")</f>
        <v>Basic Civil and Mechanical Engineering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IFERROR(__xludf.DUMMYFUNCTION("""COMPUTED_VALUE"""),0)</f>
        <v>0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IFERROR(__xludf.DUMMYFUNCTION("""COMPUTED_VALUE"""),"Theory")</f>
        <v>Theory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IFERROR(__xludf.DUMMYFUNCTION("""COMPUTED_VALUE"""),"NA")</f>
        <v>NA</v>
      </c>
      <c r="E21" s="2" t="str">
        <f>IFERROR(__xludf.DUMMYFUNCTION("""COMPUTED_VALUE"""),"19EI301")</f>
        <v>19EI301</v>
      </c>
      <c r="F21" s="7" t="str">
        <f>IFERROR(__xludf.DUMMYFUNCTION("""COMPUTED_VALUE"""),"Analog Circuits and Systems")</f>
        <v>Analog Circuits and Systems</v>
      </c>
      <c r="G21" s="2" t="str">
        <f>IFERROR(__xludf.DUMMYFUNCTION("""COMPUTED_VALUE"""),"-")</f>
        <v>-</v>
      </c>
      <c r="H21" s="2">
        <f>IFERROR(__xludf.DUMMYFUNCTION("""COMPUTED_VALUE"""),3)</f>
        <v>3</v>
      </c>
      <c r="I21" s="2">
        <f>IFERROR(__xludf.DUMMYFUNCTION("""COMPUTED_VALUE"""),1)</f>
        <v>1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IFERROR(__xludf.DUMMYFUNCTION("""COMPUTED_VALUE"""),"19EC301")</f>
        <v>19EC301</v>
      </c>
      <c r="F22" s="30" t="str">
        <f>IFERROR(__xludf.DUMMYFUNCTION("""COMPUTED_VALUE"""),"Electric Circuit Analysis")</f>
        <v>Electric Circuit Analysis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IFERROR(__xludf.DUMMYFUNCTION("""COMPUTED_VALUE"""),1)</f>
        <v>1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IFERROR(__xludf.DUMMYFUNCTION("""COMPUTED_VALUE"""),"NA")</f>
        <v>NA</v>
      </c>
      <c r="E23" s="2" t="str">
        <f>IFERROR(__xludf.DUMMYFUNCTION("""COMPUTED_VALUE"""),"19EE308")</f>
        <v>19EE308</v>
      </c>
      <c r="F23" s="7" t="str">
        <f>IFERROR(__xludf.DUMMYFUNCTION("""COMPUTED_VALUE"""),"Electrical Machines")</f>
        <v>Electrical Machines</v>
      </c>
      <c r="G23" s="2" t="str">
        <f>IFERROR(__xludf.DUMMYFUNCTION("""COMPUTED_VALUE"""),"19EC301")</f>
        <v>19EC301</v>
      </c>
      <c r="H23" s="2">
        <f>IFERROR(__xludf.DUMMYFUNCTION("""COMPUTED_VALUE"""),3)</f>
        <v>3</v>
      </c>
      <c r="I23" s="2">
        <f>IFERROR(__xludf.DUMMYFUNCTION("""COMPUTED_VALUE"""),1)</f>
        <v>1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IFERROR(__xludf.DUMMYFUNCTION("""COMPUTED_VALUE"""),"NA")</f>
        <v>NA</v>
      </c>
      <c r="E24" s="2" t="str">
        <f>IFERROR(__xludf.DUMMYFUNCTION("""COMPUTED_VALUE"""),"19EC307")</f>
        <v>19EC307</v>
      </c>
      <c r="F24" s="7" t="str">
        <f>IFERROR(__xludf.DUMMYFUNCTION("""COMPUTED_VALUE"""),"Communication Engineering")</f>
        <v>Communication Engineering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IFERROR(__xludf.DUMMYFUNCTION("""COMPUTED_VALUE"""),0)</f>
        <v>0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IFERROR(__xludf.DUMMYFUNCTION("""COMPUTED_VALUE"""),"NA")</f>
        <v>NA</v>
      </c>
      <c r="E25" s="2" t="str">
        <f>IFERROR(__xludf.DUMMYFUNCTION("""COMPUTED_VALUE"""),"19EI401")</f>
        <v>19EI401</v>
      </c>
      <c r="F25" s="7" t="str">
        <f>IFERROR(__xludf.DUMMYFUNCTION("""COMPUTED_VALUE"""),"Electrical Measurements")</f>
        <v>Electrical Measurements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IFERROR(__xludf.DUMMYFUNCTION("""COMPUTED_VALUE"""),"NA")</f>
        <v>NA</v>
      </c>
      <c r="E26" s="2" t="str">
        <f>IFERROR(__xludf.DUMMYFUNCTION("""COMPUTED_VALUE"""),"19EI402")</f>
        <v>19EI402</v>
      </c>
      <c r="F26" s="7" t="str">
        <f>IFERROR(__xludf.DUMMYFUNCTION("""COMPUTED_VALUE"""),"Digital Logic Circuits")</f>
        <v>Digital Logic Circuits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IFERROR(__xludf.DUMMYFUNCTION("""COMPUTED_VALUE"""),"NA")</f>
        <v>NA</v>
      </c>
      <c r="E27" s="2" t="str">
        <f>IFERROR(__xludf.DUMMYFUNCTION("""COMPUTED_VALUE"""),"19EI403")</f>
        <v>19EI403</v>
      </c>
      <c r="F27" s="7" t="str">
        <f>IFERROR(__xludf.DUMMYFUNCTION("""COMPUTED_VALUE"""),"Principles of Signals and Systems")</f>
        <v>Principles of Signals and Systems</v>
      </c>
      <c r="G27" s="2" t="str">
        <f>IFERROR(__xludf.DUMMYFUNCTION("""COMPUTED_VALUE"""),"-")</f>
        <v>-</v>
      </c>
      <c r="H27" s="2">
        <f>IFERROR(__xludf.DUMMYFUNCTION("""COMPUTED_VALUE"""),3)</f>
        <v>3</v>
      </c>
      <c r="I27" s="2">
        <f>IFERROR(__xludf.DUMMYFUNCTION("""COMPUTED_VALUE"""),0)</f>
        <v>0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IFERROR(__xludf.DUMMYFUNCTION("""COMPUTED_VALUE"""),"Theory")</f>
        <v>Theory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IFERROR(__xludf.DUMMYFUNCTION("""COMPUTED_VALUE"""),"NA")</f>
        <v>NA</v>
      </c>
      <c r="E28" s="2" t="str">
        <f>IFERROR(__xludf.DUMMYFUNCTION("""COMPUTED_VALUE"""),"19EI404")</f>
        <v>19EI404</v>
      </c>
      <c r="F28" s="7" t="str">
        <f>IFERROR(__xludf.DUMMYFUNCTION("""COMPUTED_VALUE"""),"Transducer Engineering")</f>
        <v>Transducer Engineering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IFERROR(__xludf.DUMMYFUNCTION("""COMPUTED_VALUE"""),0)</f>
        <v>0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IFERROR(__xludf.DUMMYFUNCTION("""COMPUTED_VALUE"""),"Theory")</f>
        <v>Theory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IFERROR(__xludf.DUMMYFUNCTION("""COMPUTED_VALUE"""),"NA")</f>
        <v>NA</v>
      </c>
      <c r="E29" s="2" t="str">
        <f>IFERROR(__xludf.DUMMYFUNCTION("""COMPUTED_VALUE"""),"19EI405")</f>
        <v>19EI405</v>
      </c>
      <c r="F29" s="7" t="str">
        <f>IFERROR(__xludf.DUMMYFUNCTION("""COMPUTED_VALUE"""),"Industrial Instrumentation I")</f>
        <v>Industrial Instrumentation I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IFERROR(__xludf.DUMMYFUNCTION("""COMPUTED_VALUE"""),"NA")</f>
        <v>NA</v>
      </c>
      <c r="E30" s="2" t="str">
        <f>IFERROR(__xludf.DUMMYFUNCTION("""COMPUTED_VALUE"""),"19EI417")</f>
        <v>19EI417</v>
      </c>
      <c r="F30" s="7" t="str">
        <f>IFERROR(__xludf.DUMMYFUNCTION("""COMPUTED_VALUE"""),"Linear Control Systems")</f>
        <v>Linear Control Systems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IFERROR(__xludf.DUMMYFUNCTION("""COMPUTED_VALUE"""),0)</f>
        <v>0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IFERROR(__xludf.DUMMYFUNCTION("""COMPUTED_VALUE"""),"NA")</f>
        <v>NA</v>
      </c>
      <c r="E31" s="2" t="str">
        <f>IFERROR(__xludf.DUMMYFUNCTION("""COMPUTED_VALUE"""),"19EI406")</f>
        <v>19EI406</v>
      </c>
      <c r="F31" s="7" t="str">
        <f>IFERROR(__xludf.DUMMYFUNCTION("""COMPUTED_VALUE"""),"Embedded Systems and its Architecture")</f>
        <v>Embedded Systems and its Architecture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IFERROR(__xludf.DUMMYFUNCTION("""COMPUTED_VALUE"""),"NA")</f>
        <v>NA</v>
      </c>
      <c r="E32" s="2" t="str">
        <f>IFERROR(__xludf.DUMMYFUNCTION("""COMPUTED_VALUE"""),"19EI407")</f>
        <v>19EI407</v>
      </c>
      <c r="F32" s="7" t="str">
        <f>IFERROR(__xludf.DUMMYFUNCTION("""COMPUTED_VALUE"""),"Analytical Instruments")</f>
        <v>Analytical Instruments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IFERROR(__xludf.DUMMYFUNCTION("""COMPUTED_VALUE"""),0)</f>
        <v>0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IFERROR(__xludf.DUMMYFUNCTION("""COMPUTED_VALUE"""),"Theory")</f>
        <v>Theory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IFERROR(__xludf.DUMMYFUNCTION("""COMPUTED_VALUE"""),"NA")</f>
        <v>NA</v>
      </c>
      <c r="E33" s="2" t="str">
        <f>IFERROR(__xludf.DUMMYFUNCTION("""COMPUTED_VALUE"""),"19EI408")</f>
        <v>19EI408</v>
      </c>
      <c r="F33" s="7" t="str">
        <f>IFERROR(__xludf.DUMMYFUNCTION("""COMPUTED_VALUE"""),"Virtual Instrumentation")</f>
        <v>Virtual Instrumentation</v>
      </c>
      <c r="G33" s="2" t="str">
        <f>IFERROR(__xludf.DUMMYFUNCTION("""COMPUTED_VALUE"""),"-")</f>
        <v>-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IFERROR(__xludf.DUMMYFUNCTION("""COMPUTED_VALUE"""),"NA")</f>
        <v>NA</v>
      </c>
      <c r="E34" s="2" t="str">
        <f>IFERROR(__xludf.DUMMYFUNCTION("""COMPUTED_VALUE"""),"19EI409")</f>
        <v>19EI409</v>
      </c>
      <c r="F34" s="7" t="str">
        <f>IFERROR(__xludf.DUMMYFUNCTION("""COMPUTED_VALUE"""),"Electronic Instrumentation")</f>
        <v>Electronic Instrumentation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IFERROR(__xludf.DUMMYFUNCTION("""COMPUTED_VALUE"""),0)</f>
        <v>0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IFERROR(__xludf.DUMMYFUNCTION("""COMPUTED_VALUE"""),"Theory")</f>
        <v>Theory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IFERROR(__xludf.DUMMYFUNCTION("""COMPUTED_VALUE"""),"NA")</f>
        <v>NA</v>
      </c>
      <c r="E35" s="2" t="str">
        <f>IFERROR(__xludf.DUMMYFUNCTION("""COMPUTED_VALUE"""),"19EI410")</f>
        <v>19EI410</v>
      </c>
      <c r="F35" s="7" t="str">
        <f>IFERROR(__xludf.DUMMYFUNCTION("""COMPUTED_VALUE"""),"Process Control")</f>
        <v>Process Control</v>
      </c>
      <c r="G35" s="2" t="str">
        <f>IFERROR(__xludf.DUMMYFUNCTION("""COMPUTED_VALUE"""),"19EI417")</f>
        <v>19EI417</v>
      </c>
      <c r="H35" s="2">
        <f>IFERROR(__xludf.DUMMYFUNCTION("""COMPUTED_VALUE"""),3)</f>
        <v>3</v>
      </c>
      <c r="I35" s="2">
        <f>IFERROR(__xludf.DUMMYFUNCTION("""COMPUTED_VALUE"""),1)</f>
        <v>1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IFERROR(__xludf.DUMMYFUNCTION("""COMPUTED_VALUE"""),"NA")</f>
        <v>NA</v>
      </c>
      <c r="E36" s="2" t="str">
        <f>IFERROR(__xludf.DUMMYFUNCTION("""COMPUTED_VALUE"""),"19EI411")</f>
        <v>19EI411</v>
      </c>
      <c r="F36" s="7" t="str">
        <f>IFERROR(__xludf.DUMMYFUNCTION("""COMPUTED_VALUE"""),"Industrial Instrumentation II")</f>
        <v>Industrial Instrumentation II</v>
      </c>
      <c r="G36" s="2" t="str">
        <f>IFERROR(__xludf.DUMMYFUNCTION("""COMPUTED_VALUE"""),"19EI405")</f>
        <v>19EI405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IFERROR(__xludf.DUMMYFUNCTION("""COMPUTED_VALUE"""),"NA")</f>
        <v>NA</v>
      </c>
      <c r="E37" s="2" t="str">
        <f>IFERROR(__xludf.DUMMYFUNCTION("""COMPUTED_VALUE"""),"19EI412")</f>
        <v>19EI412</v>
      </c>
      <c r="F37" s="7" t="str">
        <f>IFERROR(__xludf.DUMMYFUNCTION("""COMPUTED_VALUE"""),"Power Plant Instrumentation")</f>
        <v>Power Plant Instrumentation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IFERROR(__xludf.DUMMYFUNCTION("""COMPUTED_VALUE"""),"19EI413")</f>
        <v>19EI413</v>
      </c>
      <c r="F38" s="7" t="str">
        <f>IFERROR(__xludf.DUMMYFUNCTION("""COMPUTED_VALUE"""),"Industrial Automation")</f>
        <v>Industrial Automation</v>
      </c>
      <c r="G38" s="2" t="str">
        <f>IFERROR(__xludf.DUMMYFUNCTION("""COMPUTED_VALUE"""),"19EI410")</f>
        <v>19EI410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IFERROR(__xludf.DUMMYFUNCTION("""COMPUTED_VALUE"""),"NA")</f>
        <v>NA</v>
      </c>
      <c r="E39" s="2" t="str">
        <f>IFERROR(__xludf.DUMMYFUNCTION("""COMPUTED_VALUE"""),"19EI414")</f>
        <v>19EI414</v>
      </c>
      <c r="F39" s="7" t="str">
        <f>IFERROR(__xludf.DUMMYFUNCTION("""COMPUTED_VALUE"""),"Computer Control of Processes")</f>
        <v>Computer Control of Processes</v>
      </c>
      <c r="G39" s="2" t="str">
        <f>IFERROR(__xludf.DUMMYFUNCTION("""COMPUTED_VALUE"""),"19EI410")</f>
        <v>19EI410</v>
      </c>
      <c r="H39" s="2">
        <f>IFERROR(__xludf.DUMMYFUNCTION("""COMPUTED_VALUE"""),3)</f>
        <v>3</v>
      </c>
      <c r="I39" s="2">
        <f>IFERROR(__xludf.DUMMYFUNCTION("""COMPUTED_VALUE"""),0)</f>
        <v>0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IFERROR(__xludf.DUMMYFUNCTION("""COMPUTED_VALUE"""),"Theory")</f>
        <v>Theory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IFERROR(__xludf.DUMMYFUNCTION("""COMPUTED_VALUE"""),"NA")</f>
        <v>NA</v>
      </c>
      <c r="E40" s="2" t="str">
        <f>IFERROR(__xludf.DUMMYFUNCTION("""COMPUTED_VALUE"""),"19EI415")</f>
        <v>19EI415</v>
      </c>
      <c r="F40" s="7" t="str">
        <f>IFERROR(__xludf.DUMMYFUNCTION("""COMPUTED_VALUE"""),"Industrial Data Networks")</f>
        <v>Industrial Data Networks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IFERROR(__xludf.DUMMYFUNCTION("""COMPUTED_VALUE"""),"NA")</f>
        <v>NA</v>
      </c>
      <c r="E41" s="2" t="str">
        <f>IFERROR(__xludf.DUMMYFUNCTION("""COMPUTED_VALUE"""),"19EI416")</f>
        <v>19EI416</v>
      </c>
      <c r="F41" s="7" t="str">
        <f>IFERROR(__xludf.DUMMYFUNCTION("""COMPUTED_VALUE"""),"Biomedical Instrumentation and Measurement")</f>
        <v>Biomedical Instrumentation and Measurement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IFERROR(__xludf.DUMMYFUNCTION("""COMPUTED_VALUE"""),"PE")</f>
        <v>PE</v>
      </c>
      <c r="D42" s="2" t="str">
        <f>IFERROR(__xludf.DUMMYFUNCTION("""COMPUTED_VALUE"""),"NA")</f>
        <v>NA</v>
      </c>
      <c r="E42" s="2" t="str">
        <f>IFERROR(__xludf.DUMMYFUNCTION("""COMPUTED_VALUE"""),"19EI502")</f>
        <v>19EI502</v>
      </c>
      <c r="F42" s="7" t="str">
        <f>IFERROR(__xludf.DUMMYFUNCTION("""COMPUTED_VALUE"""),"Fiber Optics and Laser Instruments")</f>
        <v>Fiber Optics and Laser Instruments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IFERROR(__xludf.DUMMYFUNCTION("""COMPUTED_VALUE"""),"PE")</f>
        <v>PE</v>
      </c>
      <c r="D43" s="2" t="str">
        <f>IFERROR(__xludf.DUMMYFUNCTION("""COMPUTED_VALUE"""),"NA")</f>
        <v>NA</v>
      </c>
      <c r="E43" s="2" t="str">
        <f>IFERROR(__xludf.DUMMYFUNCTION("""COMPUTED_VALUE"""),"19CH521")</f>
        <v>19CH521</v>
      </c>
      <c r="F43" s="7" t="str">
        <f>IFERROR(__xludf.DUMMYFUNCTION("""COMPUTED_VALUE"""),"Chemical Process Instrumentation")</f>
        <v>Chemical Process Instrumentation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IFERROR(__xludf.DUMMYFUNCTION("""COMPUTED_VALUE"""),"NA")</f>
        <v>NA</v>
      </c>
      <c r="E44" s="2" t="str">
        <f>IFERROR(__xludf.DUMMYFUNCTION("""COMPUTED_VALUE"""),"19EI505")</f>
        <v>19EI505</v>
      </c>
      <c r="F44" s="7" t="str">
        <f>IFERROR(__xludf.DUMMYFUNCTION("""COMPUTED_VALUE"""),"Robotics and Automation")</f>
        <v>Robotics and Automation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IFERROR(__xludf.DUMMYFUNCTION("""COMPUTED_VALUE"""),"NA")</f>
        <v>NA</v>
      </c>
      <c r="E45" s="2" t="str">
        <f>IFERROR(__xludf.DUMMYFUNCTION("""COMPUTED_VALUE"""),"19EI506")</f>
        <v>19EI506</v>
      </c>
      <c r="F45" s="7" t="str">
        <f>IFERROR(__xludf.DUMMYFUNCTION("""COMPUTED_VALUE"""),"System Identification")</f>
        <v>System Identification</v>
      </c>
      <c r="G45" s="2" t="str">
        <f>IFERROR(__xludf.DUMMYFUNCTION("""COMPUTED_VALUE"""),"19EI414")</f>
        <v>19EI414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IFERROR(__xludf.DUMMYFUNCTION("""COMPUTED_VALUE"""),"NA")</f>
        <v>NA</v>
      </c>
      <c r="E46" s="2" t="str">
        <f>IFERROR(__xludf.DUMMYFUNCTION("""COMPUTED_VALUE"""),"19EI507")</f>
        <v>19EI507</v>
      </c>
      <c r="F46" s="7" t="str">
        <f>IFERROR(__xludf.DUMMYFUNCTION("""COMPUTED_VALUE"""),"Advanced Process Control")</f>
        <v>Advanced Process Control</v>
      </c>
      <c r="G46" s="2" t="str">
        <f>IFERROR(__xludf.DUMMYFUNCTION("""COMPUTED_VALUE"""),"19EI410")</f>
        <v>19EI410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IFERROR(__xludf.DUMMYFUNCTION("""COMPUTED_VALUE"""),"NA")</f>
        <v>NA</v>
      </c>
      <c r="E47" s="2" t="str">
        <f>IFERROR(__xludf.DUMMYFUNCTION("""COMPUTED_VALUE"""),"19EI509")</f>
        <v>19EI509</v>
      </c>
      <c r="F47" s="7" t="str">
        <f>IFERROR(__xludf.DUMMYFUNCTION("""COMPUTED_VALUE"""),"Process Control for Food Engineering")</f>
        <v>Process Control for Food Engineering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IFERROR(__xludf.DUMMYFUNCTION("""COMPUTED_VALUE"""),"NA")</f>
        <v>NA</v>
      </c>
      <c r="E48" s="2" t="str">
        <f>IFERROR(__xludf.DUMMYFUNCTION("""COMPUTED_VALUE"""),"19EI510")</f>
        <v>19EI510</v>
      </c>
      <c r="F48" s="7" t="str">
        <f>IFERROR(__xludf.DUMMYFUNCTION("""COMPUTED_VALUE"""),"Introduction to VLSI Design")</f>
        <v>Introduction to VLSI Design</v>
      </c>
      <c r="G48" s="2" t="str">
        <f>IFERROR(__xludf.DUMMYFUNCTION("""COMPUTED_VALUE"""),"19EI402")</f>
        <v>19EI402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IFERROR(__xludf.DUMMYFUNCTION("""COMPUTED_VALUE"""),"EC1503")</f>
        <v>EC1503</v>
      </c>
      <c r="E49" s="2" t="str">
        <f>IFERROR(__xludf.DUMMYFUNCTION("""COMPUTED_VALUE"""),"19EC503")</f>
        <v>19EC503</v>
      </c>
      <c r="F49" s="7" t="str">
        <f>IFERROR(__xludf.DUMMYFUNCTION("""COMPUTED_VALUE"""),"Digital Image Processing")</f>
        <v>Digital Image Processing</v>
      </c>
      <c r="G49" s="2" t="str">
        <f>IFERROR(__xludf.DUMMYFUNCTION("""COMPUTED_VALUE"""),"19EC409 / EC1409")</f>
        <v>19EC409 / EC1409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IFERROR(__xludf.DUMMYFUNCTION("""COMPUTED_VALUE"""),"NA")</f>
        <v>NA</v>
      </c>
      <c r="E50" s="2" t="str">
        <f>IFERROR(__xludf.DUMMYFUNCTION("""COMPUTED_VALUE"""),"19EI513")</f>
        <v>19EI513</v>
      </c>
      <c r="F50" s="7" t="str">
        <f>IFERROR(__xludf.DUMMYFUNCTION("""COMPUTED_VALUE"""),"Applied Soft Computing")</f>
        <v>Applied Soft Computing</v>
      </c>
      <c r="G50" s="2" t="str">
        <f>IFERROR(__xludf.DUMMYFUNCTION("""COMPUTED_VALUE"""),"19EI414")</f>
        <v>19EI414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IFERROR(__xludf.DUMMYFUNCTION("""COMPUTED_VALUE"""),"CS1305")</f>
        <v>CS1305</v>
      </c>
      <c r="E51" s="2" t="str">
        <f>IFERROR(__xludf.DUMMYFUNCTION("""COMPUTED_VALUE"""),"19CS305")</f>
        <v>19CS305</v>
      </c>
      <c r="F51" s="7" t="str">
        <f>IFERROR(__xludf.DUMMYFUNCTION("""COMPUTED_VALUE"""),"Computer Architecture")</f>
        <v>Computer Architecture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IFERROR(__xludf.DUMMYFUNCTION("""COMPUTED_VALUE"""),"CS1501")</f>
        <v>CS1501</v>
      </c>
      <c r="E52" s="2" t="str">
        <f>IFERROR(__xludf.DUMMYFUNCTION("""COMPUTED_VALUE"""),"19CS501")</f>
        <v>19CS501</v>
      </c>
      <c r="F52" s="7" t="str">
        <f>IFERROR(__xludf.DUMMYFUNCTION("""COMPUTED_VALUE"""),"Machine Learning")</f>
        <v>Machine Learning</v>
      </c>
      <c r="G52" s="2" t="str">
        <f>IFERROR(__xludf.DUMMYFUNCTION("""COMPUTED_VALUE"""),"19MA212/ 19MA218")</f>
        <v>19MA212/ 19MA218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IFERROR(__xludf.DUMMYFUNCTION("""COMPUTED_VALUE"""),"NA")</f>
        <v>NA</v>
      </c>
      <c r="E53" s="2" t="str">
        <f>IFERROR(__xludf.DUMMYFUNCTION("""COMPUTED_VALUE"""),"19EI514")</f>
        <v>19EI514</v>
      </c>
      <c r="F53" s="7" t="str">
        <f>IFERROR(__xludf.DUMMYFUNCTION("""COMPUTED_VALUE"""),"Introduction to Radar")</f>
        <v>Introduction to Radar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IFERROR(__xludf.DUMMYFUNCTION("""COMPUTED_VALUE"""),"NA")</f>
        <v>NA</v>
      </c>
      <c r="E54" s="2" t="str">
        <f>IFERROR(__xludf.DUMMYFUNCTION("""COMPUTED_VALUE"""),"19CH507")</f>
        <v>19CH507</v>
      </c>
      <c r="F54" s="7" t="str">
        <f>IFERROR(__xludf.DUMMYFUNCTION("""COMPUTED_VALUE"""),"Disaster Management")</f>
        <v>Disaster Management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IFERROR(__xludf.DUMMYFUNCTION("""COMPUTED_VALUE"""),"CE0523")</f>
        <v>CE0523</v>
      </c>
      <c r="E55" s="2" t="str">
        <f>IFERROR(__xludf.DUMMYFUNCTION("""COMPUTED_VALUE"""),"19CE523")</f>
        <v>19CE523</v>
      </c>
      <c r="F55" s="7" t="str">
        <f>IFERROR(__xludf.DUMMYFUNCTION("""COMPUTED_VALUE"""),"Instrumentation for Pollution Monitoring and Management")</f>
        <v>Instrumentation for Pollution Monitoring and Management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IFERROR(__xludf.DUMMYFUNCTION("""COMPUTED_VALUE"""),"NA")</f>
        <v>NA</v>
      </c>
      <c r="E56" s="2" t="str">
        <f>IFERROR(__xludf.DUMMYFUNCTION("""COMPUTED_VALUE"""),"19EI515")</f>
        <v>19EI515</v>
      </c>
      <c r="F56" s="7" t="str">
        <f>IFERROR(__xludf.DUMMYFUNCTION("""COMPUTED_VALUE"""),"Instrumentation and Control in Petrochemical Industries")</f>
        <v>Instrumentation and Control in Petrochemical Industries</v>
      </c>
      <c r="G56" s="2" t="str">
        <f>IFERROR(__xludf.DUMMYFUNCTION("""COMPUTED_VALUE"""),"19EI412")</f>
        <v>19EI412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IFERROR(__xludf.DUMMYFUNCTION("""COMPUTED_VALUE"""),"NA")</f>
        <v>NA</v>
      </c>
      <c r="E57" s="2" t="str">
        <f>IFERROR(__xludf.DUMMYFUNCTION("""COMPUTED_VALUE"""),"19EI516")</f>
        <v>19EI516</v>
      </c>
      <c r="F57" s="7" t="str">
        <f>IFERROR(__xludf.DUMMYFUNCTION("""COMPUTED_VALUE"""),"Instrumentation and Control in Iron and Steel Industries")</f>
        <v>Instrumentation and Control in Iron and Steel Industries</v>
      </c>
      <c r="G57" s="2" t="str">
        <f>IFERROR(__xludf.DUMMYFUNCTION("""COMPUTED_VALUE"""),"19EI412")</f>
        <v>19EI412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IFERROR(__xludf.DUMMYFUNCTION("""COMPUTED_VALUE"""),"CS1524")</f>
        <v>CS1524</v>
      </c>
      <c r="E58" s="2" t="str">
        <f>IFERROR(__xludf.DUMMYFUNCTION("""COMPUTED_VALUE"""),"19CS524")</f>
        <v>19CS524</v>
      </c>
      <c r="F58" s="7" t="str">
        <f>IFERROR(__xludf.DUMMYFUNCTION("""COMPUTED_VALUE"""),"Deep Learning")</f>
        <v>Deep Learning</v>
      </c>
      <c r="G58" s="2" t="str">
        <f>IFERROR(__xludf.DUMMYFUNCTION("""COMPUTED_VALUE"""),"19CS501")</f>
        <v>19CS501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IFERROR(__xludf.DUMMYFUNCTION("""COMPUTED_VALUE"""),"CS1526")</f>
        <v>CS1526</v>
      </c>
      <c r="E59" s="2" t="str">
        <f>IFERROR(__xludf.DUMMYFUNCTION("""COMPUTED_VALUE"""),"19CS526")</f>
        <v>19CS526</v>
      </c>
      <c r="F59" s="3" t="str">
        <f>IFERROR(__xludf.DUMMYFUNCTION("""COMPUTED_VALUE"""),"R Programming")</f>
        <v>R Programming</v>
      </c>
      <c r="G59" s="2" t="str">
        <f>IFERROR(__xludf.DUMMYFUNCTION("""COMPUTED_VALUE"""),"19CS301/19CS303")</f>
        <v>19CS301/19CS303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IFERROR(__xludf.DUMMYFUNCTION("""COMPUTED_VALUE"""),"CS1519")</f>
        <v>CS1519</v>
      </c>
      <c r="E60" s="2" t="str">
        <f>IFERROR(__xludf.DUMMYFUNCTION("""COMPUTED_VALUE"""),"19CS519")</f>
        <v>19CS519</v>
      </c>
      <c r="F60" s="7" t="str">
        <f>IFERROR(__xludf.DUMMYFUNCTION("""COMPUTED_VALUE"""),"Data Science")</f>
        <v>Data Science</v>
      </c>
      <c r="G60" s="2" t="str">
        <f>IFERROR(__xludf.DUMMYFUNCTION("""COMPUTED_VALUE"""),"19CS301/19CS501")</f>
        <v>19CS301/19CS501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IFERROR(__xludf.DUMMYFUNCTION("""COMPUTED_VALUE"""),"CS1520")</f>
        <v>CS1520</v>
      </c>
      <c r="E61" s="2" t="str">
        <f>IFERROR(__xludf.DUMMYFUNCTION("""COMPUTED_VALUE"""),"19CS520")</f>
        <v>19CS520</v>
      </c>
      <c r="F61" s="7" t="str">
        <f>IFERROR(__xludf.DUMMYFUNCTION("""COMPUTED_VALUE"""),"Big Data Analytics")</f>
        <v>Big Data Analytics</v>
      </c>
      <c r="G61" s="2" t="str">
        <f>IFERROR(__xludf.DUMMYFUNCTION("""COMPUTED_VALUE"""),"19CS411/19CS519")</f>
        <v>19CS411/19CS519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IFERROR(__xludf.DUMMYFUNCTION("""COMPUTED_VALUE"""),"CS1529")</f>
        <v>CS1529</v>
      </c>
      <c r="E62" s="2" t="str">
        <f>IFERROR(__xludf.DUMMYFUNCTION("""COMPUTED_VALUE"""),"19CS529")</f>
        <v>19CS529</v>
      </c>
      <c r="F62" s="7" t="str">
        <f>IFERROR(__xludf.DUMMYFUNCTION("""COMPUTED_VALUE"""),"Quantum Computing")</f>
        <v>Quantum Computing</v>
      </c>
      <c r="G62" s="2" t="str">
        <f>IFERROR(__xludf.DUMMYFUNCTION("""COMPUTED_VALUE"""),"19CS301/19CS303")</f>
        <v>19CS301/19CS303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IFERROR(__xludf.DUMMYFUNCTION("""COMPUTED_VALUE"""),"CS1531")</f>
        <v>CS1531</v>
      </c>
      <c r="E63" s="2" t="str">
        <f>IFERROR(__xludf.DUMMYFUNCTION("""COMPUTED_VALUE"""),"19CS531")</f>
        <v>19CS531</v>
      </c>
      <c r="F63" s="7" t="str">
        <f>IFERROR(__xludf.DUMMYFUNCTION("""COMPUTED_VALUE"""),"Virtual Reality")</f>
        <v>Virtual Reality</v>
      </c>
      <c r="G63" s="2" t="str">
        <f>IFERROR(__xludf.DUMMYFUNCTION("""COMPUTED_VALUE"""),"19CS401/19CS301")</f>
        <v>19CS401/19CS301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IFERROR(__xludf.DUMMYFUNCTION("""COMPUTED_VALUE"""),"CS3307")</f>
        <v>CS3307</v>
      </c>
      <c r="E64" s="2" t="str">
        <f>IFERROR(__xludf.DUMMYFUNCTION("""COMPUTED_VALUE"""),"19AI307")</f>
        <v>19AI307</v>
      </c>
      <c r="F64" s="7" t="str">
        <f>IFERROR(__xludf.DUMMYFUNCTION("""COMPUTED_VALUE"""),"Object Oriented Programming using Java")</f>
        <v>Object Oriented Programming using Java</v>
      </c>
      <c r="G64" s="2" t="str">
        <f>IFERROR(__xludf.DUMMYFUNCTION("""COMPUTED_VALUE"""),"19AI304")</f>
        <v>19AI304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IFERROR(__xludf.DUMMYFUNCTION("""COMPUTED_VALUE"""),"CS3404")</f>
        <v>CS3404</v>
      </c>
      <c r="E65" s="2" t="str">
        <f>IFERROR(__xludf.DUMMYFUNCTION("""COMPUTED_VALUE"""),"19AI404")</f>
        <v>19AI404</v>
      </c>
      <c r="F65" s="7" t="str">
        <f>IFERROR(__xludf.DUMMYFUNCTION("""COMPUTED_VALUE"""),"Analysis of Algorithms")</f>
        <v>Analysis of Algorithms</v>
      </c>
      <c r="G65" s="2" t="str">
        <f>IFERROR(__xludf.DUMMYFUNCTION("""COMPUTED_VALUE"""),"19AI301")</f>
        <v>19AI301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IFERROR(__xludf.DUMMYFUNCTION("""COMPUTED_VALUE"""),"CS1404")</f>
        <v>CS1404</v>
      </c>
      <c r="E66" s="2" t="str">
        <f>IFERROR(__xludf.DUMMYFUNCTION("""COMPUTED_VALUE"""),"19CS404")</f>
        <v>19CS404</v>
      </c>
      <c r="F66" s="3" t="str">
        <f>IFERROR(__xludf.DUMMYFUNCTION("""COMPUTED_VALUE"""),"Database Management System and its Applications")</f>
        <v>Database Management System and its Applications</v>
      </c>
      <c r="G66" s="2" t="str">
        <f>IFERROR(__xludf.DUMMYFUNCTION("""COMPUTED_VALUE"""),"19AI301/19AI304/19CS301/19CS302/19CS303")</f>
        <v>19AI301/19AI304/19CS301/19CS302/19CS303</v>
      </c>
      <c r="H66" s="2">
        <f>IFERROR(__xludf.DUMMYFUNCTION("""COMPUTED_VALUE"""),3)</f>
        <v>3</v>
      </c>
      <c r="I66" s="2">
        <f>IFERROR(__xludf.DUMMYFUNCTION("""COMPUTED_VALUE"""),1)</f>
        <v>1</v>
      </c>
      <c r="J66" s="2">
        <f>IFERROR(__xludf.DUMMYFUNCTION("""COMPUTED_VALUE"""),4)</f>
        <v>4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IFERROR(__xludf.DUMMYFUNCTION("""COMPUTED_VALUE"""),"PE(Honours)")</f>
        <v>PE(Honours)</v>
      </c>
      <c r="D67" s="2" t="str">
        <f>IFERROR(__xludf.DUMMYFUNCTION("""COMPUTED_VALUE"""),"NA")</f>
        <v>NA</v>
      </c>
      <c r="E67" s="2" t="str">
        <f>IFERROR(__xludf.DUMMYFUNCTION("""COMPUTED_VALUE"""),"19EI501")</f>
        <v>19EI501</v>
      </c>
      <c r="F67" s="7" t="str">
        <f>IFERROR(__xludf.DUMMYFUNCTION("""COMPUTED_VALUE"""),"Aircraft Systems and Instruments")</f>
        <v>Aircraft Systems and Instruments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IFERROR(__xludf.DUMMYFUNCTION("""COMPUTED_VALUE"""),"PE(Honours)")</f>
        <v>PE(Honours)</v>
      </c>
      <c r="D68" s="2" t="str">
        <f>IFERROR(__xludf.DUMMYFUNCTION("""COMPUTED_VALUE"""),"NA")</f>
        <v>NA</v>
      </c>
      <c r="E68" s="2" t="str">
        <f>IFERROR(__xludf.DUMMYFUNCTION("""COMPUTED_VALUE"""),"19EI503")</f>
        <v>19EI503</v>
      </c>
      <c r="F68" s="7" t="str">
        <f>IFERROR(__xludf.DUMMYFUNCTION("""COMPUTED_VALUE"""),"Ultrasonic Instrumentation")</f>
        <v>Ultrasonic Instrumentation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IFERROR(__xludf.DUMMYFUNCTION("""COMPUTED_VALUE"""),"PE(Honours)")</f>
        <v>PE(Honours)</v>
      </c>
      <c r="D69" s="2" t="str">
        <f>IFERROR(__xludf.DUMMYFUNCTION("""COMPUTED_VALUE"""),"NA")</f>
        <v>NA</v>
      </c>
      <c r="E69" s="2" t="str">
        <f>IFERROR(__xludf.DUMMYFUNCTION("""COMPUTED_VALUE"""),"19EI504")</f>
        <v>19EI504</v>
      </c>
      <c r="F69" s="7" t="str">
        <f>IFERROR(__xludf.DUMMYFUNCTION("""COMPUTED_VALUE"""),"Environmental Instrumentation")</f>
        <v>Environmental Instrumentation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IFERROR(__xludf.DUMMYFUNCTION("""COMPUTED_VALUE"""),"PE(Honours)")</f>
        <v>PE(Honours)</v>
      </c>
      <c r="D70" s="2" t="str">
        <f>IFERROR(__xludf.DUMMYFUNCTION("""COMPUTED_VALUE"""),"NA")</f>
        <v>NA</v>
      </c>
      <c r="E70" s="2" t="str">
        <f>IFERROR(__xludf.DUMMYFUNCTION("""COMPUTED_VALUE"""),"19EI508")</f>
        <v>19EI508</v>
      </c>
      <c r="F70" s="7" t="str">
        <f>IFERROR(__xludf.DUMMYFUNCTION("""COMPUTED_VALUE"""),"SCADA Systems and Applications")</f>
        <v>SCADA Systems and Applications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IFERROR(__xludf.DUMMYFUNCTION("""COMPUTED_VALUE"""),"PE(Honours)")</f>
        <v>PE(Honours)</v>
      </c>
      <c r="D71" s="2" t="str">
        <f>IFERROR(__xludf.DUMMYFUNCTION("""COMPUTED_VALUE"""),"NA")</f>
        <v>NA</v>
      </c>
      <c r="E71" s="2" t="str">
        <f>IFERROR(__xludf.DUMMYFUNCTION("""COMPUTED_VALUE"""),"19EI511")</f>
        <v>19EI511</v>
      </c>
      <c r="F71" s="7" t="str">
        <f>IFERROR(__xludf.DUMMYFUNCTION("""COMPUTED_VALUE"""),"Telemetry and Tele Control")</f>
        <v>Telemetry and Tele Control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IFERROR(__xludf.DUMMYFUNCTION("""COMPUTED_VALUE"""),"PE(Honours)")</f>
        <v>PE(Honours)</v>
      </c>
      <c r="D72" s="2" t="str">
        <f>IFERROR(__xludf.DUMMYFUNCTION("""COMPUTED_VALUE"""),"NA")</f>
        <v>NA</v>
      </c>
      <c r="E72" s="2" t="str">
        <f>IFERROR(__xludf.DUMMYFUNCTION("""COMPUTED_VALUE"""),"19EI512")</f>
        <v>19EI512</v>
      </c>
      <c r="F72" s="7" t="str">
        <f>IFERROR(__xludf.DUMMYFUNCTION("""COMPUTED_VALUE"""),"Sensors and Data Acquisition")</f>
        <v>Sensors and Data Acquisition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IFERROR(__xludf.DUMMYFUNCTION("""COMPUTED_VALUE"""),"PE(Honours)")</f>
        <v>PE(Honours)</v>
      </c>
      <c r="D73" s="2" t="str">
        <f>IFERROR(__xludf.DUMMYFUNCTION("""COMPUTED_VALUE"""),"NA")</f>
        <v>NA</v>
      </c>
      <c r="E73" s="2" t="str">
        <f>IFERROR(__xludf.DUMMYFUNCTION("""COMPUTED_VALUE"""),"19EI517")</f>
        <v>19EI517</v>
      </c>
      <c r="F73" s="7" t="str">
        <f>IFERROR(__xludf.DUMMYFUNCTION("""COMPUTED_VALUE"""),"Instrumentation and Control in Paper Industries")</f>
        <v>Instrumentation and Control in Paper Industries</v>
      </c>
      <c r="G73" s="2" t="str">
        <f>IFERROR(__xludf.DUMMYFUNCTION("""COMPUTED_VALUE"""),"19EI412")</f>
        <v>19EI412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IFERROR(__xludf.DUMMYFUNCTION("""COMPUTED_VALUE"""),"OE")</f>
        <v>OE</v>
      </c>
      <c r="D74" s="2" t="str">
        <f>IFERROR(__xludf.DUMMYFUNCTION("""COMPUTED_VALUE"""),"XXXXXX")</f>
        <v>XXXXXX</v>
      </c>
      <c r="E74" s="2" t="str">
        <f>IFERROR(__xludf.DUMMYFUNCTION("""COMPUTED_VALUE"""),"19XXXXX")</f>
        <v>19XXXXX</v>
      </c>
      <c r="F74" s="3" t="str">
        <f>IFERROR(__xludf.DUMMYFUNCTION("""COMPUTED_VALUE"""),"Open Electives")</f>
        <v>Open Electives</v>
      </c>
      <c r="G74" s="2" t="str">
        <f>IFERROR(__xludf.DUMMYFUNCTION("""COMPUTED_VALUE"""),"-")</f>
        <v>-</v>
      </c>
      <c r="H74" s="2">
        <f>IFERROR(__xludf.DUMMYFUNCTION("""COMPUTED_VALUE"""),0)</f>
        <v>0</v>
      </c>
      <c r="I74" s="2">
        <f>IFERROR(__xludf.DUMMYFUNCTION("""COMPUTED_VALUE"""),0)</f>
        <v>0</v>
      </c>
      <c r="J74" s="2">
        <f>IFERROR(__xludf.DUMMYFUNCTION("""COMPUTED_VALUE"""),0)</f>
        <v>0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IFERROR(__xludf.DUMMYFUNCTION("""COMPUTED_VALUE"""),"OE")</f>
        <v>OE</v>
      </c>
      <c r="D75" s="2" t="str">
        <f>IFERROR(__xludf.DUMMYFUNCTION("""COMPUTED_VALUE"""),"XXXXXX")</f>
        <v>XXXXXX</v>
      </c>
      <c r="E75" s="2" t="str">
        <f>IFERROR(__xludf.DUMMYFUNCTION("""COMPUTED_VALUE"""),"19XXXXX")</f>
        <v>19XXXXX</v>
      </c>
      <c r="F75" s="3" t="str">
        <f>IFERROR(__xludf.DUMMYFUNCTION("""COMPUTED_VALUE"""),"Online Courses")</f>
        <v>Online Courses</v>
      </c>
      <c r="G75" s="2" t="str">
        <f>IFERROR(__xludf.DUMMYFUNCTION("""COMPUTED_VALUE"""),"-")</f>
        <v>-</v>
      </c>
      <c r="H75" s="2">
        <f>IFERROR(__xludf.DUMMYFUNCTION("""COMPUTED_VALUE"""),0)</f>
        <v>0</v>
      </c>
      <c r="I75" s="2">
        <f>IFERROR(__xludf.DUMMYFUNCTION("""COMPUTED_VALUE"""),0)</f>
        <v>0</v>
      </c>
      <c r="J75" s="2">
        <f>IFERROR(__xludf.DUMMYFUNCTION("""COMPUTED_VALUE"""),0)</f>
        <v>0</v>
      </c>
      <c r="K75" s="2" t="str">
        <f>IFERROR(__xludf.DUMMYFUNCTION("""COMPUTED_VALUE"""),"CGPA")</f>
        <v>CGPA</v>
      </c>
      <c r="L75" s="2" t="str">
        <f>IFERROR(__xludf.DUMMYFUNCTION("""COMPUTED_VALUE"""),"Experiential Learning")</f>
        <v>Experiential Learning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IFERROR(__xludf.DUMMYFUNCTION("""COMPUTED_VALUE"""),"EEC")</f>
        <v>EEC</v>
      </c>
      <c r="D76" s="2" t="str">
        <f>IFERROR(__xludf.DUMMYFUNCTION("""COMPUTED_VALUE"""),"NA")</f>
        <v>NA</v>
      </c>
      <c r="E76" s="2" t="str">
        <f>IFERROR(__xludf.DUMMYFUNCTION("""COMPUTED_VALUE"""),"19EI701")</f>
        <v>19EI701</v>
      </c>
      <c r="F76" s="7" t="str">
        <f>IFERROR(__xludf.DUMMYFUNCTION("""COMPUTED_VALUE"""),"Mini Project")</f>
        <v>Mini Project</v>
      </c>
      <c r="G76" s="2" t="str">
        <f>IFERROR(__xludf.DUMMYFUNCTION("""COMPUTED_VALUE"""),"-")</f>
        <v>-</v>
      </c>
      <c r="H76" s="2">
        <f>IFERROR(__xludf.DUMMYFUNCTION("""COMPUTED_VALUE"""),0)</f>
        <v>0</v>
      </c>
      <c r="I76" s="2">
        <f>IFERROR(__xludf.DUMMYFUNCTION("""COMPUTED_VALUE"""),2)</f>
        <v>2</v>
      </c>
      <c r="J76" s="2">
        <f>IFERROR(__xludf.DUMMYFUNCTION("""COMPUTED_VALUE"""),2)</f>
        <v>2</v>
      </c>
      <c r="K76" s="2" t="str">
        <f>IFERROR(__xludf.DUMMYFUNCTION("""COMPUTED_VALUE"""),"CGPA")</f>
        <v>CGPA</v>
      </c>
      <c r="L76" s="2" t="str">
        <f>IFERROR(__xludf.DUMMYFUNCTION("""COMPUTED_VALUE"""),"Project (Int Only)")</f>
        <v>Project (Int Only)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IFERROR(__xludf.DUMMYFUNCTION("""COMPUTED_VALUE"""),"EEC")</f>
        <v>EEC</v>
      </c>
      <c r="D77" s="2" t="str">
        <f>IFERROR(__xludf.DUMMYFUNCTION("""COMPUTED_VALUE"""),"NA")</f>
        <v>NA</v>
      </c>
      <c r="E77" s="2" t="str">
        <f>IFERROR(__xludf.DUMMYFUNCTION("""COMPUTED_VALUE"""),"19EI702")</f>
        <v>19EI702</v>
      </c>
      <c r="F77" s="7" t="str">
        <f>IFERROR(__xludf.DUMMYFUNCTION("""COMPUTED_VALUE"""),"Project Work Phase I")</f>
        <v>Project Work Phase I</v>
      </c>
      <c r="G77" s="2" t="str">
        <f>IFERROR(__xludf.DUMMYFUNCTION("""COMPUTED_VALUE"""),"-")</f>
        <v>-</v>
      </c>
      <c r="H77" s="2">
        <f>IFERROR(__xludf.DUMMYFUNCTION("""COMPUTED_VALUE"""),0)</f>
        <v>0</v>
      </c>
      <c r="I77" s="2">
        <f>IFERROR(__xludf.DUMMYFUNCTION("""COMPUTED_VALUE"""),2)</f>
        <v>2</v>
      </c>
      <c r="J77" s="2">
        <f>IFERROR(__xludf.DUMMYFUNCTION("""COMPUTED_VALUE"""),2)</f>
        <v>2</v>
      </c>
      <c r="K77" s="2" t="str">
        <f>IFERROR(__xludf.DUMMYFUNCTION("""COMPUTED_VALUE"""),"CGPA")</f>
        <v>CGPA</v>
      </c>
      <c r="L77" s="2" t="str">
        <f>IFERROR(__xludf.DUMMYFUNCTION("""COMPUTED_VALUE"""),"Project (Int Only)")</f>
        <v>Project (Int Only)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IFERROR(__xludf.DUMMYFUNCTION("""COMPUTED_VALUE"""),"EEC")</f>
        <v>EEC</v>
      </c>
      <c r="D78" s="2" t="str">
        <f>IFERROR(__xludf.DUMMYFUNCTION("""COMPUTED_VALUE"""),"NA")</f>
        <v>NA</v>
      </c>
      <c r="E78" s="2" t="str">
        <f>IFERROR(__xludf.DUMMYFUNCTION("""COMPUTED_VALUE"""),"19EI703")</f>
        <v>19EI703</v>
      </c>
      <c r="F78" s="7" t="str">
        <f>IFERROR(__xludf.DUMMYFUNCTION("""COMPUTED_VALUE"""),"Project Work Phase II")</f>
        <v>Project Work Phase II</v>
      </c>
      <c r="G78" s="2" t="str">
        <f>IFERROR(__xludf.DUMMYFUNCTION("""COMPUTED_VALUE"""),"19EI702")</f>
        <v>19EI702</v>
      </c>
      <c r="H78" s="2">
        <f>IFERROR(__xludf.DUMMYFUNCTION("""COMPUTED_VALUE"""),0)</f>
        <v>0</v>
      </c>
      <c r="I78" s="2">
        <f>IFERROR(__xludf.DUMMYFUNCTION("""COMPUTED_VALUE"""),6)</f>
        <v>6</v>
      </c>
      <c r="J78" s="2">
        <f>IFERROR(__xludf.DUMMYFUNCTION("""COMPUTED_VALUE"""),6)</f>
        <v>6</v>
      </c>
      <c r="K78" s="2" t="str">
        <f>IFERROR(__xludf.DUMMYFUNCTION("""COMPUTED_VALUE"""),"CGPA")</f>
        <v>CGPA</v>
      </c>
      <c r="L78" s="2" t="str">
        <f>IFERROR(__xludf.DUMMYFUNCTION("""COMPUTED_VALUE"""),"Project")</f>
        <v>Project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 t="str">
        <f>IFERROR(__xludf.DUMMYFUNCTION("""COMPUTED_VALUE"""),"Any 1")</f>
        <v>Any 1</v>
      </c>
      <c r="C79" s="2" t="str">
        <f>IFERROR(__xludf.DUMMYFUNCTION("""COMPUTED_VALUE"""),"EEC")</f>
        <v>EEC</v>
      </c>
      <c r="D79" s="2" t="str">
        <f>IFERROR(__xludf.DUMMYFUNCTION("""COMPUTED_VALUE"""),"NA")</f>
        <v>NA</v>
      </c>
      <c r="E79" s="2" t="str">
        <f>IFERROR(__xludf.DUMMYFUNCTION("""COMPUTED_VALUE"""),"19EY701")</f>
        <v>19EY701</v>
      </c>
      <c r="F79" s="7" t="str">
        <f>IFERROR(__xludf.DUMMYFUNCTION("""COMPUTED_VALUE"""),"Softskills")</f>
        <v>Softskills</v>
      </c>
      <c r="G79" s="2" t="str">
        <f>IFERROR(__xludf.DUMMYFUNCTION("""COMPUTED_VALUE"""),"-")</f>
        <v>-</v>
      </c>
      <c r="H79" s="2">
        <f>IFERROR(__xludf.DUMMYFUNCTION("""COMPUTED_VALUE"""),0)</f>
        <v>0</v>
      </c>
      <c r="I79" s="2">
        <f>IFERROR(__xludf.DUMMYFUNCTION("""COMPUTED_VALUE"""),1)</f>
        <v>1</v>
      </c>
      <c r="J79" s="2">
        <f>IFERROR(__xludf.DUMMYFUNCTION("""COMPUTED_VALUE"""),1)</f>
        <v>1</v>
      </c>
      <c r="K79" s="2" t="str">
        <f>IFERROR(__xludf.DUMMYFUNCTION("""COMPUTED_VALUE"""),"CGPA")</f>
        <v>CGPA</v>
      </c>
      <c r="L79" s="2" t="str">
        <f>IFERROR(__xludf.DUMMYFUNCTION("""COMPUTED_VALUE"""),"Practical (6 Expts)")</f>
        <v>Practical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 t="str">
        <f>IFERROR(__xludf.DUMMYFUNCTION("""COMPUTED_VALUE"""),"Any 1")</f>
        <v>Any 1</v>
      </c>
      <c r="C80" s="2" t="str">
        <f>IFERROR(__xludf.DUMMYFUNCTION("""COMPUTED_VALUE"""),"EEC")</f>
        <v>EEC</v>
      </c>
      <c r="D80" s="2" t="str">
        <f>IFERROR(__xludf.DUMMYFUNCTION("""COMPUTED_VALUE"""),"SH6708")</f>
        <v>SH6708</v>
      </c>
      <c r="E80" s="2" t="str">
        <f>IFERROR(__xludf.DUMMYFUNCTION("""COMPUTED_VALUE"""),"19EY708")</f>
        <v>19EY708</v>
      </c>
      <c r="F80" s="7" t="str">
        <f>IFERROR(__xludf.DUMMYFUNCTION("""COMPUTED_VALUE"""),"Career Development Skills")</f>
        <v>Career Development Skills</v>
      </c>
      <c r="G80" s="2" t="str">
        <f>IFERROR(__xludf.DUMMYFUNCTION("""COMPUTED_VALUE"""),"NIL")</f>
        <v>NIL</v>
      </c>
      <c r="H80" s="2">
        <f>IFERROR(__xludf.DUMMYFUNCTION("""COMPUTED_VALUE"""),1)</f>
        <v>1</v>
      </c>
      <c r="I80" s="2">
        <f>IFERROR(__xludf.DUMMYFUNCTION("""COMPUTED_VALUE"""),0)</f>
        <v>0</v>
      </c>
      <c r="J80" s="2">
        <f>IFERROR(__xludf.DUMMYFUNCTION("""COMPUTED_VALUE"""),1)</f>
        <v>1</v>
      </c>
      <c r="K80" s="2" t="str">
        <f>IFERROR(__xludf.DUMMYFUNCTION("""COMPUTED_VALUE"""),"CGPA")</f>
        <v>CGPA</v>
      </c>
      <c r="L80" s="2" t="str">
        <f>IFERROR(__xludf.DUMMYFUNCTION("""COMPUTED_VALUE"""),"Theory (Int Only)")</f>
        <v>Theory (Int Only)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 t="str">
        <f>IFERROR(__xludf.DUMMYFUNCTION("""COMPUTED_VALUE"""),"Any 1")</f>
        <v>Any 1</v>
      </c>
      <c r="C81" s="2" t="str">
        <f>IFERROR(__xludf.DUMMYFUNCTION("""COMPUTED_VALUE"""),"EEC")</f>
        <v>EEC</v>
      </c>
      <c r="D81" s="2" t="str">
        <f>IFERROR(__xludf.DUMMYFUNCTION("""COMPUTED_VALUE"""),"NA")</f>
        <v>NA</v>
      </c>
      <c r="E81" s="2" t="str">
        <f>IFERROR(__xludf.DUMMYFUNCTION("""COMPUTED_VALUE"""),"19EY702")</f>
        <v>19EY702</v>
      </c>
      <c r="F81" s="7" t="str">
        <f>IFERROR(__xludf.DUMMYFUNCTION("""COMPUTED_VALUE"""),"Creative Skills for Communication")</f>
        <v>Creative Skills for Communication</v>
      </c>
      <c r="G81" s="2" t="str">
        <f>IFERROR(__xludf.DUMMYFUNCTION("""COMPUTED_VALUE"""),"-")</f>
        <v>-</v>
      </c>
      <c r="H81" s="2">
        <f>IFERROR(__xludf.DUMMYFUNCTION("""COMPUTED_VALUE"""),0)</f>
        <v>0</v>
      </c>
      <c r="I81" s="2">
        <f>IFERROR(__xludf.DUMMYFUNCTION("""COMPUTED_VALUE"""),1)</f>
        <v>1</v>
      </c>
      <c r="J81" s="2">
        <f>IFERROR(__xludf.DUMMYFUNCTION("""COMPUTED_VALUE"""),1)</f>
        <v>1</v>
      </c>
      <c r="K81" s="2" t="str">
        <f>IFERROR(__xludf.DUMMYFUNCTION("""COMPUTED_VALUE"""),"CGPA")</f>
        <v>CGPA</v>
      </c>
      <c r="L81" s="2" t="str">
        <f>IFERROR(__xludf.DUMMYFUNCTION("""COMPUTED_VALUE"""),"Practical (6 Expts)")</f>
        <v>Practical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 t="str">
        <f>IFERROR(__xludf.DUMMYFUNCTION("""COMPUTED_VALUE"""),"Any 1")</f>
        <v>Any 1</v>
      </c>
      <c r="C82" s="2" t="str">
        <f>IFERROR(__xludf.DUMMYFUNCTION("""COMPUTED_VALUE"""),"EEC")</f>
        <v>EEC</v>
      </c>
      <c r="D82" s="2" t="str">
        <f>IFERROR(__xludf.DUMMYFUNCTION("""COMPUTED_VALUE"""),"SH6709")</f>
        <v>SH6709</v>
      </c>
      <c r="E82" s="2" t="str">
        <f>IFERROR(__xludf.DUMMYFUNCTION("""COMPUTED_VALUE"""),"19EY709")</f>
        <v>19EY709</v>
      </c>
      <c r="F82" s="7" t="str">
        <f>IFERROR(__xludf.DUMMYFUNCTION("""COMPUTED_VALUE"""),"Reasoning Ability")</f>
        <v>Reasoning Ability</v>
      </c>
      <c r="G82" s="2" t="str">
        <f>IFERROR(__xludf.DUMMYFUNCTION("""COMPUTED_VALUE"""),"NIL")</f>
        <v>NIL</v>
      </c>
      <c r="H82" s="2">
        <f>IFERROR(__xludf.DUMMYFUNCTION("""COMPUTED_VALUE"""),1)</f>
        <v>1</v>
      </c>
      <c r="I82" s="2">
        <f>IFERROR(__xludf.DUMMYFUNCTION("""COMPUTED_VALUE"""),0)</f>
        <v>0</v>
      </c>
      <c r="J82" s="2">
        <f>IFERROR(__xludf.DUMMYFUNCTION("""COMPUTED_VALUE"""),1)</f>
        <v>1</v>
      </c>
      <c r="K82" s="2" t="str">
        <f>IFERROR(__xludf.DUMMYFUNCTION("""COMPUTED_VALUE"""),"CGPA")</f>
        <v>CGPA</v>
      </c>
      <c r="L82" s="2" t="str">
        <f>IFERROR(__xludf.DUMMYFUNCTION("""COMPUTED_VALUE"""),"Theory (Int Only)")</f>
        <v>Theory (Int Only)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 t="str">
        <f>IFERROR(__xludf.DUMMYFUNCTION("""COMPUTED_VALUE"""),"Option 1")</f>
        <v>Option 1</v>
      </c>
      <c r="C83" s="2" t="str">
        <f>IFERROR(__xludf.DUMMYFUNCTION("""COMPUTED_VALUE"""),"EEC")</f>
        <v>EEC</v>
      </c>
      <c r="D83" s="2" t="str">
        <f>IFERROR(__xludf.DUMMYFUNCTION("""COMPUTED_VALUE"""),"NA")</f>
        <v>NA</v>
      </c>
      <c r="E83" s="2" t="str">
        <f>IFERROR(__xludf.DUMMYFUNCTION("""COMPUTED_VALUE"""),"19EY703")</f>
        <v>19EY703</v>
      </c>
      <c r="F83" s="7" t="str">
        <f>IFERROR(__xludf.DUMMYFUNCTION("""COMPUTED_VALUE"""),"System of Numerical and Logical Terminologies")</f>
        <v>System of Numerical and Logical Terminologies</v>
      </c>
      <c r="G83" s="2" t="str">
        <f>IFERROR(__xludf.DUMMYFUNCTION("""COMPUTED_VALUE"""),"-")</f>
        <v>-</v>
      </c>
      <c r="H83" s="2">
        <f>IFERROR(__xludf.DUMMYFUNCTION("""COMPUTED_VALUE"""),0)</f>
        <v>0</v>
      </c>
      <c r="I83" s="2">
        <f>IFERROR(__xludf.DUMMYFUNCTION("""COMPUTED_VALUE"""),1)</f>
        <v>1</v>
      </c>
      <c r="J83" s="2">
        <f>IFERROR(__xludf.DUMMYFUNCTION("""COMPUTED_VALUE"""),1)</f>
        <v>1</v>
      </c>
      <c r="K83" s="2" t="str">
        <f>IFERROR(__xludf.DUMMYFUNCTION("""COMPUTED_VALUE"""),"CGPA")</f>
        <v>CGPA</v>
      </c>
      <c r="L83" s="2" t="str">
        <f>IFERROR(__xludf.DUMMYFUNCTION("""COMPUTED_VALUE"""),"Practical (6 Expts)")</f>
        <v>Practical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 t="str">
        <f>IFERROR(__xludf.DUMMYFUNCTION("""COMPUTED_VALUE"""),"Option 1")</f>
        <v>Option 1</v>
      </c>
      <c r="C84" s="2" t="str">
        <f>IFERROR(__xludf.DUMMYFUNCTION("""COMPUTED_VALUE"""),"EEC")</f>
        <v>EEC</v>
      </c>
      <c r="D84" s="2" t="str">
        <f>IFERROR(__xludf.DUMMYFUNCTION("""COMPUTED_VALUE"""),"NA")</f>
        <v>NA</v>
      </c>
      <c r="E84" s="2" t="str">
        <f>IFERROR(__xludf.DUMMYFUNCTION("""COMPUTED_VALUE"""),"19EY704")</f>
        <v>19EY704</v>
      </c>
      <c r="F84" s="7" t="str">
        <f>IFERROR(__xludf.DUMMYFUNCTION("""COMPUTED_VALUE"""),"Advanced Quantitative and Logical Reasoning")</f>
        <v>Advanced Quantitative and Logical Reasoning</v>
      </c>
      <c r="G84" s="2" t="str">
        <f>IFERROR(__xludf.DUMMYFUNCTION("""COMPUTED_VALUE"""),"-")</f>
        <v>-</v>
      </c>
      <c r="H84" s="2">
        <f>IFERROR(__xludf.DUMMYFUNCTION("""COMPUTED_VALUE"""),0)</f>
        <v>0</v>
      </c>
      <c r="I84" s="2">
        <f>IFERROR(__xludf.DUMMYFUNCTION("""COMPUTED_VALUE"""),1)</f>
        <v>1</v>
      </c>
      <c r="J84" s="2">
        <f>IFERROR(__xludf.DUMMYFUNCTION("""COMPUTED_VALUE"""),1)</f>
        <v>1</v>
      </c>
      <c r="K84" s="2" t="str">
        <f>IFERROR(__xludf.DUMMYFUNCTION("""COMPUTED_VALUE"""),"CGPA")</f>
        <v>CGPA</v>
      </c>
      <c r="L84" s="2" t="str">
        <f>IFERROR(__xludf.DUMMYFUNCTION("""COMPUTED_VALUE"""),"Practical (6 Expts)")</f>
        <v>Practical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 t="str">
        <f>IFERROR(__xludf.DUMMYFUNCTION("""COMPUTED_VALUE"""),"Option 2")</f>
        <v>Option 2</v>
      </c>
      <c r="C85" s="2" t="str">
        <f>IFERROR(__xludf.DUMMYFUNCTION("""COMPUTED_VALUE"""),"EEC")</f>
        <v>EEC</v>
      </c>
      <c r="D85" s="2" t="str">
        <f>IFERROR(__xludf.DUMMYFUNCTION("""COMPUTED_VALUE"""),"SH6710")</f>
        <v>SH6710</v>
      </c>
      <c r="E85" s="2" t="str">
        <f>IFERROR(__xludf.DUMMYFUNCTION("""COMPUTED_VALUE"""),"19EY710")</f>
        <v>19EY710</v>
      </c>
      <c r="F85" s="7" t="str">
        <f>IFERROR(__xludf.DUMMYFUNCTION("""COMPUTED_VALUE"""),"Quantitative Ability I")</f>
        <v>Quantitative Ability I</v>
      </c>
      <c r="G85" s="2" t="str">
        <f>IFERROR(__xludf.DUMMYFUNCTION("""COMPUTED_VALUE"""),"NIL")</f>
        <v>NIL</v>
      </c>
      <c r="H85" s="2">
        <f>IFERROR(__xludf.DUMMYFUNCTION("""COMPUTED_VALUE"""),1)</f>
        <v>1</v>
      </c>
      <c r="I85" s="2">
        <f>IFERROR(__xludf.DUMMYFUNCTION("""COMPUTED_VALUE"""),0)</f>
        <v>0</v>
      </c>
      <c r="J85" s="2">
        <f>IFERROR(__xludf.DUMMYFUNCTION("""COMPUTED_VALUE"""),1)</f>
        <v>1</v>
      </c>
      <c r="K85" s="2" t="str">
        <f>IFERROR(__xludf.DUMMYFUNCTION("""COMPUTED_VALUE"""),"CGPA")</f>
        <v>CGPA</v>
      </c>
      <c r="L85" s="2" t="str">
        <f>IFERROR(__xludf.DUMMYFUNCTION("""COMPUTED_VALUE"""),"Theory (Int Only)")</f>
        <v>Theory (Int Only)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 t="str">
        <f>IFERROR(__xludf.DUMMYFUNCTION("""COMPUTED_VALUE"""),"Option 2")</f>
        <v>Option 2</v>
      </c>
      <c r="C86" s="2" t="str">
        <f>IFERROR(__xludf.DUMMYFUNCTION("""COMPUTED_VALUE"""),"EEC")</f>
        <v>EEC</v>
      </c>
      <c r="D86" s="2" t="str">
        <f>IFERROR(__xludf.DUMMYFUNCTION("""COMPUTED_VALUE"""),"SH6711")</f>
        <v>SH6711</v>
      </c>
      <c r="E86" s="2" t="str">
        <f>IFERROR(__xludf.DUMMYFUNCTION("""COMPUTED_VALUE"""),"19EY711")</f>
        <v>19EY711</v>
      </c>
      <c r="F86" s="7" t="str">
        <f>IFERROR(__xludf.DUMMYFUNCTION("""COMPUTED_VALUE"""),"Quantitative Ability II")</f>
        <v>Quantitative Ability II</v>
      </c>
      <c r="G86" s="2" t="str">
        <f>IFERROR(__xludf.DUMMYFUNCTION("""COMPUTED_VALUE"""),"SH6710 /19EY710")</f>
        <v>SH6710 /19EY710</v>
      </c>
      <c r="H86" s="2">
        <f>IFERROR(__xludf.DUMMYFUNCTION("""COMPUTED_VALUE"""),1)</f>
        <v>1</v>
      </c>
      <c r="I86" s="2">
        <f>IFERROR(__xludf.DUMMYFUNCTION("""COMPUTED_VALUE"""),0)</f>
        <v>0</v>
      </c>
      <c r="J86" s="2">
        <f>IFERROR(__xludf.DUMMYFUNCTION("""COMPUTED_VALUE"""),1)</f>
        <v>1</v>
      </c>
      <c r="K86" s="2" t="str">
        <f>IFERROR(__xludf.DUMMYFUNCTION("""COMPUTED_VALUE"""),"CGPA")</f>
        <v>CGPA</v>
      </c>
      <c r="L86" s="2" t="str">
        <f>IFERROR(__xludf.DUMMYFUNCTION("""COMPUTED_VALUE"""),"Theory (Int Only)")</f>
        <v>Theory (Int Only)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 t="str">
        <f>IFERROR(__xludf.DUMMYFUNCTION("""COMPUTED_VALUE"""),"Any 1")</f>
        <v>Any 1</v>
      </c>
      <c r="C87" s="2" t="str">
        <f>IFERROR(__xludf.DUMMYFUNCTION("""COMPUTED_VALUE"""),"EEC")</f>
        <v>EEC</v>
      </c>
      <c r="D87" s="2" t="str">
        <f>IFERROR(__xludf.DUMMYFUNCTION("""COMPUTED_VALUE"""),"NA")</f>
        <v>NA</v>
      </c>
      <c r="E87" s="2" t="str">
        <f>IFERROR(__xludf.DUMMYFUNCTION("""COMPUTED_VALUE"""),"19EY705")</f>
        <v>19EY705</v>
      </c>
      <c r="F87" s="7" t="str">
        <f>IFERROR(__xludf.DUMMYFUNCTION("""COMPUTED_VALUE"""),"Employment Enhancement Skills")</f>
        <v>Employment Enhancement Skills</v>
      </c>
      <c r="G87" s="2" t="str">
        <f>IFERROR(__xludf.DUMMYFUNCTION("""COMPUTED_VALUE"""),"-")</f>
        <v>-</v>
      </c>
      <c r="H87" s="2">
        <f>IFERROR(__xludf.DUMMYFUNCTION("""COMPUTED_VALUE"""),0)</f>
        <v>0</v>
      </c>
      <c r="I87" s="2">
        <f>IFERROR(__xludf.DUMMYFUNCTION("""COMPUTED_VALUE"""),1)</f>
        <v>1</v>
      </c>
      <c r="J87" s="2">
        <f>IFERROR(__xludf.DUMMYFUNCTION("""COMPUTED_VALUE"""),1)</f>
        <v>1</v>
      </c>
      <c r="K87" s="2" t="str">
        <f>IFERROR(__xludf.DUMMYFUNCTION("""COMPUTED_VALUE"""),"CGPA")</f>
        <v>CGPA</v>
      </c>
      <c r="L87" s="2" t="str">
        <f>IFERROR(__xludf.DUMMYFUNCTION("""COMPUTED_VALUE"""),"Practical (6 Expts)")</f>
        <v>Practical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 t="str">
        <f>IFERROR(__xludf.DUMMYFUNCTION("""COMPUTED_VALUE"""),"Any 1")</f>
        <v>Any 1</v>
      </c>
      <c r="C88" s="2" t="str">
        <f>IFERROR(__xludf.DUMMYFUNCTION("""COMPUTED_VALUE"""),"EEC")</f>
        <v>EEC</v>
      </c>
      <c r="D88" s="2" t="str">
        <f>IFERROR(__xludf.DUMMYFUNCTION("""COMPUTED_VALUE"""),"SH6712")</f>
        <v>SH6712</v>
      </c>
      <c r="E88" s="2" t="str">
        <f>IFERROR(__xludf.DUMMYFUNCTION("""COMPUTED_VALUE"""),"19EY712")</f>
        <v>19EY712</v>
      </c>
      <c r="F88" s="7" t="str">
        <f>IFERROR(__xludf.DUMMYFUNCTION("""COMPUTED_VALUE"""),"Employment Enrichment Skills")</f>
        <v>Employment Enrichment Skills</v>
      </c>
      <c r="G88" s="2" t="str">
        <f>IFERROR(__xludf.DUMMYFUNCTION("""COMPUTED_VALUE"""),"19EY702 / 19EY709 / SH6709")</f>
        <v>19EY702 / 19EY709 / SH6709</v>
      </c>
      <c r="H88" s="2">
        <f>IFERROR(__xludf.DUMMYFUNCTION("""COMPUTED_VALUE"""),1)</f>
        <v>1</v>
      </c>
      <c r="I88" s="2">
        <f>IFERROR(__xludf.DUMMYFUNCTION("""COMPUTED_VALUE"""),0)</f>
        <v>0</v>
      </c>
      <c r="J88" s="2">
        <f>IFERROR(__xludf.DUMMYFUNCTION("""COMPUTED_VALUE"""),1)</f>
        <v>1</v>
      </c>
      <c r="K88" s="2" t="str">
        <f>IFERROR(__xludf.DUMMYFUNCTION("""COMPUTED_VALUE"""),"CGPA")</f>
        <v>CGPA</v>
      </c>
      <c r="L88" s="2" t="str">
        <f>IFERROR(__xludf.DUMMYFUNCTION("""COMPUTED_VALUE"""),"Theory (Int Only)")</f>
        <v>Theory (Int Only)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 t="str">
        <f>IFERROR(__xludf.DUMMYFUNCTION("""COMPUTED_VALUE"""),"Any 1")</f>
        <v>Any 1</v>
      </c>
      <c r="C89" s="2" t="str">
        <f>IFERROR(__xludf.DUMMYFUNCTION("""COMPUTED_VALUE"""),"EEC")</f>
        <v>EEC</v>
      </c>
      <c r="D89" s="2" t="str">
        <f>IFERROR(__xludf.DUMMYFUNCTION("""COMPUTED_VALUE"""),"NA")</f>
        <v>NA</v>
      </c>
      <c r="E89" s="2" t="str">
        <f>IFERROR(__xludf.DUMMYFUNCTION("""COMPUTED_VALUE"""),"19EY706")</f>
        <v>19EY706</v>
      </c>
      <c r="F89" s="7" t="str">
        <f>IFERROR(__xludf.DUMMYFUNCTION("""COMPUTED_VALUE"""),"Company Specific Assessments For Employability")</f>
        <v>Company Specific Assessments For Employability</v>
      </c>
      <c r="G89" s="2" t="str">
        <f>IFERROR(__xludf.DUMMYFUNCTION("""COMPUTED_VALUE"""),"-")</f>
        <v>-</v>
      </c>
      <c r="H89" s="2">
        <f>IFERROR(__xludf.DUMMYFUNCTION("""COMPUTED_VALUE"""),0)</f>
        <v>0</v>
      </c>
      <c r="I89" s="2">
        <f>IFERROR(__xludf.DUMMYFUNCTION("""COMPUTED_VALUE"""),1)</f>
        <v>1</v>
      </c>
      <c r="J89" s="2">
        <f>IFERROR(__xludf.DUMMYFUNCTION("""COMPUTED_VALUE"""),1)</f>
        <v>1</v>
      </c>
      <c r="K89" s="2" t="str">
        <f>IFERROR(__xludf.DUMMYFUNCTION("""COMPUTED_VALUE"""),"CGPA")</f>
        <v>CGPA</v>
      </c>
      <c r="L89" s="2" t="str">
        <f>IFERROR(__xludf.DUMMYFUNCTION("""COMPUTED_VALUE"""),"Practical (6 Expts)")</f>
        <v>Practical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IFERROR(__xludf.DUMMYFUNCTION("""COMPUTED_VALUE"""),"EEC")</f>
        <v>EEC</v>
      </c>
      <c r="D90" s="2" t="str">
        <f>IFERROR(__xludf.DUMMYFUNCTION("""COMPUTED_VALUE"""),"SH6707")</f>
        <v>SH6707</v>
      </c>
      <c r="E90" s="2" t="str">
        <f>IFERROR(__xludf.DUMMYFUNCTION("""COMPUTED_VALUE"""),"19EY707")</f>
        <v>19EY707</v>
      </c>
      <c r="F90" s="7" t="str">
        <f>IFERROR(__xludf.DUMMYFUNCTION("""COMPUTED_VALUE"""),"Paper Publication")</f>
        <v>Paper Publication</v>
      </c>
      <c r="G90" s="2" t="str">
        <f>IFERROR(__xludf.DUMMYFUNCTION("""COMPUTED_VALUE"""),"-")</f>
        <v>-</v>
      </c>
      <c r="H90" s="2">
        <f>IFERROR(__xludf.DUMMYFUNCTION("""COMPUTED_VALUE"""),0)</f>
        <v>0</v>
      </c>
      <c r="I90" s="2">
        <f>IFERROR(__xludf.DUMMYFUNCTION("""COMPUTED_VALUE"""),0)</f>
        <v>0</v>
      </c>
      <c r="J90" s="2">
        <f>IFERROR(__xludf.DUMMYFUNCTION("""COMPUTED_VALUE"""),1)</f>
        <v>1</v>
      </c>
      <c r="K90" s="2" t="str">
        <f>IFERROR(__xludf.DUMMYFUNCTION("""COMPUTED_VALUE"""),"NON-CGPA")</f>
        <v>NON-CGPA</v>
      </c>
      <c r="L90" s="2" t="str">
        <f>IFERROR(__xludf.DUMMYFUNCTION("""COMPUTED_VALUE"""),"Experiential Learning (Int Only)")</f>
        <v>Experiential Learning (Int Only)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IFERROR(__xludf.DUMMYFUNCTION("""COMPUTED_VALUE"""),"MC")</f>
        <v>MC</v>
      </c>
      <c r="D91" s="2" t="str">
        <f>IFERROR(__xludf.DUMMYFUNCTION("""COMPUTED_VALUE"""),"NA")</f>
        <v>NA</v>
      </c>
      <c r="E91" s="2" t="str">
        <f>IFERROR(__xludf.DUMMYFUNCTION("""COMPUTED_VALUE"""),"19MC801")</f>
        <v>19MC801</v>
      </c>
      <c r="F91" s="7" t="str">
        <f>IFERROR(__xludf.DUMMYFUNCTION("""COMPUTED_VALUE"""),"Professional Ethics")</f>
        <v>Professional Ethics</v>
      </c>
      <c r="G91" s="2" t="str">
        <f>IFERROR(__xludf.DUMMYFUNCTION("""COMPUTED_VALUE"""),"-")</f>
        <v>-</v>
      </c>
      <c r="H91" s="2">
        <f>IFERROR(__xludf.DUMMYFUNCTION("""COMPUTED_VALUE"""),0)</f>
        <v>0</v>
      </c>
      <c r="I91" s="2">
        <f>IFERROR(__xludf.DUMMYFUNCTION("""COMPUTED_VALUE"""),0)</f>
        <v>0</v>
      </c>
      <c r="J91" s="2">
        <f>IFERROR(__xludf.DUMMYFUNCTION("""COMPUTED_VALUE"""),0)</f>
        <v>0</v>
      </c>
      <c r="K91" s="2" t="str">
        <f>IFERROR(__xludf.DUMMYFUNCTION("""COMPUTED_VALUE"""),"NON - CGPA")</f>
        <v>NON - CGPA</v>
      </c>
      <c r="L91" s="2" t="str">
        <f>IFERROR(__xludf.DUMMYFUNCTION("""COMPUTED_VALUE"""),"Theory (Int Only)")</f>
        <v>Theory (Int Only)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IFERROR(__xludf.DUMMYFUNCTION("""COMPUTED_VALUE"""),"MC")</f>
        <v>MC</v>
      </c>
      <c r="D92" s="2" t="str">
        <f>IFERROR(__xludf.DUMMYFUNCTION("""COMPUTED_VALUE"""),"NA")</f>
        <v>NA</v>
      </c>
      <c r="E92" s="2" t="str">
        <f>IFERROR(__xludf.DUMMYFUNCTION("""COMPUTED_VALUE"""),"19MC802")</f>
        <v>19MC802</v>
      </c>
      <c r="F92" s="7" t="str">
        <f>IFERROR(__xludf.DUMMYFUNCTION("""COMPUTED_VALUE"""),"Environmental Science")</f>
        <v>Environmental Science</v>
      </c>
      <c r="G92" s="2" t="str">
        <f>IFERROR(__xludf.DUMMYFUNCTION("""COMPUTED_VALUE"""),"-")</f>
        <v>-</v>
      </c>
      <c r="H92" s="2">
        <f>IFERROR(__xludf.DUMMYFUNCTION("""COMPUTED_VALUE"""),0)</f>
        <v>0</v>
      </c>
      <c r="I92" s="2">
        <f>IFERROR(__xludf.DUMMYFUNCTION("""COMPUTED_VALUE"""),0)</f>
        <v>0</v>
      </c>
      <c r="J92" s="2">
        <f>IFERROR(__xludf.DUMMYFUNCTION("""COMPUTED_VALUE"""),0)</f>
        <v>0</v>
      </c>
      <c r="K92" s="2" t="str">
        <f>IFERROR(__xludf.DUMMYFUNCTION("""COMPUTED_VALUE"""),"CGPA")</f>
        <v>CGPA</v>
      </c>
      <c r="L92" s="2" t="str">
        <f>IFERROR(__xludf.DUMMYFUNCTION("""COMPUTED_VALUE"""),"Theory (Int Only)")</f>
        <v>Theory (Int Only)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IFERROR(__xludf.DUMMYFUNCTION("""COMPUTED_VALUE"""),"MC")</f>
        <v>MC</v>
      </c>
      <c r="D93" s="2" t="str">
        <f>IFERROR(__xludf.DUMMYFUNCTION("""COMPUTED_VALUE"""),"NA")</f>
        <v>NA</v>
      </c>
      <c r="E93" s="2" t="str">
        <f>IFERROR(__xludf.DUMMYFUNCTION("""COMPUTED_VALUE"""),"19MC803")</f>
        <v>19MC803</v>
      </c>
      <c r="F93" s="7" t="str">
        <f>IFERROR(__xludf.DUMMYFUNCTION("""COMPUTED_VALUE"""),"Constitution of India")</f>
        <v>Constitution of India</v>
      </c>
      <c r="G93" s="2" t="str">
        <f>IFERROR(__xludf.DUMMYFUNCTION("""COMPUTED_VALUE"""),"-")</f>
        <v>-</v>
      </c>
      <c r="H93" s="2">
        <f>IFERROR(__xludf.DUMMYFUNCTION("""COMPUTED_VALUE"""),0)</f>
        <v>0</v>
      </c>
      <c r="I93" s="2">
        <f>IFERROR(__xludf.DUMMYFUNCTION("""COMPUTED_VALUE"""),0)</f>
        <v>0</v>
      </c>
      <c r="J93" s="2">
        <f>IFERROR(__xludf.DUMMYFUNCTION("""COMPUTED_VALUE"""),0)</f>
        <v>0</v>
      </c>
      <c r="K93" s="2" t="str">
        <f>IFERROR(__xludf.DUMMYFUNCTION("""COMPUTED_VALUE"""),"CGPA")</f>
        <v>CGPA</v>
      </c>
      <c r="L93" s="2" t="str">
        <f>IFERROR(__xludf.DUMMYFUNCTION("""COMPUTED_VALUE"""),"Theory (Int Only)")</f>
        <v>Theory (Int Only)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IFERROR(__xludf.DUMMYFUNCTION("""COMPUTED_VALUE"""),"MC")</f>
        <v>MC</v>
      </c>
      <c r="D94" s="2" t="str">
        <f>IFERROR(__xludf.DUMMYFUNCTION("""COMPUTED_VALUE"""),"NA")</f>
        <v>NA</v>
      </c>
      <c r="E94" s="2" t="str">
        <f>IFERROR(__xludf.DUMMYFUNCTION("""COMPUTED_VALUE"""),"19MC804")</f>
        <v>19MC804</v>
      </c>
      <c r="F94" s="3" t="str">
        <f>IFERROR(__xludf.DUMMYFUNCTION("""COMPUTED_VALUE"""),"Internship/Entrepreneurship/Consultancy")</f>
        <v>Internship/Entrepreneurship/Consultancy</v>
      </c>
      <c r="G94" s="2" t="str">
        <f>IFERROR(__xludf.DUMMYFUNCTION("""COMPUTED_VALUE"""),"-")</f>
        <v>-</v>
      </c>
      <c r="H94" s="2">
        <f>IFERROR(__xludf.DUMMYFUNCTION("""COMPUTED_VALUE"""),0)</f>
        <v>0</v>
      </c>
      <c r="I94" s="2">
        <f>IFERROR(__xludf.DUMMYFUNCTION("""COMPUTED_VALUE"""),0)</f>
        <v>0</v>
      </c>
      <c r="J94" s="2">
        <f>IFERROR(__xludf.DUMMYFUNCTION("""COMPUTED_VALUE"""),2)</f>
        <v>2</v>
      </c>
      <c r="K94" s="2" t="str">
        <f>IFERROR(__xludf.DUMMYFUNCTION("""COMPUTED_VALUE"""),"NON-CGPA")</f>
        <v>NON-CGPA</v>
      </c>
      <c r="L94" s="2" t="str">
        <f>IFERROR(__xludf.DUMMYFUNCTION("""COMPUTED_VALUE"""),"Experiential Learning (Int Only)")</f>
        <v>Experiential Learning (Int Only)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IFERROR(__xludf.DUMMYFUNCTION("""COMPUTED_VALUE"""),"MC")</f>
        <v>MC</v>
      </c>
      <c r="D95" s="2" t="str">
        <f>IFERROR(__xludf.DUMMYFUNCTION("""COMPUTED_VALUE"""),"NA")</f>
        <v>NA</v>
      </c>
      <c r="E95" s="2" t="str">
        <f>IFERROR(__xludf.DUMMYFUNCTION("""COMPUTED_VALUE"""),"19MC805")</f>
        <v>19MC805</v>
      </c>
      <c r="F95" s="7" t="str">
        <f>IFERROR(__xludf.DUMMYFUNCTION("""COMPUTED_VALUE"""),"Inplant Training")</f>
        <v>Inplant Training</v>
      </c>
      <c r="G95" s="2" t="str">
        <f>IFERROR(__xludf.DUMMYFUNCTION("""COMPUTED_VALUE"""),"-")</f>
        <v>-</v>
      </c>
      <c r="H95" s="2">
        <f>IFERROR(__xludf.DUMMYFUNCTION("""COMPUTED_VALUE"""),0)</f>
        <v>0</v>
      </c>
      <c r="I95" s="2">
        <f>IFERROR(__xludf.DUMMYFUNCTION("""COMPUTED_VALUE"""),0)</f>
        <v>0</v>
      </c>
      <c r="J95" s="2">
        <f>IFERROR(__xludf.DUMMYFUNCTION("""COMPUTED_VALUE"""),1)</f>
        <v>1</v>
      </c>
      <c r="K95" s="2" t="str">
        <f>IFERROR(__xludf.DUMMYFUNCTION("""COMPUTED_VALUE"""),"Non - CGPA")</f>
        <v>Non - CGPA</v>
      </c>
      <c r="L95" s="2" t="str">
        <f>IFERROR(__xludf.DUMMYFUNCTION("""COMPUTED_VALUE"""),"Experiential Learning (Int Only)")</f>
        <v>Experiential Learning (Int Only)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 t="str">
        <f>IFERROR(__xludf.DUMMYFUNCTION("""COMPUTED_VALUE"""),"Any 1")</f>
        <v>Any 1</v>
      </c>
      <c r="C96" s="2" t="str">
        <f>IFERROR(__xludf.DUMMYFUNCTION("""COMPUTED_VALUE"""),"MC")</f>
        <v>MC</v>
      </c>
      <c r="D96" s="2" t="str">
        <f>IFERROR(__xludf.DUMMYFUNCTION("""COMPUTED_VALUE"""),"SH6803")</f>
        <v>SH6803</v>
      </c>
      <c r="E96" s="2" t="str">
        <f>IFERROR(__xludf.DUMMYFUNCTION("""COMPUTED_VALUE"""),"19MC807")</f>
        <v>19MC807</v>
      </c>
      <c r="F96" s="3" t="str">
        <f>IFERROR(__xludf.DUMMYFUNCTION("""COMPUTED_VALUE"""),"National Service Scheme")</f>
        <v>National Service Scheme</v>
      </c>
      <c r="G96" s="2" t="str">
        <f>IFERROR(__xludf.DUMMYFUNCTION("""COMPUTED_VALUE"""),"-")</f>
        <v>-</v>
      </c>
      <c r="H96" s="2">
        <f>IFERROR(__xludf.DUMMYFUNCTION("""COMPUTED_VALUE"""),0)</f>
        <v>0</v>
      </c>
      <c r="I96" s="2">
        <f>IFERROR(__xludf.DUMMYFUNCTION("""COMPUTED_VALUE"""),0)</f>
        <v>0</v>
      </c>
      <c r="J96" s="2">
        <f>IFERROR(__xludf.DUMMYFUNCTION("""COMPUTED_VALUE"""),0)</f>
        <v>0</v>
      </c>
      <c r="K96" s="2" t="str">
        <f>IFERROR(__xludf.DUMMYFUNCTION("""COMPUTED_VALUE"""),"NON-CGPA")</f>
        <v>NON-CGPA</v>
      </c>
      <c r="L96" s="2" t="str">
        <f>IFERROR(__xludf.DUMMYFUNCTION("""COMPUTED_VALUE"""),"Experiential Learning (Int Only)")</f>
        <v>Experiential Learning (Int Only)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 t="str">
        <f>IFERROR(__xludf.DUMMYFUNCTION("""COMPUTED_VALUE"""),"Any 1")</f>
        <v>Any 1</v>
      </c>
      <c r="C97" s="2" t="str">
        <f>IFERROR(__xludf.DUMMYFUNCTION("""COMPUTED_VALUE"""),"MC")</f>
        <v>MC</v>
      </c>
      <c r="D97" s="2" t="str">
        <f>IFERROR(__xludf.DUMMYFUNCTION("""COMPUTED_VALUE"""),"SH8807")</f>
        <v>SH8807</v>
      </c>
      <c r="E97" s="2" t="str">
        <f>IFERROR(__xludf.DUMMYFUNCTION("""COMPUTED_VALUE"""),"19MC808")</f>
        <v>19MC808</v>
      </c>
      <c r="F97" s="3" t="str">
        <f>IFERROR(__xludf.DUMMYFUNCTION("""COMPUTED_VALUE"""),"National Sports Organization ")</f>
        <v>National Sports Organization </v>
      </c>
      <c r="G97" s="2" t="str">
        <f>IFERROR(__xludf.DUMMYFUNCTION("""COMPUTED_VALUE"""),"-")</f>
        <v>-</v>
      </c>
      <c r="H97" s="2">
        <f>IFERROR(__xludf.DUMMYFUNCTION("""COMPUTED_VALUE"""),0)</f>
        <v>0</v>
      </c>
      <c r="I97" s="2">
        <f>IFERROR(__xludf.DUMMYFUNCTION("""COMPUTED_VALUE"""),0)</f>
        <v>0</v>
      </c>
      <c r="J97" s="2">
        <f>IFERROR(__xludf.DUMMYFUNCTION("""COMPUTED_VALUE"""),0)</f>
        <v>0</v>
      </c>
      <c r="K97" s="2" t="str">
        <f>IFERROR(__xludf.DUMMYFUNCTION("""COMPUTED_VALUE"""),"NON-CGPA")</f>
        <v>NON-CGPA</v>
      </c>
      <c r="L97" s="2" t="str">
        <f>IFERROR(__xludf.DUMMYFUNCTION("""COMPUTED_VALUE"""),"Experiential Learning (Int Only)")</f>
        <v>Experiential Learning (Int Only)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 t="str">
        <f>IFERROR(__xludf.DUMMYFUNCTION("""COMPUTED_VALUE"""),"Any 1")</f>
        <v>Any 1</v>
      </c>
      <c r="C98" s="2" t="str">
        <f>IFERROR(__xludf.DUMMYFUNCTION("""COMPUTED_VALUE"""),"MC")</f>
        <v>MC</v>
      </c>
      <c r="D98" s="2" t="str">
        <f>IFERROR(__xludf.DUMMYFUNCTION("""COMPUTED_VALUE"""),"SH8808")</f>
        <v>SH8808</v>
      </c>
      <c r="E98" s="2" t="str">
        <f>IFERROR(__xludf.DUMMYFUNCTION("""COMPUTED_VALUE"""),"19MC809")</f>
        <v>19MC809</v>
      </c>
      <c r="F98" s="3" t="str">
        <f>IFERROR(__xludf.DUMMYFUNCTION("""COMPUTED_VALUE"""),"Youth Red Cross")</f>
        <v>Youth Red Cross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 t="str">
        <f>IFERROR(__xludf.DUMMYFUNCTION("""COMPUTED_VALUE"""),"NON-CGPA")</f>
        <v>NON-CGPA</v>
      </c>
      <c r="L98" s="2" t="str">
        <f>IFERROR(__xludf.DUMMYFUNCTION("""COMPUTED_VALUE"""),"Experiential Learning (Int Only)")</f>
        <v>Experiential Learning (Int Only)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 t="str">
        <f>IFERROR(__xludf.DUMMYFUNCTION("""COMPUTED_VALUE"""),"Any 1")</f>
        <v>Any 1</v>
      </c>
      <c r="C99" s="2" t="str">
        <f>IFERROR(__xludf.DUMMYFUNCTION("""COMPUTED_VALUE"""),"MC")</f>
        <v>MC</v>
      </c>
      <c r="D99" s="2" t="str">
        <f>IFERROR(__xludf.DUMMYFUNCTION("""COMPUTED_VALUE"""),"SH6713")</f>
        <v>SH6713</v>
      </c>
      <c r="E99" s="2" t="str">
        <f>IFERROR(__xludf.DUMMYFUNCTION("""COMPUTED_VALUE"""),"19EY713")</f>
        <v>19EY713</v>
      </c>
      <c r="F99" s="7" t="str">
        <f>IFERROR(__xludf.DUMMYFUNCTION("""COMPUTED_VALUE"""),"Placement Readiness Assessment")</f>
        <v>Placement Readiness Assessment</v>
      </c>
      <c r="G99" s="2" t="str">
        <f>IFERROR(__xludf.DUMMYFUNCTION("""COMPUTED_VALUE"""),"19EY704 / 19EY711/SH6711")</f>
        <v>19EY704 / 19EY711/SH6711</v>
      </c>
      <c r="H99" s="2">
        <f>IFERROR(__xludf.DUMMYFUNCTION("""COMPUTED_VALUE"""),1)</f>
        <v>1</v>
      </c>
      <c r="I99" s="2">
        <f>IFERROR(__xludf.DUMMYFUNCTION("""COMPUTED_VALUE"""),0)</f>
        <v>0</v>
      </c>
      <c r="J99" s="2">
        <f>IFERROR(__xludf.DUMMYFUNCTION("""COMPUTED_VALUE"""),1)</f>
        <v>1</v>
      </c>
      <c r="K99" s="2" t="str">
        <f>IFERROR(__xludf.DUMMYFUNCTION("""COMPUTED_VALUE"""),"CGPA")</f>
        <v>CGPA</v>
      </c>
      <c r="L99" s="2" t="str">
        <f>IFERROR(__xludf.DUMMYFUNCTION("""COMPUTED_VALUE"""),"Theory (Int Only)")</f>
        <v>Theory (Int Only)</v>
      </c>
      <c r="M99" s="9"/>
      <c r="N99" s="9"/>
      <c r="O99" s="9"/>
      <c r="P99" s="9"/>
      <c r="Q99" s="9"/>
      <c r="R99" s="9"/>
    </row>
    <row r="100" ht="48" customHeight="1" spans="1:18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9"/>
      <c r="N100" s="9"/>
      <c r="O100" s="9"/>
      <c r="P100" s="9"/>
      <c r="Q100" s="9"/>
      <c r="R100" s="9"/>
    </row>
    <row r="101" ht="48" customHeight="1" spans="1:18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9"/>
      <c r="N101" s="9"/>
      <c r="O101" s="9"/>
      <c r="P101" s="9"/>
      <c r="Q101" s="9"/>
      <c r="R101" s="9"/>
    </row>
    <row r="102" ht="48" customHeight="1" spans="1:18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9"/>
      <c r="N102" s="9"/>
      <c r="O102" s="9"/>
      <c r="P102" s="9"/>
      <c r="Q102" s="9"/>
      <c r="R102" s="9"/>
    </row>
    <row r="103" ht="48" customHeight="1" spans="1:18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9"/>
      <c r="N103" s="9"/>
      <c r="O103" s="9"/>
      <c r="P103" s="9"/>
      <c r="Q103" s="9"/>
      <c r="R103" s="9"/>
    </row>
    <row r="104" ht="48" customHeight="1" spans="1:18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9"/>
      <c r="N104" s="9"/>
      <c r="O104" s="9"/>
      <c r="P104" s="9"/>
      <c r="Q104" s="9"/>
      <c r="R104" s="9"/>
    </row>
    <row r="105" ht="48" customHeight="1" spans="1:18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9"/>
      <c r="N105" s="9"/>
      <c r="O105" s="9"/>
      <c r="P105" s="9"/>
      <c r="Q105" s="9"/>
      <c r="R105" s="9"/>
    </row>
    <row r="106" ht="48" customHeight="1" spans="1:18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9"/>
      <c r="N106" s="9"/>
      <c r="O106" s="9"/>
      <c r="P106" s="9"/>
      <c r="Q106" s="9"/>
      <c r="R106" s="9"/>
    </row>
    <row r="107" ht="48" customHeight="1" spans="1:18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</row>
    <row r="124" ht="13.2" spans="1: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</row>
    <row r="125" ht="13.2" spans="1: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</row>
    <row r="126" ht="13.2" spans="1: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</row>
    <row r="127" ht="13.2" spans="1: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</row>
    <row r="128" ht="13.2" spans="1: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</row>
    <row r="129" ht="13.2" spans="1: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</row>
    <row r="130" ht="13.2" spans="1: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</row>
    <row r="131" ht="13.2" spans="1: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</row>
    <row r="132" ht="13.2" spans="1: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</row>
    <row r="133" ht="13.2" spans="1: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</row>
    <row r="134" ht="13.2" spans="1: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</row>
    <row r="135" ht="13.2" spans="1: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</row>
    <row r="136" ht="13.2" spans="1: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</row>
    <row r="137" ht="13.2" spans="1: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</row>
    <row r="138" ht="13.2" spans="1: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</row>
    <row r="139" ht="13.2" spans="1: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</row>
    <row r="140" ht="13.2" spans="1: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</row>
    <row r="141" ht="13.2" spans="1: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</row>
    <row r="142" ht="13.2" spans="1: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</row>
    <row r="143" ht="13.2" spans="1: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</row>
    <row r="144" ht="13.2" spans="1: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</row>
    <row r="145" ht="13.2" spans="1: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</row>
    <row r="146" ht="13.2" spans="1: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</row>
    <row r="147" ht="13.2" spans="1: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</row>
    <row r="148" ht="13.2" spans="1: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</row>
    <row r="149" ht="13.2" spans="1: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</row>
    <row r="150" ht="13.2" spans="1: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</row>
    <row r="151" ht="13.2" spans="1: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</row>
    <row r="152" ht="13.2" spans="1: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</row>
    <row r="153" ht="13.2" spans="1: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</row>
    <row r="154" ht="13.2" spans="1: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</row>
    <row r="155" ht="13.2" spans="1: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</row>
    <row r="156" ht="13.2" spans="1: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</row>
    <row r="157" ht="13.2" spans="1: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</row>
    <row r="158" ht="13.2" spans="1: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</row>
    <row r="159" ht="13.2" spans="1: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</row>
    <row r="160" ht="13.2" spans="1: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</row>
    <row r="161" ht="13.2" spans="1: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</row>
    <row r="162" ht="13.2" spans="1: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</row>
    <row r="163" ht="13.2" spans="1: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ve English&quot;)"/>
    <hyperlink ref="F4" r:id="rId3" display="=IFERROR(@__xludf.DUMMYFUNCTION(&quot;&quot;&quot;COMPUTED_VALUE&quot;&quot;&quot;),&quot;English for Engineers&quot;)"/>
    <hyperlink ref="F5" r:id="rId4" display="=IFERROR(@__xludf.DUMMYFUNCTION(&quot;&quot;&quot;COMPUTED_VALUE&quot;&quot;&quot;),&quot;Technical English&quot;)"/>
    <hyperlink ref="F6" r:id="rId5" display="=IFERROR(@__xludf.DUMMYFUNCTION(&quot;&quot;&quot;COMPUTED_VALUE&quot;&quot;&quot;),&quot;Technical Writing and Presentation&quot;)"/>
    <hyperlink ref="F7" r:id="rId6" display="=IFERROR(@__xludf.DUMMYFUNCTION(&quot;&quot;&quot;COMPUTED_VALUE&quot;&quot;&quot;),&quot;Public Speaking&quot;)"/>
    <hyperlink ref="F8" r:id="rId7" display="=IFERROR(@__xludf.DUMMYFUNCTION(&quot;&quot;&quot;COMPUTED_VALUE&quot;&quot;&quot;),&quot;Principles of Management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Calculus and Laplace Transforms&quot;)"/>
    <hyperlink ref="F12" r:id="rId11" display="=IFERROR(@__xludf.DUMMYFUNCTION(&quot;&quot;&quot;COMPUTED_VALUE&quot;&quot;&quot;),&quot;Numerical Methods and Partial Differential Equations&quot;)"/>
    <hyperlink ref="F13" r:id="rId12" display="=IFERROR(@__xludf.DUMMYFUNCTION(&quot;&quot;&quot;COMPUTED_VALUE&quot;&quot;&quot;),&quot;Series and Transforms&quot;)"/>
    <hyperlink ref="F14" r:id="rId13" display="=IFERROR(@__xludf.DUMMYFUNCTION(&quot;&quot;&quot;COMPUTED_VALUE&quot;&quot;&quot;),&quot;Basics of Engineering Physics&quot;)"/>
    <hyperlink ref="F15" r:id="rId14" display="=IFERROR(@__xludf.DUMMYFUNCTION(&quot;&quot;&quot;COMPUTED_VALUE&quot;&quot;&quot;),&quot;Solid State Physics&quot;)"/>
    <hyperlink ref="F16" r:id="rId15" display="=IFERROR(@__xludf.DUMMYFUNCTION(&quot;&quot;&quot;COMPUTED_VALUE&quot;&quot;&quot;),&quot;Applied Chemistry&quot;)"/>
    <hyperlink ref="F17" r:id="rId16" display="=IFERROR(@__xludf.DUMMYFUNCTION(&quot;&quot;&quot;COMPUTED_VALUE&quot;&quot;&quot;),&quot;Introduction to Biology&quot;)"/>
    <hyperlink ref="F18" r:id="rId17" display="=IFERROR(@__xludf.DUMMYFUNCTION(&quot;&quot;&quot;COMPUTED_VALUE&quot;&quot;&quot;),&quot;Problem Solving and Python Programming&quot;)"/>
    <hyperlink ref="F19" r:id="rId18" display="=IFERROR(@__xludf.DUMMYFUNCTION(&quot;&quot;&quot;COMPUTED_VALUE&quot;&quot;&quot;),&quot;Engineering Drawing&quot;)"/>
    <hyperlink ref="F20" r:id="rId19" display="=IFERROR(@__xludf.DUMMYFUNCTION(&quot;&quot;&quot;COMPUTED_VALUE&quot;&quot;&quot;),&quot;Basic Civil and Mechanical Engineering&quot;)"/>
    <hyperlink ref="F21" r:id="rId20" display="=IFERROR(@__xludf.DUMMYFUNCTION(&quot;&quot;&quot;COMPUTED_VALUE&quot;&quot;&quot;),&quot;Analog Circuits and Systems&quot;)"/>
    <hyperlink ref="F22" r:id="rId21" display="=IFERROR(@__xludf.DUMMYFUNCTION(&quot;&quot;&quot;COMPUTED_VALUE&quot;&quot;&quot;),&quot;Electric Circuit Analysis&quot;)"/>
    <hyperlink ref="F23" r:id="rId22" display="=IFERROR(@__xludf.DUMMYFUNCTION(&quot;&quot;&quot;COMPUTED_VALUE&quot;&quot;&quot;),&quot;Electrical Machines&quot;)"/>
    <hyperlink ref="F24" r:id="rId23" display="=IFERROR(@__xludf.DUMMYFUNCTION(&quot;&quot;&quot;COMPUTED_VALUE&quot;&quot;&quot;),&quot;Communication Engineering&quot;)"/>
    <hyperlink ref="F25" r:id="rId24" display="=IFERROR(@__xludf.DUMMYFUNCTION(&quot;&quot;&quot;COMPUTED_VALUE&quot;&quot;&quot;),&quot;Electrical Measurements&quot;)"/>
    <hyperlink ref="F26" r:id="rId25" display="=IFERROR(@__xludf.DUMMYFUNCTION(&quot;&quot;&quot;COMPUTED_VALUE&quot;&quot;&quot;),&quot;Digital Logic Circuits&quot;)"/>
    <hyperlink ref="F27" r:id="rId26" display="=IFERROR(@__xludf.DUMMYFUNCTION(&quot;&quot;&quot;COMPUTED_VALUE&quot;&quot;&quot;),&quot;Principles of Signals and Systems&quot;)"/>
    <hyperlink ref="F28" r:id="rId27" display="=IFERROR(@__xludf.DUMMYFUNCTION(&quot;&quot;&quot;COMPUTED_VALUE&quot;&quot;&quot;),&quot;Transducer Engineering&quot;)"/>
    <hyperlink ref="F29" r:id="rId28" display="=IFERROR(@__xludf.DUMMYFUNCTION(&quot;&quot;&quot;COMPUTED_VALUE&quot;&quot;&quot;),&quot;Industrial Instrumentation I&quot;)"/>
    <hyperlink ref="F30" r:id="rId29" display="=IFERROR(@__xludf.DUMMYFUNCTION(&quot;&quot;&quot;COMPUTED_VALUE&quot;&quot;&quot;),&quot;Linear Control Systems&quot;)"/>
    <hyperlink ref="F31" r:id="rId30" display="=IFERROR(@__xludf.DUMMYFUNCTION(&quot;&quot;&quot;COMPUTED_VALUE&quot;&quot;&quot;),&quot;Embedded Systems and its Architecture&quot;)"/>
    <hyperlink ref="F32" r:id="rId31" display="=IFERROR(@__xludf.DUMMYFUNCTION(&quot;&quot;&quot;COMPUTED_VALUE&quot;&quot;&quot;),&quot;Analytical Instruments&quot;)"/>
    <hyperlink ref="F33" r:id="rId32" display="=IFERROR(@__xludf.DUMMYFUNCTION(&quot;&quot;&quot;COMPUTED_VALUE&quot;&quot;&quot;),&quot;Virtual Instrumentation&quot;)"/>
    <hyperlink ref="F34" r:id="rId33" display="=IFERROR(@__xludf.DUMMYFUNCTION(&quot;&quot;&quot;COMPUTED_VALUE&quot;&quot;&quot;),&quot;Electronic Instrumentation&quot;)"/>
    <hyperlink ref="F35" r:id="rId34" display="=IFERROR(@__xludf.DUMMYFUNCTION(&quot;&quot;&quot;COMPUTED_VALUE&quot;&quot;&quot;),&quot;Process Control&quot;)"/>
    <hyperlink ref="F36" r:id="rId35" display="=IFERROR(@__xludf.DUMMYFUNCTION(&quot;&quot;&quot;COMPUTED_VALUE&quot;&quot;&quot;),&quot;Industrial Instrumentation II&quot;)"/>
    <hyperlink ref="F37" r:id="rId36" display="=IFERROR(@__xludf.DUMMYFUNCTION(&quot;&quot;&quot;COMPUTED_VALUE&quot;&quot;&quot;),&quot;Power Plant Instrumentation&quot;)"/>
    <hyperlink ref="F38" r:id="rId37" display="=IFERROR(@__xludf.DUMMYFUNCTION(&quot;&quot;&quot;COMPUTED_VALUE&quot;&quot;&quot;),&quot;Industrial Automation&quot;)"/>
    <hyperlink ref="F39" r:id="rId38" display="=IFERROR(@__xludf.DUMMYFUNCTION(&quot;&quot;&quot;COMPUTED_VALUE&quot;&quot;&quot;),&quot;Computer Control of Processes&quot;)"/>
    <hyperlink ref="F40" r:id="rId39" display="=IFERROR(@__xludf.DUMMYFUNCTION(&quot;&quot;&quot;COMPUTED_VALUE&quot;&quot;&quot;),&quot;Industrial Data Networks&quot;)"/>
    <hyperlink ref="F41" r:id="rId40" display="=IFERROR(@__xludf.DUMMYFUNCTION(&quot;&quot;&quot;COMPUTED_VALUE&quot;&quot;&quot;),&quot;Biomedical Instrumentation and Measurement&quot;)"/>
    <hyperlink ref="F42" r:id="rId41" display="=IFERROR(@__xludf.DUMMYFUNCTION(&quot;&quot;&quot;COMPUTED_VALUE&quot;&quot;&quot;),&quot;Fiber Optics and Laser Instruments&quot;)"/>
    <hyperlink ref="F43" r:id="rId42" display="=IFERROR(@__xludf.DUMMYFUNCTION(&quot;&quot;&quot;COMPUTED_VALUE&quot;&quot;&quot;),&quot;Chemical Process Instrumentation&quot;)"/>
    <hyperlink ref="F44" r:id="rId43" display="=IFERROR(@__xludf.DUMMYFUNCTION(&quot;&quot;&quot;COMPUTED_VALUE&quot;&quot;&quot;),&quot;Robotics and Automation&quot;)"/>
    <hyperlink ref="F45" r:id="rId44" display="=IFERROR(@__xludf.DUMMYFUNCTION(&quot;&quot;&quot;COMPUTED_VALUE&quot;&quot;&quot;),&quot;System Identification&quot;)"/>
    <hyperlink ref="F46" r:id="rId45" display="=IFERROR(@__xludf.DUMMYFUNCTION(&quot;&quot;&quot;COMPUTED_VALUE&quot;&quot;&quot;),&quot;Advanced Process Control&quot;)"/>
    <hyperlink ref="F47" r:id="rId46" display="=IFERROR(@__xludf.DUMMYFUNCTION(&quot;&quot;&quot;COMPUTED_VALUE&quot;&quot;&quot;),&quot;Process Control for Food Engineering&quot;)"/>
    <hyperlink ref="F48" r:id="rId47" display="=IFERROR(@__xludf.DUMMYFUNCTION(&quot;&quot;&quot;COMPUTED_VALUE&quot;&quot;&quot;),&quot;Introduction to VLSI Design&quot;)"/>
    <hyperlink ref="F49" r:id="rId48" display="=IFERROR(@__xludf.DUMMYFUNCTION(&quot;&quot;&quot;COMPUTED_VALUE&quot;&quot;&quot;),&quot;Digital Image Processing&quot;)"/>
    <hyperlink ref="F50" r:id="rId49" display="=IFERROR(@__xludf.DUMMYFUNCTION(&quot;&quot;&quot;COMPUTED_VALUE&quot;&quot;&quot;),&quot;Applied Soft Computing&quot;)"/>
    <hyperlink ref="F51" r:id="rId50" display="=IFERROR(@__xludf.DUMMYFUNCTION(&quot;&quot;&quot;COMPUTED_VALUE&quot;&quot;&quot;),&quot;Computer Architecture&quot;)"/>
    <hyperlink ref="F52" r:id="rId51" display="=IFERROR(@__xludf.DUMMYFUNCTION(&quot;&quot;&quot;COMPUTED_VALUE&quot;&quot;&quot;),&quot;Machine Learning&quot;)"/>
    <hyperlink ref="F53" r:id="rId52" display="=IFERROR(@__xludf.DUMMYFUNCTION(&quot;&quot;&quot;COMPUTED_VALUE&quot;&quot;&quot;),&quot;Introduction to Radar&quot;)"/>
    <hyperlink ref="F54" r:id="rId53" display="=IFERROR(@__xludf.DUMMYFUNCTION(&quot;&quot;&quot;COMPUTED_VALUE&quot;&quot;&quot;),&quot;Disaster Management&quot;)"/>
    <hyperlink ref="F55" r:id="rId54" display="=IFERROR(@__xludf.DUMMYFUNCTION(&quot;&quot;&quot;COMPUTED_VALUE&quot;&quot;&quot;),&quot;Instrumentation for Pollution Monitoring and Management&quot;)"/>
    <hyperlink ref="F56" r:id="rId55" display="=IFERROR(@__xludf.DUMMYFUNCTION(&quot;&quot;&quot;COMPUTED_VALUE&quot;&quot;&quot;),&quot;Instrumentation and Control in Petrochemical Industries&quot;)"/>
    <hyperlink ref="F57" r:id="rId56" display="=IFERROR(@__xludf.DUMMYFUNCTION(&quot;&quot;&quot;COMPUTED_VALUE&quot;&quot;&quot;),&quot;Instrumentation and Control in Iron and Steel Industries&quot;)"/>
    <hyperlink ref="F58" r:id="rId57" display="=IFERROR(@__xludf.DUMMYFUNCTION(&quot;&quot;&quot;COMPUTED_VALUE&quot;&quot;&quot;),&quot;Deep Learning&quot;)"/>
    <hyperlink ref="F60" r:id="rId58" display="=IFERROR(@__xludf.DUMMYFUNCTION(&quot;&quot;&quot;COMPUTED_VALUE&quot;&quot;&quot;),&quot;Data Science&quot;)"/>
    <hyperlink ref="F61" r:id="rId59" display="=IFERROR(@__xludf.DUMMYFUNCTION(&quot;&quot;&quot;COMPUTED_VALUE&quot;&quot;&quot;),&quot;Big Data Analytics&quot;)"/>
    <hyperlink ref="F62" r:id="rId60" display="=IFERROR(@__xludf.DUMMYFUNCTION(&quot;&quot;&quot;COMPUTED_VALUE&quot;&quot;&quot;),&quot;Quantum Computing&quot;)"/>
    <hyperlink ref="F63" r:id="rId61" display="=IFERROR(@__xludf.DUMMYFUNCTION(&quot;&quot;&quot;COMPUTED_VALUE&quot;&quot;&quot;),&quot;Virtual Reality&quot;)"/>
    <hyperlink ref="F64" r:id="rId62" display="=IFERROR(@__xludf.DUMMYFUNCTION(&quot;&quot;&quot;COMPUTED_VALUE&quot;&quot;&quot;),&quot;Object Oriented Programming using Java&quot;)"/>
    <hyperlink ref="F65" r:id="rId63" display="=IFERROR(@__xludf.DUMMYFUNCTION(&quot;&quot;&quot;COMPUTED_VALUE&quot;&quot;&quot;),&quot;Analysis of Algorithms&quot;)"/>
    <hyperlink ref="F67" r:id="rId64" display="=IFERROR(@__xludf.DUMMYFUNCTION(&quot;&quot;&quot;COMPUTED_VALUE&quot;&quot;&quot;),&quot;Aircraft Systems and Instruments&quot;)"/>
    <hyperlink ref="F68" r:id="rId65" display="=IFERROR(@__xludf.DUMMYFUNCTION(&quot;&quot;&quot;COMPUTED_VALUE&quot;&quot;&quot;),&quot;Ultrasonic Instrumentation&quot;)"/>
    <hyperlink ref="F69" r:id="rId66" display="=IFERROR(@__xludf.DUMMYFUNCTION(&quot;&quot;&quot;COMPUTED_VALUE&quot;&quot;&quot;),&quot;Environmental Instrumentation&quot;)"/>
    <hyperlink ref="F70" r:id="rId67" display="=IFERROR(@__xludf.DUMMYFUNCTION(&quot;&quot;&quot;COMPUTED_VALUE&quot;&quot;&quot;),&quot;SCADA Systems and Applications&quot;)"/>
    <hyperlink ref="F71" r:id="rId68" display="=IFERROR(@__xludf.DUMMYFUNCTION(&quot;&quot;&quot;COMPUTED_VALUE&quot;&quot;&quot;),&quot;Telemetry and Tele Control&quot;)"/>
    <hyperlink ref="F72" r:id="rId69" display="=IFERROR(@__xludf.DUMMYFUNCTION(&quot;&quot;&quot;COMPUTED_VALUE&quot;&quot;&quot;),&quot;Sensors and Data Acquisition&quot;)"/>
    <hyperlink ref="F73" r:id="rId70" display="=IFERROR(@__xludf.DUMMYFUNCTION(&quot;&quot;&quot;COMPUTED_VALUE&quot;&quot;&quot;),&quot;Instrumentation and Control in Paper Industries&quot;)"/>
    <hyperlink ref="F76" r:id="rId71" display="=IFERROR(@__xludf.DUMMYFUNCTION(&quot;&quot;&quot;COMPUTED_VALUE&quot;&quot;&quot;),&quot;Mini Project&quot;)"/>
    <hyperlink ref="F77" r:id="rId72" display="=IFERROR(@__xludf.DUMMYFUNCTION(&quot;&quot;&quot;COMPUTED_VALUE&quot;&quot;&quot;),&quot;Project Work Phase I&quot;)"/>
    <hyperlink ref="F78" r:id="rId73" display="=IFERROR(@__xludf.DUMMYFUNCTION(&quot;&quot;&quot;COMPUTED_VALUE&quot;&quot;&quot;),&quot;Project Work Phase II&quot;)"/>
    <hyperlink ref="F79" r:id="rId74" display="=IFERROR(@__xludf.DUMMYFUNCTION(&quot;&quot;&quot;COMPUTED_VALUE&quot;&quot;&quot;),&quot;Softskills&quot;)"/>
    <hyperlink ref="F80" r:id="rId75" display="=IFERROR(@__xludf.DUMMYFUNCTION(&quot;&quot;&quot;COMPUTED_VALUE&quot;&quot;&quot;),&quot;Career Development Skills&quot;)"/>
    <hyperlink ref="F81" r:id="rId76" display="=IFERROR(@__xludf.DUMMYFUNCTION(&quot;&quot;&quot;COMPUTED_VALUE&quot;&quot;&quot;),&quot;Creative Skills for Communication&quot;)"/>
    <hyperlink ref="F82" r:id="rId77" display="=IFERROR(@__xludf.DUMMYFUNCTION(&quot;&quot;&quot;COMPUTED_VALUE&quot;&quot;&quot;),&quot;Reasoning Ability&quot;)"/>
    <hyperlink ref="F83" r:id="rId78" display="=IFERROR(@__xludf.DUMMYFUNCTION(&quot;&quot;&quot;COMPUTED_VALUE&quot;&quot;&quot;),&quot;System of Numerical and Logical Terminologies&quot;)"/>
    <hyperlink ref="F84" r:id="rId79" display="=IFERROR(@__xludf.DUMMYFUNCTION(&quot;&quot;&quot;COMPUTED_VALUE&quot;&quot;&quot;),&quot;Advanced Quantitative and Logical Reasoning&quot;)"/>
    <hyperlink ref="F85" r:id="rId80" display="=IFERROR(@__xludf.DUMMYFUNCTION(&quot;&quot;&quot;COMPUTED_VALUE&quot;&quot;&quot;),&quot;Quantitative Ability I&quot;)"/>
    <hyperlink ref="F86" r:id="rId81" display="=IFERROR(@__xludf.DUMMYFUNCTION(&quot;&quot;&quot;COMPUTED_VALUE&quot;&quot;&quot;),&quot;Quantitative Ability II&quot;)"/>
    <hyperlink ref="F87" r:id="rId82" display="=IFERROR(@__xludf.DUMMYFUNCTION(&quot;&quot;&quot;COMPUTED_VALUE&quot;&quot;&quot;),&quot;Employment Enhancement Skills&quot;)"/>
    <hyperlink ref="F88" r:id="rId83" display="=IFERROR(@__xludf.DUMMYFUNCTION(&quot;&quot;&quot;COMPUTED_VALUE&quot;&quot;&quot;),&quot;Employment Enrichment Skills&quot;)"/>
    <hyperlink ref="F89" r:id="rId84" display="=IFERROR(@__xludf.DUMMYFUNCTION(&quot;&quot;&quot;COMPUTED_VALUE&quot;&quot;&quot;),&quot;Company Specific Assessments For Employability&quot;)"/>
    <hyperlink ref="F90" r:id="rId85" display="=IFERROR(@__xludf.DUMMYFUNCTION(&quot;&quot;&quot;COMPUTED_VALUE&quot;&quot;&quot;),&quot;Paper Publication&quot;)"/>
    <hyperlink ref="F91" r:id="rId86" display="=IFERROR(@__xludf.DUMMYFUNCTION(&quot;&quot;&quot;COMPUTED_VALUE&quot;&quot;&quot;),&quot;Professional Ethics&quot;)"/>
    <hyperlink ref="F92" r:id="rId87" display="=IFERROR(@__xludf.DUMMYFUNCTION(&quot;&quot;&quot;COMPUTED_VALUE&quot;&quot;&quot;),&quot;Environmental Science&quot;)"/>
    <hyperlink ref="F93" r:id="rId88" display="=IFERROR(@__xludf.DUMMYFUNCTION(&quot;&quot;&quot;COMPUTED_VALUE&quot;&quot;&quot;),&quot;Constitution of India&quot;)"/>
    <hyperlink ref="F95" r:id="rId89" display="=IFERROR(@__xludf.DUMMYFUNCTION(&quot;&quot;&quot;COMPUTED_VALUE&quot;&quot;&quot;),&quot;Inplant Training&quot;)"/>
    <hyperlink ref="F99" r:id="rId90" display="=IFERROR(@__xludf.DUMMYFUNCTION(&quot;&quot;&quot;COMPUTED_VALUE&quot;&quot;&quot;),&quot;Placement Readiness Assessment&quot;)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81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""R2019-EEE!A:A""),
IMPORTRANGE(""https://docs.google.com/spreadsheets/d/1UvPg-G_Bj-UNhLC2uL8tntfYsnld_PABqE3impzOchM/edit"", ""R2019-"&amp;"EEE!D:D""),
IMPORTRANGE(""https://docs.google.com/spreadsheets/d/1UvPg-G_Bj-UNhLC2uL8tntfYsnld_PABqE3impzOchM/edit"", ""R2019-EEE!E:E""),
IMPORTRANGE(""https://docs.google.com/spreadsheets/d/1UvPg-G_Bj-UNhLC2uL8tntfYsnld_PABqE3impzOchM/edit"", ""R2019-EEE"&amp;"!F:F""),
IMPORTRANGE(""https://docs.google.com/spreadsheets/d/1UvPg-G_Bj-UNhLC2uL8tntfYsnld_PABqE3impzOchM/edit"", ""R2019-EEE!G:G""),
IMPORTRANGE(""https://docs.google.com/spreadsheets/d/1UvPg-G_Bj-UNhLC2uL8tntfYsnld_PABqE3impzOchM/edit"", ""R2019-EEE!I:"&amp;"I""),
IMPORTRANGE(""https://docs.google.com/spreadsheets/d/1UvPg-G_Bj-UNhLC2uL8tntfYsnld_PABqE3impzOchM/edit"", ""R2019-EEE!N:N""),
IMPORTRANGE(""https://docs.google.com/spreadsheets/d/1UvPg-G_Bj-UNhLC2uL8tntfYsnld_PABqE3impzOchM/edit"", ""R2019-EEE!O:O"""&amp;"),
IMPORTRANGE(""https://docs.google.com/spreadsheets/d/1UvPg-G_Bj-UNhLC2uL8tntfYsnld_PABqE3impzOchM/edit"", ""R2019-EEE!P:P""),
IMPORTRANGE(""https://docs.google.com/spreadsheets/d/1UvPg-G_Bj-UNhLC2uL8tntfYsnld_PABqE3impzOchM/edit"", ""R2019-EEE!Q:Q""),
"&amp;"IMPORTRANGE(""https://docs.google.com/spreadsheets/d/1UvPg-G_Bj-UNhLC2uL8tntfYsnld_PABqE3impzOchM/edit"", ""R2019-EEE!R:R""),
IMPORTRANGE(""https://docs.google.com/spreadsheets/d/1UvPg-G_Bj-UNhLC2uL8tntfYsnld_PABqE3impzOchM/edit"", ""R2019-EEE!S:S""),
IMP"&amp;"ORTRANGE(""https://docs.google.com/spreadsheets/d/1UvPg-G_Bj-UNhLC2uL8tntfYsnld_PABqE3impzOchM/edit"", ""R2019-EEE!V:V""),
IMPORTRANGE(""https://docs.google.com/spreadsheets/d/1UvPg-G_Bj-UNhLC2uL8tntfYsnld_PABqE3impzOchM/edit"", ""R2019-EEE!X:X""),
IMPORT"&amp;"RANGE(""https://docs.google.com/spreadsheets/d/1UvPg-G_Bj-UNhLC2uL8tntfYsnld_PABqE3impzOchM/edit"", ""R2019-EEE!Y:Y""),
IMPORTRANGE(""https://docs.google.com/spreadsheets/d/1UvPg-G_Bj-UNhLC2uL8tntfYsnld_PABqE3impzOchM/edit"", ""R2019-EEE!AA:AA""),
IMPORTR"&amp;"ANGE(""https://docs.google.com/spreadsheets/d/1UvPg-G_Bj-UNhLC2uL8tntfYsnld_PABqE3impzOchM/edit"", ""R2019-EEE!AC:AC""),
IMPORTRANGE(""https://docs.google.com/spreadsheets/d/1UvPg-G_Bj-UNhLC2uL8tntfYsnld_PABqE3impzOchM/edit"", ""R2019-EEE!AD:AD"")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IFERROR(__xludf.DUMMYFUNCTION("""COMPUTED_VALUE"""),"NA")</f>
        <v>NA</v>
      </c>
      <c r="E3" s="2" t="str">
        <f>IFERROR(__xludf.DUMMYFUNCTION("""COMPUTED_VALUE"""),"19EN102")</f>
        <v>19EN102</v>
      </c>
      <c r="F3" s="7" t="str">
        <f>IFERROR(__xludf.DUMMYFUNCTION("""COMPUTED_VALUE"""),"Technical English")</f>
        <v>Technical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IFERROR(__xludf.DUMMYFUNCTION("""COMPUTED_VALUE"""),12)</f>
        <v>12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IFERROR(__xludf.DUMMYFUNCTION("""COMPUTED_VALUE"""),23)</f>
        <v>23</v>
      </c>
      <c r="O4" s="20">
        <f>IFERROR(__xludf.DUMMYFUNCTION("""COMPUTED_VALUE"""),4)</f>
        <v>4</v>
      </c>
      <c r="P4" s="19" t="str">
        <f>IFERROR(__xludf.DUMMYFUNCTION("""COMPUTED_VALUE"""),"BS")</f>
        <v>BS</v>
      </c>
      <c r="Q4" s="2">
        <f>IFERROR(__xludf.DUMMYFUNCTION("""COMPUTED_VALUE"""),25)</f>
        <v>25</v>
      </c>
      <c r="R4" s="20">
        <f>IFERROR(__xludf.DUMMYFUNCTION("""COMPUTED_VALUE"""),6)</f>
        <v>6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 , Any 1 for Regular")</f>
        <v>Exempted for LE , Any 1 for Regular</v>
      </c>
      <c r="C5" s="2" t="str">
        <f>IFERROR(__xludf.DUMMYFUNCTION("""COMPUTED_VALUE"""),"HS")</f>
        <v>HS</v>
      </c>
      <c r="D5" s="2" t="str">
        <f>IFERROR(__xludf.DUMMYFUNCTION("""COMPUTED_VALUE"""),"SH1105")</f>
        <v>SH1105</v>
      </c>
      <c r="E5" s="2" t="str">
        <f>IFERROR(__xludf.DUMMYFUNCTION("""COMPUTED_VALUE"""),"19EN105")</f>
        <v>19EN105</v>
      </c>
      <c r="F5" s="7" t="str">
        <f>IFERROR(__xludf.DUMMYFUNCTION("""COMPUTED_VALUE"""),"Public Speaking")</f>
        <v>Public Speaking</v>
      </c>
      <c r="G5" s="2" t="str">
        <f>IFERROR(__xludf.DUMMYFUNCTION("""COMPUTED_VALUE"""),"-")</f>
        <v>-</v>
      </c>
      <c r="H5" s="2">
        <f>IFERROR(__xludf.DUMMYFUNCTION("""COMPUTED_VALUE"""),0)</f>
        <v>0</v>
      </c>
      <c r="I5" s="2">
        <f>IFERROR(__xludf.DUMMYFUNCTION("""COMPUTED_VALUE"""),3)</f>
        <v>3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IFERROR(__xludf.DUMMYFUNCTION("""COMPUTED_VALUE"""),"Practical (10 Expts)")</f>
        <v>Practical (10 Expts)</v>
      </c>
      <c r="M5" s="19" t="str">
        <f>IFERROR(__xludf.DUMMYFUNCTION("""COMPUTED_VALUE"""),"ES")</f>
        <v>ES</v>
      </c>
      <c r="N5" s="2">
        <f>IFERROR(__xludf.DUMMYFUNCTION("""COMPUTED_VALUE"""),26)</f>
        <v>26</v>
      </c>
      <c r="O5" s="20">
        <f>IFERROR(__xludf.DUMMYFUNCTION("""COMPUTED_VALUE"""),12)</f>
        <v>12</v>
      </c>
      <c r="P5" s="19" t="str">
        <f>IFERROR(__xludf.DUMMYFUNCTION("""COMPUTED_VALUE"""),"ES")</f>
        <v>ES</v>
      </c>
      <c r="Q5" s="2">
        <f>IFERROR(__xludf.DUMMYFUNCTION("""COMPUTED_VALUE"""),26)</f>
        <v>26</v>
      </c>
      <c r="R5" s="20">
        <f>IFERROR(__xludf.DUMMYFUNCTION("""COMPUTED_VALUE"""),12)</f>
        <v>12</v>
      </c>
    </row>
    <row r="6" ht="48" customHeight="1" spans="1:18">
      <c r="A6" s="2">
        <f>IFERROR(__xludf.DUMMYFUNCTION("""COMPUTED_VALUE"""),4)</f>
        <v>4</v>
      </c>
      <c r="B6" s="2"/>
      <c r="C6" s="2" t="str">
        <f>IFERROR(__xludf.DUMMYFUNCTION("""COMPUTED_VALUE"""),"HS")</f>
        <v>HS</v>
      </c>
      <c r="D6" s="2" t="str">
        <f>IFERROR(__xludf.DUMMYFUNCTION("""COMPUTED_VALUE"""),"NA")</f>
        <v>NA</v>
      </c>
      <c r="E6" s="2" t="str">
        <f>IFERROR(__xludf.DUMMYFUNCTION("""COMPUTED_VALUE"""),"19MS151")</f>
        <v>19MS151</v>
      </c>
      <c r="F6" s="7" t="str">
        <f>IFERROR(__xludf.DUMMYFUNCTION("""COMPUTED_VALUE"""),"Principles of Management")</f>
        <v>Principles of Management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IFERROR(__xludf.DUMMYFUNCTION("""COMPUTED_VALUE"""),58)</f>
        <v>58</v>
      </c>
      <c r="O6" s="20">
        <f>IFERROR(__xludf.DUMMYFUNCTION("""COMPUTED_VALUE"""),57)</f>
        <v>57</v>
      </c>
      <c r="P6" s="19" t="str">
        <f>IFERROR(__xludf.DUMMYFUNCTION("""COMPUTED_VALUE"""),"PC")</f>
        <v>PC</v>
      </c>
      <c r="Q6" s="2">
        <f>IFERROR(__xludf.DUMMYFUNCTION("""COMPUTED_VALUE"""),57)</f>
        <v>57</v>
      </c>
      <c r="R6" s="20">
        <f>IFERROR(__xludf.DUMMYFUNCTION("""COMPUTED_VALUE"""),57)</f>
        <v>57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IFERROR(__xludf.DUMMYFUNCTION("""COMPUTED_VALUE"""),"NA")</f>
        <v>NA</v>
      </c>
      <c r="E7" s="2" t="str">
        <f>IFERROR(__xludf.DUMMYFUNCTION("""COMPUTED_VALUE"""),"19MS152")</f>
        <v>19MS152</v>
      </c>
      <c r="F7" s="7" t="str">
        <f>IFERROR(__xludf.DUMMYFUNCTION("""COMPUTED_VALUE"""),"Total Quality Management")</f>
        <v>Total Quality Management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 t="str">
        <f>IFERROR(__xludf.DUMMYFUNCTION("""COMPUTED_VALUE"""),"PE")</f>
        <v>PE</v>
      </c>
      <c r="Q7" s="2">
        <f>IFERROR(__xludf.DUMMYFUNCTION("""COMPUTED_VALUE"""),15)</f>
        <v>15</v>
      </c>
      <c r="R7" s="20">
        <f>IFERROR(__xludf.DUMMYFUNCTION("""COMPUTED_VALUE"""),15)</f>
        <v>15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IFERROR(__xludf.DUMMYFUNCTION("""COMPUTED_VALUE"""),"BS")</f>
        <v>BS</v>
      </c>
      <c r="D8" s="2" t="str">
        <f>IFERROR(__xludf.DUMMYFUNCTION("""COMPUTED_VALUE"""),"NA")</f>
        <v>NA</v>
      </c>
      <c r="E8" s="2" t="str">
        <f>IFERROR(__xludf.DUMMYFUNCTION("""COMPUTED_VALUE"""),"19MA202")</f>
        <v>19MA202</v>
      </c>
      <c r="F8" s="7" t="str">
        <f>IFERROR(__xludf.DUMMYFUNCTION("""COMPUTED_VALUE"""),"Calculus and Laplace Transforms")</f>
        <v>Calculus and Laplace Transforms</v>
      </c>
      <c r="G8" s="2" t="str">
        <f>IFERROR(__xludf.DUMMYFUNCTION("""COMPUTED_VALUE"""),"-")</f>
        <v>-</v>
      </c>
      <c r="H8" s="2">
        <f>IFERROR(__xludf.DUMMYFUNCTION("""COMPUTED_VALUE"""),4)</f>
        <v>4</v>
      </c>
      <c r="I8" s="2">
        <f>IFERROR(__xludf.DUMMYFUNCTION("""COMPUTED_VALUE"""),0)</f>
        <v>0</v>
      </c>
      <c r="J8" s="2">
        <f>IFERROR(__xludf.DUMMYFUNCTION("""COMPUTED_VALUE"""),4)</f>
        <v>4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IFERROR(__xludf.DUMMYFUNCTION("""COMPUTED_VALUE"""),"BS")</f>
        <v>BS</v>
      </c>
      <c r="D9" s="2" t="str">
        <f>IFERROR(__xludf.DUMMYFUNCTION("""COMPUTED_VALUE"""),"NA")</f>
        <v>NA</v>
      </c>
      <c r="E9" s="2" t="str">
        <f>IFERROR(__xludf.DUMMYFUNCTION("""COMPUTED_VALUE"""),"19MA207")</f>
        <v>19MA207</v>
      </c>
      <c r="F9" s="7" t="str">
        <f>IFERROR(__xludf.DUMMYFUNCTION("""COMPUTED_VALUE"""),"Numerical Methods and Partial Differential Equations")</f>
        <v>Numerical Methods and Partial Differential Equations</v>
      </c>
      <c r="G9" s="2" t="str">
        <f>IFERROR(__xludf.DUMMYFUNCTION("""COMPUTED_VALUE"""),"19MA202")</f>
        <v>19MA202</v>
      </c>
      <c r="H9" s="2">
        <f>IFERROR(__xludf.DUMMYFUNCTION("""COMPUTED_VALUE"""),4)</f>
        <v>4</v>
      </c>
      <c r="I9" s="2">
        <f>IFERROR(__xludf.DUMMYFUNCTION("""COMPUTED_VALUE"""),0)</f>
        <v>0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IFERROR(__xludf.DUMMYFUNCTION("""COMPUTED_VALUE"""),"BS")</f>
        <v>BS</v>
      </c>
      <c r="D10" s="2" t="str">
        <f>IFERROR(__xludf.DUMMYFUNCTION("""COMPUTED_VALUE"""),"NA")</f>
        <v>NA</v>
      </c>
      <c r="E10" s="2" t="str">
        <f>IFERROR(__xludf.DUMMYFUNCTION("""COMPUTED_VALUE"""),"19MA214")</f>
        <v>19MA214</v>
      </c>
      <c r="F10" s="7" t="str">
        <f>IFERROR(__xludf.DUMMYFUNCTION("""COMPUTED_VALUE"""),"Series and Transforms")</f>
        <v>Series and Transforms</v>
      </c>
      <c r="G10" s="2" t="str">
        <f>IFERROR(__xludf.DUMMYFUNCTION("""COMPUTED_VALUE"""),"19MA202/19MA207")</f>
        <v>19MA202/19MA207</v>
      </c>
      <c r="H10" s="2">
        <f>IFERROR(__xludf.DUMMYFUNCTION("""COMPUTED_VALUE"""),4)</f>
        <v>4</v>
      </c>
      <c r="I10" s="2">
        <f>IFERROR(__xludf.DUMMYFUNCTION("""COMPUTED_VALUE"""),0)</f>
        <v>0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IFERROR(__xludf.DUMMYFUNCTION("""COMPUTED_VALUE"""),"Theory")</f>
        <v>Theory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IFERROR(__xludf.DUMMYFUNCTION("""COMPUTED_VALUE"""),"NA")</f>
        <v>NA</v>
      </c>
      <c r="E11" s="2" t="str">
        <f>IFERROR(__xludf.DUMMYFUNCTION("""COMPUTED_VALUE"""),"19PH207")</f>
        <v>19PH207</v>
      </c>
      <c r="F11" s="7" t="str">
        <f>IFERROR(__xludf.DUMMYFUNCTION("""COMPUTED_VALUE"""),"Materials for Electronics")</f>
        <v>Materials for Electronics</v>
      </c>
      <c r="G11" s="2" t="str">
        <f>IFERROR(__xludf.DUMMYFUNCTION("""COMPUTED_VALUE"""),"-")</f>
        <v>-</v>
      </c>
      <c r="H11" s="2">
        <f>IFERROR(__xludf.DUMMYFUNCTION("""COMPUTED_VALUE"""),3)</f>
        <v>3</v>
      </c>
      <c r="I11" s="2">
        <f>IFERROR(__xludf.DUMMYFUNCTION("""COMPUTED_VALUE"""),0)</f>
        <v>0</v>
      </c>
      <c r="J11" s="2">
        <f>IFERROR(__xludf.DUMMYFUNCTION("""COMPUTED_VALUE"""),3)</f>
        <v>3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IFERROR(__xludf.DUMMYFUNCTION("""COMPUTED_VALUE"""),165)</f>
        <v>165</v>
      </c>
      <c r="O11" s="23">
        <f>IFERROR(__xludf.DUMMYFUNCTION("""COMPUTED_VALUE"""),122)</f>
        <v>122</v>
      </c>
      <c r="P11" s="21" t="str">
        <f>IFERROR(__xludf.DUMMYFUNCTION("""COMPUTED_VALUE"""),"TOTAL")</f>
        <v>TOTAL</v>
      </c>
      <c r="Q11" s="22">
        <f>IFERROR(__xludf.DUMMYFUNCTION("""COMPUTED_VALUE"""),167)</f>
        <v>167</v>
      </c>
      <c r="R11" s="23">
        <f>IFERROR(__xludf.DUMMYFUNCTION("""COMPUTED_VALUE"""),124)</f>
        <v>124</v>
      </c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IFERROR(__xludf.DUMMYFUNCTION("""COMPUTED_VALUE"""),"NA")</f>
        <v>NA</v>
      </c>
      <c r="E12" s="2" t="str">
        <f>IFERROR(__xludf.DUMMYFUNCTION("""COMPUTED_VALUE"""),"19PH212")</f>
        <v>19PH212</v>
      </c>
      <c r="F12" s="7" t="str">
        <f>IFERROR(__xludf.DUMMYFUNCTION("""COMPUTED_VALUE"""),"Basics of Solid State Devices")</f>
        <v>Basics of Solid State Devices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IFERROR(__xludf.DUMMYFUNCTION("""COMPUTED_VALUE"""),"NA")</f>
        <v>NA</v>
      </c>
      <c r="E13" s="2" t="str">
        <f>IFERROR(__xludf.DUMMYFUNCTION("""COMPUTED_VALUE"""),"19PH213")</f>
        <v>19PH213</v>
      </c>
      <c r="F13" s="7" t="str">
        <f>IFERROR(__xludf.DUMMYFUNCTION("""COMPUTED_VALUE"""),"Nano Science for Electrical Engineers")</f>
        <v>Nano Science for Electrical Engineers</v>
      </c>
      <c r="G13" s="2" t="str">
        <f>IFERROR(__xludf.DUMMYFUNCTION("""COMPUTED_VALUE"""),"-")</f>
        <v>-</v>
      </c>
      <c r="H13" s="2">
        <f>IFERROR(__xludf.DUMMYFUNCTION("""COMPUTED_VALUE"""),3)</f>
        <v>3</v>
      </c>
      <c r="I13" s="2">
        <f>IFERROR(__xludf.DUMMYFUNCTION("""COMPUTED_VALUE"""),0)</f>
        <v>0</v>
      </c>
      <c r="J13" s="2">
        <f>IFERROR(__xludf.DUMMYFUNCTION("""COMPUTED_VALUE"""),3)</f>
        <v>3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IFERROR(__xludf.DUMMYFUNCTION("""COMPUTED_VALUE"""),"19CY206")</f>
        <v>19CY206</v>
      </c>
      <c r="F14" s="7" t="str">
        <f>IFERROR(__xludf.DUMMYFUNCTION("""COMPUTED_VALUE"""),"Principles of Electrochemistry")</f>
        <v>Principles of Electrochemistry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IFERROR(__xludf.DUMMYFUNCTION("""COMPUTED_VALUE"""),1)</f>
        <v>1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IFERROR(__xludf.DUMMYFUNCTION("""COMPUTED_VALUE"""),"ES")</f>
        <v>ES</v>
      </c>
      <c r="D15" s="2" t="str">
        <f>IFERROR(__xludf.DUMMYFUNCTION("""COMPUTED_VALUE"""),"NA")</f>
        <v>NA</v>
      </c>
      <c r="E15" s="2" t="str">
        <f>IFERROR(__xludf.DUMMYFUNCTION("""COMPUTED_VALUE"""),"19CS301")</f>
        <v>19CS301</v>
      </c>
      <c r="F15" s="7" t="str">
        <f>IFERROR(__xludf.DUMMYFUNCTION("""COMPUTED_VALUE"""),"Problem Solving and Python Programming")</f>
        <v>Problem Solving and Python Programming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IFERROR(__xludf.DUMMYFUNCTION("""COMPUTED_VALUE"""),"ES")</f>
        <v>ES</v>
      </c>
      <c r="D16" s="2" t="str">
        <f>IFERROR(__xludf.DUMMYFUNCTION("""COMPUTED_VALUE"""),"NA")</f>
        <v>NA</v>
      </c>
      <c r="E16" s="2" t="str">
        <f>IFERROR(__xludf.DUMMYFUNCTION("""COMPUTED_VALUE"""),"19CS304")</f>
        <v>19CS304</v>
      </c>
      <c r="F16" s="7" t="str">
        <f>IFERROR(__xludf.DUMMYFUNCTION("""COMPUTED_VALUE"""),"Object Oriented Programming for Embedded Applications")</f>
        <v>Object Oriented Programming for Embedded Applications</v>
      </c>
      <c r="G16" s="2" t="str">
        <f>IFERROR(__xludf.DUMMYFUNCTION("""COMPUTED_VALUE"""),"19EE302")</f>
        <v>19EE302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IFERROR(__xludf.DUMMYFUNCTION("""COMPUTED_VALUE"""),"ES")</f>
        <v>ES</v>
      </c>
      <c r="D17" s="2" t="str">
        <f>IFERROR(__xludf.DUMMYFUNCTION("""COMPUTED_VALUE"""),"NA")</f>
        <v>NA</v>
      </c>
      <c r="E17" s="2" t="str">
        <f>IFERROR(__xludf.DUMMYFUNCTION("""COMPUTED_VALUE"""),"19ME302")</f>
        <v>19ME302</v>
      </c>
      <c r="F17" s="7" t="str">
        <f>IFERROR(__xludf.DUMMYFUNCTION("""COMPUTED_VALUE"""),"Engineering Drawing")</f>
        <v>Engineering Drawing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IFERROR(__xludf.DUMMYFUNCTION("""COMPUTED_VALUE"""),"NA")</f>
        <v>NA</v>
      </c>
      <c r="E18" s="2" t="str">
        <f>IFERROR(__xludf.DUMMYFUNCTION("""COMPUTED_VALUE"""),"19ME306")</f>
        <v>19ME306</v>
      </c>
      <c r="F18" s="7" t="str">
        <f>IFERROR(__xludf.DUMMYFUNCTION("""COMPUTED_VALUE"""),"Basic Civil and Mechanical Engineering")</f>
        <v>Basic Civil and Mechanical Engineering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IFERROR(__xludf.DUMMYFUNCTION("""COMPUTED_VALUE"""),0)</f>
        <v>0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IFERROR(__xludf.DUMMYFUNCTION("""COMPUTED_VALUE"""),"Any 1")</f>
        <v>Any 1</v>
      </c>
      <c r="C19" s="2" t="str">
        <f>IFERROR(__xludf.DUMMYFUNCTION("""COMPUTED_VALUE"""),"ES")</f>
        <v>ES</v>
      </c>
      <c r="D19" s="2" t="str">
        <f>IFERROR(__xludf.DUMMYFUNCTION("""COMPUTED_VALUE"""),"NA")</f>
        <v>NA</v>
      </c>
      <c r="E19" s="2" t="str">
        <f>IFERROR(__xludf.DUMMYFUNCTION("""COMPUTED_VALUE"""),"19ME413")</f>
        <v>19ME413</v>
      </c>
      <c r="F19" s="7" t="str">
        <f>IFERROR(__xludf.DUMMYFUNCTION("""COMPUTED_VALUE"""),"Power Plant Engineering")</f>
        <v>Power Plant Engineering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IFERROR(__xludf.DUMMYFUNCTION("""COMPUTED_VALUE"""),"Any 1")</f>
        <v>Any 1</v>
      </c>
      <c r="C20" s="2" t="str">
        <f>IFERROR(__xludf.DUMMYFUNCTION("""COMPUTED_VALUE"""),"ES")</f>
        <v>ES</v>
      </c>
      <c r="D20" s="2" t="str">
        <f>IFERROR(__xludf.DUMMYFUNCTION("""COMPUTED_VALUE"""),"ME0415")</f>
        <v>ME0415</v>
      </c>
      <c r="E20" s="2" t="str">
        <f>IFERROR(__xludf.DUMMYFUNCTION("""COMPUTED_VALUE"""),"19ME415")</f>
        <v>19ME415</v>
      </c>
      <c r="F20" s="7" t="str">
        <f>IFERROR(__xludf.DUMMYFUNCTION("""COMPUTED_VALUE"""),"Power Generation Engineering")</f>
        <v>Power Generation Engineering</v>
      </c>
      <c r="G20" s="2" t="str">
        <f>IFERROR(__xludf.DUMMYFUNCTION("""COMPUTED_VALUE"""),"-")</f>
        <v>-</v>
      </c>
      <c r="H20" s="2">
        <f>IFERROR(__xludf.DUMMYFUNCTION("""COMPUTED_VALUE"""),4)</f>
        <v>4</v>
      </c>
      <c r="I20" s="2">
        <f>IFERROR(__xludf.DUMMYFUNCTION("""COMPUTED_VALUE"""),0)</f>
        <v>0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IFERROR(__xludf.DUMMYFUNCTION("""COMPUTED_VALUE"""),"Theory")</f>
        <v>Theory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IFERROR(__xludf.DUMMYFUNCTION("""COMPUTED_VALUE"""),"EC2301")</f>
        <v>EC2301</v>
      </c>
      <c r="E21" s="2" t="str">
        <f>IFERROR(__xludf.DUMMYFUNCTION("""COMPUTED_VALUE"""),"19EE301")</f>
        <v>19EE301</v>
      </c>
      <c r="F21" s="7" t="str">
        <f>IFERROR(__xludf.DUMMYFUNCTION("""COMPUTED_VALUE"""),"Electric Circuits and Networks")</f>
        <v>Electric Circuits and Networks</v>
      </c>
      <c r="G21" s="2" t="str">
        <f>IFERROR(__xludf.DUMMYFUNCTION("""COMPUTED_VALUE"""),"19MA202")</f>
        <v>19MA202</v>
      </c>
      <c r="H21" s="2">
        <f>IFERROR(__xludf.DUMMYFUNCTION("""COMPUTED_VALUE"""),3)</f>
        <v>3</v>
      </c>
      <c r="I21" s="2">
        <f>IFERROR(__xludf.DUMMYFUNCTION("""COMPUTED_VALUE"""),1)</f>
        <v>1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IFERROR(__xludf.DUMMYFUNCTION("""COMPUTED_VALUE"""),"19EE302")</f>
        <v>19EE302</v>
      </c>
      <c r="F22" s="7" t="str">
        <f>IFERROR(__xludf.DUMMYFUNCTION("""COMPUTED_VALUE"""),"Embedded Programming for Electrical Engineers")</f>
        <v>Embedded Programming for Electrical Engineers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IFERROR(__xludf.DUMMYFUNCTION("""COMPUTED_VALUE"""),1)</f>
        <v>1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IFERROR(__xludf.DUMMYFUNCTION("""COMPUTED_VALUE"""),"PC")</f>
        <v>PC</v>
      </c>
      <c r="D23" s="2" t="str">
        <f>IFERROR(__xludf.DUMMYFUNCTION("""COMPUTED_VALUE"""),"NA")</f>
        <v>NA</v>
      </c>
      <c r="E23" s="2" t="str">
        <f>IFERROR(__xludf.DUMMYFUNCTION("""COMPUTED_VALUE"""),"19EE401")</f>
        <v>19EE401</v>
      </c>
      <c r="F23" s="7" t="str">
        <f>IFERROR(__xludf.DUMMYFUNCTION("""COMPUTED_VALUE"""),"Electromagnetic Theory")</f>
        <v>Electromagnetic Theory</v>
      </c>
      <c r="G23" s="2" t="str">
        <f>IFERROR(__xludf.DUMMYFUNCTION("""COMPUTED_VALUE"""),"19MA207")</f>
        <v>19MA207</v>
      </c>
      <c r="H23" s="2">
        <f>IFERROR(__xludf.DUMMYFUNCTION("""COMPUTED_VALUE"""),3)</f>
        <v>3</v>
      </c>
      <c r="I23" s="2">
        <f>IFERROR(__xludf.DUMMYFUNCTION("""COMPUTED_VALUE"""),0)</f>
        <v>0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IFERROR(__xludf.DUMMYFUNCTION("""COMPUTED_VALUE"""),"EC2402")</f>
        <v>EC2402</v>
      </c>
      <c r="E24" s="2" t="str">
        <f>IFERROR(__xludf.DUMMYFUNCTION("""COMPUTED_VALUE"""),"19EE402")</f>
        <v>19EE402</v>
      </c>
      <c r="F24" s="7" t="str">
        <f>IFERROR(__xludf.DUMMYFUNCTION("""COMPUTED_VALUE"""),"Transformers and DC Machines")</f>
        <v>Transformers and DC Machines</v>
      </c>
      <c r="G24" s="2" t="str">
        <f>IFERROR(__xludf.DUMMYFUNCTION("""COMPUTED_VALUE"""),"19EE301,19EE401")</f>
        <v>19EE301,19EE401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IFERROR(__xludf.DUMMYFUNCTION("""COMPUTED_VALUE"""),"EC2403")</f>
        <v>EC2403</v>
      </c>
      <c r="E25" s="2" t="str">
        <f>IFERROR(__xludf.DUMMYFUNCTION("""COMPUTED_VALUE"""),"19EE403")</f>
        <v>19EE403</v>
      </c>
      <c r="F25" s="7" t="str">
        <f>IFERROR(__xludf.DUMMYFUNCTION("""COMPUTED_VALUE"""),"AC Machines")</f>
        <v>AC Machines</v>
      </c>
      <c r="G25" s="2" t="str">
        <f>IFERROR(__xludf.DUMMYFUNCTION("""COMPUTED_VALUE"""),"19EE402")</f>
        <v>19EE402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IFERROR(__xludf.DUMMYFUNCTION("""COMPUTED_VALUE"""),"EC2404")</f>
        <v>EC2404</v>
      </c>
      <c r="E26" s="2" t="str">
        <f>IFERROR(__xludf.DUMMYFUNCTION("""COMPUTED_VALUE"""),"19EE404")</f>
        <v>19EE404</v>
      </c>
      <c r="F26" s="7" t="str">
        <f>IFERROR(__xludf.DUMMYFUNCTION("""COMPUTED_VALUE"""),"Digital Electronics")</f>
        <v>Digital Electronics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IFERROR(__xludf.DUMMYFUNCTION("""COMPUTED_VALUE"""),"EC2405")</f>
        <v>EC2405</v>
      </c>
      <c r="E27" s="2" t="str">
        <f>IFERROR(__xludf.DUMMYFUNCTION("""COMPUTED_VALUE"""),"19EE405")</f>
        <v>19EE405</v>
      </c>
      <c r="F27" s="7" t="str">
        <f>IFERROR(__xludf.DUMMYFUNCTION("""COMPUTED_VALUE"""),"Electronic Circuits")</f>
        <v>Electronic Circuits</v>
      </c>
      <c r="G27" s="2" t="str">
        <f>IFERROR(__xludf.DUMMYFUNCTION("""COMPUTED_VALUE"""),"19EE301,19PH212")</f>
        <v>19EE301,19PH212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IFERROR(__xludf.DUMMYFUNCTION("""COMPUTED_VALUE"""),"NA")</f>
        <v>NA</v>
      </c>
      <c r="E28" s="2" t="str">
        <f>IFERROR(__xludf.DUMMYFUNCTION("""COMPUTED_VALUE"""),"19EE406")</f>
        <v>19EE406</v>
      </c>
      <c r="F28" s="7" t="str">
        <f>IFERROR(__xludf.DUMMYFUNCTION("""COMPUTED_VALUE"""),"Measurements and Instrumentation")</f>
        <v>Measurements and Instrumentation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IFERROR(__xludf.DUMMYFUNCTION("""COMPUTED_VALUE"""),"EC2407")</f>
        <v>EC2407</v>
      </c>
      <c r="E29" s="2" t="str">
        <f>IFERROR(__xludf.DUMMYFUNCTION("""COMPUTED_VALUE"""),"19EE407")</f>
        <v>19EE407</v>
      </c>
      <c r="F29" s="7" t="str">
        <f>IFERROR(__xludf.DUMMYFUNCTION("""COMPUTED_VALUE"""),"Linear Integrated Circuits and Applications")</f>
        <v>Linear Integrated Circuits and Applications</v>
      </c>
      <c r="G29" s="2" t="str">
        <f>IFERROR(__xludf.DUMMYFUNCTION("""COMPUTED_VALUE"""),"19EE405")</f>
        <v>19EE405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IFERROR(__xludf.DUMMYFUNCTION("""COMPUTED_VALUE"""),"NA")</f>
        <v>NA</v>
      </c>
      <c r="E30" s="2" t="str">
        <f>IFERROR(__xludf.DUMMYFUNCTION("""COMPUTED_VALUE"""),"19EE408")</f>
        <v>19EE408</v>
      </c>
      <c r="F30" s="7" t="str">
        <f>IFERROR(__xludf.DUMMYFUNCTION("""COMPUTED_VALUE"""),"Control Systems")</f>
        <v>Control Systems</v>
      </c>
      <c r="G30" s="2" t="str">
        <f>IFERROR(__xludf.DUMMYFUNCTION("""COMPUTED_VALUE"""),"19MA202,19EE301")</f>
        <v>19MA202,19EE301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IFERROR(__xludf.DUMMYFUNCTION("""COMPUTED_VALUE"""),"NA")</f>
        <v>NA</v>
      </c>
      <c r="E31" s="2" t="str">
        <f>IFERROR(__xludf.DUMMYFUNCTION("""COMPUTED_VALUE"""),"19EE409")</f>
        <v>19EE409</v>
      </c>
      <c r="F31" s="7" t="str">
        <f>IFERROR(__xludf.DUMMYFUNCTION("""COMPUTED_VALUE"""),"Electrical Power Transmission System")</f>
        <v>Electrical Power Transmission System</v>
      </c>
      <c r="G31" s="2" t="str">
        <f>IFERROR(__xludf.DUMMYFUNCTION("""COMPUTED_VALUE"""),"19EE301")</f>
        <v>19EE301</v>
      </c>
      <c r="H31" s="2">
        <f>IFERROR(__xludf.DUMMYFUNCTION("""COMPUTED_VALUE"""),3)</f>
        <v>3</v>
      </c>
      <c r="I31" s="2">
        <f>IFERROR(__xludf.DUMMYFUNCTION("""COMPUTED_VALUE"""),0)</f>
        <v>0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IFERROR(__xludf.DUMMYFUNCTION("""COMPUTED_VALUE"""),"Theory")</f>
        <v>Theory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IFERROR(__xludf.DUMMYFUNCTION("""COMPUTED_VALUE"""),"EC2410")</f>
        <v>EC2410</v>
      </c>
      <c r="E32" s="2" t="str">
        <f>IFERROR(__xludf.DUMMYFUNCTION("""COMPUTED_VALUE"""),"19EE410")</f>
        <v>19EE410</v>
      </c>
      <c r="F32" s="7" t="str">
        <f>IFERROR(__xludf.DUMMYFUNCTION("""COMPUTED_VALUE"""),"Power System Analysis")</f>
        <v>Power System Analysis</v>
      </c>
      <c r="G32" s="2" t="str">
        <f>IFERROR(__xludf.DUMMYFUNCTION("""COMPUTED_VALUE"""),"19MA207,19EE409")</f>
        <v>19MA207,19EE409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IFERROR(__xludf.DUMMYFUNCTION("""COMPUTED_VALUE"""),"EC2411")</f>
        <v>EC2411</v>
      </c>
      <c r="E33" s="2" t="str">
        <f>IFERROR(__xludf.DUMMYFUNCTION("""COMPUTED_VALUE"""),"19EE411")</f>
        <v>19EE411</v>
      </c>
      <c r="F33" s="7" t="str">
        <f>IFERROR(__xludf.DUMMYFUNCTION("""COMPUTED_VALUE"""),"Power Electronics")</f>
        <v>Power Electronics</v>
      </c>
      <c r="G33" s="2" t="str">
        <f>IFERROR(__xludf.DUMMYFUNCTION("""COMPUTED_VALUE"""),"19PH212")</f>
        <v>19PH212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IFERROR(__xludf.DUMMYFUNCTION("""COMPUTED_VALUE"""),"Any 1")</f>
        <v>Any 1</v>
      </c>
      <c r="C34" s="2" t="str">
        <f>IFERROR(__xludf.DUMMYFUNCTION("""COMPUTED_VALUE"""),"PC")</f>
        <v>PC</v>
      </c>
      <c r="D34" s="2" t="str">
        <f>IFERROR(__xludf.DUMMYFUNCTION("""COMPUTED_VALUE"""),"NA")</f>
        <v>NA</v>
      </c>
      <c r="E34" s="2" t="str">
        <f>IFERROR(__xludf.DUMMYFUNCTION("""COMPUTED_VALUE"""),"19EE412")</f>
        <v>19EE412</v>
      </c>
      <c r="F34" s="7" t="str">
        <f>IFERROR(__xludf.DUMMYFUNCTION("""COMPUTED_VALUE"""),"Microprocessor and Microcontroller Laboratory")</f>
        <v>Microprocessor and Microcontroller Laboratory</v>
      </c>
      <c r="G34" s="2" t="str">
        <f>IFERROR(__xludf.DUMMYFUNCTION("""COMPUTED_VALUE"""),"19EE404")</f>
        <v>19EE404</v>
      </c>
      <c r="H34" s="2">
        <f>IFERROR(__xludf.DUMMYFUNCTION("""COMPUTED_VALUE"""),0)</f>
        <v>0</v>
      </c>
      <c r="I34" s="2">
        <f>IFERROR(__xludf.DUMMYFUNCTION("""COMPUTED_VALUE"""),2)</f>
        <v>2</v>
      </c>
      <c r="J34" s="2">
        <f>IFERROR(__xludf.DUMMYFUNCTION("""COMPUTED_VALUE"""),2)</f>
        <v>2</v>
      </c>
      <c r="K34" s="2" t="str">
        <f>IFERROR(__xludf.DUMMYFUNCTION("""COMPUTED_VALUE"""),"CGPA")</f>
        <v>CGPA</v>
      </c>
      <c r="L34" s="2" t="str">
        <f>IFERROR(__xludf.DUMMYFUNCTION("""COMPUTED_VALUE"""),"Practical (10 Expts)")</f>
        <v>Practical (10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IFERROR(__xludf.DUMMYFUNCTION("""COMPUTED_VALUE"""),"EC2413")</f>
        <v>EC2413</v>
      </c>
      <c r="E35" s="2" t="str">
        <f>IFERROR(__xludf.DUMMYFUNCTION("""COMPUTED_VALUE"""),"19EE413")</f>
        <v>19EE413</v>
      </c>
      <c r="F35" s="7" t="str">
        <f>IFERROR(__xludf.DUMMYFUNCTION("""COMPUTED_VALUE"""),"Power System Operation and Control")</f>
        <v>Power System Operation and Control</v>
      </c>
      <c r="G35" s="2" t="str">
        <f>IFERROR(__xludf.DUMMYFUNCTION("""COMPUTED_VALUE"""),"19EE410")</f>
        <v>19EE410</v>
      </c>
      <c r="H35" s="2">
        <f>IFERROR(__xludf.DUMMYFUNCTION("""COMPUTED_VALUE"""),3)</f>
        <v>3</v>
      </c>
      <c r="I35" s="2">
        <f>IFERROR(__xludf.DUMMYFUNCTION("""COMPUTED_VALUE"""),0)</f>
        <v>0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IFERROR(__xludf.DUMMYFUNCTION("""COMPUTED_VALUE"""),"NA")</f>
        <v>NA</v>
      </c>
      <c r="E36" s="2" t="str">
        <f>IFERROR(__xludf.DUMMYFUNCTION("""COMPUTED_VALUE"""),"19EE414")</f>
        <v>19EE414</v>
      </c>
      <c r="F36" s="7" t="str">
        <f>IFERROR(__xludf.DUMMYFUNCTION("""COMPUTED_VALUE"""),"Digital Signal Processing")</f>
        <v>Digital Signal Processing</v>
      </c>
      <c r="G36" s="2" t="str">
        <f>IFERROR(__xludf.DUMMYFUNCTION("""COMPUTED_VALUE"""),"19MA214")</f>
        <v>19MA214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IFERROR(__xludf.DUMMYFUNCTION("""COMPUTED_VALUE"""),"EC2415")</f>
        <v>EC2415</v>
      </c>
      <c r="E37" s="2" t="str">
        <f>IFERROR(__xludf.DUMMYFUNCTION("""COMPUTED_VALUE"""),"19EE415")</f>
        <v>19EE415</v>
      </c>
      <c r="F37" s="7" t="str">
        <f>IFERROR(__xludf.DUMMYFUNCTION("""COMPUTED_VALUE"""),"High Voltage Engineering")</f>
        <v>High Voltage Engineering</v>
      </c>
      <c r="G37" s="2" t="str">
        <f>IFERROR(__xludf.DUMMYFUNCTION("""COMPUTED_VALUE"""),"
 19EE409")</f>
        <v>
 19EE409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IFERROR(__xludf.DUMMYFUNCTION("""COMPUTED_VALUE"""),"19EE416")</f>
        <v>19EE416</v>
      </c>
      <c r="F38" s="7" t="str">
        <f>IFERROR(__xludf.DUMMYFUNCTION("""COMPUTED_VALUE"""),"Renewable Energy Systems I")</f>
        <v>Renewable Energy Systems I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 t="str">
        <f>IFERROR(__xludf.DUMMYFUNCTION("""COMPUTED_VALUE"""),"Any 1")</f>
        <v>Any 1</v>
      </c>
      <c r="C39" s="2" t="str">
        <f>IFERROR(__xludf.DUMMYFUNCTION("""COMPUTED_VALUE"""),"PC")</f>
        <v>PC</v>
      </c>
      <c r="D39" s="2" t="str">
        <f>IFERROR(__xludf.DUMMYFUNCTION("""COMPUTED_VALUE"""),"NA")</f>
        <v>NA</v>
      </c>
      <c r="E39" s="2" t="str">
        <f>IFERROR(__xludf.DUMMYFUNCTION("""COMPUTED_VALUE"""),"19EE417")</f>
        <v>19EE417</v>
      </c>
      <c r="F39" s="7" t="str">
        <f>IFERROR(__xludf.DUMMYFUNCTION("""COMPUTED_VALUE"""),"Microcontroller Laboratory")</f>
        <v>Microcontroller Laboratory</v>
      </c>
      <c r="G39" s="2" t="str">
        <f>IFERROR(__xludf.DUMMYFUNCTION("""COMPUTED_VALUE"""),"19EE404")</f>
        <v>19EE404</v>
      </c>
      <c r="H39" s="2">
        <f>IFERROR(__xludf.DUMMYFUNCTION("""COMPUTED_VALUE"""),0)</f>
        <v>0</v>
      </c>
      <c r="I39" s="2">
        <f>IFERROR(__xludf.DUMMYFUNCTION("""COMPUTED_VALUE"""),2)</f>
        <v>2</v>
      </c>
      <c r="J39" s="2">
        <f>IFERROR(__xludf.DUMMYFUNCTION("""COMPUTED_VALUE"""),2)</f>
        <v>2</v>
      </c>
      <c r="K39" s="2" t="str">
        <f>IFERROR(__xludf.DUMMYFUNCTION("""COMPUTED_VALUE"""),"CGPA")</f>
        <v>CGPA</v>
      </c>
      <c r="L39" s="2" t="str">
        <f>IFERROR(__xludf.DUMMYFUNCTION("""COMPUTED_VALUE"""),"Practical (10 Expts)")</f>
        <v>Practical (10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IFERROR(__xludf.DUMMYFUNCTION("""COMPUTED_VALUE"""),"PE")</f>
        <v>PE</v>
      </c>
      <c r="D40" s="2" t="str">
        <f>IFERROR(__xludf.DUMMYFUNCTION("""COMPUTED_VALUE"""),"NA")</f>
        <v>NA</v>
      </c>
      <c r="E40" s="2" t="str">
        <f>IFERROR(__xludf.DUMMYFUNCTION("""COMPUTED_VALUE"""),"19CS303")</f>
        <v>19CS303</v>
      </c>
      <c r="F40" s="7" t="str">
        <f>IFERROR(__xludf.DUMMYFUNCTION("""COMPUTED_VALUE"""),"Fundamentals of Data Structures using Python")</f>
        <v>Fundamentals of Data Structures using Python</v>
      </c>
      <c r="G40" s="2" t="str">
        <f>IFERROR(__xludf.DUMMYFUNCTION("""COMPUTED_VALUE"""),"-")</f>
        <v>-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IFERROR(__xludf.DUMMYFUNCTION("""COMPUTED_VALUE"""),"PE")</f>
        <v>PE</v>
      </c>
      <c r="D41" s="2" t="str">
        <f>IFERROR(__xludf.DUMMYFUNCTION("""COMPUTED_VALUE"""),"CS3307")</f>
        <v>CS3307</v>
      </c>
      <c r="E41" s="2" t="str">
        <f>IFERROR(__xludf.DUMMYFUNCTION("""COMPUTED_VALUE"""),"19AI307")</f>
        <v>19AI307</v>
      </c>
      <c r="F41" s="7" t="str">
        <f>IFERROR(__xludf.DUMMYFUNCTION("""COMPUTED_VALUE"""),"Object Oriented Programming using Java")</f>
        <v>Object Oriented Programming using Java</v>
      </c>
      <c r="G41" s="2" t="str">
        <f>IFERROR(__xludf.DUMMYFUNCTION("""COMPUTED_VALUE"""),"19AI304")</f>
        <v>19AI304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IFERROR(__xludf.DUMMYFUNCTION("""COMPUTED_VALUE"""),"PE")</f>
        <v>PE</v>
      </c>
      <c r="D42" s="2" t="str">
        <f>IFERROR(__xludf.DUMMYFUNCTION("""COMPUTED_VALUE"""),"CS1404")</f>
        <v>CS1404</v>
      </c>
      <c r="E42" s="2" t="str">
        <f>IFERROR(__xludf.DUMMYFUNCTION("""COMPUTED_VALUE"""),"19CS404")</f>
        <v>19CS404</v>
      </c>
      <c r="F42" s="3" t="str">
        <f>IFERROR(__xludf.DUMMYFUNCTION("""COMPUTED_VALUE"""),"Database Management System and its Applications")</f>
        <v>Database Management System and its Applications</v>
      </c>
      <c r="G42" s="2" t="str">
        <f>IFERROR(__xludf.DUMMYFUNCTION("""COMPUTED_VALUE"""),"19AI301/19AI304/19CS301/19CS302/19CS303")</f>
        <v>19AI301/19AI304/19CS301/19CS302/19CS303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IFERROR(__xludf.DUMMYFUNCTION("""COMPUTED_VALUE"""),"PE")</f>
        <v>PE</v>
      </c>
      <c r="D43" s="2" t="str">
        <f>IFERROR(__xludf.DUMMYFUNCTION("""COMPUTED_VALUE"""),"NA")</f>
        <v>NA</v>
      </c>
      <c r="E43" s="2" t="str">
        <f>IFERROR(__xludf.DUMMYFUNCTION("""COMPUTED_VALUE"""),"19EE501")</f>
        <v>19EE501</v>
      </c>
      <c r="F43" s="7" t="str">
        <f>IFERROR(__xludf.DUMMYFUNCTION("""COMPUTED_VALUE"""),"Distribution System Engineering")</f>
        <v>Distribution System Engineering</v>
      </c>
      <c r="G43" s="2" t="str">
        <f>IFERROR(__xludf.DUMMYFUNCTION("""COMPUTED_VALUE"""),"19EE409")</f>
        <v>19EE409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IFERROR(__xludf.DUMMYFUNCTION("""COMPUTED_VALUE"""),"NA")</f>
        <v>NA</v>
      </c>
      <c r="E44" s="2" t="str">
        <f>IFERROR(__xludf.DUMMYFUNCTION("""COMPUTED_VALUE"""),"19EE502")</f>
        <v>19EE502</v>
      </c>
      <c r="F44" s="7" t="str">
        <f>IFERROR(__xludf.DUMMYFUNCTION("""COMPUTED_VALUE"""),"Power Electronic Converters")</f>
        <v>Power Electronic Converters</v>
      </c>
      <c r="G44" s="2" t="str">
        <f>IFERROR(__xludf.DUMMYFUNCTION("""COMPUTED_VALUE"""),"19EE411")</f>
        <v>19EE411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IFERROR(__xludf.DUMMYFUNCTION("""COMPUTED_VALUE"""),"NA")</f>
        <v>NA</v>
      </c>
      <c r="E45" s="2" t="str">
        <f>IFERROR(__xludf.DUMMYFUNCTION("""COMPUTED_VALUE"""),"19EE503")</f>
        <v>19EE503</v>
      </c>
      <c r="F45" s="7" t="str">
        <f>IFERROR(__xludf.DUMMYFUNCTION("""COMPUTED_VALUE"""),"Smart Grid")</f>
        <v>Smart Grid</v>
      </c>
      <c r="G45" s="2" t="str">
        <f>IFERROR(__xludf.DUMMYFUNCTION("""COMPUTED_VALUE"""),"19EE413")</f>
        <v>19EE413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IFERROR(__xludf.DUMMYFUNCTION("""COMPUTED_VALUE"""),"EC2504")</f>
        <v>EC2504</v>
      </c>
      <c r="E46" s="2" t="str">
        <f>IFERROR(__xludf.DUMMYFUNCTION("""COMPUTED_VALUE"""),"19EE504")</f>
        <v>19EE504</v>
      </c>
      <c r="F46" s="7" t="str">
        <f>IFERROR(__xludf.DUMMYFUNCTION("""COMPUTED_VALUE"""),"Flexible AC Transmission Systems")</f>
        <v>Flexible AC Transmission Systems</v>
      </c>
      <c r="G46" s="2" t="str">
        <f>IFERROR(__xludf.DUMMYFUNCTION("""COMPUTED_VALUE"""),"19EE413")</f>
        <v>19EE413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IFERROR(__xludf.DUMMYFUNCTION("""COMPUTED_VALUE"""),"NA")</f>
        <v>NA</v>
      </c>
      <c r="E47" s="2" t="str">
        <f>IFERROR(__xludf.DUMMYFUNCTION("""COMPUTED_VALUE"""),"19EE505")</f>
        <v>19EE505</v>
      </c>
      <c r="F47" s="7" t="str">
        <f>IFERROR(__xludf.DUMMYFUNCTION("""COMPUTED_VALUE"""),"Power System Stability")</f>
        <v>Power System Stability</v>
      </c>
      <c r="G47" s="2" t="str">
        <f>IFERROR(__xludf.DUMMYFUNCTION("""COMPUTED_VALUE"""),"19EE413")</f>
        <v>19EE413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IFERROR(__xludf.DUMMYFUNCTION("""COMPUTED_VALUE"""),"EC2506")</f>
        <v>EC2506</v>
      </c>
      <c r="E48" s="2" t="str">
        <f>IFERROR(__xludf.DUMMYFUNCTION("""COMPUTED_VALUE"""),"19EE506")</f>
        <v>19EE506</v>
      </c>
      <c r="F48" s="7" t="str">
        <f>IFERROR(__xludf.DUMMYFUNCTION("""COMPUTED_VALUE"""),"Restructured Power Systems")</f>
        <v>Restructured Power Systems</v>
      </c>
      <c r="G48" s="2" t="str">
        <f>IFERROR(__xludf.DUMMYFUNCTION("""COMPUTED_VALUE"""),"19EE413")</f>
        <v>19EE413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IFERROR(__xludf.DUMMYFUNCTION("""COMPUTED_VALUE"""),"NA")</f>
        <v>NA</v>
      </c>
      <c r="E49" s="2" t="str">
        <f>IFERROR(__xludf.DUMMYFUNCTION("""COMPUTED_VALUE"""),"19EE507")</f>
        <v>19EE507</v>
      </c>
      <c r="F49" s="7" t="str">
        <f>IFERROR(__xludf.DUMMYFUNCTION("""COMPUTED_VALUE"""),"Power System Reliability")</f>
        <v>Power System Reliability</v>
      </c>
      <c r="G49" s="2" t="str">
        <f>IFERROR(__xludf.DUMMYFUNCTION("""COMPUTED_VALUE"""),"19EE413")</f>
        <v>19EE413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IFERROR(__xludf.DUMMYFUNCTION("""COMPUTED_VALUE"""),"EC2508")</f>
        <v>EC2508</v>
      </c>
      <c r="E50" s="2" t="str">
        <f>IFERROR(__xludf.DUMMYFUNCTION("""COMPUTED_VALUE"""),"19EE508")</f>
        <v>19EE508</v>
      </c>
      <c r="F50" s="7" t="str">
        <f>IFERROR(__xludf.DUMMYFUNCTION("""COMPUTED_VALUE"""),"Power System Transients")</f>
        <v>Power System Transients</v>
      </c>
      <c r="G50" s="2" t="str">
        <f>IFERROR(__xludf.DUMMYFUNCTION("""COMPUTED_VALUE"""),"19EE415")</f>
        <v>19EE415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IFERROR(__xludf.DUMMYFUNCTION("""COMPUTED_VALUE"""),"EC2509")</f>
        <v>EC2509</v>
      </c>
      <c r="E51" s="2" t="str">
        <f>IFERROR(__xludf.DUMMYFUNCTION("""COMPUTED_VALUE"""),"19EE509")</f>
        <v>19EE509</v>
      </c>
      <c r="F51" s="7" t="str">
        <f>IFERROR(__xludf.DUMMYFUNCTION("""COMPUTED_VALUE"""),"Energy Management and Auditing")</f>
        <v>Energy Management and Auditing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IFERROR(__xludf.DUMMYFUNCTION("""COMPUTED_VALUE"""),"NA")</f>
        <v>NA</v>
      </c>
      <c r="E52" s="2" t="str">
        <f>IFERROR(__xludf.DUMMYFUNCTION("""COMPUTED_VALUE"""),"19EE510")</f>
        <v>19EE510</v>
      </c>
      <c r="F52" s="7" t="str">
        <f>IFERROR(__xludf.DUMMYFUNCTION("""COMPUTED_VALUE"""),"Electric and Hybrid Vehicles")</f>
        <v>Electric and Hybrid Vehicles</v>
      </c>
      <c r="G52" s="2" t="str">
        <f>IFERROR(__xludf.DUMMYFUNCTION("""COMPUTED_VALUE"""),"19EE408,19EE411,19EE402")</f>
        <v>19EE408,19EE411,19EE402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IFERROR(__xludf.DUMMYFUNCTION("""COMPUTED_VALUE"""),"EC2511")</f>
        <v>EC2511</v>
      </c>
      <c r="E53" s="2" t="str">
        <f>IFERROR(__xludf.DUMMYFUNCTION("""COMPUTED_VALUE"""),"19EE511")</f>
        <v>19EE511</v>
      </c>
      <c r="F53" s="7" t="str">
        <f>IFERROR(__xludf.DUMMYFUNCTION("""COMPUTED_VALUE"""),"Protection and Switchgear")</f>
        <v>Protection and Switchgear</v>
      </c>
      <c r="G53" s="2" t="str">
        <f>IFERROR(__xludf.DUMMYFUNCTION("""COMPUTED_VALUE"""),"19EE403,19EE411,19EE413, EC2804")</f>
        <v>19EE403,19EE411,19EE413, EC2804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IFERROR(__xludf.DUMMYFUNCTION("""COMPUTED_VALUE"""),"EC2512")</f>
        <v>EC2512</v>
      </c>
      <c r="E54" s="2" t="str">
        <f>IFERROR(__xludf.DUMMYFUNCTION("""COMPUTED_VALUE"""),"19EE512")</f>
        <v>19EE512</v>
      </c>
      <c r="F54" s="7" t="str">
        <f>IFERROR(__xludf.DUMMYFUNCTION("""COMPUTED_VALUE"""),"Utilisation, Safety and Maintenance of Electrical Systems")</f>
        <v>Utilisation, Safety and Maintenance of Electrical Systems</v>
      </c>
      <c r="G54" s="2" t="str">
        <f>IFERROR(__xludf.DUMMYFUNCTION("""COMPUTED_VALUE"""),"19EE403")</f>
        <v>19EE403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IFERROR(__xludf.DUMMYFUNCTION("""COMPUTED_VALUE"""),"NA")</f>
        <v>NA</v>
      </c>
      <c r="E55" s="2" t="str">
        <f>IFERROR(__xludf.DUMMYFUNCTION("""COMPUTED_VALUE"""),"19EE513")</f>
        <v>19EE513</v>
      </c>
      <c r="F55" s="7" t="str">
        <f>IFERROR(__xludf.DUMMYFUNCTION("""COMPUTED_VALUE"""),"Advances in Electric Power Transmission")</f>
        <v>Advances in Electric Power Transmission</v>
      </c>
      <c r="G55" s="2" t="str">
        <f>IFERROR(__xludf.DUMMYFUNCTION("""COMPUTED_VALUE"""),"19EE501")</f>
        <v>19EE501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IFERROR(__xludf.DUMMYFUNCTION("""COMPUTED_VALUE"""),"NA")</f>
        <v>NA</v>
      </c>
      <c r="E56" s="2" t="str">
        <f>IFERROR(__xludf.DUMMYFUNCTION("""COMPUTED_VALUE"""),"19EE514")</f>
        <v>19EE514</v>
      </c>
      <c r="F56" s="7" t="str">
        <f>IFERROR(__xludf.DUMMYFUNCTION("""COMPUTED_VALUE"""),"Microcontroller Based System Design")</f>
        <v>Microcontroller Based System Design</v>
      </c>
      <c r="G56" s="2" t="str">
        <f>IFERROR(__xludf.DUMMYFUNCTION("""COMPUTED_VALUE"""),"19EE412")</f>
        <v>19EE412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IFERROR(__xludf.DUMMYFUNCTION("""COMPUTED_VALUE"""),"EC2515")</f>
        <v>EC2515</v>
      </c>
      <c r="E57" s="2" t="str">
        <f>IFERROR(__xludf.DUMMYFUNCTION("""COMPUTED_VALUE"""),"19EE515")</f>
        <v>19EE515</v>
      </c>
      <c r="F57" s="7" t="str">
        <f>IFERROR(__xludf.DUMMYFUNCTION("""COMPUTED_VALUE"""),"Soft Computing Techniques")</f>
        <v>Soft Computing Techniques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IFERROR(__xludf.DUMMYFUNCTION("""COMPUTED_VALUE"""),"EC2516")</f>
        <v>EC2516</v>
      </c>
      <c r="E58" s="2" t="str">
        <f>IFERROR(__xludf.DUMMYFUNCTION("""COMPUTED_VALUE"""),"19EE516")</f>
        <v>19EE516</v>
      </c>
      <c r="F58" s="7" t="str">
        <f>IFERROR(__xludf.DUMMYFUNCTION("""COMPUTED_VALUE"""),"Computer Aided Design of Electrical Machines")</f>
        <v>Computer Aided Design of Electrical Machines</v>
      </c>
      <c r="G58" s="2" t="str">
        <f>IFERROR(__xludf.DUMMYFUNCTION("""COMPUTED_VALUE"""),"19EE403,19PH207, EC2403")</f>
        <v>19EE403,19PH207, EC2403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IFERROR(__xludf.DUMMYFUNCTION("""COMPUTED_VALUE"""),"NA")</f>
        <v>NA</v>
      </c>
      <c r="E59" s="2" t="str">
        <f>IFERROR(__xludf.DUMMYFUNCTION("""COMPUTED_VALUE"""),"19EE517")</f>
        <v>19EE517</v>
      </c>
      <c r="F59" s="7" t="str">
        <f>IFERROR(__xludf.DUMMYFUNCTION("""COMPUTED_VALUE"""),"System Identification and Adaptive Control")</f>
        <v>System Identification and Adaptive Control</v>
      </c>
      <c r="G59" s="2" t="str">
        <f>IFERROR(__xludf.DUMMYFUNCTION("""COMPUTED_VALUE"""),"19EE408")</f>
        <v>19EE408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IFERROR(__xludf.DUMMYFUNCTION("""COMPUTED_VALUE"""),"NA")</f>
        <v>NA</v>
      </c>
      <c r="E60" s="2" t="str">
        <f>IFERROR(__xludf.DUMMYFUNCTION("""COMPUTED_VALUE"""),"19EE518")</f>
        <v>19EE518</v>
      </c>
      <c r="F60" s="7" t="str">
        <f>IFERROR(__xludf.DUMMYFUNCTION("""COMPUTED_VALUE"""),"Digital System Design using FPGA")</f>
        <v>Digital System Design using FPGA</v>
      </c>
      <c r="G60" s="2" t="str">
        <f>IFERROR(__xludf.DUMMYFUNCTION("""COMPUTED_VALUE"""),"19EE404")</f>
        <v>19EE404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IFERROR(__xludf.DUMMYFUNCTION("""COMPUTED_VALUE"""),"NA")</f>
        <v>NA</v>
      </c>
      <c r="E61" s="2" t="str">
        <f>IFERROR(__xludf.DUMMYFUNCTION("""COMPUTED_VALUE"""),"19EE519")</f>
        <v>19EE519</v>
      </c>
      <c r="F61" s="7" t="str">
        <f>IFERROR(__xludf.DUMMYFUNCTION("""COMPUTED_VALUE"""),"Micro Electro Mechanical Systems")</f>
        <v>Micro Electro Mechanical Systems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IFERROR(__xludf.DUMMYFUNCTION("""COMPUTED_VALUE"""),"NA")</f>
        <v>NA</v>
      </c>
      <c r="E62" s="2" t="str">
        <f>IFERROR(__xludf.DUMMYFUNCTION("""COMPUTED_VALUE"""),"19EE520")</f>
        <v>19EE520</v>
      </c>
      <c r="F62" s="7" t="str">
        <f>IFERROR(__xludf.DUMMYFUNCTION("""COMPUTED_VALUE"""),"Advanced Digital Signal Processing")</f>
        <v>Advanced Digital Signal Processing</v>
      </c>
      <c r="G62" s="2" t="str">
        <f>IFERROR(__xludf.DUMMYFUNCTION("""COMPUTED_VALUE"""),"19EE414")</f>
        <v>19EE414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IFERROR(__xludf.DUMMYFUNCTION("""COMPUTED_VALUE"""),"NA")</f>
        <v>NA</v>
      </c>
      <c r="E63" s="2" t="str">
        <f>IFERROR(__xludf.DUMMYFUNCTION("""COMPUTED_VALUE"""),"19EE521")</f>
        <v>19EE521</v>
      </c>
      <c r="F63" s="7" t="str">
        <f>IFERROR(__xludf.DUMMYFUNCTION("""COMPUTED_VALUE"""),"Image Processing")</f>
        <v>Image Processing</v>
      </c>
      <c r="G63" s="2" t="str">
        <f>IFERROR(__xludf.DUMMYFUNCTION("""COMPUTED_VALUE"""),"19EE414")</f>
        <v>19EE414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IFERROR(__xludf.DUMMYFUNCTION("""COMPUTED_VALUE"""),"NA")</f>
        <v>NA</v>
      </c>
      <c r="E64" s="2" t="str">
        <f>IFERROR(__xludf.DUMMYFUNCTION("""COMPUTED_VALUE"""),"19EE522")</f>
        <v>19EE522</v>
      </c>
      <c r="F64" s="7" t="str">
        <f>IFERROR(__xludf.DUMMYFUNCTION("""COMPUTED_VALUE"""),"Robotics")</f>
        <v>Robotics</v>
      </c>
      <c r="G64" s="2" t="str">
        <f>IFERROR(__xludf.DUMMYFUNCTION("""COMPUTED_VALUE"""),"19EE408")</f>
        <v>19EE408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IFERROR(__xludf.DUMMYFUNCTION("""COMPUTED_VALUE"""),"NA")</f>
        <v>NA</v>
      </c>
      <c r="E65" s="2" t="str">
        <f>IFERROR(__xludf.DUMMYFUNCTION("""COMPUTED_VALUE"""),"19EE523")</f>
        <v>19EE523</v>
      </c>
      <c r="F65" s="7" t="str">
        <f>IFERROR(__xludf.DUMMYFUNCTION("""COMPUTED_VALUE"""),"Biomedical Instrumentation")</f>
        <v>Biomedical Instrumentation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IFERROR(__xludf.DUMMYFUNCTION("""COMPUTED_VALUE"""),"NA")</f>
        <v>NA</v>
      </c>
      <c r="E66" s="2" t="str">
        <f>IFERROR(__xludf.DUMMYFUNCTION("""COMPUTED_VALUE"""),"19EE524")</f>
        <v>19EE524</v>
      </c>
      <c r="F66" s="7" t="str">
        <f>IFERROR(__xludf.DUMMYFUNCTION("""COMPUTED_VALUE"""),"Embedded Product Design")</f>
        <v>Embedded Product Design</v>
      </c>
      <c r="G66" s="2" t="str">
        <f>IFERROR(__xludf.DUMMYFUNCTION("""COMPUTED_VALUE"""),"19EE412")</f>
        <v>19EE412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IFERROR(__xludf.DUMMYFUNCTION("""COMPUTED_VALUE"""),"NA")</f>
        <v>NA</v>
      </c>
      <c r="E67" s="2" t="str">
        <f>IFERROR(__xludf.DUMMYFUNCTION("""COMPUTED_VALUE"""),"19EE525")</f>
        <v>19EE525</v>
      </c>
      <c r="F67" s="7" t="str">
        <f>IFERROR(__xludf.DUMMYFUNCTION("""COMPUTED_VALUE"""),"Renewable Energy Systems II")</f>
        <v>Renewable Energy Systems II</v>
      </c>
      <c r="G67" s="2" t="str">
        <f>IFERROR(__xludf.DUMMYFUNCTION("""COMPUTED_VALUE"""),"19EE416")</f>
        <v>19EE416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IFERROR(__xludf.DUMMYFUNCTION("""COMPUTED_VALUE"""),"NA")</f>
        <v>NA</v>
      </c>
      <c r="E68" s="2" t="str">
        <f>IFERROR(__xludf.DUMMYFUNCTION("""COMPUTED_VALUE"""),"19EC307")</f>
        <v>19EC307</v>
      </c>
      <c r="F68" s="7" t="str">
        <f>IFERROR(__xludf.DUMMYFUNCTION("""COMPUTED_VALUE"""),"Communication Engineering")</f>
        <v>Communication Engineering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IFERROR(__xludf.DUMMYFUNCTION("""COMPUTED_VALUE"""),"CS3304")</f>
        <v>CS3304</v>
      </c>
      <c r="E69" s="2" t="str">
        <f>IFERROR(__xludf.DUMMYFUNCTION("""COMPUTED_VALUE"""),"19AI304")</f>
        <v>19AI304</v>
      </c>
      <c r="F69" s="7" t="str">
        <f>IFERROR(__xludf.DUMMYFUNCTION("""COMPUTED_VALUE"""),"Fundamentals of C Programming")</f>
        <v>Fundamentals of C Programming</v>
      </c>
      <c r="G69" s="2" t="str">
        <f>IFERROR(__xludf.DUMMYFUNCTION("""COMPUTED_VALUE"""),"-")</f>
        <v>-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IFERROR(__xludf.DUMMYFUNCTION("""COMPUTED_VALUE"""),"CS3305")</f>
        <v>CS3305</v>
      </c>
      <c r="E70" s="2" t="str">
        <f>IFERROR(__xludf.DUMMYFUNCTION("""COMPUTED_VALUE"""),"19AI305")</f>
        <v>19AI305</v>
      </c>
      <c r="F70" s="7" t="str">
        <f>IFERROR(__xludf.DUMMYFUNCTION("""COMPUTED_VALUE"""),"Advanced C Programming")</f>
        <v>Advanced C Programming</v>
      </c>
      <c r="G70" s="2" t="str">
        <f>IFERROR(__xludf.DUMMYFUNCTION("""COMPUTED_VALUE"""),"19AI304 / CS3304")</f>
        <v>19AI304 / CS3304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IFERROR(__xludf.DUMMYFUNCTION("""COMPUTED_VALUE"""),"CS1509")</f>
        <v>CS1509</v>
      </c>
      <c r="E71" s="2" t="str">
        <f>IFERROR(__xludf.DUMMYFUNCTION("""COMPUTED_VALUE"""),"19CS509")</f>
        <v>19CS509</v>
      </c>
      <c r="F71" s="7" t="str">
        <f>IFERROR(__xludf.DUMMYFUNCTION("""COMPUTED_VALUE"""),"Graph Theory and Applications")</f>
        <v>Graph Theory and Applications</v>
      </c>
      <c r="G71" s="2" t="str">
        <f>IFERROR(__xludf.DUMMYFUNCTION("""COMPUTED_VALUE"""),"19MA206")</f>
        <v>19MA206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IFERROR(__xludf.DUMMYFUNCTION("""COMPUTED_VALUE"""),"EC2829")</f>
        <v>EC2829</v>
      </c>
      <c r="E72" s="2" t="str">
        <f>IFERROR(__xludf.DUMMYFUNCTION("""COMPUTED_VALUE"""),"19EE533")</f>
        <v>19EE533</v>
      </c>
      <c r="F72" s="7" t="str">
        <f>IFERROR(__xludf.DUMMYFUNCTION("""COMPUTED_VALUE"""),"Electrical Wiring Harness Design Engineering")</f>
        <v>Electrical Wiring Harness Design Engineering</v>
      </c>
      <c r="G72" s="2" t="str">
        <f>IFERROR(__xludf.DUMMYFUNCTION("""COMPUTED_VALUE"""),"-")</f>
        <v>-</v>
      </c>
      <c r="H72" s="2">
        <f>IFERROR(__xludf.DUMMYFUNCTION("""COMPUTED_VALUE"""),1)</f>
        <v>1</v>
      </c>
      <c r="I72" s="2">
        <f>IFERROR(__xludf.DUMMYFUNCTION("""COMPUTED_VALUE"""),2)</f>
        <v>2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 (Int Only) and Practical (10 Expts)")</f>
        <v>Theory (Int Only) and Practical (10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IFERROR(__xludf.DUMMYFUNCTION("""COMPUTED_VALUE"""),"CS1542")</f>
        <v>CS1542</v>
      </c>
      <c r="E73" s="2" t="str">
        <f>IFERROR(__xludf.DUMMYFUNCTION("""COMPUTED_VALUE"""),"19CS542")</f>
        <v>19CS542</v>
      </c>
      <c r="F73" s="7" t="str">
        <f>IFERROR(__xludf.DUMMYFUNCTION("""COMPUTED_VALUE"""),"Embedded Board Design")</f>
        <v>Embedded Board Design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IFERROR(__xludf.DUMMYFUNCTION("""COMPUTED_VALUE"""),"PE(Honours)")</f>
        <v>PE(Honours)</v>
      </c>
      <c r="D74" s="2" t="str">
        <f>IFERROR(__xludf.DUMMYFUNCTION("""COMPUTED_VALUE"""),"EC2526")</f>
        <v>EC2526</v>
      </c>
      <c r="E74" s="2" t="str">
        <f>IFERROR(__xludf.DUMMYFUNCTION("""COMPUTED_VALUE"""),"19EE526")</f>
        <v>19EE526</v>
      </c>
      <c r="F74" s="7" t="str">
        <f>IFERROR(__xludf.DUMMYFUNCTION("""COMPUTED_VALUE"""),"Introduction to Fundamentals of Electric Vehicles")</f>
        <v>Introduction to Fundamentals of Electric Vehicles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IFERROR(__xludf.DUMMYFUNCTION("""COMPUTED_VALUE"""),"PE(Honours)")</f>
        <v>PE(Honours)</v>
      </c>
      <c r="D75" s="2" t="str">
        <f>IFERROR(__xludf.DUMMYFUNCTION("""COMPUTED_VALUE"""),"EC2527")</f>
        <v>EC2527</v>
      </c>
      <c r="E75" s="2" t="str">
        <f>IFERROR(__xludf.DUMMYFUNCTION("""COMPUTED_VALUE"""),"19EE527")</f>
        <v>19EE527</v>
      </c>
      <c r="F75" s="7" t="str">
        <f>IFERROR(__xludf.DUMMYFUNCTION("""COMPUTED_VALUE"""),"Electric Vehicle Powertrain and Integration")</f>
        <v>Electric Vehicle Powertrain and Integration</v>
      </c>
      <c r="G75" s="2" t="str">
        <f>IFERROR(__xludf.DUMMYFUNCTION("""COMPUTED_VALUE"""),"19EE526/EC2526")</f>
        <v>19EE526/EC2526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IFERROR(__xludf.DUMMYFUNCTION("""COMPUTED_VALUE"""),"PE(Honours)")</f>
        <v>PE(Honours)</v>
      </c>
      <c r="D76" s="2" t="str">
        <f>IFERROR(__xludf.DUMMYFUNCTION("""COMPUTED_VALUE"""),"EC2528")</f>
        <v>EC2528</v>
      </c>
      <c r="E76" s="2" t="str">
        <f>IFERROR(__xludf.DUMMYFUNCTION("""COMPUTED_VALUE"""),"19EE528")</f>
        <v>19EE528</v>
      </c>
      <c r="F76" s="7" t="str">
        <f>IFERROR(__xludf.DUMMYFUNCTION("""COMPUTED_VALUE"""),"Electric Vehicle Charging Infrastructure")</f>
        <v>Electric Vehicle Charging Infrastructure</v>
      </c>
      <c r="G76" s="2" t="str">
        <f>IFERROR(__xludf.DUMMYFUNCTION("""COMPUTED_VALUE"""),"19EE526/EC2526")</f>
        <v>19EE526/EC2526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IFERROR(__xludf.DUMMYFUNCTION("""COMPUTED_VALUE"""),"PE(Honours)")</f>
        <v>PE(Honours)</v>
      </c>
      <c r="D77" s="2" t="str">
        <f>IFERROR(__xludf.DUMMYFUNCTION("""COMPUTED_VALUE"""),"EC2529")</f>
        <v>EC2529</v>
      </c>
      <c r="E77" s="2" t="str">
        <f>IFERROR(__xludf.DUMMYFUNCTION("""COMPUTED_VALUE"""),"19EE529")</f>
        <v>19EE529</v>
      </c>
      <c r="F77" s="7" t="str">
        <f>IFERROR(__xludf.DUMMYFUNCTION("""COMPUTED_VALUE"""),"Electric Vehicle Grid Integration")</f>
        <v>Electric Vehicle Grid Integration</v>
      </c>
      <c r="G77" s="2" t="str">
        <f>IFERROR(__xludf.DUMMYFUNCTION("""COMPUTED_VALUE"""),"19EE526/EC2526")</f>
        <v>19EE526/EC2526</v>
      </c>
      <c r="H77" s="2">
        <f>IFERROR(__xludf.DUMMYFUNCTION("""COMPUTED_VALUE"""),2)</f>
        <v>2</v>
      </c>
      <c r="I77" s="2">
        <f>IFERROR(__xludf.DUMMYFUNCTION("""COMPUTED_VALUE"""),1)</f>
        <v>1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IFERROR(__xludf.DUMMYFUNCTION("""COMPUTED_VALUE"""),"TIP (6 Expts)")</f>
        <v>TIP (6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IFERROR(__xludf.DUMMYFUNCTION("""COMPUTED_VALUE"""),"PE(Honours)")</f>
        <v>PE(Honours)</v>
      </c>
      <c r="D78" s="2" t="str">
        <f>IFERROR(__xludf.DUMMYFUNCTION("""COMPUTED_VALUE"""),"EC2530")</f>
        <v>EC2530</v>
      </c>
      <c r="E78" s="2" t="str">
        <f>IFERROR(__xludf.DUMMYFUNCTION("""COMPUTED_VALUE"""),"19EE530")</f>
        <v>19EE530</v>
      </c>
      <c r="F78" s="7" t="str">
        <f>IFERROR(__xludf.DUMMYFUNCTION("""COMPUTED_VALUE"""),"Embedded IoT for Electric Vehicles")</f>
        <v>Embedded IoT for Electric Vehicles</v>
      </c>
      <c r="G78" s="2" t="str">
        <f>IFERROR(__xludf.DUMMYFUNCTION("""COMPUTED_VALUE"""),"EC2526")</f>
        <v>EC2526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IFERROR(__xludf.DUMMYFUNCTION("""COMPUTED_VALUE"""),"PE(Honours)")</f>
        <v>PE(Honours)</v>
      </c>
      <c r="D79" s="2" t="str">
        <f>IFERROR(__xludf.DUMMYFUNCTION("""COMPUTED_VALUE"""),"EC2531")</f>
        <v>EC2531</v>
      </c>
      <c r="E79" s="2" t="str">
        <f>IFERROR(__xludf.DUMMYFUNCTION("""COMPUTED_VALUE"""),"19EE531")</f>
        <v>19EE531</v>
      </c>
      <c r="F79" s="7" t="str">
        <f>IFERROR(__xludf.DUMMYFUNCTION("""COMPUTED_VALUE"""),"Embedded AI for Electric Vehicles")</f>
        <v>Embedded AI for Electric Vehicles</v>
      </c>
      <c r="G79" s="2" t="str">
        <f>IFERROR(__xludf.DUMMYFUNCTION("""COMPUTED_VALUE"""),"19EE526/EC2526")</f>
        <v>19EE526/EC2526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IFERROR(__xludf.DUMMYFUNCTION("""COMPUTED_VALUE"""),"PE(Honours)")</f>
        <v>PE(Honours)</v>
      </c>
      <c r="D80" s="2" t="str">
        <f>IFERROR(__xludf.DUMMYFUNCTION("""COMPUTED_VALUE"""),"EC2532")</f>
        <v>EC2532</v>
      </c>
      <c r="E80" s="2" t="str">
        <f>IFERROR(__xludf.DUMMYFUNCTION("""COMPUTED_VALUE"""),"19EE532")</f>
        <v>19EE532</v>
      </c>
      <c r="F80" s="7" t="str">
        <f>IFERROR(__xludf.DUMMYFUNCTION("""COMPUTED_VALUE"""),"Battery Technologies and Management Systems for Electric Vehicles")</f>
        <v>Battery Technologies and Management Systems for Electric Vehicles</v>
      </c>
      <c r="G80" s="2" t="str">
        <f>IFERROR(__xludf.DUMMYFUNCTION("""COMPUTED_VALUE"""),"19EE526/EC2526")</f>
        <v>19EE526/EC2526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IFERROR(__xludf.DUMMYFUNCTION("""COMPUTED_VALUE"""),"OE")</f>
        <v>OE</v>
      </c>
      <c r="D81" s="2" t="str">
        <f>IFERROR(__xludf.DUMMYFUNCTION("""COMPUTED_VALUE"""),"XXXXXX")</f>
        <v>XXXXXX</v>
      </c>
      <c r="E81" s="2" t="str">
        <f>IFERROR(__xludf.DUMMYFUNCTION("""COMPUTED_VALUE"""),"19XXXXX")</f>
        <v>19XXXXX</v>
      </c>
      <c r="F81" s="3" t="str">
        <f>IFERROR(__xludf.DUMMYFUNCTION("""COMPUTED_VALUE"""),"Open Electives")</f>
        <v>Open Electives</v>
      </c>
      <c r="G81" s="2" t="str">
        <f>IFERROR(__xludf.DUMMYFUNCTION("""COMPUTED_VALUE"""),"-")</f>
        <v>-</v>
      </c>
      <c r="H81" s="2">
        <f>IFERROR(__xludf.DUMMYFUNCTION("""COMPUTED_VALUE"""),0)</f>
        <v>0</v>
      </c>
      <c r="I81" s="2">
        <f>IFERROR(__xludf.DUMMYFUNCTION("""COMPUTED_VALUE"""),0)</f>
        <v>0</v>
      </c>
      <c r="J81" s="2">
        <f>IFERROR(__xludf.DUMMYFUNCTION("""COMPUTED_VALUE"""),0)</f>
        <v>0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IFERROR(__xludf.DUMMYFUNCTION("""COMPUTED_VALUE"""),"OE")</f>
        <v>OE</v>
      </c>
      <c r="D82" s="2" t="str">
        <f>IFERROR(__xludf.DUMMYFUNCTION("""COMPUTED_VALUE"""),"XXXXXX")</f>
        <v>XXXXXX</v>
      </c>
      <c r="E82" s="2" t="str">
        <f>IFERROR(__xludf.DUMMYFUNCTION("""COMPUTED_VALUE"""),"19XXXXX")</f>
        <v>19XXXXX</v>
      </c>
      <c r="F82" s="3" t="str">
        <f>IFERROR(__xludf.DUMMYFUNCTION("""COMPUTED_VALUE"""),"Open Electives")</f>
        <v>Open Electives</v>
      </c>
      <c r="G82" s="2" t="str">
        <f>IFERROR(__xludf.DUMMYFUNCTION("""COMPUTED_VALUE"""),"-")</f>
        <v>-</v>
      </c>
      <c r="H82" s="2">
        <f>IFERROR(__xludf.DUMMYFUNCTION("""COMPUTED_VALUE"""),0)</f>
        <v>0</v>
      </c>
      <c r="I82" s="2">
        <f>IFERROR(__xludf.DUMMYFUNCTION("""COMPUTED_VALUE"""),0)</f>
        <v>0</v>
      </c>
      <c r="J82" s="2">
        <f>IFERROR(__xludf.DUMMYFUNCTION("""COMPUTED_VALUE"""),0)</f>
        <v>0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IFERROR(__xludf.DUMMYFUNCTION("""COMPUTED_VALUE"""),"OE")</f>
        <v>OE</v>
      </c>
      <c r="D83" s="2" t="str">
        <f>IFERROR(__xludf.DUMMYFUNCTION("""COMPUTED_VALUE"""),"XXXXXX")</f>
        <v>XXXXXX</v>
      </c>
      <c r="E83" s="2" t="str">
        <f>IFERROR(__xludf.DUMMYFUNCTION("""COMPUTED_VALUE"""),"19XXXXX")</f>
        <v>19XXXXX</v>
      </c>
      <c r="F83" s="3" t="str">
        <f>IFERROR(__xludf.DUMMYFUNCTION("""COMPUTED_VALUE"""),"Online Courses")</f>
        <v>Online Courses</v>
      </c>
      <c r="G83" s="2" t="str">
        <f>IFERROR(__xludf.DUMMYFUNCTION("""COMPUTED_VALUE"""),"-")</f>
        <v>-</v>
      </c>
      <c r="H83" s="2">
        <f>IFERROR(__xludf.DUMMYFUNCTION("""COMPUTED_VALUE"""),0)</f>
        <v>0</v>
      </c>
      <c r="I83" s="2">
        <f>IFERROR(__xludf.DUMMYFUNCTION("""COMPUTED_VALUE"""),0)</f>
        <v>0</v>
      </c>
      <c r="J83" s="2">
        <f>IFERROR(__xludf.DUMMYFUNCTION("""COMPUTED_VALUE"""),0)</f>
        <v>0</v>
      </c>
      <c r="K83" s="2" t="str">
        <f>IFERROR(__xludf.DUMMYFUNCTION("""COMPUTED_VALUE"""),"CGPA")</f>
        <v>CGPA</v>
      </c>
      <c r="L83" s="2" t="str">
        <f>IFERROR(__xludf.DUMMYFUNCTION("""COMPUTED_VALUE"""),"Experiential Learning")</f>
        <v>Experiential Learning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IFERROR(__xludf.DUMMYFUNCTION("""COMPUTED_VALUE"""),"EEC")</f>
        <v>EEC</v>
      </c>
      <c r="D84" s="2" t="str">
        <f>IFERROR(__xludf.DUMMYFUNCTION("""COMPUTED_VALUE"""),"EC2701")</f>
        <v>EC2701</v>
      </c>
      <c r="E84" s="2" t="str">
        <f>IFERROR(__xludf.DUMMYFUNCTION("""COMPUTED_VALUE"""),"19EE701")</f>
        <v>19EE701</v>
      </c>
      <c r="F84" s="7" t="str">
        <f>IFERROR(__xludf.DUMMYFUNCTION("""COMPUTED_VALUE"""),"Mini Project")</f>
        <v>Mini Project</v>
      </c>
      <c r="G84" s="2" t="str">
        <f>IFERROR(__xludf.DUMMYFUNCTION("""COMPUTED_VALUE"""),"-")</f>
        <v>-</v>
      </c>
      <c r="H84" s="2">
        <f>IFERROR(__xludf.DUMMYFUNCTION("""COMPUTED_VALUE"""),0)</f>
        <v>0</v>
      </c>
      <c r="I84" s="2">
        <f>IFERROR(__xludf.DUMMYFUNCTION("""COMPUTED_VALUE"""),2)</f>
        <v>2</v>
      </c>
      <c r="J84" s="2">
        <f>IFERROR(__xludf.DUMMYFUNCTION("""COMPUTED_VALUE"""),2)</f>
        <v>2</v>
      </c>
      <c r="K84" s="2" t="str">
        <f>IFERROR(__xludf.DUMMYFUNCTION("""COMPUTED_VALUE"""),"CGPA")</f>
        <v>CGPA</v>
      </c>
      <c r="L84" s="2" t="str">
        <f>IFERROR(__xludf.DUMMYFUNCTION("""COMPUTED_VALUE"""),"Project (Int Only)")</f>
        <v>Project (Int Only)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IFERROR(__xludf.DUMMYFUNCTION("""COMPUTED_VALUE"""),"EEC")</f>
        <v>EEC</v>
      </c>
      <c r="D85" s="2" t="str">
        <f>IFERROR(__xludf.DUMMYFUNCTION("""COMPUTED_VALUE"""),"EC2702")</f>
        <v>EC2702</v>
      </c>
      <c r="E85" s="2" t="str">
        <f>IFERROR(__xludf.DUMMYFUNCTION("""COMPUTED_VALUE"""),"19EE702")</f>
        <v>19EE702</v>
      </c>
      <c r="F85" s="7" t="str">
        <f>IFERROR(__xludf.DUMMYFUNCTION("""COMPUTED_VALUE"""),"Project Work Phase I")</f>
        <v>Project Work Phase I</v>
      </c>
      <c r="G85" s="2" t="str">
        <f>IFERROR(__xludf.DUMMYFUNCTION("""COMPUTED_VALUE"""),"-")</f>
        <v>-</v>
      </c>
      <c r="H85" s="2">
        <f>IFERROR(__xludf.DUMMYFUNCTION("""COMPUTED_VALUE"""),0)</f>
        <v>0</v>
      </c>
      <c r="I85" s="2">
        <f>IFERROR(__xludf.DUMMYFUNCTION("""COMPUTED_VALUE"""),2)</f>
        <v>2</v>
      </c>
      <c r="J85" s="2">
        <f>IFERROR(__xludf.DUMMYFUNCTION("""COMPUTED_VALUE"""),2)</f>
        <v>2</v>
      </c>
      <c r="K85" s="2" t="str">
        <f>IFERROR(__xludf.DUMMYFUNCTION("""COMPUTED_VALUE"""),"CGPA")</f>
        <v>CGPA</v>
      </c>
      <c r="L85" s="2" t="str">
        <f>IFERROR(__xludf.DUMMYFUNCTION("""COMPUTED_VALUE"""),"Project (Int Only)")</f>
        <v>Project (Int Only)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IFERROR(__xludf.DUMMYFUNCTION("""COMPUTED_VALUE"""),"EEC")</f>
        <v>EEC</v>
      </c>
      <c r="D86" s="2" t="str">
        <f>IFERROR(__xludf.DUMMYFUNCTION("""COMPUTED_VALUE"""),"EC2703")</f>
        <v>EC2703</v>
      </c>
      <c r="E86" s="2" t="str">
        <f>IFERROR(__xludf.DUMMYFUNCTION("""COMPUTED_VALUE"""),"19EE703")</f>
        <v>19EE703</v>
      </c>
      <c r="F86" s="7" t="str">
        <f>IFERROR(__xludf.DUMMYFUNCTION("""COMPUTED_VALUE"""),"Project Work Phase II")</f>
        <v>Project Work Phase II</v>
      </c>
      <c r="G86" s="2" t="str">
        <f>IFERROR(__xludf.DUMMYFUNCTION("""COMPUTED_VALUE"""),"19EE702 / EC2702")</f>
        <v>19EE702 / EC2702</v>
      </c>
      <c r="H86" s="2">
        <f>IFERROR(__xludf.DUMMYFUNCTION("""COMPUTED_VALUE"""),0)</f>
        <v>0</v>
      </c>
      <c r="I86" s="2">
        <f>IFERROR(__xludf.DUMMYFUNCTION("""COMPUTED_VALUE"""),6)</f>
        <v>6</v>
      </c>
      <c r="J86" s="2">
        <f>IFERROR(__xludf.DUMMYFUNCTION("""COMPUTED_VALUE"""),6)</f>
        <v>6</v>
      </c>
      <c r="K86" s="2" t="str">
        <f>IFERROR(__xludf.DUMMYFUNCTION("""COMPUTED_VALUE"""),"CGPA")</f>
        <v>CGPA</v>
      </c>
      <c r="L86" s="2" t="str">
        <f>IFERROR(__xludf.DUMMYFUNCTION("""COMPUTED_VALUE"""),"Project")</f>
        <v>Project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 t="str">
        <f>IFERROR(__xludf.DUMMYFUNCTION("""COMPUTED_VALUE"""),"Any 1")</f>
        <v>Any 1</v>
      </c>
      <c r="C87" s="2" t="str">
        <f>IFERROR(__xludf.DUMMYFUNCTION("""COMPUTED_VALUE"""),"EEC")</f>
        <v>EEC</v>
      </c>
      <c r="D87" s="2" t="str">
        <f>IFERROR(__xludf.DUMMYFUNCTION("""COMPUTED_VALUE"""),"NA")</f>
        <v>NA</v>
      </c>
      <c r="E87" s="2" t="str">
        <f>IFERROR(__xludf.DUMMYFUNCTION("""COMPUTED_VALUE"""),"19EY701")</f>
        <v>19EY701</v>
      </c>
      <c r="F87" s="7" t="str">
        <f>IFERROR(__xludf.DUMMYFUNCTION("""COMPUTED_VALUE"""),"Softskills")</f>
        <v>Softskills</v>
      </c>
      <c r="G87" s="2" t="str">
        <f>IFERROR(__xludf.DUMMYFUNCTION("""COMPUTED_VALUE"""),"-")</f>
        <v>-</v>
      </c>
      <c r="H87" s="2">
        <f>IFERROR(__xludf.DUMMYFUNCTION("""COMPUTED_VALUE"""),0)</f>
        <v>0</v>
      </c>
      <c r="I87" s="2">
        <f>IFERROR(__xludf.DUMMYFUNCTION("""COMPUTED_VALUE"""),1)</f>
        <v>1</v>
      </c>
      <c r="J87" s="2">
        <f>IFERROR(__xludf.DUMMYFUNCTION("""COMPUTED_VALUE"""),1)</f>
        <v>1</v>
      </c>
      <c r="K87" s="2" t="str">
        <f>IFERROR(__xludf.DUMMYFUNCTION("""COMPUTED_VALUE"""),"CGPA")</f>
        <v>CGPA</v>
      </c>
      <c r="L87" s="2" t="str">
        <f>IFERROR(__xludf.DUMMYFUNCTION("""COMPUTED_VALUE"""),"Practical (6 Expts)")</f>
        <v>Practical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 t="str">
        <f>IFERROR(__xludf.DUMMYFUNCTION("""COMPUTED_VALUE"""),"Any 1")</f>
        <v>Any 1</v>
      </c>
      <c r="C88" s="2" t="str">
        <f>IFERROR(__xludf.DUMMYFUNCTION("""COMPUTED_VALUE"""),"EEC")</f>
        <v>EEC</v>
      </c>
      <c r="D88" s="2" t="str">
        <f>IFERROR(__xludf.DUMMYFUNCTION("""COMPUTED_VALUE"""),"SH6708")</f>
        <v>SH6708</v>
      </c>
      <c r="E88" s="2" t="str">
        <f>IFERROR(__xludf.DUMMYFUNCTION("""COMPUTED_VALUE"""),"19EY708")</f>
        <v>19EY708</v>
      </c>
      <c r="F88" s="7" t="str">
        <f>IFERROR(__xludf.DUMMYFUNCTION("""COMPUTED_VALUE"""),"Career Development Skills")</f>
        <v>Career Development Skills</v>
      </c>
      <c r="G88" s="2" t="str">
        <f>IFERROR(__xludf.DUMMYFUNCTION("""COMPUTED_VALUE"""),"NIL")</f>
        <v>NIL</v>
      </c>
      <c r="H88" s="2">
        <f>IFERROR(__xludf.DUMMYFUNCTION("""COMPUTED_VALUE"""),1)</f>
        <v>1</v>
      </c>
      <c r="I88" s="2">
        <f>IFERROR(__xludf.DUMMYFUNCTION("""COMPUTED_VALUE"""),0)</f>
        <v>0</v>
      </c>
      <c r="J88" s="2">
        <f>IFERROR(__xludf.DUMMYFUNCTION("""COMPUTED_VALUE"""),1)</f>
        <v>1</v>
      </c>
      <c r="K88" s="2" t="str">
        <f>IFERROR(__xludf.DUMMYFUNCTION("""COMPUTED_VALUE"""),"CGPA")</f>
        <v>CGPA</v>
      </c>
      <c r="L88" s="2" t="str">
        <f>IFERROR(__xludf.DUMMYFUNCTION("""COMPUTED_VALUE"""),"Theory (Int Only)")</f>
        <v>Theory (Int Only)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 t="str">
        <f>IFERROR(__xludf.DUMMYFUNCTION("""COMPUTED_VALUE"""),"Any 1")</f>
        <v>Any 1</v>
      </c>
      <c r="C89" s="2" t="str">
        <f>IFERROR(__xludf.DUMMYFUNCTION("""COMPUTED_VALUE"""),"EEC")</f>
        <v>EEC</v>
      </c>
      <c r="D89" s="2" t="str">
        <f>IFERROR(__xludf.DUMMYFUNCTION("""COMPUTED_VALUE"""),"NA")</f>
        <v>NA</v>
      </c>
      <c r="E89" s="2" t="str">
        <f>IFERROR(__xludf.DUMMYFUNCTION("""COMPUTED_VALUE"""),"19EY702")</f>
        <v>19EY702</v>
      </c>
      <c r="F89" s="7" t="str">
        <f>IFERROR(__xludf.DUMMYFUNCTION("""COMPUTED_VALUE"""),"Creative Skills for Communication")</f>
        <v>Creative Skills for Communication</v>
      </c>
      <c r="G89" s="2" t="str">
        <f>IFERROR(__xludf.DUMMYFUNCTION("""COMPUTED_VALUE"""),"-")</f>
        <v>-</v>
      </c>
      <c r="H89" s="2">
        <f>IFERROR(__xludf.DUMMYFUNCTION("""COMPUTED_VALUE"""),0)</f>
        <v>0</v>
      </c>
      <c r="I89" s="2">
        <f>IFERROR(__xludf.DUMMYFUNCTION("""COMPUTED_VALUE"""),1)</f>
        <v>1</v>
      </c>
      <c r="J89" s="2">
        <f>IFERROR(__xludf.DUMMYFUNCTION("""COMPUTED_VALUE"""),1)</f>
        <v>1</v>
      </c>
      <c r="K89" s="2" t="str">
        <f>IFERROR(__xludf.DUMMYFUNCTION("""COMPUTED_VALUE"""),"CGPA")</f>
        <v>CGPA</v>
      </c>
      <c r="L89" s="2" t="str">
        <f>IFERROR(__xludf.DUMMYFUNCTION("""COMPUTED_VALUE"""),"Practical (6 Expts)")</f>
        <v>Practical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 t="str">
        <f>IFERROR(__xludf.DUMMYFUNCTION("""COMPUTED_VALUE"""),"Any 1")</f>
        <v>Any 1</v>
      </c>
      <c r="C90" s="2" t="str">
        <f>IFERROR(__xludf.DUMMYFUNCTION("""COMPUTED_VALUE"""),"EEC")</f>
        <v>EEC</v>
      </c>
      <c r="D90" s="2" t="str">
        <f>IFERROR(__xludf.DUMMYFUNCTION("""COMPUTED_VALUE"""),"SH6709")</f>
        <v>SH6709</v>
      </c>
      <c r="E90" s="2" t="str">
        <f>IFERROR(__xludf.DUMMYFUNCTION("""COMPUTED_VALUE"""),"19EY709")</f>
        <v>19EY709</v>
      </c>
      <c r="F90" s="7" t="str">
        <f>IFERROR(__xludf.DUMMYFUNCTION("""COMPUTED_VALUE"""),"Reasoning Ability")</f>
        <v>Reasoning Ability</v>
      </c>
      <c r="G90" s="2" t="str">
        <f>IFERROR(__xludf.DUMMYFUNCTION("""COMPUTED_VALUE"""),"NIL")</f>
        <v>NIL</v>
      </c>
      <c r="H90" s="2">
        <f>IFERROR(__xludf.DUMMYFUNCTION("""COMPUTED_VALUE"""),1)</f>
        <v>1</v>
      </c>
      <c r="I90" s="2">
        <f>IFERROR(__xludf.DUMMYFUNCTION("""COMPUTED_VALUE"""),0)</f>
        <v>0</v>
      </c>
      <c r="J90" s="2">
        <f>IFERROR(__xludf.DUMMYFUNCTION("""COMPUTED_VALUE"""),1)</f>
        <v>1</v>
      </c>
      <c r="K90" s="2" t="str">
        <f>IFERROR(__xludf.DUMMYFUNCTION("""COMPUTED_VALUE"""),"CGPA")</f>
        <v>CGPA</v>
      </c>
      <c r="L90" s="2" t="str">
        <f>IFERROR(__xludf.DUMMYFUNCTION("""COMPUTED_VALUE"""),"Theory (Int Only)")</f>
        <v>Theory (Int Only)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 t="str">
        <f>IFERROR(__xludf.DUMMYFUNCTION("""COMPUTED_VALUE"""),"Option 1")</f>
        <v>Option 1</v>
      </c>
      <c r="C91" s="2" t="str">
        <f>IFERROR(__xludf.DUMMYFUNCTION("""COMPUTED_VALUE"""),"EEC")</f>
        <v>EEC</v>
      </c>
      <c r="D91" s="2" t="str">
        <f>IFERROR(__xludf.DUMMYFUNCTION("""COMPUTED_VALUE"""),"NA")</f>
        <v>NA</v>
      </c>
      <c r="E91" s="2" t="str">
        <f>IFERROR(__xludf.DUMMYFUNCTION("""COMPUTED_VALUE"""),"19EY703")</f>
        <v>19EY703</v>
      </c>
      <c r="F91" s="7" t="str">
        <f>IFERROR(__xludf.DUMMYFUNCTION("""COMPUTED_VALUE"""),"System of Numerical and Logical Terminologies")</f>
        <v>System of Numerical and Logical Terminologies</v>
      </c>
      <c r="G91" s="2" t="str">
        <f>IFERROR(__xludf.DUMMYFUNCTION("""COMPUTED_VALUE"""),"-")</f>
        <v>-</v>
      </c>
      <c r="H91" s="2">
        <f>IFERROR(__xludf.DUMMYFUNCTION("""COMPUTED_VALUE"""),0)</f>
        <v>0</v>
      </c>
      <c r="I91" s="2">
        <f>IFERROR(__xludf.DUMMYFUNCTION("""COMPUTED_VALUE"""),1)</f>
        <v>1</v>
      </c>
      <c r="J91" s="2">
        <f>IFERROR(__xludf.DUMMYFUNCTION("""COMPUTED_VALUE"""),1)</f>
        <v>1</v>
      </c>
      <c r="K91" s="2" t="str">
        <f>IFERROR(__xludf.DUMMYFUNCTION("""COMPUTED_VALUE"""),"CGPA")</f>
        <v>CGPA</v>
      </c>
      <c r="L91" s="2" t="str">
        <f>IFERROR(__xludf.DUMMYFUNCTION("""COMPUTED_VALUE"""),"Practical (6 Expts)")</f>
        <v>Practical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 t="str">
        <f>IFERROR(__xludf.DUMMYFUNCTION("""COMPUTED_VALUE"""),"Option 1")</f>
        <v>Option 1</v>
      </c>
      <c r="C92" s="2" t="str">
        <f>IFERROR(__xludf.DUMMYFUNCTION("""COMPUTED_VALUE"""),"EEC")</f>
        <v>EEC</v>
      </c>
      <c r="D92" s="2" t="str">
        <f>IFERROR(__xludf.DUMMYFUNCTION("""COMPUTED_VALUE"""),"NA")</f>
        <v>NA</v>
      </c>
      <c r="E92" s="2" t="str">
        <f>IFERROR(__xludf.DUMMYFUNCTION("""COMPUTED_VALUE"""),"19EY704")</f>
        <v>19EY704</v>
      </c>
      <c r="F92" s="7" t="str">
        <f>IFERROR(__xludf.DUMMYFUNCTION("""COMPUTED_VALUE"""),"Advanced Quantitative and Logical Reasoning")</f>
        <v>Advanced Quantitative and Logical Reasoning</v>
      </c>
      <c r="G92" s="2" t="str">
        <f>IFERROR(__xludf.DUMMYFUNCTION("""COMPUTED_VALUE"""),"-")</f>
        <v>-</v>
      </c>
      <c r="H92" s="2">
        <f>IFERROR(__xludf.DUMMYFUNCTION("""COMPUTED_VALUE"""),0)</f>
        <v>0</v>
      </c>
      <c r="I92" s="2">
        <f>IFERROR(__xludf.DUMMYFUNCTION("""COMPUTED_VALUE"""),1)</f>
        <v>1</v>
      </c>
      <c r="J92" s="2">
        <f>IFERROR(__xludf.DUMMYFUNCTION("""COMPUTED_VALUE"""),1)</f>
        <v>1</v>
      </c>
      <c r="K92" s="2" t="str">
        <f>IFERROR(__xludf.DUMMYFUNCTION("""COMPUTED_VALUE"""),"CGPA")</f>
        <v>CGPA</v>
      </c>
      <c r="L92" s="2" t="str">
        <f>IFERROR(__xludf.DUMMYFUNCTION("""COMPUTED_VALUE"""),"Practical (6 Expts)")</f>
        <v>Practical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 t="str">
        <f>IFERROR(__xludf.DUMMYFUNCTION("""COMPUTED_VALUE"""),"Option 2")</f>
        <v>Option 2</v>
      </c>
      <c r="C93" s="2" t="str">
        <f>IFERROR(__xludf.DUMMYFUNCTION("""COMPUTED_VALUE"""),"EEC")</f>
        <v>EEC</v>
      </c>
      <c r="D93" s="2" t="str">
        <f>IFERROR(__xludf.DUMMYFUNCTION("""COMPUTED_VALUE"""),"SH6710")</f>
        <v>SH6710</v>
      </c>
      <c r="E93" s="2" t="str">
        <f>IFERROR(__xludf.DUMMYFUNCTION("""COMPUTED_VALUE"""),"19EY710")</f>
        <v>19EY710</v>
      </c>
      <c r="F93" s="7" t="str">
        <f>IFERROR(__xludf.DUMMYFUNCTION("""COMPUTED_VALUE"""),"Quantitative Ability I")</f>
        <v>Quantitative Ability I</v>
      </c>
      <c r="G93" s="2" t="str">
        <f>IFERROR(__xludf.DUMMYFUNCTION("""COMPUTED_VALUE"""),"NIL")</f>
        <v>NIL</v>
      </c>
      <c r="H93" s="2">
        <f>IFERROR(__xludf.DUMMYFUNCTION("""COMPUTED_VALUE"""),1)</f>
        <v>1</v>
      </c>
      <c r="I93" s="2">
        <f>IFERROR(__xludf.DUMMYFUNCTION("""COMPUTED_VALUE"""),0)</f>
        <v>0</v>
      </c>
      <c r="J93" s="2">
        <f>IFERROR(__xludf.DUMMYFUNCTION("""COMPUTED_VALUE"""),1)</f>
        <v>1</v>
      </c>
      <c r="K93" s="2" t="str">
        <f>IFERROR(__xludf.DUMMYFUNCTION("""COMPUTED_VALUE"""),"CGPA")</f>
        <v>CGPA</v>
      </c>
      <c r="L93" s="2" t="str">
        <f>IFERROR(__xludf.DUMMYFUNCTION("""COMPUTED_VALUE"""),"Theory (Int Only)")</f>
        <v>Theory (Int Only)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 t="str">
        <f>IFERROR(__xludf.DUMMYFUNCTION("""COMPUTED_VALUE"""),"Option 2")</f>
        <v>Option 2</v>
      </c>
      <c r="C94" s="2" t="str">
        <f>IFERROR(__xludf.DUMMYFUNCTION("""COMPUTED_VALUE"""),"EEC")</f>
        <v>EEC</v>
      </c>
      <c r="D94" s="2" t="str">
        <f>IFERROR(__xludf.DUMMYFUNCTION("""COMPUTED_VALUE"""),"SH6711")</f>
        <v>SH6711</v>
      </c>
      <c r="E94" s="2" t="str">
        <f>IFERROR(__xludf.DUMMYFUNCTION("""COMPUTED_VALUE"""),"19EY711")</f>
        <v>19EY711</v>
      </c>
      <c r="F94" s="7" t="str">
        <f>IFERROR(__xludf.DUMMYFUNCTION("""COMPUTED_VALUE"""),"Quantitative Ability II")</f>
        <v>Quantitative Ability II</v>
      </c>
      <c r="G94" s="2" t="str">
        <f>IFERROR(__xludf.DUMMYFUNCTION("""COMPUTED_VALUE"""),"SH6710 /19EY710")</f>
        <v>SH6710 /19EY710</v>
      </c>
      <c r="H94" s="2">
        <f>IFERROR(__xludf.DUMMYFUNCTION("""COMPUTED_VALUE"""),1)</f>
        <v>1</v>
      </c>
      <c r="I94" s="2">
        <f>IFERROR(__xludf.DUMMYFUNCTION("""COMPUTED_VALUE"""),0)</f>
        <v>0</v>
      </c>
      <c r="J94" s="2">
        <f>IFERROR(__xludf.DUMMYFUNCTION("""COMPUTED_VALUE"""),1)</f>
        <v>1</v>
      </c>
      <c r="K94" s="2" t="str">
        <f>IFERROR(__xludf.DUMMYFUNCTION("""COMPUTED_VALUE"""),"CGPA")</f>
        <v>CGPA</v>
      </c>
      <c r="L94" s="2" t="str">
        <f>IFERROR(__xludf.DUMMYFUNCTION("""COMPUTED_VALUE"""),"Theory (Int Only)")</f>
        <v>Theory (Int Only)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 t="str">
        <f>IFERROR(__xludf.DUMMYFUNCTION("""COMPUTED_VALUE"""),"Any 1")</f>
        <v>Any 1</v>
      </c>
      <c r="C95" s="2" t="str">
        <f>IFERROR(__xludf.DUMMYFUNCTION("""COMPUTED_VALUE"""),"EEC")</f>
        <v>EEC</v>
      </c>
      <c r="D95" s="2" t="str">
        <f>IFERROR(__xludf.DUMMYFUNCTION("""COMPUTED_VALUE"""),"NA")</f>
        <v>NA</v>
      </c>
      <c r="E95" s="2" t="str">
        <f>IFERROR(__xludf.DUMMYFUNCTION("""COMPUTED_VALUE"""),"19EY705")</f>
        <v>19EY705</v>
      </c>
      <c r="F95" s="7" t="str">
        <f>IFERROR(__xludf.DUMMYFUNCTION("""COMPUTED_VALUE"""),"Employment Enhancement Skills")</f>
        <v>Employment Enhancement Skills</v>
      </c>
      <c r="G95" s="2" t="str">
        <f>IFERROR(__xludf.DUMMYFUNCTION("""COMPUTED_VALUE"""),"-")</f>
        <v>-</v>
      </c>
      <c r="H95" s="2">
        <f>IFERROR(__xludf.DUMMYFUNCTION("""COMPUTED_VALUE"""),0)</f>
        <v>0</v>
      </c>
      <c r="I95" s="2">
        <f>IFERROR(__xludf.DUMMYFUNCTION("""COMPUTED_VALUE"""),1)</f>
        <v>1</v>
      </c>
      <c r="J95" s="2">
        <f>IFERROR(__xludf.DUMMYFUNCTION("""COMPUTED_VALUE"""),1)</f>
        <v>1</v>
      </c>
      <c r="K95" s="2" t="str">
        <f>IFERROR(__xludf.DUMMYFUNCTION("""COMPUTED_VALUE"""),"CGPA")</f>
        <v>CGPA</v>
      </c>
      <c r="L95" s="2" t="str">
        <f>IFERROR(__xludf.DUMMYFUNCTION("""COMPUTED_VALUE"""),"Practical (6 Expts)")</f>
        <v>Practical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 t="str">
        <f>IFERROR(__xludf.DUMMYFUNCTION("""COMPUTED_VALUE"""),"Any 1")</f>
        <v>Any 1</v>
      </c>
      <c r="C96" s="2" t="str">
        <f>IFERROR(__xludf.DUMMYFUNCTION("""COMPUTED_VALUE"""),"EEC")</f>
        <v>EEC</v>
      </c>
      <c r="D96" s="2" t="str">
        <f>IFERROR(__xludf.DUMMYFUNCTION("""COMPUTED_VALUE"""),"SH6712")</f>
        <v>SH6712</v>
      </c>
      <c r="E96" s="2" t="str">
        <f>IFERROR(__xludf.DUMMYFUNCTION("""COMPUTED_VALUE"""),"19EY712")</f>
        <v>19EY712</v>
      </c>
      <c r="F96" s="7" t="str">
        <f>IFERROR(__xludf.DUMMYFUNCTION("""COMPUTED_VALUE"""),"Employment Enrichment Skills")</f>
        <v>Employment Enrichment Skills</v>
      </c>
      <c r="G96" s="2" t="str">
        <f>IFERROR(__xludf.DUMMYFUNCTION("""COMPUTED_VALUE"""),"19EY702 / 19EY709 / SH6709")</f>
        <v>19EY702 / 19EY709 / SH6709</v>
      </c>
      <c r="H96" s="2">
        <f>IFERROR(__xludf.DUMMYFUNCTION("""COMPUTED_VALUE"""),1)</f>
        <v>1</v>
      </c>
      <c r="I96" s="2">
        <f>IFERROR(__xludf.DUMMYFUNCTION("""COMPUTED_VALUE"""),0)</f>
        <v>0</v>
      </c>
      <c r="J96" s="2">
        <f>IFERROR(__xludf.DUMMYFUNCTION("""COMPUTED_VALUE"""),1)</f>
        <v>1</v>
      </c>
      <c r="K96" s="2" t="str">
        <f>IFERROR(__xludf.DUMMYFUNCTION("""COMPUTED_VALUE"""),"CGPA")</f>
        <v>CGPA</v>
      </c>
      <c r="L96" s="2" t="str">
        <f>IFERROR(__xludf.DUMMYFUNCTION("""COMPUTED_VALUE"""),"Theory (Int Only)")</f>
        <v>Theory (Int Only)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 t="str">
        <f>IFERROR(__xludf.DUMMYFUNCTION("""COMPUTED_VALUE"""),"Any 1")</f>
        <v>Any 1</v>
      </c>
      <c r="C97" s="2" t="str">
        <f>IFERROR(__xludf.DUMMYFUNCTION("""COMPUTED_VALUE"""),"EEC")</f>
        <v>EEC</v>
      </c>
      <c r="D97" s="2" t="str">
        <f>IFERROR(__xludf.DUMMYFUNCTION("""COMPUTED_VALUE"""),"NA")</f>
        <v>NA</v>
      </c>
      <c r="E97" s="2" t="str">
        <f>IFERROR(__xludf.DUMMYFUNCTION("""COMPUTED_VALUE"""),"19EY706")</f>
        <v>19EY706</v>
      </c>
      <c r="F97" s="7" t="str">
        <f>IFERROR(__xludf.DUMMYFUNCTION("""COMPUTED_VALUE"""),"Company Specific Assessments For Employability")</f>
        <v>Company Specific Assessments For Employability</v>
      </c>
      <c r="G97" s="2" t="str">
        <f>IFERROR(__xludf.DUMMYFUNCTION("""COMPUTED_VALUE"""),"-")</f>
        <v>-</v>
      </c>
      <c r="H97" s="2">
        <f>IFERROR(__xludf.DUMMYFUNCTION("""COMPUTED_VALUE"""),0)</f>
        <v>0</v>
      </c>
      <c r="I97" s="2">
        <f>IFERROR(__xludf.DUMMYFUNCTION("""COMPUTED_VALUE"""),1)</f>
        <v>1</v>
      </c>
      <c r="J97" s="2">
        <f>IFERROR(__xludf.DUMMYFUNCTION("""COMPUTED_VALUE"""),1)</f>
        <v>1</v>
      </c>
      <c r="K97" s="2" t="str">
        <f>IFERROR(__xludf.DUMMYFUNCTION("""COMPUTED_VALUE"""),"CGPA")</f>
        <v>CGPA</v>
      </c>
      <c r="L97" s="2" t="str">
        <f>IFERROR(__xludf.DUMMYFUNCTION("""COMPUTED_VALUE"""),"Practical (6 Expts)")</f>
        <v>Practical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 t="str">
        <f>IFERROR(__xludf.DUMMYFUNCTION("""COMPUTED_VALUE"""),"Any 1")</f>
        <v>Any 1</v>
      </c>
      <c r="C98" s="2" t="str">
        <f>IFERROR(__xludf.DUMMYFUNCTION("""COMPUTED_VALUE"""),"EEC")</f>
        <v>EEC</v>
      </c>
      <c r="D98" s="2" t="str">
        <f>IFERROR(__xludf.DUMMYFUNCTION("""COMPUTED_VALUE"""),"SH6713")</f>
        <v>SH6713</v>
      </c>
      <c r="E98" s="2" t="str">
        <f>IFERROR(__xludf.DUMMYFUNCTION("""COMPUTED_VALUE"""),"19EY713")</f>
        <v>19EY713</v>
      </c>
      <c r="F98" s="7" t="str">
        <f>IFERROR(__xludf.DUMMYFUNCTION("""COMPUTED_VALUE"""),"Placement Readiness Assessment")</f>
        <v>Placement Readiness Assessment</v>
      </c>
      <c r="G98" s="2" t="str">
        <f>IFERROR(__xludf.DUMMYFUNCTION("""COMPUTED_VALUE"""),"19EY704 / 19EY711/SH6711")</f>
        <v>19EY704 / 19EY711/SH6711</v>
      </c>
      <c r="H98" s="2">
        <f>IFERROR(__xludf.DUMMYFUNCTION("""COMPUTED_VALUE"""),1)</f>
        <v>1</v>
      </c>
      <c r="I98" s="2">
        <f>IFERROR(__xludf.DUMMYFUNCTION("""COMPUTED_VALUE"""),0)</f>
        <v>0</v>
      </c>
      <c r="J98" s="2">
        <f>IFERROR(__xludf.DUMMYFUNCTION("""COMPUTED_VALUE"""),1)</f>
        <v>1</v>
      </c>
      <c r="K98" s="2" t="str">
        <f>IFERROR(__xludf.DUMMYFUNCTION("""COMPUTED_VALUE"""),"CGPA")</f>
        <v>CGPA</v>
      </c>
      <c r="L98" s="2" t="str">
        <f>IFERROR(__xludf.DUMMYFUNCTION("""COMPUTED_VALUE"""),"Theory (Int Only)")</f>
        <v>Theory (Int Only)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IFERROR(__xludf.DUMMYFUNCTION("""COMPUTED_VALUE"""),"EEC")</f>
        <v>EEC</v>
      </c>
      <c r="D99" s="2" t="str">
        <f>IFERROR(__xludf.DUMMYFUNCTION("""COMPUTED_VALUE"""),"SH6707")</f>
        <v>SH6707</v>
      </c>
      <c r="E99" s="2" t="str">
        <f>IFERROR(__xludf.DUMMYFUNCTION("""COMPUTED_VALUE"""),"19EY707")</f>
        <v>19EY707</v>
      </c>
      <c r="F99" s="7" t="str">
        <f>IFERROR(__xludf.DUMMYFUNCTION("""COMPUTED_VALUE"""),"Paper Publication")</f>
        <v>Paper Publication</v>
      </c>
      <c r="G99" s="2" t="str">
        <f>IFERROR(__xludf.DUMMYFUNCTION("""COMPUTED_VALUE"""),"-")</f>
        <v>-</v>
      </c>
      <c r="H99" s="2">
        <f>IFERROR(__xludf.DUMMYFUNCTION("""COMPUTED_VALUE"""),0)</f>
        <v>0</v>
      </c>
      <c r="I99" s="2">
        <f>IFERROR(__xludf.DUMMYFUNCTION("""COMPUTED_VALUE"""),0)</f>
        <v>0</v>
      </c>
      <c r="J99" s="2">
        <f>IFERROR(__xludf.DUMMYFUNCTION("""COMPUTED_VALUE"""),1)</f>
        <v>1</v>
      </c>
      <c r="K99" s="2" t="str">
        <f>IFERROR(__xludf.DUMMYFUNCTION("""COMPUTED_VALUE"""),"NON-CGPA")</f>
        <v>NON-CGPA</v>
      </c>
      <c r="L99" s="2" t="str">
        <f>IFERROR(__xludf.DUMMYFUNCTION("""COMPUTED_VALUE"""),"Experiential Learning (Int Only)")</f>
        <v>Experiential Learning (Int Only)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IFERROR(__xludf.DUMMYFUNCTION("""COMPUTED_VALUE"""),"MC")</f>
        <v>MC</v>
      </c>
      <c r="D100" s="2" t="str">
        <f>IFERROR(__xludf.DUMMYFUNCTION("""COMPUTED_VALUE"""),"NA")</f>
        <v>NA</v>
      </c>
      <c r="E100" s="2" t="str">
        <f>IFERROR(__xludf.DUMMYFUNCTION("""COMPUTED_VALUE"""),"19MC801")</f>
        <v>19MC801</v>
      </c>
      <c r="F100" s="7" t="str">
        <f>IFERROR(__xludf.DUMMYFUNCTION("""COMPUTED_VALUE"""),"Professional Ethics")</f>
        <v>Professional Ethics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IFERROR(__xludf.DUMMYFUNCTION("""COMPUTED_VALUE"""),0)</f>
        <v>0</v>
      </c>
      <c r="J100" s="2">
        <f>IFERROR(__xludf.DUMMYFUNCTION("""COMPUTED_VALUE"""),0)</f>
        <v>0</v>
      </c>
      <c r="K100" s="2" t="str">
        <f>IFERROR(__xludf.DUMMYFUNCTION("""COMPUTED_VALUE"""),"NON - CGPA")</f>
        <v>NON - CGPA</v>
      </c>
      <c r="L100" s="2" t="str">
        <f>IFERROR(__xludf.DUMMYFUNCTION("""COMPUTED_VALUE"""),"Theory (Int Only)")</f>
        <v>Theory (Int Only)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IFERROR(__xludf.DUMMYFUNCTION("""COMPUTED_VALUE"""),"MC")</f>
        <v>MC</v>
      </c>
      <c r="D101" s="2" t="str">
        <f>IFERROR(__xludf.DUMMYFUNCTION("""COMPUTED_VALUE"""),"NA")</f>
        <v>NA</v>
      </c>
      <c r="E101" s="2" t="str">
        <f>IFERROR(__xludf.DUMMYFUNCTION("""COMPUTED_VALUE"""),"19MC802")</f>
        <v>19MC802</v>
      </c>
      <c r="F101" s="7" t="str">
        <f>IFERROR(__xludf.DUMMYFUNCTION("""COMPUTED_VALUE"""),"Environmental Science")</f>
        <v>Environmental Science</v>
      </c>
      <c r="G101" s="2" t="str">
        <f>IFERROR(__xludf.DUMMYFUNCTION("""COMPUTED_VALUE"""),"-")</f>
        <v>-</v>
      </c>
      <c r="H101" s="2">
        <f>IFERROR(__xludf.DUMMYFUNCTION("""COMPUTED_VALUE"""),0)</f>
        <v>0</v>
      </c>
      <c r="I101" s="2">
        <f>IFERROR(__xludf.DUMMYFUNCTION("""COMPUTED_VALUE"""),0)</f>
        <v>0</v>
      </c>
      <c r="J101" s="2">
        <f>IFERROR(__xludf.DUMMYFUNCTION("""COMPUTED_VALUE"""),0)</f>
        <v>0</v>
      </c>
      <c r="K101" s="2" t="str">
        <f>IFERROR(__xludf.DUMMYFUNCTION("""COMPUTED_VALUE"""),"CGPA")</f>
        <v>CGPA</v>
      </c>
      <c r="L101" s="2" t="str">
        <f>IFERROR(__xludf.DUMMYFUNCTION("""COMPUTED_VALUE"""),"Theory (Int Only)")</f>
        <v>Theory (Int Only)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IFERROR(__xludf.DUMMYFUNCTION("""COMPUTED_VALUE"""),"MC")</f>
        <v>MC</v>
      </c>
      <c r="D102" s="2" t="str">
        <f>IFERROR(__xludf.DUMMYFUNCTION("""COMPUTED_VALUE"""),"NA")</f>
        <v>NA</v>
      </c>
      <c r="E102" s="2" t="str">
        <f>IFERROR(__xludf.DUMMYFUNCTION("""COMPUTED_VALUE"""),"19MC803")</f>
        <v>19MC803</v>
      </c>
      <c r="F102" s="7" t="str">
        <f>IFERROR(__xludf.DUMMYFUNCTION("""COMPUTED_VALUE"""),"Constitution of India")</f>
        <v>Constitution of India</v>
      </c>
      <c r="G102" s="2" t="str">
        <f>IFERROR(__xludf.DUMMYFUNCTION("""COMPUTED_VALUE"""),"-")</f>
        <v>-</v>
      </c>
      <c r="H102" s="2">
        <f>IFERROR(__xludf.DUMMYFUNCTION("""COMPUTED_VALUE"""),0)</f>
        <v>0</v>
      </c>
      <c r="I102" s="2">
        <f>IFERROR(__xludf.DUMMYFUNCTION("""COMPUTED_VALUE"""),0)</f>
        <v>0</v>
      </c>
      <c r="J102" s="2">
        <f>IFERROR(__xludf.DUMMYFUNCTION("""COMPUTED_VALUE"""),0)</f>
        <v>0</v>
      </c>
      <c r="K102" s="2" t="str">
        <f>IFERROR(__xludf.DUMMYFUNCTION("""COMPUTED_VALUE"""),"CGPA")</f>
        <v>CGPA</v>
      </c>
      <c r="L102" s="2" t="str">
        <f>IFERROR(__xludf.DUMMYFUNCTION("""COMPUTED_VALUE"""),"Theory (Int Only)")</f>
        <v>Theory (Int Only)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IFERROR(__xludf.DUMMYFUNCTION("""COMPUTED_VALUE"""),"MC")</f>
        <v>MC</v>
      </c>
      <c r="D103" s="2" t="str">
        <f>IFERROR(__xludf.DUMMYFUNCTION("""COMPUTED_VALUE"""),"NA")</f>
        <v>NA</v>
      </c>
      <c r="E103" s="2" t="str">
        <f>IFERROR(__xludf.DUMMYFUNCTION("""COMPUTED_VALUE"""),"19MC804")</f>
        <v>19MC804</v>
      </c>
      <c r="F103" s="3" t="str">
        <f>IFERROR(__xludf.DUMMYFUNCTION("""COMPUTED_VALUE"""),"Internship/Entrepreneurship/Consultancy")</f>
        <v>Internship/Entrepreneurship/Consultancy</v>
      </c>
      <c r="G103" s="2" t="str">
        <f>IFERROR(__xludf.DUMMYFUNCTION("""COMPUTED_VALUE"""),"-")</f>
        <v>-</v>
      </c>
      <c r="H103" s="2">
        <f>IFERROR(__xludf.DUMMYFUNCTION("""COMPUTED_VALUE"""),0)</f>
        <v>0</v>
      </c>
      <c r="I103" s="2">
        <f>IFERROR(__xludf.DUMMYFUNCTION("""COMPUTED_VALUE"""),0)</f>
        <v>0</v>
      </c>
      <c r="J103" s="2">
        <f>IFERROR(__xludf.DUMMYFUNCTION("""COMPUTED_VALUE"""),2)</f>
        <v>2</v>
      </c>
      <c r="K103" s="2" t="str">
        <f>IFERROR(__xludf.DUMMYFUNCTION("""COMPUTED_VALUE"""),"NON-CGPA")</f>
        <v>NON-CGPA</v>
      </c>
      <c r="L103" s="2" t="str">
        <f>IFERROR(__xludf.DUMMYFUNCTION("""COMPUTED_VALUE"""),"Experiential Learning (Int Only)")</f>
        <v>Experiential Learning (Int Only)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IFERROR(__xludf.DUMMYFUNCTION("""COMPUTED_VALUE"""),"MC")</f>
        <v>MC</v>
      </c>
      <c r="D104" s="2" t="str">
        <f>IFERROR(__xludf.DUMMYFUNCTION("""COMPUTED_VALUE"""),"NA")</f>
        <v>NA</v>
      </c>
      <c r="E104" s="2" t="str">
        <f>IFERROR(__xludf.DUMMYFUNCTION("""COMPUTED_VALUE"""),"19MC805")</f>
        <v>19MC805</v>
      </c>
      <c r="F104" s="7" t="str">
        <f>IFERROR(__xludf.DUMMYFUNCTION("""COMPUTED_VALUE"""),"Inplant Training")</f>
        <v>Inplant Training</v>
      </c>
      <c r="G104" s="2" t="str">
        <f>IFERROR(__xludf.DUMMYFUNCTION("""COMPUTED_VALUE"""),"-")</f>
        <v>-</v>
      </c>
      <c r="H104" s="2">
        <f>IFERROR(__xludf.DUMMYFUNCTION("""COMPUTED_VALUE"""),0)</f>
        <v>0</v>
      </c>
      <c r="I104" s="2">
        <f>IFERROR(__xludf.DUMMYFUNCTION("""COMPUTED_VALUE"""),0)</f>
        <v>0</v>
      </c>
      <c r="J104" s="2">
        <f>IFERROR(__xludf.DUMMYFUNCTION("""COMPUTED_VALUE"""),1)</f>
        <v>1</v>
      </c>
      <c r="K104" s="2" t="str">
        <f>IFERROR(__xludf.DUMMYFUNCTION("""COMPUTED_VALUE"""),"Non - CGPA")</f>
        <v>Non - CGPA</v>
      </c>
      <c r="L104" s="2" t="str">
        <f>IFERROR(__xludf.DUMMYFUNCTION("""COMPUTED_VALUE"""),"Experiential Learning (Int Only)")</f>
        <v>Experiential Learning (Int Only)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IFERROR(__xludf.DUMMYFUNCTION("""COMPUTED_VALUE"""),"MC")</f>
        <v>MC</v>
      </c>
      <c r="D105" s="2" t="str">
        <f>IFERROR(__xludf.DUMMYFUNCTION("""COMPUTED_VALUE"""),"SH6803")</f>
        <v>SH6803</v>
      </c>
      <c r="E105" s="2" t="str">
        <f>IFERROR(__xludf.DUMMYFUNCTION("""COMPUTED_VALUE"""),"19MC807")</f>
        <v>19MC807</v>
      </c>
      <c r="F105" s="3" t="str">
        <f>IFERROR(__xludf.DUMMYFUNCTION("""COMPUTED_VALUE"""),"National Service Scheme")</f>
        <v>National Service Scheme</v>
      </c>
      <c r="G105" s="2" t="str">
        <f>IFERROR(__xludf.DUMMYFUNCTION("""COMPUTED_VALUE"""),"-")</f>
        <v>-</v>
      </c>
      <c r="H105" s="2">
        <f>IFERROR(__xludf.DUMMYFUNCTION("""COMPUTED_VALUE"""),0)</f>
        <v>0</v>
      </c>
      <c r="I105" s="2">
        <f>IFERROR(__xludf.DUMMYFUNCTION("""COMPUTED_VALUE"""),0)</f>
        <v>0</v>
      </c>
      <c r="J105" s="2">
        <f>IFERROR(__xludf.DUMMYFUNCTION("""COMPUTED_VALUE"""),0)</f>
        <v>0</v>
      </c>
      <c r="K105" s="2" t="str">
        <f>IFERROR(__xludf.DUMMYFUNCTION("""COMPUTED_VALUE"""),"NON-CGPA")</f>
        <v>NON-CGPA</v>
      </c>
      <c r="L105" s="2" t="str">
        <f>IFERROR(__xludf.DUMMYFUNCTION("""COMPUTED_VALUE"""),"Experiential Learning (Int Only)")</f>
        <v>Experiential Learning (Int Only)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IFERROR(__xludf.DUMMYFUNCTION("""COMPUTED_VALUE"""),"MC")</f>
        <v>MC</v>
      </c>
      <c r="D106" s="2" t="str">
        <f>IFERROR(__xludf.DUMMYFUNCTION("""COMPUTED_VALUE"""),"SH8807")</f>
        <v>SH8807</v>
      </c>
      <c r="E106" s="2" t="str">
        <f>IFERROR(__xludf.DUMMYFUNCTION("""COMPUTED_VALUE"""),"19MC808")</f>
        <v>19MC808</v>
      </c>
      <c r="F106" s="3" t="str">
        <f>IFERROR(__xludf.DUMMYFUNCTION("""COMPUTED_VALUE"""),"National Sports Organization ")</f>
        <v>National Sports Organization </v>
      </c>
      <c r="G106" s="2" t="str">
        <f>IFERROR(__xludf.DUMMYFUNCTION("""COMPUTED_VALUE"""),"-")</f>
        <v>-</v>
      </c>
      <c r="H106" s="2">
        <f>IFERROR(__xludf.DUMMYFUNCTION("""COMPUTED_VALUE"""),0)</f>
        <v>0</v>
      </c>
      <c r="I106" s="2">
        <f>IFERROR(__xludf.DUMMYFUNCTION("""COMPUTED_VALUE"""),0)</f>
        <v>0</v>
      </c>
      <c r="J106" s="2">
        <f>IFERROR(__xludf.DUMMYFUNCTION("""COMPUTED_VALUE"""),0)</f>
        <v>0</v>
      </c>
      <c r="K106" s="2" t="str">
        <f>IFERROR(__xludf.DUMMYFUNCTION("""COMPUTED_VALUE"""),"NON-CGPA")</f>
        <v>NON-CGPA</v>
      </c>
      <c r="L106" s="2" t="str">
        <f>IFERROR(__xludf.DUMMYFUNCTION("""COMPUTED_VALUE"""),"Experiential Learning (Int Only)")</f>
        <v>Experiential Learning (Int Only)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IFERROR(__xludf.DUMMYFUNCTION("""COMPUTED_VALUE"""),"MC")</f>
        <v>MC</v>
      </c>
      <c r="D107" s="2" t="str">
        <f>IFERROR(__xludf.DUMMYFUNCTION("""COMPUTED_VALUE"""),"SH8808")</f>
        <v>SH8808</v>
      </c>
      <c r="E107" s="2" t="str">
        <f>IFERROR(__xludf.DUMMYFUNCTION("""COMPUTED_VALUE"""),"19MC809")</f>
        <v>19MC809</v>
      </c>
      <c r="F107" s="3" t="str">
        <f>IFERROR(__xludf.DUMMYFUNCTION("""COMPUTED_VALUE"""),"Youth Red Cross")</f>
        <v>Youth Red Cross</v>
      </c>
      <c r="G107" s="2" t="str">
        <f>IFERROR(__xludf.DUMMYFUNCTION("""COMPUTED_VALUE"""),"-")</f>
        <v>-</v>
      </c>
      <c r="H107" s="2">
        <f>IFERROR(__xludf.DUMMYFUNCTION("""COMPUTED_VALUE"""),0)</f>
        <v>0</v>
      </c>
      <c r="I107" s="2">
        <f>IFERROR(__xludf.DUMMYFUNCTION("""COMPUTED_VALUE"""),0)</f>
        <v>0</v>
      </c>
      <c r="J107" s="2">
        <f>IFERROR(__xludf.DUMMYFUNCTION("""COMPUTED_VALUE"""),0)</f>
        <v>0</v>
      </c>
      <c r="K107" s="2" t="str">
        <f>IFERROR(__xludf.DUMMYFUNCTION("""COMPUTED_VALUE"""),"NON-CGPA")</f>
        <v>NON-CGPA</v>
      </c>
      <c r="L107" s="2" t="str">
        <f>IFERROR(__xludf.DUMMYFUNCTION("""COMPUTED_VALUE"""),"Experiential Learning (Int Only)")</f>
        <v>Experiential Learning (Int Only)</v>
      </c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ht="13.2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ht="13.2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ht="13.2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ht="13.2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ht="13.2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ht="13.2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ht="13.2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ht="13.2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ht="13.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ht="13.2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ht="13.2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ht="13.2" spans="1:1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</row>
    <row r="136" ht="13.2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ht="13.2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ht="13.2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ht="13.2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ht="13.2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ht="13.2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English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Public Speaking&quot;)"/>
    <hyperlink ref="F6" r:id="rId5" display="=IFERROR(@__xludf.DUMMYFUNCTION(&quot;&quot;&quot;COMPUTED_VALUE&quot;&quot;&quot;),&quot;Principles of Management&quot;)"/>
    <hyperlink ref="F7" r:id="rId6" display="=IFERROR(@__xludf.DUMMYFUNCTION(&quot;&quot;&quot;COMPUTED_VALUE&quot;&quot;&quot;),&quot;Total Quality Management&quot;)"/>
    <hyperlink ref="F8" r:id="rId7" display="=IFERROR(@__xludf.DUMMYFUNCTION(&quot;&quot;&quot;COMPUTED_VALUE&quot;&quot;&quot;),&quot;Calculus and Laplace Transforms&quot;)"/>
    <hyperlink ref="F9" r:id="rId8" display="=IFERROR(@__xludf.DUMMYFUNCTION(&quot;&quot;&quot;COMPUTED_VALUE&quot;&quot;&quot;),&quot;Numerical Methods and Partial Differential Equations&quot;)"/>
    <hyperlink ref="F10" r:id="rId9" display="=IFERROR(@__xludf.DUMMYFUNCTION(&quot;&quot;&quot;COMPUTED_VALUE&quot;&quot;&quot;),&quot;Series and Transforms&quot;)"/>
    <hyperlink ref="F11" r:id="rId10" display="=IFERROR(@__xludf.DUMMYFUNCTION(&quot;&quot;&quot;COMPUTED_VALUE&quot;&quot;&quot;),&quot;Materials for Electronics&quot;)"/>
    <hyperlink ref="F12" r:id="rId11" display="=IFERROR(@__xludf.DUMMYFUNCTION(&quot;&quot;&quot;COMPUTED_VALUE&quot;&quot;&quot;),&quot;Basics of Solid State Devices&quot;)"/>
    <hyperlink ref="F13" r:id="rId12" display="=IFERROR(@__xludf.DUMMYFUNCTION(&quot;&quot;&quot;COMPUTED_VALUE&quot;&quot;&quot;),&quot;Nano Science for Electrical Engineers&quot;)"/>
    <hyperlink ref="F14" r:id="rId13" display="=IFERROR(@__xludf.DUMMYFUNCTION(&quot;&quot;&quot;COMPUTED_VALUE&quot;&quot;&quot;),&quot;Principles of Electrochemistry&quot;)"/>
    <hyperlink ref="F15" r:id="rId14" display="=IFERROR(@__xludf.DUMMYFUNCTION(&quot;&quot;&quot;COMPUTED_VALUE&quot;&quot;&quot;),&quot;Problem Solving and Python Programming&quot;)"/>
    <hyperlink ref="F16" r:id="rId15" display="=IFERROR(@__xludf.DUMMYFUNCTION(&quot;&quot;&quot;COMPUTED_VALUE&quot;&quot;&quot;),&quot;Object Oriented Programming for Embedded Applications&quot;)"/>
    <hyperlink ref="F17" r:id="rId16" display="=IFERROR(@__xludf.DUMMYFUNCTION(&quot;&quot;&quot;COMPUTED_VALUE&quot;&quot;&quot;),&quot;Engineering Drawing&quot;)"/>
    <hyperlink ref="F18" r:id="rId17" display="=IFERROR(@__xludf.DUMMYFUNCTION(&quot;&quot;&quot;COMPUTED_VALUE&quot;&quot;&quot;),&quot;Basic Civil and Mechanical Engineering&quot;)"/>
    <hyperlink ref="F19" r:id="rId18" display="=IFERROR(@__xludf.DUMMYFUNCTION(&quot;&quot;&quot;COMPUTED_VALUE&quot;&quot;&quot;),&quot;Power Plant Engineering&quot;)"/>
    <hyperlink ref="F20" r:id="rId19" display="=IFERROR(@__xludf.DUMMYFUNCTION(&quot;&quot;&quot;COMPUTED_VALUE&quot;&quot;&quot;),&quot;Power Generation Engineering&quot;)"/>
    <hyperlink ref="F21" r:id="rId20" display="=IFERROR(@__xludf.DUMMYFUNCTION(&quot;&quot;&quot;COMPUTED_VALUE&quot;&quot;&quot;),&quot;Electric Circuits and Networks&quot;)"/>
    <hyperlink ref="F22" r:id="rId21" display="=IFERROR(@__xludf.DUMMYFUNCTION(&quot;&quot;&quot;COMPUTED_VALUE&quot;&quot;&quot;),&quot;Embedded Programming for Electrical Engineers&quot;)"/>
    <hyperlink ref="F23" r:id="rId22" display="=IFERROR(@__xludf.DUMMYFUNCTION(&quot;&quot;&quot;COMPUTED_VALUE&quot;&quot;&quot;),&quot;Electromagnetic Theory&quot;)"/>
    <hyperlink ref="F24" r:id="rId23" display="=IFERROR(@__xludf.DUMMYFUNCTION(&quot;&quot;&quot;COMPUTED_VALUE&quot;&quot;&quot;),&quot;Transformers and DC Machines&quot;)"/>
    <hyperlink ref="F25" r:id="rId24" display="=IFERROR(@__xludf.DUMMYFUNCTION(&quot;&quot;&quot;COMPUTED_VALUE&quot;&quot;&quot;),&quot;AC Machines&quot;)"/>
    <hyperlink ref="F26" r:id="rId25" display="=IFERROR(@__xludf.DUMMYFUNCTION(&quot;&quot;&quot;COMPUTED_VALUE&quot;&quot;&quot;),&quot;Digital Electronics&quot;)"/>
    <hyperlink ref="F27" r:id="rId26" display="=IFERROR(@__xludf.DUMMYFUNCTION(&quot;&quot;&quot;COMPUTED_VALUE&quot;&quot;&quot;),&quot;Electronic Circuits&quot;)"/>
    <hyperlink ref="F28" r:id="rId27" display="=IFERROR(@__xludf.DUMMYFUNCTION(&quot;&quot;&quot;COMPUTED_VALUE&quot;&quot;&quot;),&quot;Measurements and Instrumentation&quot;)"/>
    <hyperlink ref="F29" r:id="rId28" display="=IFERROR(@__xludf.DUMMYFUNCTION(&quot;&quot;&quot;COMPUTED_VALUE&quot;&quot;&quot;),&quot;Linear Integrated Circuits and Applications&quot;)"/>
    <hyperlink ref="F30" r:id="rId29" display="=IFERROR(@__xludf.DUMMYFUNCTION(&quot;&quot;&quot;COMPUTED_VALUE&quot;&quot;&quot;),&quot;Control Systems&quot;)"/>
    <hyperlink ref="F31" r:id="rId30" display="=IFERROR(@__xludf.DUMMYFUNCTION(&quot;&quot;&quot;COMPUTED_VALUE&quot;&quot;&quot;),&quot;Electrical Power Transmission System&quot;)"/>
    <hyperlink ref="F32" r:id="rId31" display="=IFERROR(@__xludf.DUMMYFUNCTION(&quot;&quot;&quot;COMPUTED_VALUE&quot;&quot;&quot;),&quot;Power System Analysis&quot;)"/>
    <hyperlink ref="F33" r:id="rId32" display="=IFERROR(@__xludf.DUMMYFUNCTION(&quot;&quot;&quot;COMPUTED_VALUE&quot;&quot;&quot;),&quot;Power Electronics&quot;)"/>
    <hyperlink ref="F34" r:id="rId33" display="=IFERROR(@__xludf.DUMMYFUNCTION(&quot;&quot;&quot;COMPUTED_VALUE&quot;&quot;&quot;),&quot;Microprocessor and Microcontroller Laboratory&quot;)"/>
    <hyperlink ref="F35" r:id="rId34" display="=IFERROR(@__xludf.DUMMYFUNCTION(&quot;&quot;&quot;COMPUTED_VALUE&quot;&quot;&quot;),&quot;Power System Operation and Control&quot;)"/>
    <hyperlink ref="F36" r:id="rId35" display="=IFERROR(@__xludf.DUMMYFUNCTION(&quot;&quot;&quot;COMPUTED_VALUE&quot;&quot;&quot;),&quot;Digital Signal Processing&quot;)"/>
    <hyperlink ref="F37" r:id="rId36" display="=IFERROR(@__xludf.DUMMYFUNCTION(&quot;&quot;&quot;COMPUTED_VALUE&quot;&quot;&quot;),&quot;High Voltage Engineering&quot;)"/>
    <hyperlink ref="F38" r:id="rId37" display="=IFERROR(@__xludf.DUMMYFUNCTION(&quot;&quot;&quot;COMPUTED_VALUE&quot;&quot;&quot;),&quot;Renewable Energy Systems I&quot;)"/>
    <hyperlink ref="F39" r:id="rId38" display="=IFERROR(@__xludf.DUMMYFUNCTION(&quot;&quot;&quot;COMPUTED_VALUE&quot;&quot;&quot;),&quot;Microcontroller Laboratory&quot;)"/>
    <hyperlink ref="F40" r:id="rId39" display="=IFERROR(@__xludf.DUMMYFUNCTION(&quot;&quot;&quot;COMPUTED_VALUE&quot;&quot;&quot;),&quot;Fundamentals of Data Structures using Python&quot;)"/>
    <hyperlink ref="F41" r:id="rId40" display="=IFERROR(@__xludf.DUMMYFUNCTION(&quot;&quot;&quot;COMPUTED_VALUE&quot;&quot;&quot;),&quot;Object Oriented Programming using Java&quot;)"/>
    <hyperlink ref="F43" r:id="rId41" display="=IFERROR(@__xludf.DUMMYFUNCTION(&quot;&quot;&quot;COMPUTED_VALUE&quot;&quot;&quot;),&quot;Distribution System Engineering&quot;)"/>
    <hyperlink ref="F44" r:id="rId42" display="=IFERROR(@__xludf.DUMMYFUNCTION(&quot;&quot;&quot;COMPUTED_VALUE&quot;&quot;&quot;),&quot;Power Electronic Converters&quot;)"/>
    <hyperlink ref="F45" r:id="rId43" display="=IFERROR(@__xludf.DUMMYFUNCTION(&quot;&quot;&quot;COMPUTED_VALUE&quot;&quot;&quot;),&quot;Smart Grid&quot;)"/>
    <hyperlink ref="F46" r:id="rId44" display="=IFERROR(@__xludf.DUMMYFUNCTION(&quot;&quot;&quot;COMPUTED_VALUE&quot;&quot;&quot;),&quot;Flexible AC Transmission Systems&quot;)"/>
    <hyperlink ref="F47" r:id="rId45" display="=IFERROR(@__xludf.DUMMYFUNCTION(&quot;&quot;&quot;COMPUTED_VALUE&quot;&quot;&quot;),&quot;Power System Stability&quot;)"/>
    <hyperlink ref="F48" r:id="rId46" display="=IFERROR(@__xludf.DUMMYFUNCTION(&quot;&quot;&quot;COMPUTED_VALUE&quot;&quot;&quot;),&quot;Restructured Power Systems&quot;)"/>
    <hyperlink ref="F49" r:id="rId47" display="=IFERROR(@__xludf.DUMMYFUNCTION(&quot;&quot;&quot;COMPUTED_VALUE&quot;&quot;&quot;),&quot;Power System Reliability&quot;)"/>
    <hyperlink ref="F50" r:id="rId48" display="=IFERROR(@__xludf.DUMMYFUNCTION(&quot;&quot;&quot;COMPUTED_VALUE&quot;&quot;&quot;),&quot;Power System Transients&quot;)"/>
    <hyperlink ref="F51" r:id="rId49" display="=IFERROR(@__xludf.DUMMYFUNCTION(&quot;&quot;&quot;COMPUTED_VALUE&quot;&quot;&quot;),&quot;Energy Management and Auditing&quot;)"/>
    <hyperlink ref="F52" r:id="rId50" display="=IFERROR(@__xludf.DUMMYFUNCTION(&quot;&quot;&quot;COMPUTED_VALUE&quot;&quot;&quot;),&quot;Electric and Hybrid Vehicles&quot;)"/>
    <hyperlink ref="F53" r:id="rId51" display="=IFERROR(@__xludf.DUMMYFUNCTION(&quot;&quot;&quot;COMPUTED_VALUE&quot;&quot;&quot;),&quot;Protection and Switchgear&quot;)"/>
    <hyperlink ref="F54" r:id="rId52" display="=IFERROR(@__xludf.DUMMYFUNCTION(&quot;&quot;&quot;COMPUTED_VALUE&quot;&quot;&quot;),&quot;Utilisation, Safety and Maintenance of Electrical Systems&quot;)"/>
    <hyperlink ref="F55" r:id="rId53" display="=IFERROR(@__xludf.DUMMYFUNCTION(&quot;&quot;&quot;COMPUTED_VALUE&quot;&quot;&quot;),&quot;Advances in Electric Power Transmission&quot;)"/>
    <hyperlink ref="F56" r:id="rId54" display="=IFERROR(@__xludf.DUMMYFUNCTION(&quot;&quot;&quot;COMPUTED_VALUE&quot;&quot;&quot;),&quot;Microcontroller Based System Design&quot;)"/>
    <hyperlink ref="F57" r:id="rId55" display="=IFERROR(@__xludf.DUMMYFUNCTION(&quot;&quot;&quot;COMPUTED_VALUE&quot;&quot;&quot;),&quot;Soft Computing Techniques&quot;)"/>
    <hyperlink ref="F58" r:id="rId56" display="=IFERROR(@__xludf.DUMMYFUNCTION(&quot;&quot;&quot;COMPUTED_VALUE&quot;&quot;&quot;),&quot;Computer Aided Design of Electrical Machines&quot;)"/>
    <hyperlink ref="F59" r:id="rId57" display="=IFERROR(@__xludf.DUMMYFUNCTION(&quot;&quot;&quot;COMPUTED_VALUE&quot;&quot;&quot;),&quot;System Identification and Adaptive Control&quot;)"/>
    <hyperlink ref="F60" r:id="rId58" display="=IFERROR(@__xludf.DUMMYFUNCTION(&quot;&quot;&quot;COMPUTED_VALUE&quot;&quot;&quot;),&quot;Digital System Design using FPGA&quot;)"/>
    <hyperlink ref="F61" r:id="rId59" display="=IFERROR(@__xludf.DUMMYFUNCTION(&quot;&quot;&quot;COMPUTED_VALUE&quot;&quot;&quot;),&quot;Micro Electro Mechanical Systems&quot;)"/>
    <hyperlink ref="F62" r:id="rId60" display="=IFERROR(@__xludf.DUMMYFUNCTION(&quot;&quot;&quot;COMPUTED_VALUE&quot;&quot;&quot;),&quot;Advanced Digital Signal Processing&quot;)"/>
    <hyperlink ref="F63" r:id="rId61" display="=IFERROR(@__xludf.DUMMYFUNCTION(&quot;&quot;&quot;COMPUTED_VALUE&quot;&quot;&quot;),&quot;Image Processing&quot;)"/>
    <hyperlink ref="F64" r:id="rId62" display="=IFERROR(@__xludf.DUMMYFUNCTION(&quot;&quot;&quot;COMPUTED_VALUE&quot;&quot;&quot;),&quot;Robotics&quot;)"/>
    <hyperlink ref="F65" r:id="rId63" display="=IFERROR(@__xludf.DUMMYFUNCTION(&quot;&quot;&quot;COMPUTED_VALUE&quot;&quot;&quot;),&quot;Biomedical Instrumentation&quot;)"/>
    <hyperlink ref="F66" r:id="rId64" display="=IFERROR(@__xludf.DUMMYFUNCTION(&quot;&quot;&quot;COMPUTED_VALUE&quot;&quot;&quot;),&quot;Embedded Product Design&quot;)"/>
    <hyperlink ref="F67" r:id="rId65" display="=IFERROR(@__xludf.DUMMYFUNCTION(&quot;&quot;&quot;COMPUTED_VALUE&quot;&quot;&quot;),&quot;Renewable Energy Systems II&quot;)"/>
    <hyperlink ref="F68" r:id="rId66" display="=IFERROR(@__xludf.DUMMYFUNCTION(&quot;&quot;&quot;COMPUTED_VALUE&quot;&quot;&quot;),&quot;Communication Engineering&quot;)"/>
    <hyperlink ref="F69" r:id="rId67" display="=IFERROR(@__xludf.DUMMYFUNCTION(&quot;&quot;&quot;COMPUTED_VALUE&quot;&quot;&quot;),&quot;Fundamentals of C Programming&quot;)"/>
    <hyperlink ref="F70" r:id="rId68" display="=IFERROR(@__xludf.DUMMYFUNCTION(&quot;&quot;&quot;COMPUTED_VALUE&quot;&quot;&quot;),&quot;Advanced C Programming&quot;)"/>
    <hyperlink ref="F71" r:id="rId69" display="=IFERROR(@__xludf.DUMMYFUNCTION(&quot;&quot;&quot;COMPUTED_VALUE&quot;&quot;&quot;),&quot;Graph Theory and Applications&quot;)"/>
    <hyperlink ref="F72" r:id="rId70" display="=IFERROR(@__xludf.DUMMYFUNCTION(&quot;&quot;&quot;COMPUTED_VALUE&quot;&quot;&quot;),&quot;Electrical Wiring Harness Design Engineering&quot;)"/>
    <hyperlink ref="F73" r:id="rId71" display="=IFERROR(@__xludf.DUMMYFUNCTION(&quot;&quot;&quot;COMPUTED_VALUE&quot;&quot;&quot;),&quot;Embedded Board Design&quot;)"/>
    <hyperlink ref="F74" r:id="rId72" display="=IFERROR(@__xludf.DUMMYFUNCTION(&quot;&quot;&quot;COMPUTED_VALUE&quot;&quot;&quot;),&quot;Introduction to Fundamentals of Electric Vehicles&quot;)"/>
    <hyperlink ref="F75" r:id="rId73" display="=IFERROR(@__xludf.DUMMYFUNCTION(&quot;&quot;&quot;COMPUTED_VALUE&quot;&quot;&quot;),&quot;Electric Vehicle Powertrain and Integration&quot;)"/>
    <hyperlink ref="F76" r:id="rId74" display="=IFERROR(@__xludf.DUMMYFUNCTION(&quot;&quot;&quot;COMPUTED_VALUE&quot;&quot;&quot;),&quot;Electric Vehicle Charging Infrastructure&quot;)"/>
    <hyperlink ref="F77" r:id="rId75" display="=IFERROR(@__xludf.DUMMYFUNCTION(&quot;&quot;&quot;COMPUTED_VALUE&quot;&quot;&quot;),&quot;Electric Vehicle Grid Integration&quot;)"/>
    <hyperlink ref="F78" r:id="rId76" display="=IFERROR(@__xludf.DUMMYFUNCTION(&quot;&quot;&quot;COMPUTED_VALUE&quot;&quot;&quot;),&quot;Embedded IoT for Electric Vehicles&quot;)"/>
    <hyperlink ref="F79" r:id="rId77" display="=IFERROR(@__xludf.DUMMYFUNCTION(&quot;&quot;&quot;COMPUTED_VALUE&quot;&quot;&quot;),&quot;Embedded AI for Electric Vehicles&quot;)"/>
    <hyperlink ref="F80" r:id="rId78" display="=IFERROR(@__xludf.DUMMYFUNCTION(&quot;&quot;&quot;COMPUTED_VALUE&quot;&quot;&quot;),&quot;Battery Technologies and Management Systems for Electric Vehicles&quot;)"/>
    <hyperlink ref="F84" r:id="rId79" display="=IFERROR(@__xludf.DUMMYFUNCTION(&quot;&quot;&quot;COMPUTED_VALUE&quot;&quot;&quot;),&quot;Mini Project&quot;)"/>
    <hyperlink ref="F85" r:id="rId80" display="=IFERROR(@__xludf.DUMMYFUNCTION(&quot;&quot;&quot;COMPUTED_VALUE&quot;&quot;&quot;),&quot;Project Work Phase I&quot;)"/>
    <hyperlink ref="F86" r:id="rId81" display="=IFERROR(@__xludf.DUMMYFUNCTION(&quot;&quot;&quot;COMPUTED_VALUE&quot;&quot;&quot;),&quot;Project Work Phase II&quot;)"/>
    <hyperlink ref="F87" r:id="rId82" display="=IFERROR(@__xludf.DUMMYFUNCTION(&quot;&quot;&quot;COMPUTED_VALUE&quot;&quot;&quot;),&quot;Softskills&quot;)"/>
    <hyperlink ref="F88" r:id="rId83" display="=IFERROR(@__xludf.DUMMYFUNCTION(&quot;&quot;&quot;COMPUTED_VALUE&quot;&quot;&quot;),&quot;Career Development Skills&quot;)"/>
    <hyperlink ref="F89" r:id="rId84" display="=IFERROR(@__xludf.DUMMYFUNCTION(&quot;&quot;&quot;COMPUTED_VALUE&quot;&quot;&quot;),&quot;Creative Skills for Communication&quot;)"/>
    <hyperlink ref="F90" r:id="rId85" display="=IFERROR(@__xludf.DUMMYFUNCTION(&quot;&quot;&quot;COMPUTED_VALUE&quot;&quot;&quot;),&quot;Reasoning Ability&quot;)"/>
    <hyperlink ref="F91" r:id="rId86" display="=IFERROR(@__xludf.DUMMYFUNCTION(&quot;&quot;&quot;COMPUTED_VALUE&quot;&quot;&quot;),&quot;System of Numerical and Logical Terminologies&quot;)"/>
    <hyperlink ref="F92" r:id="rId87" display="=IFERROR(@__xludf.DUMMYFUNCTION(&quot;&quot;&quot;COMPUTED_VALUE&quot;&quot;&quot;),&quot;Advanced Quantitative and Logical Reasoning&quot;)"/>
    <hyperlink ref="F93" r:id="rId88" display="=IFERROR(@__xludf.DUMMYFUNCTION(&quot;&quot;&quot;COMPUTED_VALUE&quot;&quot;&quot;),&quot;Quantitative Ability I&quot;)"/>
    <hyperlink ref="F94" r:id="rId89" display="=IFERROR(@__xludf.DUMMYFUNCTION(&quot;&quot;&quot;COMPUTED_VALUE&quot;&quot;&quot;),&quot;Quantitative Ability II&quot;)"/>
    <hyperlink ref="F95" r:id="rId90" display="=IFERROR(@__xludf.DUMMYFUNCTION(&quot;&quot;&quot;COMPUTED_VALUE&quot;&quot;&quot;),&quot;Employment Enhancement Skills&quot;)"/>
    <hyperlink ref="F96" r:id="rId91" display="=IFERROR(@__xludf.DUMMYFUNCTION(&quot;&quot;&quot;COMPUTED_VALUE&quot;&quot;&quot;),&quot;Employment Enrichment Skills&quot;)"/>
    <hyperlink ref="F97" r:id="rId92" display="=IFERROR(@__xludf.DUMMYFUNCTION(&quot;&quot;&quot;COMPUTED_VALUE&quot;&quot;&quot;),&quot;Company Specific Assessments For Employability&quot;)"/>
    <hyperlink ref="F98" r:id="rId93" display="=IFERROR(@__xludf.DUMMYFUNCTION(&quot;&quot;&quot;COMPUTED_VALUE&quot;&quot;&quot;),&quot;Placement Readiness Assessment&quot;)"/>
    <hyperlink ref="F99" r:id="rId94" display="=IFERROR(@__xludf.DUMMYFUNCTION(&quot;&quot;&quot;COMPUTED_VALUE&quot;&quot;&quot;),&quot;Paper Publication&quot;)"/>
    <hyperlink ref="F100" r:id="rId95" display="=IFERROR(@__xludf.DUMMYFUNCTION(&quot;&quot;&quot;COMPUTED_VALUE&quot;&quot;&quot;),&quot;Professional Ethics&quot;)"/>
    <hyperlink ref="F101" r:id="rId96" display="=IFERROR(@__xludf.DUMMYFUNCTION(&quot;&quot;&quot;COMPUTED_VALUE&quot;&quot;&quot;),&quot;Environmental Science&quot;)"/>
    <hyperlink ref="F102" r:id="rId97" display="=IFERROR(@__xludf.DUMMYFUNCTION(&quot;&quot;&quot;COMPUTED_VALUE&quot;&quot;&quot;),&quot;Constitution of India&quot;)"/>
    <hyperlink ref="F104" r:id="rId98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796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""R2024-EEE!A:A""),
IMPORTRANGE(""https://docs.google.com/spreadsheets/d/1UvPg-G_Bj-UNhLC2uL8tntfYsnld_PABqE3impzOchM/edit"", ""R2024-"&amp;"EEE!D:D""),
IMPORTRANGE(""https://docs.google.com/spreadsheets/d/1UvPg-G_Bj-UNhLC2uL8tntfYsnld_PABqE3impzOchM/edit"", ""R2024-EEE!E:E""),
IMPORTRANGE(""https://docs.google.com/spreadsheets/d/1UvPg-G_Bj-UNhLC2uL8tntfYsnld_PABqE3impzOchM/edit"", ""R2024-EEE"&amp;"!F:F""),
IMPORTRANGE(""https://docs.google.com/spreadsheets/d/1UvPg-G_Bj-UNhLC2uL8tntfYsnld_PABqE3impzOchM/edit"", ""R2024-EEE!G:G""),
IMPORTRANGE(""https://docs.google.com/spreadsheets/d/1UvPg-G_Bj-UNhLC2uL8tntfYsnld_PABqE3impzOchM/edit"", ""R2024-EEE!I:"&amp;"I""),
IMPORTRANGE(""https://docs.google.com/spreadsheets/d/1UvPg-G_Bj-UNhLC2uL8tntfYsnld_PABqE3impzOchM/edit"", ""R2024-EEE!N:N""),
IMPORTRANGE(""https://docs.google.com/spreadsheets/d/1UvPg-G_Bj-UNhLC2uL8tntfYsnld_PABqE3impzOchM/edit"", ""R2024-EEE!O:O"""&amp;"),
IMPORTRANGE(""https://docs.google.com/spreadsheets/d/1UvPg-G_Bj-UNhLC2uL8tntfYsnld_PABqE3impzOchM/edit"", ""R2024-EEE!P:P""),
IMPORTRANGE(""https://docs.google.com/spreadsheets/d/1UvPg-G_Bj-UNhLC2uL8tntfYsnld_PABqE3impzOchM/edit"", ""R2024-EEE!Q:Q""),
"&amp;"IMPORTRANGE(""https://docs.google.com/spreadsheets/d/1UvPg-G_Bj-UNhLC2uL8tntfYsnld_PABqE3impzOchM/edit"", ""R2024-EEE!R:R""),
IMPORTRANGE(""https://docs.google.com/spreadsheets/d/1UvPg-G_Bj-UNhLC2uL8tntfYsnld_PABqE3impzOchM/edit"", ""R2024-EEE!S:S""),
IMP"&amp;"ORTRANGE(""https://docs.google.com/spreadsheets/d/1UvPg-G_Bj-UNhLC2uL8tntfYsnld_PABqE3impzOchM/edit"", ""R2024-EEE!V:V""),
IMPORTRANGE(""https://docs.google.com/spreadsheets/d/1UvPg-G_Bj-UNhLC2uL8tntfYsnld_PABqE3impzOchM/edit"", ""R2024-EEE!X:X""),
IMPORT"&amp;"RANGE(""https://docs.google.com/spreadsheets/d/1UvPg-G_Bj-UNhLC2uL8tntfYsnld_PABqE3impzOchM/edit"", ""R2024-EEE!Y:Y"")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IFERROR(__xludf.DUMMYFUNCTION("""COMPUTED_VALUE"""),"SH1106")</f>
        <v>SH1106</v>
      </c>
      <c r="E3" s="2" t="str">
        <f>IFERROR(__xludf.DUMMYFUNCTION("""COMPUTED_VALUE"""),"19EN106")</f>
        <v>19EN106</v>
      </c>
      <c r="F3" s="7" t="str">
        <f>IFERROR(__xludf.DUMMYFUNCTION("""COMPUTED_VALUE"""),"English for Engineers")</f>
        <v>English for Engineers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LE")</f>
        <v>Exempted for LE</v>
      </c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IFERROR(__xludf.DUMMYFUNCTION("""COMPUTED_VALUE"""),6)</f>
        <v>6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LE")</f>
        <v>Exempted for LE</v>
      </c>
      <c r="C5" s="2" t="str">
        <f>IFERROR(__xludf.DUMMYFUNCTION("""COMPUTED_VALUE"""),"HS")</f>
        <v>HS</v>
      </c>
      <c r="D5" s="2" t="str">
        <f>IFERROR(__xludf.DUMMYFUNCTION("""COMPUTED_VALUE"""),"SH9801")</f>
        <v>SH9801</v>
      </c>
      <c r="E5" s="2" t="str">
        <f>IFERROR(__xludf.DUMMYFUNCTION("""COMPUTED_VALUE"""),"NA")</f>
        <v>NA</v>
      </c>
      <c r="F5" s="7" t="str">
        <f>IFERROR(__xludf.DUMMYFUNCTION("""COMPUTED_VALUE"""),"Organizational Behavior and Leadership")</f>
        <v>Organizational Behavior and Leadership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IFERROR(__xludf.DUMMYFUNCTION("""COMPUTED_VALUE"""),0)</f>
        <v>0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IFERROR(__xludf.DUMMYFUNCTION("""COMPUTED_VALUE"""),26)</f>
        <v>26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IFERROR(__xludf.DUMMYFUNCTION("""COMPUTED_VALUE"""),"SH7801")</f>
        <v>SH7801</v>
      </c>
      <c r="E6" s="2" t="str">
        <f>IFERROR(__xludf.DUMMYFUNCTION("""COMPUTED_VALUE"""),"NA")</f>
        <v>NA</v>
      </c>
      <c r="F6" s="7" t="str">
        <f>IFERROR(__xludf.DUMMYFUNCTION("""COMPUTED_VALUE"""),"Human Values and Professional Ethics")</f>
        <v>Human Values and Professional Ethics</v>
      </c>
      <c r="G6" s="2" t="str">
        <f>IFERROR(__xludf.DUMMYFUNCTION("""COMPUTED_VALUE"""),"-")</f>
        <v>-</v>
      </c>
      <c r="H6" s="2">
        <f>IFERROR(__xludf.DUMMYFUNCTION("""COMPUTED_VALUE"""),2)</f>
        <v>2</v>
      </c>
      <c r="I6" s="2">
        <f>IFERROR(__xludf.DUMMYFUNCTION("""COMPUTED_VALUE"""),0)</f>
        <v>0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IFERROR(__xludf.DUMMYFUNCTION("""COMPUTED_VALUE"""),57)</f>
        <v>57</v>
      </c>
      <c r="O6" s="20">
        <f>IFERROR(__xludf.DUMMYFUNCTION("""COMPUTED_VALUE"""),57)</f>
        <v>57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IFERROR(__xludf.DUMMYFUNCTION("""COMPUTED_VALUE"""),"SH7101")</f>
        <v>SH7101</v>
      </c>
      <c r="E7" s="2" t="str">
        <f>IFERROR(__xludf.DUMMYFUNCTION("""COMPUTED_VALUE"""),"22HS101")</f>
        <v>22HS101</v>
      </c>
      <c r="F7" s="7" t="str">
        <f>IFERROR(__xludf.DUMMYFUNCTION("""COMPUTED_VALUE"""),"தமிழர் மரபு/ Heritage of Tamils")</f>
        <v>தமிழர் மரபு/ Heritage of Tamils</v>
      </c>
      <c r="G7" s="2" t="str">
        <f>IFERROR(__xludf.DUMMYFUNCTION("""COMPUTED_VALUE"""),"-")</f>
        <v>-</v>
      </c>
      <c r="H7" s="2">
        <f>IFERROR(__xludf.DUMMYFUNCTION("""COMPUTED_VALUE"""),1)</f>
        <v>1</v>
      </c>
      <c r="I7" s="2">
        <f>IFERROR(__xludf.DUMMYFUNCTION("""COMPUTED_VALUE"""),0)</f>
        <v>0</v>
      </c>
      <c r="J7" s="2">
        <f>IFERROR(__xludf.DUMMYFUNCTION("""COMPUTED_VALUE"""),1)</f>
        <v>1</v>
      </c>
      <c r="K7" s="2" t="str">
        <f>IFERROR(__xludf.DUMMYFUNCTION("""COMPUTED_VALUE"""),"CGPA")</f>
        <v>CGPA</v>
      </c>
      <c r="L7" s="18" t="str">
        <f>IFERROR(__xludf.DUMMYFUNCTION("""COMPUTED_VALUE"""),"Theory (Int Only)")</f>
        <v>Theory (Int Only)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IFERROR(__xludf.DUMMYFUNCTION("""COMPUTED_VALUE"""),"SH7102")</f>
        <v>SH7102</v>
      </c>
      <c r="E8" s="2" t="str">
        <f>IFERROR(__xludf.DUMMYFUNCTION("""COMPUTED_VALUE"""),"22HS102")</f>
        <v>22HS102</v>
      </c>
      <c r="F8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8" s="2" t="str">
        <f>IFERROR(__xludf.DUMMYFUNCTION("""COMPUTED_VALUE"""),"-")</f>
        <v>-</v>
      </c>
      <c r="H8" s="2">
        <f>IFERROR(__xludf.DUMMYFUNCTION("""COMPUTED_VALUE"""),1)</f>
        <v>1</v>
      </c>
      <c r="I8" s="2">
        <f>IFERROR(__xludf.DUMMYFUNCTION("""COMPUTED_VALUE"""),0)</f>
        <v>0</v>
      </c>
      <c r="J8" s="2">
        <f>IFERROR(__xludf.DUMMYFUNCTION("""COMPUTED_VALUE"""),1)</f>
        <v>1</v>
      </c>
      <c r="K8" s="2" t="str">
        <f>IFERROR(__xludf.DUMMYFUNCTION("""COMPUTED_VALUE"""),"CGPA")</f>
        <v>CGPA</v>
      </c>
      <c r="L8" s="18" t="str">
        <f>IFERROR(__xludf.DUMMYFUNCTION("""COMPUTED_VALUE"""),"Theory (Int Only)")</f>
        <v>Theory (Int Only)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IFERROR(__xludf.DUMMYFUNCTION("""COMPUTED_VALUE"""),"BS")</f>
        <v>BS</v>
      </c>
      <c r="D9" s="2" t="str">
        <f>IFERROR(__xludf.DUMMYFUNCTION("""COMPUTED_VALUE"""),"SH2201")</f>
        <v>SH2201</v>
      </c>
      <c r="E9" s="2" t="str">
        <f>IFERROR(__xludf.DUMMYFUNCTION("""COMPUTED_VALUE"""),"19MA201")</f>
        <v>19MA201</v>
      </c>
      <c r="F9" s="7" t="str">
        <f>IFERROR(__xludf.DUMMYFUNCTION("""COMPUTED_VALUE"""),"Calculus and Matrix Algebra")</f>
        <v>Calculus and Matrix Algebra</v>
      </c>
      <c r="G9" s="2" t="str">
        <f>IFERROR(__xludf.DUMMYFUNCTION("""COMPUTED_VALUE"""),"-")</f>
        <v>-</v>
      </c>
      <c r="H9" s="2">
        <f>IFERROR(__xludf.DUMMYFUNCTION("""COMPUTED_VALUE"""),4)</f>
        <v>4</v>
      </c>
      <c r="I9" s="2">
        <f>IFERROR(__xludf.DUMMYFUNCTION("""COMPUTED_VALUE"""),0)</f>
        <v>0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IFERROR(__xludf.DUMMYFUNCTION("""COMPUTED_VALUE"""),"BS")</f>
        <v>BS</v>
      </c>
      <c r="D10" s="2" t="str">
        <f>IFERROR(__xludf.DUMMYFUNCTION("""COMPUTED_VALUE"""),"SH2211")</f>
        <v>SH2211</v>
      </c>
      <c r="E10" s="2" t="str">
        <f>IFERROR(__xludf.DUMMYFUNCTION("""COMPUTED_VALUE"""),"19MA211")</f>
        <v>19MA211</v>
      </c>
      <c r="F10" s="7" t="str">
        <f>IFERROR(__xludf.DUMMYFUNCTION("""COMPUTED_VALUE"""),"Statistics and Numerical Methods")</f>
        <v>Statistics and Numerical Methods</v>
      </c>
      <c r="G10" s="2" t="str">
        <f>IFERROR(__xludf.DUMMYFUNCTION("""COMPUTED_VALUE"""),"-")</f>
        <v>-</v>
      </c>
      <c r="H10" s="2">
        <f>IFERROR(__xludf.DUMMYFUNCTION("""COMPUTED_VALUE"""),3)</f>
        <v>3</v>
      </c>
      <c r="I10" s="2">
        <f>IFERROR(__xludf.DUMMYFUNCTION("""COMPUTED_VALUE"""),1)</f>
        <v>1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IFERROR(__xludf.DUMMYFUNCTION("""COMPUTED_VALUE"""),"TIP (6 Expts)")</f>
        <v>TIP (6 Expts)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IFERROR(__xludf.DUMMYFUNCTION("""COMPUTED_VALUE"""),"SH2223")</f>
        <v>SH2223</v>
      </c>
      <c r="E11" s="2" t="str">
        <f>IFERROR(__xludf.DUMMYFUNCTION("""COMPUTED_VALUE"""),"19MA223")</f>
        <v>19MA223</v>
      </c>
      <c r="F11" s="7" t="str">
        <f>IFERROR(__xludf.DUMMYFUNCTION("""COMPUTED_VALUE"""),"Linear Algebra and Probability")</f>
        <v>Linear Algebra and Probability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IFERROR(__xludf.DUMMYFUNCTION("""COMPUTED_VALUE"""),165)</f>
        <v>165</v>
      </c>
      <c r="O11" s="23">
        <f>IFERROR(__xludf.DUMMYFUNCTION("""COMPUTED_VALUE"""),124)</f>
        <v>124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IFERROR(__xludf.DUMMYFUNCTION("""COMPUTED_VALUE"""),"SH3216")</f>
        <v>SH3216</v>
      </c>
      <c r="E12" s="2" t="str">
        <f>IFERROR(__xludf.DUMMYFUNCTION("""COMPUTED_VALUE"""),"19PH216")</f>
        <v>19PH216</v>
      </c>
      <c r="F12" s="7" t="str">
        <f>IFERROR(__xludf.DUMMYFUNCTION("""COMPUTED_VALUE"""),"Physics for Electronics Engineering")</f>
        <v>Physics for Electronics Engineering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IFERROR(__xludf.DUMMYFUNCTION("""COMPUTED_VALUE"""),"SH4805")</f>
        <v>SH4805</v>
      </c>
      <c r="E13" s="2" t="str">
        <f>IFERROR(__xludf.DUMMYFUNCTION("""COMPUTED_VALUE"""),"NA")</f>
        <v>NA</v>
      </c>
      <c r="F13" s="7" t="str">
        <f>IFERROR(__xludf.DUMMYFUNCTION("""COMPUTED_VALUE"""),"Chemistry of Engineering Materials")</f>
        <v>Chemistry of Engineering Materials</v>
      </c>
      <c r="G13" s="2" t="str">
        <f>IFERROR(__xludf.DUMMYFUNCTION("""COMPUTED_VALUE"""),"-")</f>
        <v>-</v>
      </c>
      <c r="H13" s="2">
        <f>IFERROR(__xludf.DUMMYFUNCTION("""COMPUTED_VALUE"""),2)</f>
        <v>2</v>
      </c>
      <c r="I13" s="2">
        <f>IFERROR(__xludf.DUMMYFUNCTION("""COMPUTED_VALUE"""),1)</f>
        <v>1</v>
      </c>
      <c r="J13" s="2">
        <f>IFERROR(__xludf.DUMMYFUNCTION("""COMPUTED_VALUE"""),3)</f>
        <v>3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IFERROR(__xludf.DUMMYFUNCTION("""COMPUTED_VALUE"""),"SH4801")</f>
        <v>SH4801</v>
      </c>
      <c r="E14" s="2" t="str">
        <f>IFERROR(__xludf.DUMMYFUNCTION("""COMPUTED_VALUE"""),"NA")</f>
        <v>NA</v>
      </c>
      <c r="F14" s="7" t="str">
        <f>IFERROR(__xludf.DUMMYFUNCTION("""COMPUTED_VALUE"""),"Environmental Sciences and Sustainability")</f>
        <v>Environmental Sciences and Sustainability</v>
      </c>
      <c r="G14" s="2" t="str">
        <f>IFERROR(__xludf.DUMMYFUNCTION("""COMPUTED_VALUE"""),"-")</f>
        <v>-</v>
      </c>
      <c r="H14" s="2">
        <f>IFERROR(__xludf.DUMMYFUNCTION("""COMPUTED_VALUE"""),2)</f>
        <v>2</v>
      </c>
      <c r="I14" s="2">
        <f>IFERROR(__xludf.DUMMYFUNCTION("""COMPUTED_VALUE"""),0)</f>
        <v>0</v>
      </c>
      <c r="J14" s="2">
        <f>IFERROR(__xludf.DUMMYFUNCTION("""COMPUTED_VALUE"""),2)</f>
        <v>2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IFERROR(__xludf.DUMMYFUNCTION("""COMPUTED_VALUE"""),"ES")</f>
        <v>ES</v>
      </c>
      <c r="D15" s="2" t="str">
        <f>IFERROR(__xludf.DUMMYFUNCTION("""COMPUTED_VALUE"""),"CS3304")</f>
        <v>CS3304</v>
      </c>
      <c r="E15" s="2" t="str">
        <f>IFERROR(__xludf.DUMMYFUNCTION("""COMPUTED_VALUE"""),"19AI304")</f>
        <v>19AI304</v>
      </c>
      <c r="F15" s="7" t="str">
        <f>IFERROR(__xludf.DUMMYFUNCTION("""COMPUTED_VALUE"""),"Fundamentals of C Programming")</f>
        <v>Fundamentals of C Programming</v>
      </c>
      <c r="G15" s="2" t="str">
        <f>IFERROR(__xludf.DUMMYFUNCTION("""COMPUTED_VALUE"""),"-")</f>
        <v>-</v>
      </c>
      <c r="H15" s="2">
        <f>IFERROR(__xludf.DUMMYFUNCTION("""COMPUTED_VALUE"""),2)</f>
        <v>2</v>
      </c>
      <c r="I15" s="2">
        <f>IFERROR(__xludf.DUMMYFUNCTION("""COMPUTED_VALUE"""),1)</f>
        <v>1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IFERROR(__xludf.DUMMYFUNCTION("""COMPUTED_VALUE"""),"ES")</f>
        <v>ES</v>
      </c>
      <c r="D16" s="2" t="str">
        <f>IFERROR(__xludf.DUMMYFUNCTION("""COMPUTED_VALUE"""),"CS3305")</f>
        <v>CS3305</v>
      </c>
      <c r="E16" s="2" t="str">
        <f>IFERROR(__xludf.DUMMYFUNCTION("""COMPUTED_VALUE"""),"19AI305")</f>
        <v>19AI305</v>
      </c>
      <c r="F16" s="7" t="str">
        <f>IFERROR(__xludf.DUMMYFUNCTION("""COMPUTED_VALUE"""),"Advanced C Programming")</f>
        <v>Advanced C Programming</v>
      </c>
      <c r="G16" s="2" t="str">
        <f>IFERROR(__xludf.DUMMYFUNCTION("""COMPUTED_VALUE"""),"19AI304 / CS3304")</f>
        <v>19AI304 / CS3304</v>
      </c>
      <c r="H16" s="2">
        <f>IFERROR(__xludf.DUMMYFUNCTION("""COMPUTED_VALUE"""),2)</f>
        <v>2</v>
      </c>
      <c r="I16" s="2">
        <f>IFERROR(__xludf.DUMMYFUNCTION("""COMPUTED_VALUE"""),1)</f>
        <v>1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IFERROR(__xludf.DUMMYFUNCTION("""COMPUTED_VALUE"""),"ES")</f>
        <v>ES</v>
      </c>
      <c r="D17" s="2" t="str">
        <f>IFERROR(__xludf.DUMMYFUNCTION("""COMPUTED_VALUE"""),"CS3306")</f>
        <v>CS3306</v>
      </c>
      <c r="E17" s="2" t="str">
        <f>IFERROR(__xludf.DUMMYFUNCTION("""COMPUTED_VALUE"""),"19AI306")</f>
        <v>19AI306</v>
      </c>
      <c r="F17" s="7" t="str">
        <f>IFERROR(__xludf.DUMMYFUNCTION("""COMPUTED_VALUE"""),"Object Oriented Programming using C++")</f>
        <v>Object Oriented Programming using C++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IFERROR(__xludf.DUMMYFUNCTION("""COMPUTED_VALUE"""),"ES")</f>
        <v>ES</v>
      </c>
      <c r="D18" s="2" t="str">
        <f>IFERROR(__xludf.DUMMYFUNCTION("""COMPUTED_VALUE"""),"CS3307")</f>
        <v>CS3307</v>
      </c>
      <c r="E18" s="2" t="str">
        <f>IFERROR(__xludf.DUMMYFUNCTION("""COMPUTED_VALUE"""),"19AI307")</f>
        <v>19AI307</v>
      </c>
      <c r="F18" s="7" t="str">
        <f>IFERROR(__xludf.DUMMYFUNCTION("""COMPUTED_VALUE"""),"Object Oriented Programming using Java")</f>
        <v>Object Oriented Programming using Java</v>
      </c>
      <c r="G18" s="2" t="str">
        <f>IFERROR(__xludf.DUMMYFUNCTION("""COMPUTED_VALUE"""),"19AI304")</f>
        <v>19AI304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IFERROR(__xludf.DUMMYFUNCTION("""COMPUTED_VALUE"""),"CS3301")</f>
        <v>CS3301</v>
      </c>
      <c r="E19" s="2" t="str">
        <f>IFERROR(__xludf.DUMMYFUNCTION("""COMPUTED_VALUE"""),"19AI301")</f>
        <v>19AI301</v>
      </c>
      <c r="F19" s="7" t="str">
        <f>IFERROR(__xludf.DUMMYFUNCTION("""COMPUTED_VALUE"""),"Python Programming")</f>
        <v>Python Programming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IFERROR(__xludf.DUMMYFUNCTION("""COMPUTED_VALUE"""),"CS3408")</f>
        <v>CS3408</v>
      </c>
      <c r="E20" s="2" t="str">
        <f>IFERROR(__xludf.DUMMYFUNCTION("""COMPUTED_VALUE"""),"19AI408")</f>
        <v>19AI408</v>
      </c>
      <c r="F20" s="7" t="str">
        <f>IFERROR(__xludf.DUMMYFUNCTION("""COMPUTED_VALUE"""),"Data Structures")</f>
        <v>Data Structures</v>
      </c>
      <c r="G20" s="2" t="str">
        <f>IFERROR(__xludf.DUMMYFUNCTION("""COMPUTED_VALUE"""),"19AI304 / CS3304")</f>
        <v>19AI304 / CS3304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IFERROR(__xludf.DUMMYFUNCTION("""COMPUTED_VALUE"""),"CS3801")</f>
        <v>CS3801</v>
      </c>
      <c r="E21" s="2" t="str">
        <f>IFERROR(__xludf.DUMMYFUNCTION("""COMPUTED_VALUE"""),"NA")</f>
        <v>NA</v>
      </c>
      <c r="F21" s="7" t="str">
        <f>IFERROR(__xludf.DUMMYFUNCTION("""COMPUTED_VALUE"""),"Artificial Intelligence and Applications")</f>
        <v>Artificial Intelligence and Applications</v>
      </c>
      <c r="G21" s="2" t="str">
        <f>IFERROR(__xludf.DUMMYFUNCTION("""COMPUTED_VALUE"""),"-")</f>
        <v>-</v>
      </c>
      <c r="H21" s="2">
        <f>IFERROR(__xludf.DUMMYFUNCTION("""COMPUTED_VALUE"""),1)</f>
        <v>1</v>
      </c>
      <c r="I21" s="2">
        <f>IFERROR(__xludf.DUMMYFUNCTION("""COMPUTED_VALUE"""),2)</f>
        <v>2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IFERROR(__xludf.DUMMYFUNCTION("""COMPUTED_VALUE"""),"Theory (Int Only) and Practical (10 Expts)")</f>
        <v>Theory (Int Only) and Practical (10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IFERROR(__xludf.DUMMYFUNCTION("""COMPUTED_VALUE"""),"ME0415")</f>
        <v>ME0415</v>
      </c>
      <c r="E22" s="2" t="str">
        <f>IFERROR(__xludf.DUMMYFUNCTION("""COMPUTED_VALUE"""),"19ME415")</f>
        <v>19ME415</v>
      </c>
      <c r="F22" s="7" t="str">
        <f>IFERROR(__xludf.DUMMYFUNCTION("""COMPUTED_VALUE"""),"Power Generation Engineering")</f>
        <v>Power Generation Engineering</v>
      </c>
      <c r="G22" s="2" t="str">
        <f>IFERROR(__xludf.DUMMYFUNCTION("""COMPUTED_VALUE"""),"-")</f>
        <v>-</v>
      </c>
      <c r="H22" s="2">
        <f>IFERROR(__xludf.DUMMYFUNCTION("""COMPUTED_VALUE"""),4)</f>
        <v>4</v>
      </c>
      <c r="I22" s="2">
        <f>IFERROR(__xludf.DUMMYFUNCTION("""COMPUTED_VALUE"""),0)</f>
        <v>0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IFERROR(__xludf.DUMMYFUNCTION("""COMPUTED_VALUE"""),"Theory")</f>
        <v>Theory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IFERROR(__xludf.DUMMYFUNCTION("""COMPUTED_VALUE"""),"EC2301")</f>
        <v>EC2301</v>
      </c>
      <c r="E23" s="2" t="str">
        <f>IFERROR(__xludf.DUMMYFUNCTION("""COMPUTED_VALUE"""),"19EE301")</f>
        <v>19EE301</v>
      </c>
      <c r="F23" s="7" t="str">
        <f>IFERROR(__xludf.DUMMYFUNCTION("""COMPUTED_VALUE"""),"Electric Circuits and Networks")</f>
        <v>Electric Circuits and Networks</v>
      </c>
      <c r="G23" s="2" t="str">
        <f>IFERROR(__xludf.DUMMYFUNCTION("""COMPUTED_VALUE"""),"19MA202")</f>
        <v>19MA202</v>
      </c>
      <c r="H23" s="2">
        <f>IFERROR(__xludf.DUMMYFUNCTION("""COMPUTED_VALUE"""),3)</f>
        <v>3</v>
      </c>
      <c r="I23" s="2">
        <f>IFERROR(__xludf.DUMMYFUNCTION("""COMPUTED_VALUE"""),1)</f>
        <v>1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IFERROR(__xludf.DUMMYFUNCTION("""COMPUTED_VALUE"""),"EC2801")</f>
        <v>EC2801</v>
      </c>
      <c r="E24" s="2" t="str">
        <f>IFERROR(__xludf.DUMMYFUNCTION("""COMPUTED_VALUE"""),"NA")</f>
        <v>NA</v>
      </c>
      <c r="F24" s="7" t="str">
        <f>IFERROR(__xludf.DUMMYFUNCTION("""COMPUTED_VALUE"""),"Electromagnetic Theory")</f>
        <v>Electromagnetic Theory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IFERROR(__xludf.DUMMYFUNCTION("""COMPUTED_VALUE"""),0)</f>
        <v>0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IFERROR(__xludf.DUMMYFUNCTION("""COMPUTED_VALUE"""),"EC2402")</f>
        <v>EC2402</v>
      </c>
      <c r="E25" s="2" t="str">
        <f>IFERROR(__xludf.DUMMYFUNCTION("""COMPUTED_VALUE"""),"19EE402")</f>
        <v>19EE402</v>
      </c>
      <c r="F25" s="7" t="str">
        <f>IFERROR(__xludf.DUMMYFUNCTION("""COMPUTED_VALUE"""),"Transformers and DC Machines")</f>
        <v>Transformers and DC Machines</v>
      </c>
      <c r="G25" s="2" t="str">
        <f>IFERROR(__xludf.DUMMYFUNCTION("""COMPUTED_VALUE"""),"19EE301,19EE401")</f>
        <v>19EE301,19EE401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IFERROR(__xludf.DUMMYFUNCTION("""COMPUTED_VALUE"""),"EC2403")</f>
        <v>EC2403</v>
      </c>
      <c r="E26" s="2" t="str">
        <f>IFERROR(__xludf.DUMMYFUNCTION("""COMPUTED_VALUE"""),"19EE403")</f>
        <v>19EE403</v>
      </c>
      <c r="F26" s="7" t="str">
        <f>IFERROR(__xludf.DUMMYFUNCTION("""COMPUTED_VALUE"""),"AC Machines")</f>
        <v>AC Machines</v>
      </c>
      <c r="G26" s="2" t="str">
        <f>IFERROR(__xludf.DUMMYFUNCTION("""COMPUTED_VALUE"""),"19EE402")</f>
        <v>19EE402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IFERROR(__xludf.DUMMYFUNCTION("""COMPUTED_VALUE"""),"EC2404")</f>
        <v>EC2404</v>
      </c>
      <c r="E27" s="2" t="str">
        <f>IFERROR(__xludf.DUMMYFUNCTION("""COMPUTED_VALUE"""),"19EE404")</f>
        <v>19EE404</v>
      </c>
      <c r="F27" s="7" t="str">
        <f>IFERROR(__xludf.DUMMYFUNCTION("""COMPUTED_VALUE"""),"Digital Electronics")</f>
        <v>Digital Electronics</v>
      </c>
      <c r="G27" s="2" t="str">
        <f>IFERROR(__xludf.DUMMYFUNCTION("""COMPUTED_VALUE"""),"-")</f>
        <v>-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IFERROR(__xludf.DUMMYFUNCTION("""COMPUTED_VALUE"""),"EC2405")</f>
        <v>EC2405</v>
      </c>
      <c r="E28" s="2" t="str">
        <f>IFERROR(__xludf.DUMMYFUNCTION("""COMPUTED_VALUE"""),"19EE405")</f>
        <v>19EE405</v>
      </c>
      <c r="F28" s="7" t="str">
        <f>IFERROR(__xludf.DUMMYFUNCTION("""COMPUTED_VALUE"""),"Electronic Circuits")</f>
        <v>Electronic Circuits</v>
      </c>
      <c r="G28" s="2" t="str">
        <f>IFERROR(__xludf.DUMMYFUNCTION("""COMPUTED_VALUE"""),"19EE301,19PH212")</f>
        <v>19EE301,19PH212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IFERROR(__xludf.DUMMYFUNCTION("""COMPUTED_VALUE"""),"EC2802")</f>
        <v>EC2802</v>
      </c>
      <c r="E29" s="2" t="str">
        <f>IFERROR(__xludf.DUMMYFUNCTION("""COMPUTED_VALUE"""),"NA")</f>
        <v>NA</v>
      </c>
      <c r="F29" s="7" t="str">
        <f>IFERROR(__xludf.DUMMYFUNCTION("""COMPUTED_VALUE"""),"Measurement and Instrumentation Systems")</f>
        <v>Measurement and Instrumentation Systems</v>
      </c>
      <c r="G29" s="2" t="str">
        <f>IFERROR(__xludf.DUMMYFUNCTION("""COMPUTED_VALUE"""),"-")</f>
        <v>-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IFERROR(__xludf.DUMMYFUNCTION("""COMPUTED_VALUE"""),"EC2407")</f>
        <v>EC2407</v>
      </c>
      <c r="E30" s="2" t="str">
        <f>IFERROR(__xludf.DUMMYFUNCTION("""COMPUTED_VALUE"""),"19EE407")</f>
        <v>19EE407</v>
      </c>
      <c r="F30" s="7" t="str">
        <f>IFERROR(__xludf.DUMMYFUNCTION("""COMPUTED_VALUE"""),"Linear Integrated Circuits and Applications")</f>
        <v>Linear Integrated Circuits and Applications</v>
      </c>
      <c r="G30" s="2" t="str">
        <f>IFERROR(__xludf.DUMMYFUNCTION("""COMPUTED_VALUE"""),"19EE405")</f>
        <v>19EE405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IFERROR(__xludf.DUMMYFUNCTION("""COMPUTED_VALUE"""),"EC2803")</f>
        <v>EC2803</v>
      </c>
      <c r="E31" s="2" t="str">
        <f>IFERROR(__xludf.DUMMYFUNCTION("""COMPUTED_VALUE"""),"NA")</f>
        <v>NA</v>
      </c>
      <c r="F31" s="7" t="str">
        <f>IFERROR(__xludf.DUMMYFUNCTION("""COMPUTED_VALUE"""),"Control Systems")</f>
        <v>Control Systems</v>
      </c>
      <c r="G31" s="2" t="str">
        <f>IFERROR(__xludf.DUMMYFUNCTION("""COMPUTED_VALUE"""),"EC2301")</f>
        <v>EC2301</v>
      </c>
      <c r="H31" s="2">
        <f>IFERROR(__xludf.DUMMYFUNCTION("""COMPUTED_VALUE"""),2)</f>
        <v>2</v>
      </c>
      <c r="I31" s="2">
        <f>IFERROR(__xludf.DUMMYFUNCTION("""COMPUTED_VALUE"""),1)</f>
        <v>1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IFERROR(__xludf.DUMMYFUNCTION("""COMPUTED_VALUE"""),"EC2804")</f>
        <v>EC2804</v>
      </c>
      <c r="E32" s="2" t="str">
        <f>IFERROR(__xludf.DUMMYFUNCTION("""COMPUTED_VALUE"""),"NA")</f>
        <v>NA</v>
      </c>
      <c r="F32" s="7" t="str">
        <f>IFERROR(__xludf.DUMMYFUNCTION("""COMPUTED_VALUE"""),"Electrical Power Transmission and Distribution Systems")</f>
        <v>Electrical Power Transmission and Distribution Systems</v>
      </c>
      <c r="G32" s="2" t="str">
        <f>IFERROR(__xludf.DUMMYFUNCTION("""COMPUTED_VALUE"""),"EC2301")</f>
        <v>EC2301</v>
      </c>
      <c r="H32" s="2">
        <f>IFERROR(__xludf.DUMMYFUNCTION("""COMPUTED_VALUE"""),3)</f>
        <v>3</v>
      </c>
      <c r="I32" s="2">
        <f>IFERROR(__xludf.DUMMYFUNCTION("""COMPUTED_VALUE"""),0)</f>
        <v>0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IFERROR(__xludf.DUMMYFUNCTION("""COMPUTED_VALUE"""),"Theory")</f>
        <v>Theory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IFERROR(__xludf.DUMMYFUNCTION("""COMPUTED_VALUE"""),"EC2410")</f>
        <v>EC2410</v>
      </c>
      <c r="E33" s="2" t="str">
        <f>IFERROR(__xludf.DUMMYFUNCTION("""COMPUTED_VALUE"""),"19EE410")</f>
        <v>19EE410</v>
      </c>
      <c r="F33" s="7" t="str">
        <f>IFERROR(__xludf.DUMMYFUNCTION("""COMPUTED_VALUE"""),"Power System Analysis")</f>
        <v>Power System Analysis</v>
      </c>
      <c r="G33" s="2" t="str">
        <f>IFERROR(__xludf.DUMMYFUNCTION("""COMPUTED_VALUE"""),"19MA207,19EE409")</f>
        <v>19MA207,19EE409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IFERROR(__xludf.DUMMYFUNCTION("""COMPUTED_VALUE"""),"EC2411")</f>
        <v>EC2411</v>
      </c>
      <c r="E34" s="2" t="str">
        <f>IFERROR(__xludf.DUMMYFUNCTION("""COMPUTED_VALUE"""),"19EE411")</f>
        <v>19EE411</v>
      </c>
      <c r="F34" s="7" t="str">
        <f>IFERROR(__xludf.DUMMYFUNCTION("""COMPUTED_VALUE"""),"Power Electronics")</f>
        <v>Power Electronics</v>
      </c>
      <c r="G34" s="2" t="str">
        <f>IFERROR(__xludf.DUMMYFUNCTION("""COMPUTED_VALUE"""),"19PH212")</f>
        <v>19PH212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IFERROR(__xludf.DUMMYFUNCTION("""COMPUTED_VALUE"""),"EC2830")</f>
        <v>EC2830</v>
      </c>
      <c r="E35" s="2" t="str">
        <f>IFERROR(__xludf.DUMMYFUNCTION("""COMPUTED_VALUE"""),"NA")</f>
        <v>NA</v>
      </c>
      <c r="F35" s="7" t="str">
        <f>IFERROR(__xludf.DUMMYFUNCTION("""COMPUTED_VALUE"""),"Microprocessor and Microcontroller Systems")</f>
        <v>Microprocessor and Microcontroller Systems</v>
      </c>
      <c r="G35" s="2" t="str">
        <f>IFERROR(__xludf.DUMMYFUNCTION("""COMPUTED_VALUE"""),"EC2404")</f>
        <v>EC2404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IFERROR(__xludf.DUMMYFUNCTION("""COMPUTED_VALUE"""),"EC2805")</f>
        <v>EC2805</v>
      </c>
      <c r="E36" s="2" t="str">
        <f>IFERROR(__xludf.DUMMYFUNCTION("""COMPUTED_VALUE"""),"NA")</f>
        <v>NA</v>
      </c>
      <c r="F36" s="7" t="str">
        <f>IFERROR(__xludf.DUMMYFUNCTION("""COMPUTED_VALUE"""),"Solid State Drives and Control")</f>
        <v>Solid State Drives and Control</v>
      </c>
      <c r="G36" s="2" t="str">
        <f>IFERROR(__xludf.DUMMYFUNCTION("""COMPUTED_VALUE"""),"EC2411")</f>
        <v>EC2411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IFERROR(__xludf.DUMMYFUNCTION("""COMPUTED_VALUE"""),"EC2806")</f>
        <v>EC2806</v>
      </c>
      <c r="E37" s="2" t="str">
        <f>IFERROR(__xludf.DUMMYFUNCTION("""COMPUTED_VALUE"""),"NA")</f>
        <v>NA</v>
      </c>
      <c r="F37" s="7" t="str">
        <f>IFERROR(__xludf.DUMMYFUNCTION("""COMPUTED_VALUE"""),"Digital Signal Processing")</f>
        <v>Digital Signal Processing</v>
      </c>
      <c r="G37" s="2" t="str">
        <f>IFERROR(__xludf.DUMMYFUNCTION("""COMPUTED_VALUE"""),"EC2404")</f>
        <v>EC2404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IFERROR(__xludf.DUMMYFUNCTION("""COMPUTED_VALUE"""),"EC2415")</f>
        <v>EC2415</v>
      </c>
      <c r="E38" s="2" t="str">
        <f>IFERROR(__xludf.DUMMYFUNCTION("""COMPUTED_VALUE"""),"19EE415")</f>
        <v>19EE415</v>
      </c>
      <c r="F38" s="7" t="str">
        <f>IFERROR(__xludf.DUMMYFUNCTION("""COMPUTED_VALUE"""),"High Voltage Engineering")</f>
        <v>High Voltage Engineering</v>
      </c>
      <c r="G38" s="2" t="str">
        <f>IFERROR(__xludf.DUMMYFUNCTION("""COMPUTED_VALUE"""),"
 19EE409")</f>
        <v>
 19EE409</v>
      </c>
      <c r="H38" s="2">
        <f>IFERROR(__xludf.DUMMYFUNCTION("""COMPUTED_VALUE"""),3)</f>
        <v>3</v>
      </c>
      <c r="I38" s="2">
        <f>IFERROR(__xludf.DUMMYFUNCTION("""COMPUTED_VALUE"""),0)</f>
        <v>0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IFERROR(__xludf.DUMMYFUNCTION("""COMPUTED_VALUE"""),"Theory")</f>
        <v>Theory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IFERROR(__xludf.DUMMYFUNCTION("""COMPUTED_VALUE"""),"EC2807")</f>
        <v>EC2807</v>
      </c>
      <c r="E39" s="2" t="str">
        <f>IFERROR(__xludf.DUMMYFUNCTION("""COMPUTED_VALUE"""),"NA")</f>
        <v>NA</v>
      </c>
      <c r="F39" s="7" t="str">
        <f>IFERROR(__xludf.DUMMYFUNCTION("""COMPUTED_VALUE"""),"Fundamentals of Renewable Energy Systems")</f>
        <v>Fundamentals of Renewable Energy Systems</v>
      </c>
      <c r="G39" s="2" t="str">
        <f>IFERROR(__xludf.DUMMYFUNCTION("""COMPUTED_VALUE"""),"-")</f>
        <v>-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IFERROR(__xludf.DUMMYFUNCTION("""COMPUTED_VALUE"""),"PE(Honours 1)")</f>
        <v>PE(Honours 1)</v>
      </c>
      <c r="D40" s="2" t="str">
        <f>IFERROR(__xludf.DUMMYFUNCTION("""COMPUTED_VALUE"""),"EC2506")</f>
        <v>EC2506</v>
      </c>
      <c r="E40" s="2" t="str">
        <f>IFERROR(__xludf.DUMMYFUNCTION("""COMPUTED_VALUE"""),"19EE506")</f>
        <v>19EE506</v>
      </c>
      <c r="F40" s="7" t="str">
        <f>IFERROR(__xludf.DUMMYFUNCTION("""COMPUTED_VALUE"""),"Restructured Power Systems")</f>
        <v>Restructured Power Systems</v>
      </c>
      <c r="G40" s="2" t="str">
        <f>IFERROR(__xludf.DUMMYFUNCTION("""COMPUTED_VALUE"""),"19EE413")</f>
        <v>19EE413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IFERROR(__xludf.DUMMYFUNCTION("""COMPUTED_VALUE"""),"PE(Honours 1)")</f>
        <v>PE(Honours 1)</v>
      </c>
      <c r="D41" s="2" t="str">
        <f>IFERROR(__xludf.DUMMYFUNCTION("""COMPUTED_VALUE"""),"EC2504")</f>
        <v>EC2504</v>
      </c>
      <c r="E41" s="2" t="str">
        <f>IFERROR(__xludf.DUMMYFUNCTION("""COMPUTED_VALUE"""),"19EE504")</f>
        <v>19EE504</v>
      </c>
      <c r="F41" s="7" t="str">
        <f>IFERROR(__xludf.DUMMYFUNCTION("""COMPUTED_VALUE"""),"Flexible AC Transmission Systems")</f>
        <v>Flexible AC Transmission Systems</v>
      </c>
      <c r="G41" s="2" t="str">
        <f>IFERROR(__xludf.DUMMYFUNCTION("""COMPUTED_VALUE"""),"19EE413")</f>
        <v>19EE413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IFERROR(__xludf.DUMMYFUNCTION("""COMPUTED_VALUE"""),"PE(Honours 1)")</f>
        <v>PE(Honours 1)</v>
      </c>
      <c r="D42" s="2" t="str">
        <f>IFERROR(__xludf.DUMMYFUNCTION("""COMPUTED_VALUE"""),"EC2810")</f>
        <v>EC2810</v>
      </c>
      <c r="E42" s="2" t="str">
        <f>IFERROR(__xludf.DUMMYFUNCTION("""COMPUTED_VALUE"""),"NA")</f>
        <v>NA</v>
      </c>
      <c r="F42" s="7" t="str">
        <f>IFERROR(__xludf.DUMMYFUNCTION("""COMPUTED_VALUE"""),"Energy Storage Technologies")</f>
        <v>Energy Storage Technologies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IFERROR(__xludf.DUMMYFUNCTION("""COMPUTED_VALUE"""),"PE(Honours 1)")</f>
        <v>PE(Honours 1)</v>
      </c>
      <c r="D43" s="2" t="str">
        <f>IFERROR(__xludf.DUMMYFUNCTION("""COMPUTED_VALUE"""),"EC2809")</f>
        <v>EC2809</v>
      </c>
      <c r="E43" s="2" t="str">
        <f>IFERROR(__xludf.DUMMYFUNCTION("""COMPUTED_VALUE"""),"NA")</f>
        <v>NA</v>
      </c>
      <c r="F43" s="7" t="str">
        <f>IFERROR(__xludf.DUMMYFUNCTION("""COMPUTED_VALUE"""),"Power Quality")</f>
        <v>Power Quality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IFERROR(__xludf.DUMMYFUNCTION("""COMPUTED_VALUE"""),"PE(Honours 1)")</f>
        <v>PE(Honours 1)</v>
      </c>
      <c r="D44" s="2" t="str">
        <f>IFERROR(__xludf.DUMMYFUNCTION("""COMPUTED_VALUE"""),"EC2812")</f>
        <v>EC2812</v>
      </c>
      <c r="E44" s="2" t="str">
        <f>IFERROR(__xludf.DUMMYFUNCTION("""COMPUTED_VALUE"""),"NA")</f>
        <v>NA</v>
      </c>
      <c r="F44" s="7" t="str">
        <f>IFERROR(__xludf.DUMMYFUNCTION("""COMPUTED_VALUE"""),"Microgrid Modelling and Analysis")</f>
        <v>Microgrid Modelling and Analysis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IFERROR(__xludf.DUMMYFUNCTION("""COMPUTED_VALUE"""),"PE(Honours 1)")</f>
        <v>PE(Honours 1)</v>
      </c>
      <c r="D45" s="2" t="str">
        <f>IFERROR(__xludf.DUMMYFUNCTION("""COMPUTED_VALUE"""),"EC2813")</f>
        <v>EC2813</v>
      </c>
      <c r="E45" s="2" t="str">
        <f>IFERROR(__xludf.DUMMYFUNCTION("""COMPUTED_VALUE"""),"NA")</f>
        <v>NA</v>
      </c>
      <c r="F45" s="7" t="str">
        <f>IFERROR(__xludf.DUMMYFUNCTION("""COMPUTED_VALUE"""),"Microgrid Protection and Control")</f>
        <v>Microgrid Protection and Control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IFERROR(__xludf.DUMMYFUNCTION("""COMPUTED_VALUE"""),"PE(Honours 2)")</f>
        <v>PE(Honours 2)</v>
      </c>
      <c r="D46" s="2" t="str">
        <f>IFERROR(__xludf.DUMMYFUNCTION("""COMPUTED_VALUE"""),"EC2814")</f>
        <v>EC2814</v>
      </c>
      <c r="E46" s="2" t="str">
        <f>IFERROR(__xludf.DUMMYFUNCTION("""COMPUTED_VALUE"""),"NA")</f>
        <v>NA</v>
      </c>
      <c r="F46" s="7" t="str">
        <f>IFERROR(__xludf.DUMMYFUNCTION("""COMPUTED_VALUE"""),"Wind Energy and Sustainability")</f>
        <v>Wind Energy and Sustainability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IFERROR(__xludf.DUMMYFUNCTION("""COMPUTED_VALUE"""),"PE(Honours 2)")</f>
        <v>PE(Honours 2)</v>
      </c>
      <c r="D47" s="2" t="str">
        <f>IFERROR(__xludf.DUMMYFUNCTION("""COMPUTED_VALUE"""),"EC2815")</f>
        <v>EC2815</v>
      </c>
      <c r="E47" s="2" t="str">
        <f>IFERROR(__xludf.DUMMYFUNCTION("""COMPUTED_VALUE"""),"NA")</f>
        <v>NA</v>
      </c>
      <c r="F47" s="7" t="str">
        <f>IFERROR(__xludf.DUMMYFUNCTION("""COMPUTED_VALUE"""),"Smart Grid Technology for Renewable Energy System")</f>
        <v>Smart Grid Technology for Renewable Energy System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IFERROR(__xludf.DUMMYFUNCTION("""COMPUTED_VALUE"""),"PE(Honours 2)")</f>
        <v>PE(Honours 2)</v>
      </c>
      <c r="D48" s="2" t="str">
        <f>IFERROR(__xludf.DUMMYFUNCTION("""COMPUTED_VALUE"""),"EC2816")</f>
        <v>EC2816</v>
      </c>
      <c r="E48" s="2" t="str">
        <f>IFERROR(__xludf.DUMMYFUNCTION("""COMPUTED_VALUE"""),"NA")</f>
        <v>NA</v>
      </c>
      <c r="F48" s="7" t="str">
        <f>IFERROR(__xludf.DUMMYFUNCTION("""COMPUTED_VALUE"""),"Grid Connected and Standalone PV Solar Plant Design")</f>
        <v>Grid Connected and Standalone PV Solar Plant Design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IFERROR(__xludf.DUMMYFUNCTION("""COMPUTED_VALUE"""),"PE(Honours 2)")</f>
        <v>PE(Honours 2)</v>
      </c>
      <c r="D49" s="2" t="str">
        <f>IFERROR(__xludf.DUMMYFUNCTION("""COMPUTED_VALUE"""),"EC2817")</f>
        <v>EC2817</v>
      </c>
      <c r="E49" s="2" t="str">
        <f>IFERROR(__xludf.DUMMYFUNCTION("""COMPUTED_VALUE"""),"NA")</f>
        <v>NA</v>
      </c>
      <c r="F49" s="7" t="str">
        <f>IFERROR(__xludf.DUMMYFUNCTION("""COMPUTED_VALUE"""),"Energy Forecasting and Modelling")</f>
        <v>Energy Forecasting and Modelling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IFERROR(__xludf.DUMMYFUNCTION("""COMPUTED_VALUE"""),"PE(Honours 2)")</f>
        <v>PE(Honours 2)</v>
      </c>
      <c r="D50" s="2" t="str">
        <f>IFERROR(__xludf.DUMMYFUNCTION("""COMPUTED_VALUE"""),"EC2818")</f>
        <v>EC2818</v>
      </c>
      <c r="E50" s="2" t="str">
        <f>IFERROR(__xludf.DUMMYFUNCTION("""COMPUTED_VALUE"""),"NA")</f>
        <v>NA</v>
      </c>
      <c r="F50" s="7" t="str">
        <f>IFERROR(__xludf.DUMMYFUNCTION("""COMPUTED_VALUE"""),"Solar Energy Engineering and Technology")</f>
        <v>Solar Energy Engineering and Technology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IFERROR(__xludf.DUMMYFUNCTION("""COMPUTED_VALUE"""),"PE(Honours 2)")</f>
        <v>PE(Honours 2)</v>
      </c>
      <c r="D51" s="2" t="str">
        <f>IFERROR(__xludf.DUMMYFUNCTION("""COMPUTED_VALUE"""),"EC2819")</f>
        <v>EC2819</v>
      </c>
      <c r="E51" s="2" t="str">
        <f>IFERROR(__xludf.DUMMYFUNCTION("""COMPUTED_VALUE"""),"NA")</f>
        <v>NA</v>
      </c>
      <c r="F51" s="7" t="str">
        <f>IFERROR(__xludf.DUMMYFUNCTION("""COMPUTED_VALUE"""),"Power Electronics for Renewable Energy Systems")</f>
        <v>Power Electronics for Renewable Energy Systems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IFERROR(__xludf.DUMMYFUNCTION("""COMPUTED_VALUE"""),"PE(Honours 3)")</f>
        <v>PE(Honours 3)</v>
      </c>
      <c r="D52" s="2" t="str">
        <f>IFERROR(__xludf.DUMMYFUNCTION("""COMPUTED_VALUE"""),"EC2820")</f>
        <v>EC2820</v>
      </c>
      <c r="E52" s="2" t="str">
        <f>IFERROR(__xludf.DUMMYFUNCTION("""COMPUTED_VALUE"""),"NA")</f>
        <v>NA</v>
      </c>
      <c r="F52" s="7" t="str">
        <f>IFERROR(__xludf.DUMMYFUNCTION("""COMPUTED_VALUE"""),"Embedded System Design")</f>
        <v>Embedded System Design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IFERROR(__xludf.DUMMYFUNCTION("""COMPUTED_VALUE"""),"PE(Honours 3)")</f>
        <v>PE(Honours 3)</v>
      </c>
      <c r="D53" s="2" t="str">
        <f>IFERROR(__xludf.DUMMYFUNCTION("""COMPUTED_VALUE"""),"EC2821")</f>
        <v>EC2821</v>
      </c>
      <c r="E53" s="2" t="str">
        <f>IFERROR(__xludf.DUMMYFUNCTION("""COMPUTED_VALUE"""),"NA")</f>
        <v>NA</v>
      </c>
      <c r="F53" s="7" t="str">
        <f>IFERROR(__xludf.DUMMYFUNCTION("""COMPUTED_VALUE"""),"Embedded Control for Electric Drives")</f>
        <v>Embedded Control for Electric Drives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IFERROR(__xludf.DUMMYFUNCTION("""COMPUTED_VALUE"""),"PE(Honours 3)")</f>
        <v>PE(Honours 3)</v>
      </c>
      <c r="D54" s="2" t="str">
        <f>IFERROR(__xludf.DUMMYFUNCTION("""COMPUTED_VALUE"""),"EC2822")</f>
        <v>EC2822</v>
      </c>
      <c r="E54" s="2" t="str">
        <f>IFERROR(__xludf.DUMMYFUNCTION("""COMPUTED_VALUE"""),"NA")</f>
        <v>NA</v>
      </c>
      <c r="F54" s="7" t="str">
        <f>IFERROR(__xludf.DUMMYFUNCTION("""COMPUTED_VALUE"""),"Embedded System for Automotive Applications")</f>
        <v>Embedded System for Automotive Applications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IFERROR(__xludf.DUMMYFUNCTION("""COMPUTED_VALUE"""),"PE(Honours 3)")</f>
        <v>PE(Honours 3)</v>
      </c>
      <c r="D55" s="2" t="str">
        <f>IFERROR(__xludf.DUMMYFUNCTION("""COMPUTED_VALUE"""),"EC2823")</f>
        <v>EC2823</v>
      </c>
      <c r="E55" s="2" t="str">
        <f>IFERROR(__xludf.DUMMYFUNCTION("""COMPUTED_VALUE"""),"NA")</f>
        <v>NA</v>
      </c>
      <c r="F55" s="7" t="str">
        <f>IFERROR(__xludf.DUMMYFUNCTION("""COMPUTED_VALUE"""),"Embedded Processors")</f>
        <v>Embedded Processors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IFERROR(__xludf.DUMMYFUNCTION("""COMPUTED_VALUE"""),"PE(Honours 3)")</f>
        <v>PE(Honours 3)</v>
      </c>
      <c r="D56" s="2" t="str">
        <f>IFERROR(__xludf.DUMMYFUNCTION("""COMPUTED_VALUE"""),"EC2824")</f>
        <v>EC2824</v>
      </c>
      <c r="E56" s="2" t="str">
        <f>IFERROR(__xludf.DUMMYFUNCTION("""COMPUTED_VALUE"""),"NA")</f>
        <v>NA</v>
      </c>
      <c r="F56" s="7" t="str">
        <f>IFERROR(__xludf.DUMMYFUNCTION("""COMPUTED_VALUE"""),"Embedded C- Programming")</f>
        <v>Embedded C- Programming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IFERROR(__xludf.DUMMYFUNCTION("""COMPUTED_VALUE"""),"PE(Honours 3)")</f>
        <v>PE(Honours 3)</v>
      </c>
      <c r="D57" s="2" t="str">
        <f>IFERROR(__xludf.DUMMYFUNCTION("""COMPUTED_VALUE"""),"EC2825")</f>
        <v>EC2825</v>
      </c>
      <c r="E57" s="2" t="str">
        <f>IFERROR(__xludf.DUMMYFUNCTION("""COMPUTED_VALUE"""),"NA")</f>
        <v>NA</v>
      </c>
      <c r="F57" s="7" t="str">
        <f>IFERROR(__xludf.DUMMYFUNCTION("""COMPUTED_VALUE"""),"Smart System Automation")</f>
        <v>Smart System Automation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IFERROR(__xludf.DUMMYFUNCTION("""COMPUTED_VALUE"""),"PE(Honours 4)")</f>
        <v>PE(Honours 4)</v>
      </c>
      <c r="D58" s="2" t="str">
        <f>IFERROR(__xludf.DUMMYFUNCTION("""COMPUTED_VALUE"""),"EC2526")</f>
        <v>EC2526</v>
      </c>
      <c r="E58" s="2" t="str">
        <f>IFERROR(__xludf.DUMMYFUNCTION("""COMPUTED_VALUE"""),"19EE526")</f>
        <v>19EE526</v>
      </c>
      <c r="F58" s="7" t="str">
        <f>IFERROR(__xludf.DUMMYFUNCTION("""COMPUTED_VALUE"""),"Introduction to Fundamentals of Electric Vehicles")</f>
        <v>Introduction to Fundamentals of Electric Vehicles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IFERROR(__xludf.DUMMYFUNCTION("""COMPUTED_VALUE"""),"PE(Honours 4)")</f>
        <v>PE(Honours 4)</v>
      </c>
      <c r="D59" s="2" t="str">
        <f>IFERROR(__xludf.DUMMYFUNCTION("""COMPUTED_VALUE"""),"EC2527")</f>
        <v>EC2527</v>
      </c>
      <c r="E59" s="2" t="str">
        <f>IFERROR(__xludf.DUMMYFUNCTION("""COMPUTED_VALUE"""),"19EE527")</f>
        <v>19EE527</v>
      </c>
      <c r="F59" s="7" t="str">
        <f>IFERROR(__xludf.DUMMYFUNCTION("""COMPUTED_VALUE"""),"Electric Vehicle Powertrain and Integration")</f>
        <v>Electric Vehicle Powertrain and Integration</v>
      </c>
      <c r="G59" s="2" t="str">
        <f>IFERROR(__xludf.DUMMYFUNCTION("""COMPUTED_VALUE"""),"19EE526/EC2526")</f>
        <v>19EE526/EC2526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IFERROR(__xludf.DUMMYFUNCTION("""COMPUTED_VALUE"""),"PE(Honours 4)")</f>
        <v>PE(Honours 4)</v>
      </c>
      <c r="D60" s="2" t="str">
        <f>IFERROR(__xludf.DUMMYFUNCTION("""COMPUTED_VALUE"""),"EC2528")</f>
        <v>EC2528</v>
      </c>
      <c r="E60" s="2" t="str">
        <f>IFERROR(__xludf.DUMMYFUNCTION("""COMPUTED_VALUE"""),"19EE528")</f>
        <v>19EE528</v>
      </c>
      <c r="F60" s="7" t="str">
        <f>IFERROR(__xludf.DUMMYFUNCTION("""COMPUTED_VALUE"""),"Electric Vehicle Charging Infrastructure")</f>
        <v>Electric Vehicle Charging Infrastructure</v>
      </c>
      <c r="G60" s="2" t="str">
        <f>IFERROR(__xludf.DUMMYFUNCTION("""COMPUTED_VALUE"""),"19EE526/EC2526")</f>
        <v>19EE526/EC2526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IFERROR(__xludf.DUMMYFUNCTION("""COMPUTED_VALUE"""),"PE(Honours 4)")</f>
        <v>PE(Honours 4)</v>
      </c>
      <c r="D61" s="2" t="str">
        <f>IFERROR(__xludf.DUMMYFUNCTION("""COMPUTED_VALUE"""),"EC2529")</f>
        <v>EC2529</v>
      </c>
      <c r="E61" s="2" t="str">
        <f>IFERROR(__xludf.DUMMYFUNCTION("""COMPUTED_VALUE"""),"19EE529")</f>
        <v>19EE529</v>
      </c>
      <c r="F61" s="7" t="str">
        <f>IFERROR(__xludf.DUMMYFUNCTION("""COMPUTED_VALUE"""),"Electric Vehicle Grid Integration")</f>
        <v>Electric Vehicle Grid Integration</v>
      </c>
      <c r="G61" s="2" t="str">
        <f>IFERROR(__xludf.DUMMYFUNCTION("""COMPUTED_VALUE"""),"19EE526/EC2526")</f>
        <v>19EE526/EC2526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IFERROR(__xludf.DUMMYFUNCTION("""COMPUTED_VALUE"""),"PE(Honours 4)")</f>
        <v>PE(Honours 4)</v>
      </c>
      <c r="D62" s="2" t="str">
        <f>IFERROR(__xludf.DUMMYFUNCTION("""COMPUTED_VALUE"""),"EC2530")</f>
        <v>EC2530</v>
      </c>
      <c r="E62" s="2" t="str">
        <f>IFERROR(__xludf.DUMMYFUNCTION("""COMPUTED_VALUE"""),"19EE530")</f>
        <v>19EE530</v>
      </c>
      <c r="F62" s="7" t="str">
        <f>IFERROR(__xludf.DUMMYFUNCTION("""COMPUTED_VALUE"""),"Embedded IoT for Electric Vehicles")</f>
        <v>Embedded IoT for Electric Vehicles</v>
      </c>
      <c r="G62" s="2" t="str">
        <f>IFERROR(__xludf.DUMMYFUNCTION("""COMPUTED_VALUE"""),"EC2526")</f>
        <v>EC2526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IFERROR(__xludf.DUMMYFUNCTION("""COMPUTED_VALUE"""),"PE(Honours 4)")</f>
        <v>PE(Honours 4)</v>
      </c>
      <c r="D63" s="2" t="str">
        <f>IFERROR(__xludf.DUMMYFUNCTION("""COMPUTED_VALUE"""),"EC2531")</f>
        <v>EC2531</v>
      </c>
      <c r="E63" s="2" t="str">
        <f>IFERROR(__xludf.DUMMYFUNCTION("""COMPUTED_VALUE"""),"19EE531")</f>
        <v>19EE531</v>
      </c>
      <c r="F63" s="7" t="str">
        <f>IFERROR(__xludf.DUMMYFUNCTION("""COMPUTED_VALUE"""),"Embedded AI for Electric Vehicles")</f>
        <v>Embedded AI for Electric Vehicles</v>
      </c>
      <c r="G63" s="2" t="str">
        <f>IFERROR(__xludf.DUMMYFUNCTION("""COMPUTED_VALUE"""),"19EE526/EC2526")</f>
        <v>19EE526/EC2526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IFERROR(__xludf.DUMMYFUNCTION("""COMPUTED_VALUE"""),"PE(Honours 4)")</f>
        <v>PE(Honours 4)</v>
      </c>
      <c r="D64" s="2" t="str">
        <f>IFERROR(__xludf.DUMMYFUNCTION("""COMPUTED_VALUE"""),"EC2532")</f>
        <v>EC2532</v>
      </c>
      <c r="E64" s="2" t="str">
        <f>IFERROR(__xludf.DUMMYFUNCTION("""COMPUTED_VALUE"""),"19EE532")</f>
        <v>19EE532</v>
      </c>
      <c r="F64" s="7" t="str">
        <f>IFERROR(__xludf.DUMMYFUNCTION("""COMPUTED_VALUE"""),"Battery Technologies and Management Systems for Electric Vehicles")</f>
        <v>Battery Technologies and Management Systems for Electric Vehicles</v>
      </c>
      <c r="G64" s="2" t="str">
        <f>IFERROR(__xludf.DUMMYFUNCTION("""COMPUTED_VALUE"""),"19EE526/EC2526")</f>
        <v>19EE526/EC2526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IFERROR(__xludf.DUMMYFUNCTION("""COMPUTED_VALUE"""),"PE(Honours)")</f>
        <v>PE(Honours)</v>
      </c>
      <c r="D65" s="2" t="str">
        <f>IFERROR(__xludf.DUMMYFUNCTION("""COMPUTED_VALUE"""),"EC1410")</f>
        <v>EC1410</v>
      </c>
      <c r="E65" s="2" t="str">
        <f>IFERROR(__xludf.DUMMYFUNCTION("""COMPUTED_VALUE"""),"19EC410")</f>
        <v>19EC410</v>
      </c>
      <c r="F65" s="7" t="str">
        <f>IFERROR(__xludf.DUMMYFUNCTION("""COMPUTED_VALUE"""),"VLSI Design")</f>
        <v>VLSI Design</v>
      </c>
      <c r="G65" s="2" t="str">
        <f>IFERROR(__xludf.DUMMYFUNCTION("""COMPUTED_VALUE"""),"19EC303 / EC1801 / EC2404")</f>
        <v>19EC303 / EC1801 / EC2404</v>
      </c>
      <c r="H65" s="2">
        <f>IFERROR(__xludf.DUMMYFUNCTION("""COMPUTED_VALUE"""),3)</f>
        <v>3</v>
      </c>
      <c r="I65" s="2">
        <f>IFERROR(__xludf.DUMMYFUNCTION("""COMPUTED_VALUE"""),1)</f>
        <v>1</v>
      </c>
      <c r="J65" s="2">
        <f>IFERROR(__xludf.DUMMYFUNCTION("""COMPUTED_VALUE"""),4)</f>
        <v>4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IFERROR(__xludf.DUMMYFUNCTION("""COMPUTED_VALUE"""),"PE(Honours)")</f>
        <v>PE(Honours)</v>
      </c>
      <c r="D66" s="2" t="str">
        <f>IFERROR(__xludf.DUMMYFUNCTION("""COMPUTED_VALUE"""),"EC1523")</f>
        <v>EC1523</v>
      </c>
      <c r="E66" s="2" t="str">
        <f>IFERROR(__xludf.DUMMYFUNCTION("""COMPUTED_VALUE"""),"19EC523")</f>
        <v>19EC523</v>
      </c>
      <c r="F66" s="7" t="str">
        <f>IFERROR(__xludf.DUMMYFUNCTION("""COMPUTED_VALUE"""),"Verilog HDL")</f>
        <v>Verilog HDL</v>
      </c>
      <c r="G66" s="2" t="str">
        <f>IFERROR(__xludf.DUMMYFUNCTION("""COMPUTED_VALUE"""),"19EC303 / EC1801 / EC2404")</f>
        <v>19EC303 / EC1801 / EC2404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IFERROR(__xludf.DUMMYFUNCTION("""COMPUTED_VALUE"""),"PE(Honours)")</f>
        <v>PE(Honours)</v>
      </c>
      <c r="D67" s="2" t="str">
        <f>IFERROR(__xludf.DUMMYFUNCTION("""COMPUTED_VALUE"""),"EC1521")</f>
        <v>EC1521</v>
      </c>
      <c r="E67" s="2" t="str">
        <f>IFERROR(__xludf.DUMMYFUNCTION("""COMPUTED_VALUE"""),"19EC521")</f>
        <v>19EC521</v>
      </c>
      <c r="F67" s="7" t="str">
        <f>IFERROR(__xludf.DUMMYFUNCTION("""COMPUTED_VALUE"""),"System Verilog for Design and Verification")</f>
        <v>System Verilog for Design and Verification</v>
      </c>
      <c r="G67" s="2" t="str">
        <f>IFERROR(__xludf.DUMMYFUNCTION("""COMPUTED_VALUE""")," 19EC523 / EC1523")</f>
        <v> 19EC523 / EC1523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IFERROR(__xludf.DUMMYFUNCTION("""COMPUTED_VALUE"""),"PE(Honours)")</f>
        <v>PE(Honours)</v>
      </c>
      <c r="D68" s="2" t="str">
        <f>IFERROR(__xludf.DUMMYFUNCTION("""COMPUTED_VALUE"""),"EC1522")</f>
        <v>EC1522</v>
      </c>
      <c r="E68" s="2" t="str">
        <f>IFERROR(__xludf.DUMMYFUNCTION("""COMPUTED_VALUE"""),"19EC522")</f>
        <v>19EC522</v>
      </c>
      <c r="F68" s="7" t="str">
        <f>IFERROR(__xludf.DUMMYFUNCTION("""COMPUTED_VALUE"""),"Physical Design for VLSI")</f>
        <v>Physical Design for VLSI</v>
      </c>
      <c r="G68" s="2" t="str">
        <f>IFERROR(__xludf.DUMMYFUNCTION("""COMPUTED_VALUE"""),"19EC410 / EC1410")</f>
        <v>19EC410 / EC1410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IFERROR(__xludf.DUMMYFUNCTION("""COMPUTED_VALUE"""),"PE(Honours)")</f>
        <v>PE(Honours)</v>
      </c>
      <c r="D69" s="2" t="str">
        <f>IFERROR(__xludf.DUMMYFUNCTION("""COMPUTED_VALUE"""),"EC1822")</f>
        <v>EC1822</v>
      </c>
      <c r="E69" s="2" t="str">
        <f>IFERROR(__xludf.DUMMYFUNCTION("""COMPUTED_VALUE"""),"19EC822")</f>
        <v>19EC822</v>
      </c>
      <c r="F69" s="7" t="str">
        <f>IFERROR(__xludf.DUMMYFUNCTION("""COMPUTED_VALUE"""),"VLSI Technology")</f>
        <v>VLSI Technology</v>
      </c>
      <c r="G69" s="2" t="str">
        <f>IFERROR(__xludf.DUMMYFUNCTION("""COMPUTED_VALUE"""),"EC1410 / 19EC410")</f>
        <v>EC1410 / 19EC410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IFERROR(__xludf.DUMMYFUNCTION("""COMPUTED_VALUE"""),"PE(Honours)")</f>
        <v>PE(Honours)</v>
      </c>
      <c r="D70" s="2" t="str">
        <f>IFERROR(__xludf.DUMMYFUNCTION("""COMPUTED_VALUE"""),"EC1517")</f>
        <v>EC1517</v>
      </c>
      <c r="E70" s="2" t="str">
        <f>IFERROR(__xludf.DUMMYFUNCTION("""COMPUTED_VALUE"""),"19EC517")</f>
        <v>19EC517</v>
      </c>
      <c r="F70" s="7" t="str">
        <f>IFERROR(__xludf.DUMMYFUNCTION("""COMPUTED_VALUE"""),"Low Power VLSI Design")</f>
        <v>Low Power VLSI Design</v>
      </c>
      <c r="G70" s="2" t="str">
        <f>IFERROR(__xludf.DUMMYFUNCTION("""COMPUTED_VALUE"""),"19EC410 / EC1410")</f>
        <v>19EC410 / EC1410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IFERROR(__xludf.DUMMYFUNCTION("""COMPUTED_VALUE"""),"PE(Honours)")</f>
        <v>PE(Honours)</v>
      </c>
      <c r="D71" s="2" t="str">
        <f>IFERROR(__xludf.DUMMYFUNCTION("""COMPUTED_VALUE"""),"EC1519")</f>
        <v>EC1519</v>
      </c>
      <c r="E71" s="2" t="str">
        <f>IFERROR(__xludf.DUMMYFUNCTION("""COMPUTED_VALUE"""),"19EC519")</f>
        <v>19EC519</v>
      </c>
      <c r="F71" s="7" t="str">
        <f>IFERROR(__xludf.DUMMYFUNCTION("""COMPUTED_VALUE"""),"Testing of VLSI Circuits")</f>
        <v>Testing of VLSI Circuits</v>
      </c>
      <c r="G71" s="2" t="str">
        <f>IFERROR(__xludf.DUMMYFUNCTION("""COMPUTED_VALUE"""),"19EC410 / EC1410")</f>
        <v>19EC410 / EC1410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IFERROR(__xludf.DUMMYFUNCTION("""COMPUTED_VALUE"""),"CS3404")</f>
        <v>CS3404</v>
      </c>
      <c r="E72" s="2" t="str">
        <f>IFERROR(__xludf.DUMMYFUNCTION("""COMPUTED_VALUE"""),"19AI404")</f>
        <v>19AI404</v>
      </c>
      <c r="F72" s="7" t="str">
        <f>IFERROR(__xludf.DUMMYFUNCTION("""COMPUTED_VALUE"""),"Analysis of Algorithms")</f>
        <v>Analysis of Algorithms</v>
      </c>
      <c r="G72" s="2" t="str">
        <f>IFERROR(__xludf.DUMMYFUNCTION("""COMPUTED_VALUE"""),"19AI301")</f>
        <v>19AI301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IFERROR(__xludf.DUMMYFUNCTION("""COMPUTED_VALUE"""),"CS1404")</f>
        <v>CS1404</v>
      </c>
      <c r="E73" s="2" t="str">
        <f>IFERROR(__xludf.DUMMYFUNCTION("""COMPUTED_VALUE"""),"19CS404")</f>
        <v>19CS404</v>
      </c>
      <c r="F73" s="3" t="str">
        <f>IFERROR(__xludf.DUMMYFUNCTION("""COMPUTED_VALUE"""),"Database Management System and its Applications")</f>
        <v>Database Management System and its Applications</v>
      </c>
      <c r="G73" s="2" t="str">
        <f>IFERROR(__xludf.DUMMYFUNCTION("""COMPUTED_VALUE"""),"19AI301/19AI304/19CS301/19CS302/19CS303")</f>
        <v>19AI301/19AI304/19CS301/19CS302/19CS303</v>
      </c>
      <c r="H73" s="2">
        <f>IFERROR(__xludf.DUMMYFUNCTION("""COMPUTED_VALUE"""),3)</f>
        <v>3</v>
      </c>
      <c r="I73" s="2">
        <f>IFERROR(__xludf.DUMMYFUNCTION("""COMPUTED_VALUE"""),1)</f>
        <v>1</v>
      </c>
      <c r="J73" s="2">
        <f>IFERROR(__xludf.DUMMYFUNCTION("""COMPUTED_VALUE"""),4)</f>
        <v>4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IFERROR(__xludf.DUMMYFUNCTION("""COMPUTED_VALUE"""),"CS1509")</f>
        <v>CS1509</v>
      </c>
      <c r="E74" s="2" t="str">
        <f>IFERROR(__xludf.DUMMYFUNCTION("""COMPUTED_VALUE"""),"19CS509")</f>
        <v>19CS509</v>
      </c>
      <c r="F74" s="7" t="str">
        <f>IFERROR(__xludf.DUMMYFUNCTION("""COMPUTED_VALUE"""),"Graph Theory and Applications")</f>
        <v>Graph Theory and Applications</v>
      </c>
      <c r="G74" s="2" t="str">
        <f>IFERROR(__xludf.DUMMYFUNCTION("""COMPUTED_VALUE"""),"19MA206")</f>
        <v>19MA206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IFERROR(__xludf.DUMMYFUNCTION("""COMPUTED_VALUE"""),"CS3410")</f>
        <v>CS3410</v>
      </c>
      <c r="E75" s="2" t="str">
        <f>IFERROR(__xludf.DUMMYFUNCTION("""COMPUTED_VALUE"""),"19AI410")</f>
        <v>19AI410</v>
      </c>
      <c r="F75" s="7" t="str">
        <f>IFERROR(__xludf.DUMMYFUNCTION("""COMPUTED_VALUE"""),"Introduction to Machine Learning")</f>
        <v>Introduction to Machine Learning</v>
      </c>
      <c r="G75" s="2" t="str">
        <f>IFERROR(__xludf.DUMMYFUNCTION("""COMPUTED_VALUE"""),"-")</f>
        <v>-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IFERROR(__xludf.DUMMYFUNCTION("""COMPUTED_VALUE"""),"EC2508")</f>
        <v>EC2508</v>
      </c>
      <c r="E76" s="2" t="str">
        <f>IFERROR(__xludf.DUMMYFUNCTION("""COMPUTED_VALUE"""),"19EE508")</f>
        <v>19EE508</v>
      </c>
      <c r="F76" s="7" t="str">
        <f>IFERROR(__xludf.DUMMYFUNCTION("""COMPUTED_VALUE"""),"Power System Transients")</f>
        <v>Power System Transients</v>
      </c>
      <c r="G76" s="2" t="str">
        <f>IFERROR(__xludf.DUMMYFUNCTION("""COMPUTED_VALUE"""),"19EE415")</f>
        <v>19EE415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IFERROR(__xludf.DUMMYFUNCTION("""COMPUTED_VALUE"""),"EC2511")</f>
        <v>EC2511</v>
      </c>
      <c r="E77" s="2" t="str">
        <f>IFERROR(__xludf.DUMMYFUNCTION("""COMPUTED_VALUE"""),"19EE511")</f>
        <v>19EE511</v>
      </c>
      <c r="F77" s="7" t="str">
        <f>IFERROR(__xludf.DUMMYFUNCTION("""COMPUTED_VALUE"""),"Protection and Switchgear")</f>
        <v>Protection and Switchgear</v>
      </c>
      <c r="G77" s="2" t="str">
        <f>IFERROR(__xludf.DUMMYFUNCTION("""COMPUTED_VALUE"""),"19EE403,19EE411,19EE413, EC2804")</f>
        <v>19EE403,19EE411,19EE413, EC2804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IFERROR(__xludf.DUMMYFUNCTION("""COMPUTED_VALUE"""),"EC2512")</f>
        <v>EC2512</v>
      </c>
      <c r="E78" s="2" t="str">
        <f>IFERROR(__xludf.DUMMYFUNCTION("""COMPUTED_VALUE"""),"19EE512")</f>
        <v>19EE512</v>
      </c>
      <c r="F78" s="7" t="str">
        <f>IFERROR(__xludf.DUMMYFUNCTION("""COMPUTED_VALUE"""),"Utilisation, Safety and Maintenance of Electrical Systems")</f>
        <v>Utilisation, Safety and Maintenance of Electrical Systems</v>
      </c>
      <c r="G78" s="2" t="str">
        <f>IFERROR(__xludf.DUMMYFUNCTION("""COMPUTED_VALUE"""),"19EE403")</f>
        <v>19EE403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IFERROR(__xludf.DUMMYFUNCTION("""COMPUTED_VALUE"""),"EC2827")</f>
        <v>EC2827</v>
      </c>
      <c r="E79" s="2" t="str">
        <f>IFERROR(__xludf.DUMMYFUNCTION("""COMPUTED_VALUE"""),"NA")</f>
        <v>NA</v>
      </c>
      <c r="F79" s="7" t="str">
        <f>IFERROR(__xludf.DUMMYFUNCTION("""COMPUTED_VALUE"""),"Substation Engineering and Automation")</f>
        <v>Substation Engineering and Automation</v>
      </c>
      <c r="G79" s="2" t="str">
        <f>IFERROR(__xludf.DUMMYFUNCTION("""COMPUTED_VALUE"""),"-")</f>
        <v>-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IFERROR(__xludf.DUMMYFUNCTION("""COMPUTED_VALUE"""),"EC2828")</f>
        <v>EC2828</v>
      </c>
      <c r="E80" s="2" t="str">
        <f>IFERROR(__xludf.DUMMYFUNCTION("""COMPUTED_VALUE"""),"NA")</f>
        <v>NA</v>
      </c>
      <c r="F80" s="7" t="str">
        <f>IFERROR(__xludf.DUMMYFUNCTION("""COMPUTED_VALUE"""),"Sustainable Engineering Design for Indoor And Outdoor Illumination")</f>
        <v>Sustainable Engineering Design for Indoor And Outdoor Illumination</v>
      </c>
      <c r="G80" s="2" t="str">
        <f>IFERROR(__xludf.DUMMYFUNCTION("""COMPUTED_VALUE"""),"-")</f>
        <v>-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IFERROR(__xludf.DUMMYFUNCTION("""COMPUTED_VALUE"""),"EC2509")</f>
        <v>EC2509</v>
      </c>
      <c r="E81" s="2" t="str">
        <f>IFERROR(__xludf.DUMMYFUNCTION("""COMPUTED_VALUE"""),"19EE509")</f>
        <v>19EE509</v>
      </c>
      <c r="F81" s="7" t="str">
        <f>IFERROR(__xludf.DUMMYFUNCTION("""COMPUTED_VALUE"""),"Energy Management and Auditing")</f>
        <v>Energy Management and Auditing</v>
      </c>
      <c r="G81" s="2" t="str">
        <f>IFERROR(__xludf.DUMMYFUNCTION("""COMPUTED_VALUE"""),"-")</f>
        <v>-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IFERROR(__xludf.DUMMYFUNCTION("""COMPUTED_VALUE"""),"EC2516")</f>
        <v>EC2516</v>
      </c>
      <c r="E82" s="2" t="str">
        <f>IFERROR(__xludf.DUMMYFUNCTION("""COMPUTED_VALUE"""),"19EE516")</f>
        <v>19EE516</v>
      </c>
      <c r="F82" s="7" t="str">
        <f>IFERROR(__xludf.DUMMYFUNCTION("""COMPUTED_VALUE"""),"Computer Aided Design of Electrical Machines")</f>
        <v>Computer Aided Design of Electrical Machines</v>
      </c>
      <c r="G82" s="2" t="str">
        <f>IFERROR(__xludf.DUMMYFUNCTION("""COMPUTED_VALUE"""),"19EE403,19PH207, EC2403")</f>
        <v>19EE403,19PH207, EC2403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IFERROR(__xludf.DUMMYFUNCTION("""COMPUTED_VALUE"""),"EC1520")</f>
        <v>EC1520</v>
      </c>
      <c r="E83" s="2" t="str">
        <f>IFERROR(__xludf.DUMMYFUNCTION("""COMPUTED_VALUE"""),"19EC520")</f>
        <v>19EC520</v>
      </c>
      <c r="F83" s="7" t="str">
        <f>IFERROR(__xludf.DUMMYFUNCTION("""COMPUTED_VALUE"""),"Introduction to MEMS and NEMS")</f>
        <v>Introduction to MEMS and NEMS</v>
      </c>
      <c r="G83" s="2" t="str">
        <f>IFERROR(__xludf.DUMMYFUNCTION("""COMPUTED_VALUE"""),"-")</f>
        <v>-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IFERROR(__xludf.DUMMYFUNCTION("""COMPUTED_VALUE"""),"EC2515")</f>
        <v>EC2515</v>
      </c>
      <c r="E84" s="2" t="str">
        <f>IFERROR(__xludf.DUMMYFUNCTION("""COMPUTED_VALUE"""),"19EE515")</f>
        <v>19EE515</v>
      </c>
      <c r="F84" s="7" t="str">
        <f>IFERROR(__xludf.DUMMYFUNCTION("""COMPUTED_VALUE"""),"Soft Computing Techniques")</f>
        <v>Soft Computing Techniques</v>
      </c>
      <c r="G84" s="2" t="str">
        <f>IFERROR(__xludf.DUMMYFUNCTION("""COMPUTED_VALUE"""),"-")</f>
        <v>-</v>
      </c>
      <c r="H84" s="2">
        <f>IFERROR(__xludf.DUMMYFUNCTION("""COMPUTED_VALUE"""),3)</f>
        <v>3</v>
      </c>
      <c r="I84" s="2">
        <f>IFERROR(__xludf.DUMMYFUNCTION("""COMPUTED_VALUE"""),0)</f>
        <v>0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IFERROR(__xludf.DUMMYFUNCTION("""COMPUTED_VALUE"""),"Theory")</f>
        <v>Theory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IFERROR(__xludf.DUMMYFUNCTION("""COMPUTED_VALUE"""),"CS1542")</f>
        <v>CS1542</v>
      </c>
      <c r="E85" s="2" t="str">
        <f>IFERROR(__xludf.DUMMYFUNCTION("""COMPUTED_VALUE"""),"19CS542")</f>
        <v>19CS542</v>
      </c>
      <c r="F85" s="7" t="str">
        <f>IFERROR(__xludf.DUMMYFUNCTION("""COMPUTED_VALUE"""),"Embedded Board Design")</f>
        <v>Embedded Board Design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IFERROR(__xludf.DUMMYFUNCTION("""COMPUTED_VALUE"""),"OE")</f>
        <v>OE</v>
      </c>
      <c r="D86" s="2" t="str">
        <f>IFERROR(__xludf.DUMMYFUNCTION("""COMPUTED_VALUE"""),"XXXXXX")</f>
        <v>XXXXXX</v>
      </c>
      <c r="E86" s="2" t="str">
        <f>IFERROR(__xludf.DUMMYFUNCTION("""COMPUTED_VALUE"""),"19XXXXX")</f>
        <v>19XXXXX</v>
      </c>
      <c r="F86" s="3" t="str">
        <f>IFERROR(__xludf.DUMMYFUNCTION("""COMPUTED_VALUE"""),"Open Electives")</f>
        <v>Open Electives</v>
      </c>
      <c r="G86" s="2" t="str">
        <f>IFERROR(__xludf.DUMMYFUNCTION("""COMPUTED_VALUE"""),"-")</f>
        <v>-</v>
      </c>
      <c r="H86" s="2">
        <f>IFERROR(__xludf.DUMMYFUNCTION("""COMPUTED_VALUE"""),0)</f>
        <v>0</v>
      </c>
      <c r="I86" s="2">
        <f>IFERROR(__xludf.DUMMYFUNCTION("""COMPUTED_VALUE"""),0)</f>
        <v>0</v>
      </c>
      <c r="J86" s="2">
        <f>IFERROR(__xludf.DUMMYFUNCTION("""COMPUTED_VALUE"""),0)</f>
        <v>0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IFERROR(__xludf.DUMMYFUNCTION("""COMPUTED_VALUE"""),"Online")</f>
        <v>Online</v>
      </c>
      <c r="D87" s="2" t="str">
        <f>IFERROR(__xludf.DUMMYFUNCTION("""COMPUTED_VALUE"""),"XXXXXX")</f>
        <v>XXXXXX</v>
      </c>
      <c r="E87" s="2" t="str">
        <f>IFERROR(__xludf.DUMMYFUNCTION("""COMPUTED_VALUE"""),"19XXXXX")</f>
        <v>19XXXXX</v>
      </c>
      <c r="F87" s="3" t="str">
        <f>IFERROR(__xludf.DUMMYFUNCTION("""COMPUTED_VALUE"""),"Online Courses")</f>
        <v>Online Courses</v>
      </c>
      <c r="G87" s="2" t="str">
        <f>IFERROR(__xludf.DUMMYFUNCTION("""COMPUTED_VALUE"""),"-")</f>
        <v>-</v>
      </c>
      <c r="H87" s="2">
        <f>IFERROR(__xludf.DUMMYFUNCTION("""COMPUTED_VALUE"""),0)</f>
        <v>0</v>
      </c>
      <c r="I87" s="2">
        <f>IFERROR(__xludf.DUMMYFUNCTION("""COMPUTED_VALUE"""),0)</f>
        <v>0</v>
      </c>
      <c r="J87" s="2">
        <f>IFERROR(__xludf.DUMMYFUNCTION("""COMPUTED_VALUE"""),0)</f>
        <v>0</v>
      </c>
      <c r="K87" s="2" t="str">
        <f>IFERROR(__xludf.DUMMYFUNCTION("""COMPUTED_VALUE"""),"CGPA")</f>
        <v>CGPA</v>
      </c>
      <c r="L87" s="2" t="str">
        <f>IFERROR(__xludf.DUMMYFUNCTION("""COMPUTED_VALUE"""),"Experiential Learning")</f>
        <v>Experiential Learning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IFERROR(__xludf.DUMMYFUNCTION("""COMPUTED_VALUE"""),"EEC")</f>
        <v>EEC</v>
      </c>
      <c r="D88" s="2" t="str">
        <f>IFERROR(__xludf.DUMMYFUNCTION("""COMPUTED_VALUE"""),"EC2701")</f>
        <v>EC2701</v>
      </c>
      <c r="E88" s="2" t="str">
        <f>IFERROR(__xludf.DUMMYFUNCTION("""COMPUTED_VALUE"""),"19EE701")</f>
        <v>19EE701</v>
      </c>
      <c r="F88" s="7" t="str">
        <f>IFERROR(__xludf.DUMMYFUNCTION("""COMPUTED_VALUE"""),"Mini Project")</f>
        <v>Mini Project</v>
      </c>
      <c r="G88" s="2" t="str">
        <f>IFERROR(__xludf.DUMMYFUNCTION("""COMPUTED_VALUE"""),"-")</f>
        <v>-</v>
      </c>
      <c r="H88" s="2">
        <f>IFERROR(__xludf.DUMMYFUNCTION("""COMPUTED_VALUE"""),0)</f>
        <v>0</v>
      </c>
      <c r="I88" s="2">
        <f>IFERROR(__xludf.DUMMYFUNCTION("""COMPUTED_VALUE"""),2)</f>
        <v>2</v>
      </c>
      <c r="J88" s="2">
        <f>IFERROR(__xludf.DUMMYFUNCTION("""COMPUTED_VALUE"""),2)</f>
        <v>2</v>
      </c>
      <c r="K88" s="2" t="str">
        <f>IFERROR(__xludf.DUMMYFUNCTION("""COMPUTED_VALUE"""),"CGPA")</f>
        <v>CGPA</v>
      </c>
      <c r="L88" s="2" t="str">
        <f>IFERROR(__xludf.DUMMYFUNCTION("""COMPUTED_VALUE"""),"Project (Int Only)")</f>
        <v>Project (Int Only)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 t="str">
        <f>IFERROR(__xludf.DUMMYFUNCTION("""COMPUTED_VALUE"""),"Option 1")</f>
        <v>Option 1</v>
      </c>
      <c r="C89" s="2" t="str">
        <f>IFERROR(__xludf.DUMMYFUNCTION("""COMPUTED_VALUE"""),"EEC")</f>
        <v>EEC</v>
      </c>
      <c r="D89" s="2" t="str">
        <f>IFERROR(__xludf.DUMMYFUNCTION("""COMPUTED_VALUE"""),"EC2702")</f>
        <v>EC2702</v>
      </c>
      <c r="E89" s="2" t="str">
        <f>IFERROR(__xludf.DUMMYFUNCTION("""COMPUTED_VALUE"""),"19EE702")</f>
        <v>19EE702</v>
      </c>
      <c r="F89" s="7" t="str">
        <f>IFERROR(__xludf.DUMMYFUNCTION("""COMPUTED_VALUE"""),"Project Work Phase I")</f>
        <v>Project Work Phase I</v>
      </c>
      <c r="G89" s="2" t="str">
        <f>IFERROR(__xludf.DUMMYFUNCTION("""COMPUTED_VALUE"""),"-")</f>
        <v>-</v>
      </c>
      <c r="H89" s="2">
        <f>IFERROR(__xludf.DUMMYFUNCTION("""COMPUTED_VALUE"""),0)</f>
        <v>0</v>
      </c>
      <c r="I89" s="2">
        <f>IFERROR(__xludf.DUMMYFUNCTION("""COMPUTED_VALUE"""),2)</f>
        <v>2</v>
      </c>
      <c r="J89" s="2">
        <f>IFERROR(__xludf.DUMMYFUNCTION("""COMPUTED_VALUE"""),2)</f>
        <v>2</v>
      </c>
      <c r="K89" s="2" t="str">
        <f>IFERROR(__xludf.DUMMYFUNCTION("""COMPUTED_VALUE"""),"CGPA")</f>
        <v>CGPA</v>
      </c>
      <c r="L89" s="2" t="str">
        <f>IFERROR(__xludf.DUMMYFUNCTION("""COMPUTED_VALUE"""),"Project (Int Only)")</f>
        <v>Project (Int Only)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 t="str">
        <f>IFERROR(__xludf.DUMMYFUNCTION("""COMPUTED_VALUE"""),"Option 1")</f>
        <v>Option 1</v>
      </c>
      <c r="C90" s="2" t="str">
        <f>IFERROR(__xludf.DUMMYFUNCTION("""COMPUTED_VALUE"""),"EEC")</f>
        <v>EEC</v>
      </c>
      <c r="D90" s="2" t="str">
        <f>IFERROR(__xludf.DUMMYFUNCTION("""COMPUTED_VALUE"""),"EC2703")</f>
        <v>EC2703</v>
      </c>
      <c r="E90" s="2" t="str">
        <f>IFERROR(__xludf.DUMMYFUNCTION("""COMPUTED_VALUE"""),"19EE703")</f>
        <v>19EE703</v>
      </c>
      <c r="F90" s="7" t="str">
        <f>IFERROR(__xludf.DUMMYFUNCTION("""COMPUTED_VALUE"""),"Project Work Phase II")</f>
        <v>Project Work Phase II</v>
      </c>
      <c r="G90" s="2" t="str">
        <f>IFERROR(__xludf.DUMMYFUNCTION("""COMPUTED_VALUE"""),"19EE702 / EC2702")</f>
        <v>19EE702 / EC2702</v>
      </c>
      <c r="H90" s="2">
        <f>IFERROR(__xludf.DUMMYFUNCTION("""COMPUTED_VALUE"""),0)</f>
        <v>0</v>
      </c>
      <c r="I90" s="2">
        <f>IFERROR(__xludf.DUMMYFUNCTION("""COMPUTED_VALUE"""),6)</f>
        <v>6</v>
      </c>
      <c r="J90" s="2">
        <f>IFERROR(__xludf.DUMMYFUNCTION("""COMPUTED_VALUE"""),6)</f>
        <v>6</v>
      </c>
      <c r="K90" s="2" t="str">
        <f>IFERROR(__xludf.DUMMYFUNCTION("""COMPUTED_VALUE"""),"CGPA")</f>
        <v>CGPA</v>
      </c>
      <c r="L90" s="2" t="str">
        <f>IFERROR(__xludf.DUMMYFUNCTION("""COMPUTED_VALUE"""),"Project")</f>
        <v>Project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 t="str">
        <f>IFERROR(__xludf.DUMMYFUNCTION("""COMPUTED_VALUE"""),"Option 2")</f>
        <v>Option 2</v>
      </c>
      <c r="C91" s="2" t="str">
        <f>IFERROR(__xludf.DUMMYFUNCTION("""COMPUTED_VALUE"""),"EEC")</f>
        <v>EEC</v>
      </c>
      <c r="D91" s="2" t="str">
        <f>IFERROR(__xludf.DUMMYFUNCTION("""COMPUTED_VALUE"""),"SH6802")</f>
        <v>SH6802</v>
      </c>
      <c r="E91" s="2" t="str">
        <f>IFERROR(__xludf.DUMMYFUNCTION("""COMPUTED_VALUE"""),"NA")</f>
        <v>NA</v>
      </c>
      <c r="F91" s="3" t="str">
        <f>IFERROR(__xludf.DUMMYFUNCTION("""COMPUTED_VALUE"""),"Start Up")</f>
        <v>Start Up</v>
      </c>
      <c r="G91" s="2" t="str">
        <f>IFERROR(__xludf.DUMMYFUNCTION("""COMPUTED_VALUE"""),"-")</f>
        <v>-</v>
      </c>
      <c r="H91" s="2">
        <f>IFERROR(__xludf.DUMMYFUNCTION("""COMPUTED_VALUE"""),0)</f>
        <v>0</v>
      </c>
      <c r="I91" s="2">
        <f>IFERROR(__xludf.DUMMYFUNCTION("""COMPUTED_VALUE"""),8)</f>
        <v>8</v>
      </c>
      <c r="J91" s="2">
        <f>IFERROR(__xludf.DUMMYFUNCTION("""COMPUTED_VALUE"""),8)</f>
        <v>8</v>
      </c>
      <c r="K91" s="2" t="str">
        <f>IFERROR(__xludf.DUMMYFUNCTION("""COMPUTED_VALUE"""),"CGPA")</f>
        <v>CGPA</v>
      </c>
      <c r="L91" s="2" t="str">
        <f>IFERROR(__xludf.DUMMYFUNCTION("""COMPUTED_VALUE"""),"Project")</f>
        <v>Project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IFERROR(__xludf.DUMMYFUNCTION("""COMPUTED_VALUE"""),"EEC")</f>
        <v>EEC</v>
      </c>
      <c r="D92" s="2" t="str">
        <f>IFERROR(__xludf.DUMMYFUNCTION("""COMPUTED_VALUE"""),"SH6708")</f>
        <v>SH6708</v>
      </c>
      <c r="E92" s="2" t="str">
        <f>IFERROR(__xludf.DUMMYFUNCTION("""COMPUTED_VALUE"""),"19EY708")</f>
        <v>19EY708</v>
      </c>
      <c r="F92" s="7" t="str">
        <f>IFERROR(__xludf.DUMMYFUNCTION("""COMPUTED_VALUE"""),"Career Development Skills")</f>
        <v>Career Development Skills</v>
      </c>
      <c r="G92" s="2" t="str">
        <f>IFERROR(__xludf.DUMMYFUNCTION("""COMPUTED_VALUE"""),"NIL")</f>
        <v>NIL</v>
      </c>
      <c r="H92" s="2">
        <f>IFERROR(__xludf.DUMMYFUNCTION("""COMPUTED_VALUE"""),1)</f>
        <v>1</v>
      </c>
      <c r="I92" s="2">
        <f>IFERROR(__xludf.DUMMYFUNCTION("""COMPUTED_VALUE"""),0)</f>
        <v>0</v>
      </c>
      <c r="J92" s="2">
        <f>IFERROR(__xludf.DUMMYFUNCTION("""COMPUTED_VALUE"""),1)</f>
        <v>1</v>
      </c>
      <c r="K92" s="2" t="str">
        <f>IFERROR(__xludf.DUMMYFUNCTION("""COMPUTED_VALUE"""),"CGPA")</f>
        <v>CGPA</v>
      </c>
      <c r="L92" s="2" t="str">
        <f>IFERROR(__xludf.DUMMYFUNCTION("""COMPUTED_VALUE"""),"Theory (Int Only)")</f>
        <v>Theory (Int Only)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IFERROR(__xludf.DUMMYFUNCTION("""COMPUTED_VALUE"""),"EEC")</f>
        <v>EEC</v>
      </c>
      <c r="D93" s="2" t="str">
        <f>IFERROR(__xludf.DUMMYFUNCTION("""COMPUTED_VALUE"""),"SH6709")</f>
        <v>SH6709</v>
      </c>
      <c r="E93" s="2" t="str">
        <f>IFERROR(__xludf.DUMMYFUNCTION("""COMPUTED_VALUE"""),"19EY709")</f>
        <v>19EY709</v>
      </c>
      <c r="F93" s="7" t="str">
        <f>IFERROR(__xludf.DUMMYFUNCTION("""COMPUTED_VALUE"""),"Reasoning Ability")</f>
        <v>Reasoning Ability</v>
      </c>
      <c r="G93" s="2" t="str">
        <f>IFERROR(__xludf.DUMMYFUNCTION("""COMPUTED_VALUE"""),"NIL")</f>
        <v>NIL</v>
      </c>
      <c r="H93" s="2">
        <f>IFERROR(__xludf.DUMMYFUNCTION("""COMPUTED_VALUE"""),1)</f>
        <v>1</v>
      </c>
      <c r="I93" s="2">
        <f>IFERROR(__xludf.DUMMYFUNCTION("""COMPUTED_VALUE"""),0)</f>
        <v>0</v>
      </c>
      <c r="J93" s="2">
        <f>IFERROR(__xludf.DUMMYFUNCTION("""COMPUTED_VALUE"""),1)</f>
        <v>1</v>
      </c>
      <c r="K93" s="2" t="str">
        <f>IFERROR(__xludf.DUMMYFUNCTION("""COMPUTED_VALUE"""),"CGPA")</f>
        <v>CGPA</v>
      </c>
      <c r="L93" s="2" t="str">
        <f>IFERROR(__xludf.DUMMYFUNCTION("""COMPUTED_VALUE"""),"Theory (Int Only)")</f>
        <v>Theory (Int Only)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IFERROR(__xludf.DUMMYFUNCTION("""COMPUTED_VALUE"""),"EEC")</f>
        <v>EEC</v>
      </c>
      <c r="D94" s="2" t="str">
        <f>IFERROR(__xludf.DUMMYFUNCTION("""COMPUTED_VALUE"""),"SH6710")</f>
        <v>SH6710</v>
      </c>
      <c r="E94" s="2" t="str">
        <f>IFERROR(__xludf.DUMMYFUNCTION("""COMPUTED_VALUE"""),"19EY710")</f>
        <v>19EY710</v>
      </c>
      <c r="F94" s="7" t="str">
        <f>IFERROR(__xludf.DUMMYFUNCTION("""COMPUTED_VALUE"""),"Quantitative Ability I")</f>
        <v>Quantitative Ability I</v>
      </c>
      <c r="G94" s="2" t="str">
        <f>IFERROR(__xludf.DUMMYFUNCTION("""COMPUTED_VALUE"""),"NIL")</f>
        <v>NIL</v>
      </c>
      <c r="H94" s="2">
        <f>IFERROR(__xludf.DUMMYFUNCTION("""COMPUTED_VALUE"""),1)</f>
        <v>1</v>
      </c>
      <c r="I94" s="2">
        <f>IFERROR(__xludf.DUMMYFUNCTION("""COMPUTED_VALUE"""),0)</f>
        <v>0</v>
      </c>
      <c r="J94" s="2">
        <f>IFERROR(__xludf.DUMMYFUNCTION("""COMPUTED_VALUE"""),1)</f>
        <v>1</v>
      </c>
      <c r="K94" s="2" t="str">
        <f>IFERROR(__xludf.DUMMYFUNCTION("""COMPUTED_VALUE"""),"CGPA")</f>
        <v>CGPA</v>
      </c>
      <c r="L94" s="2" t="str">
        <f>IFERROR(__xludf.DUMMYFUNCTION("""COMPUTED_VALUE"""),"Theory (Int Only)")</f>
        <v>Theory (Int Only)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IFERROR(__xludf.DUMMYFUNCTION("""COMPUTED_VALUE"""),"EEC")</f>
        <v>EEC</v>
      </c>
      <c r="D95" s="2" t="str">
        <f>IFERROR(__xludf.DUMMYFUNCTION("""COMPUTED_VALUE"""),"SH6711")</f>
        <v>SH6711</v>
      </c>
      <c r="E95" s="2" t="str">
        <f>IFERROR(__xludf.DUMMYFUNCTION("""COMPUTED_VALUE"""),"19EY711")</f>
        <v>19EY711</v>
      </c>
      <c r="F95" s="7" t="str">
        <f>IFERROR(__xludf.DUMMYFUNCTION("""COMPUTED_VALUE"""),"Quantitative Ability II")</f>
        <v>Quantitative Ability II</v>
      </c>
      <c r="G95" s="2" t="str">
        <f>IFERROR(__xludf.DUMMYFUNCTION("""COMPUTED_VALUE"""),"SH6710 /19EY710")</f>
        <v>SH6710 /19EY710</v>
      </c>
      <c r="H95" s="2">
        <f>IFERROR(__xludf.DUMMYFUNCTION("""COMPUTED_VALUE"""),1)</f>
        <v>1</v>
      </c>
      <c r="I95" s="2">
        <f>IFERROR(__xludf.DUMMYFUNCTION("""COMPUTED_VALUE"""),0)</f>
        <v>0</v>
      </c>
      <c r="J95" s="2">
        <f>IFERROR(__xludf.DUMMYFUNCTION("""COMPUTED_VALUE"""),1)</f>
        <v>1</v>
      </c>
      <c r="K95" s="2" t="str">
        <f>IFERROR(__xludf.DUMMYFUNCTION("""COMPUTED_VALUE"""),"CGPA")</f>
        <v>CGPA</v>
      </c>
      <c r="L95" s="2" t="str">
        <f>IFERROR(__xludf.DUMMYFUNCTION("""COMPUTED_VALUE"""),"Theory (Int Only)")</f>
        <v>Theory (Int Only)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IFERROR(__xludf.DUMMYFUNCTION("""COMPUTED_VALUE"""),"EEC")</f>
        <v>EEC</v>
      </c>
      <c r="D96" s="2" t="str">
        <f>IFERROR(__xludf.DUMMYFUNCTION("""COMPUTED_VALUE"""),"SH6712")</f>
        <v>SH6712</v>
      </c>
      <c r="E96" s="2" t="str">
        <f>IFERROR(__xludf.DUMMYFUNCTION("""COMPUTED_VALUE"""),"19EY712")</f>
        <v>19EY712</v>
      </c>
      <c r="F96" s="7" t="str">
        <f>IFERROR(__xludf.DUMMYFUNCTION("""COMPUTED_VALUE"""),"Employment Enrichment Skills")</f>
        <v>Employment Enrichment Skills</v>
      </c>
      <c r="G96" s="2" t="str">
        <f>IFERROR(__xludf.DUMMYFUNCTION("""COMPUTED_VALUE"""),"19EY702 / 19EY709 / SH6709")</f>
        <v>19EY702 / 19EY709 / SH6709</v>
      </c>
      <c r="H96" s="2">
        <f>IFERROR(__xludf.DUMMYFUNCTION("""COMPUTED_VALUE"""),1)</f>
        <v>1</v>
      </c>
      <c r="I96" s="2">
        <f>IFERROR(__xludf.DUMMYFUNCTION("""COMPUTED_VALUE"""),0)</f>
        <v>0</v>
      </c>
      <c r="J96" s="2">
        <f>IFERROR(__xludf.DUMMYFUNCTION("""COMPUTED_VALUE"""),1)</f>
        <v>1</v>
      </c>
      <c r="K96" s="2" t="str">
        <f>IFERROR(__xludf.DUMMYFUNCTION("""COMPUTED_VALUE"""),"CGPA")</f>
        <v>CGPA</v>
      </c>
      <c r="L96" s="2" t="str">
        <f>IFERROR(__xludf.DUMMYFUNCTION("""COMPUTED_VALUE"""),"Theory (Int Only)")</f>
        <v>Theory (Int Only)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IFERROR(__xludf.DUMMYFUNCTION("""COMPUTED_VALUE"""),"EEC")</f>
        <v>EEC</v>
      </c>
      <c r="D97" s="2" t="str">
        <f>IFERROR(__xludf.DUMMYFUNCTION("""COMPUTED_VALUE"""),"SH6713")</f>
        <v>SH6713</v>
      </c>
      <c r="E97" s="2" t="str">
        <f>IFERROR(__xludf.DUMMYFUNCTION("""COMPUTED_VALUE"""),"19EY713")</f>
        <v>19EY713</v>
      </c>
      <c r="F97" s="7" t="str">
        <f>IFERROR(__xludf.DUMMYFUNCTION("""COMPUTED_VALUE"""),"Placement Readiness Assessment")</f>
        <v>Placement Readiness Assessment</v>
      </c>
      <c r="G97" s="2" t="str">
        <f>IFERROR(__xludf.DUMMYFUNCTION("""COMPUTED_VALUE"""),"19EY704 / 19EY711/SH6711")</f>
        <v>19EY704 / 19EY711/SH6711</v>
      </c>
      <c r="H97" s="2">
        <f>IFERROR(__xludf.DUMMYFUNCTION("""COMPUTED_VALUE"""),1)</f>
        <v>1</v>
      </c>
      <c r="I97" s="2">
        <f>IFERROR(__xludf.DUMMYFUNCTION("""COMPUTED_VALUE"""),0)</f>
        <v>0</v>
      </c>
      <c r="J97" s="2">
        <f>IFERROR(__xludf.DUMMYFUNCTION("""COMPUTED_VALUE"""),1)</f>
        <v>1</v>
      </c>
      <c r="K97" s="2" t="str">
        <f>IFERROR(__xludf.DUMMYFUNCTION("""COMPUTED_VALUE"""),"CGPA")</f>
        <v>CGPA</v>
      </c>
      <c r="L97" s="2" t="str">
        <f>IFERROR(__xludf.DUMMYFUNCTION("""COMPUTED_VALUE"""),"Theory (Int Only)")</f>
        <v>Theory (Int Only)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IFERROR(__xludf.DUMMYFUNCTION("""COMPUTED_VALUE"""),"EEC")</f>
        <v>EEC</v>
      </c>
      <c r="D98" s="2" t="str">
        <f>IFERROR(__xludf.DUMMYFUNCTION("""COMPUTED_VALUE"""),"SH6707")</f>
        <v>SH6707</v>
      </c>
      <c r="E98" s="2" t="str">
        <f>IFERROR(__xludf.DUMMYFUNCTION("""COMPUTED_VALUE"""),"19EY707")</f>
        <v>19EY707</v>
      </c>
      <c r="F98" s="7" t="str">
        <f>IFERROR(__xludf.DUMMYFUNCTION("""COMPUTED_VALUE"""),"Paper Publication")</f>
        <v>Paper Publication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IFERROR(__xludf.DUMMYFUNCTION("""COMPUTED_VALUE"""),1)</f>
        <v>1</v>
      </c>
      <c r="K98" s="2" t="str">
        <f>IFERROR(__xludf.DUMMYFUNCTION("""COMPUTED_VALUE"""),"NON-CGPA")</f>
        <v>NON-CGPA</v>
      </c>
      <c r="L98" s="2" t="str">
        <f>IFERROR(__xludf.DUMMYFUNCTION("""COMPUTED_VALUE"""),"Experiential Learning (Int Only)")</f>
        <v>Experiential Learning (Int Only)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IFERROR(__xludf.DUMMYFUNCTION("""COMPUTED_VALUE"""),"MC")</f>
        <v>MC</v>
      </c>
      <c r="D99" s="2" t="str">
        <f>IFERROR(__xludf.DUMMYFUNCTION("""COMPUTED_VALUE"""),"SH8801")</f>
        <v>SH8801</v>
      </c>
      <c r="E99" s="2" t="str">
        <f>IFERROR(__xludf.DUMMYFUNCTION("""COMPUTED_VALUE"""),"NA")</f>
        <v>NA</v>
      </c>
      <c r="F99" s="7" t="str">
        <f>IFERROR(__xludf.DUMMYFUNCTION("""COMPUTED_VALUE"""),"Constitutionalism and Artificial Intelligence Policies in India")</f>
        <v>Constitutionalism and Artificial Intelligence Policies in India</v>
      </c>
      <c r="G99" s="2" t="str">
        <f>IFERROR(__xludf.DUMMYFUNCTION("""COMPUTED_VALUE"""),"-")</f>
        <v>-</v>
      </c>
      <c r="H99" s="2">
        <f>IFERROR(__xludf.DUMMYFUNCTION("""COMPUTED_VALUE"""),1)</f>
        <v>1</v>
      </c>
      <c r="I99" s="2">
        <f>IFERROR(__xludf.DUMMYFUNCTION("""COMPUTED_VALUE"""),0)</f>
        <v>0</v>
      </c>
      <c r="J99" s="2">
        <f>IFERROR(__xludf.DUMMYFUNCTION("""COMPUTED_VALUE"""),1)</f>
        <v>1</v>
      </c>
      <c r="K99" s="2" t="str">
        <f>IFERROR(__xludf.DUMMYFUNCTION("""COMPUTED_VALUE"""),"NON-CGPA")</f>
        <v>NON-CGPA</v>
      </c>
      <c r="L99" s="2" t="str">
        <f>IFERROR(__xludf.DUMMYFUNCTION("""COMPUTED_VALUE"""),"Theory (Int Only)")</f>
        <v>Theory (Int Only)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 t="str">
        <f>IFERROR(__xludf.DUMMYFUNCTION("""COMPUTED_VALUE"""),"Any 1")</f>
        <v>Any 1</v>
      </c>
      <c r="C100" s="2" t="str">
        <f>IFERROR(__xludf.DUMMYFUNCTION("""COMPUTED_VALUE"""),"MC")</f>
        <v>MC</v>
      </c>
      <c r="D100" s="2" t="str">
        <f>IFERROR(__xludf.DUMMYFUNCTION("""COMPUTED_VALUE"""),"SH8802")</f>
        <v>SH8802</v>
      </c>
      <c r="E100" s="2" t="str">
        <f>IFERROR(__xludf.DUMMYFUNCTION("""COMPUTED_VALUE"""),"NA")</f>
        <v>NA</v>
      </c>
      <c r="F100" s="7" t="str">
        <f>IFERROR(__xludf.DUMMYFUNCTION("""COMPUTED_VALUE"""),"Internship")</f>
        <v>Internship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IFERROR(__xludf.DUMMYFUNCTION("""COMPUTED_VALUE"""),0)</f>
        <v>0</v>
      </c>
      <c r="J100" s="2">
        <f>IFERROR(__xludf.DUMMYFUNCTION("""COMPUTED_VALUE"""),2)</f>
        <v>2</v>
      </c>
      <c r="K100" s="2" t="str">
        <f>IFERROR(__xludf.DUMMYFUNCTION("""COMPUTED_VALUE"""),"NON-CGPA")</f>
        <v>NON-CGPA</v>
      </c>
      <c r="L100" s="2" t="str">
        <f>IFERROR(__xludf.DUMMYFUNCTION("""COMPUTED_VALUE"""),"Experiential Learning (Int Only)")</f>
        <v>Experiential Learning (Int Only)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 t="str">
        <f>IFERROR(__xludf.DUMMYFUNCTION("""COMPUTED_VALUE"""),"Any 1")</f>
        <v>Any 1</v>
      </c>
      <c r="C101" s="2" t="str">
        <f>IFERROR(__xludf.DUMMYFUNCTION("""COMPUTED_VALUE"""),"MC")</f>
        <v>MC</v>
      </c>
      <c r="D101" s="2" t="str">
        <f>IFERROR(__xludf.DUMMYFUNCTION("""COMPUTED_VALUE"""),"SH8803")</f>
        <v>SH8803</v>
      </c>
      <c r="E101" s="2" t="str">
        <f>IFERROR(__xludf.DUMMYFUNCTION("""COMPUTED_VALUE"""),"NA")</f>
        <v>NA</v>
      </c>
      <c r="F101" s="3" t="str">
        <f>IFERROR(__xludf.DUMMYFUNCTION("""COMPUTED_VALUE"""),"Entrepreneurship")</f>
        <v>Entrepreneurship</v>
      </c>
      <c r="G101" s="2" t="str">
        <f>IFERROR(__xludf.DUMMYFUNCTION("""COMPUTED_VALUE"""),"-")</f>
        <v>-</v>
      </c>
      <c r="H101" s="2">
        <f>IFERROR(__xludf.DUMMYFUNCTION("""COMPUTED_VALUE"""),0)</f>
        <v>0</v>
      </c>
      <c r="I101" s="2">
        <f>IFERROR(__xludf.DUMMYFUNCTION("""COMPUTED_VALUE"""),0)</f>
        <v>0</v>
      </c>
      <c r="J101" s="2">
        <f>IFERROR(__xludf.DUMMYFUNCTION("""COMPUTED_VALUE"""),2)</f>
        <v>2</v>
      </c>
      <c r="K101" s="2" t="str">
        <f>IFERROR(__xludf.DUMMYFUNCTION("""COMPUTED_VALUE"""),"NON-CGPA")</f>
        <v>NON-CGPA</v>
      </c>
      <c r="L101" s="2" t="str">
        <f>IFERROR(__xludf.DUMMYFUNCTION("""COMPUTED_VALUE"""),"Experiential Learning (Int Only)")</f>
        <v>Experiential Learning (Int Only)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IFERROR(__xludf.DUMMYFUNCTION("""COMPUTED_VALUE"""),"MC")</f>
        <v>MC</v>
      </c>
      <c r="D102" s="2" t="str">
        <f>IFERROR(__xludf.DUMMYFUNCTION("""COMPUTED_VALUE"""),"SH6803")</f>
        <v>SH6803</v>
      </c>
      <c r="E102" s="2" t="str">
        <f>IFERROR(__xludf.DUMMYFUNCTION("""COMPUTED_VALUE"""),"19MC807")</f>
        <v>19MC807</v>
      </c>
      <c r="F102" s="3" t="str">
        <f>IFERROR(__xludf.DUMMYFUNCTION("""COMPUTED_VALUE"""),"National Service Scheme")</f>
        <v>National Service Scheme</v>
      </c>
      <c r="G102" s="2" t="str">
        <f>IFERROR(__xludf.DUMMYFUNCTION("""COMPUTED_VALUE"""),"-")</f>
        <v>-</v>
      </c>
      <c r="H102" s="2">
        <f>IFERROR(__xludf.DUMMYFUNCTION("""COMPUTED_VALUE"""),0)</f>
        <v>0</v>
      </c>
      <c r="I102" s="2">
        <f>IFERROR(__xludf.DUMMYFUNCTION("""COMPUTED_VALUE"""),0)</f>
        <v>0</v>
      </c>
      <c r="J102" s="2">
        <f>IFERROR(__xludf.DUMMYFUNCTION("""COMPUTED_VALUE"""),0)</f>
        <v>0</v>
      </c>
      <c r="K102" s="2" t="str">
        <f>IFERROR(__xludf.DUMMYFUNCTION("""COMPUTED_VALUE"""),"NON-CGPA")</f>
        <v>NON-CGPA</v>
      </c>
      <c r="L102" s="2" t="str">
        <f>IFERROR(__xludf.DUMMYFUNCTION("""COMPUTED_VALUE"""),"Experiential Learning (Int Only)")</f>
        <v>Experiential Learning (Int Only)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IFERROR(__xludf.DUMMYFUNCTION("""COMPUTED_VALUE"""),"MC")</f>
        <v>MC</v>
      </c>
      <c r="D103" s="2" t="str">
        <f>IFERROR(__xludf.DUMMYFUNCTION("""COMPUTED_VALUE"""),"SH8807")</f>
        <v>SH8807</v>
      </c>
      <c r="E103" s="2" t="str">
        <f>IFERROR(__xludf.DUMMYFUNCTION("""COMPUTED_VALUE"""),"19MC808")</f>
        <v>19MC808</v>
      </c>
      <c r="F103" s="3" t="str">
        <f>IFERROR(__xludf.DUMMYFUNCTION("""COMPUTED_VALUE"""),"National Sports Organization ")</f>
        <v>National Sports Organization </v>
      </c>
      <c r="G103" s="2" t="str">
        <f>IFERROR(__xludf.DUMMYFUNCTION("""COMPUTED_VALUE"""),"-")</f>
        <v>-</v>
      </c>
      <c r="H103" s="2">
        <f>IFERROR(__xludf.DUMMYFUNCTION("""COMPUTED_VALUE"""),0)</f>
        <v>0</v>
      </c>
      <c r="I103" s="2">
        <f>IFERROR(__xludf.DUMMYFUNCTION("""COMPUTED_VALUE"""),0)</f>
        <v>0</v>
      </c>
      <c r="J103" s="2">
        <f>IFERROR(__xludf.DUMMYFUNCTION("""COMPUTED_VALUE"""),0)</f>
        <v>0</v>
      </c>
      <c r="K103" s="2" t="str">
        <f>IFERROR(__xludf.DUMMYFUNCTION("""COMPUTED_VALUE"""),"NON-CGPA")</f>
        <v>NON-CGPA</v>
      </c>
      <c r="L103" s="2" t="str">
        <f>IFERROR(__xludf.DUMMYFUNCTION("""COMPUTED_VALUE"""),"Experiential Learning (Int Only)")</f>
        <v>Experiential Learning (Int Only)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/>
      <c r="D104" s="2" t="str">
        <f>IFERROR(__xludf.DUMMYFUNCTION("""COMPUTED_VALUE"""),"SH8808")</f>
        <v>SH8808</v>
      </c>
      <c r="E104" s="2" t="str">
        <f>IFERROR(__xludf.DUMMYFUNCTION("""COMPUTED_VALUE"""),"19MC809")</f>
        <v>19MC809</v>
      </c>
      <c r="F104" s="3" t="str">
        <f>IFERROR(__xludf.DUMMYFUNCTION("""COMPUTED_VALUE"""),"Youth Red Cross")</f>
        <v>Youth Red Cross</v>
      </c>
      <c r="G104" s="2" t="str">
        <f>IFERROR(__xludf.DUMMYFUNCTION("""COMPUTED_VALUE"""),"-")</f>
        <v>-</v>
      </c>
      <c r="H104" s="2">
        <f>IFERROR(__xludf.DUMMYFUNCTION("""COMPUTED_VALUE"""),0)</f>
        <v>0</v>
      </c>
      <c r="I104" s="2">
        <f>IFERROR(__xludf.DUMMYFUNCTION("""COMPUTED_VALUE"""),0)</f>
        <v>0</v>
      </c>
      <c r="J104" s="2">
        <f>IFERROR(__xludf.DUMMYFUNCTION("""COMPUTED_VALUE"""),0)</f>
        <v>0</v>
      </c>
      <c r="K104" s="2" t="str">
        <f>IFERROR(__xludf.DUMMYFUNCTION("""COMPUTED_VALUE"""),"NON-CGPA")</f>
        <v>NON-CGPA</v>
      </c>
      <c r="L104" s="2" t="str">
        <f>IFERROR(__xludf.DUMMYFUNCTION("""COMPUTED_VALUE"""),"Experiential Learning (Int Only)")</f>
        <v>Experiential Learning (Int Only)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9"/>
      <c r="N105" s="9"/>
      <c r="O105" s="9"/>
      <c r="P105" s="9"/>
      <c r="Q105" s="9"/>
      <c r="R105" s="9"/>
    </row>
    <row r="106" ht="48" customHeight="1" spans="1:18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9"/>
      <c r="N106" s="9"/>
      <c r="O106" s="9"/>
      <c r="P106" s="9"/>
      <c r="Q106" s="9"/>
      <c r="R106" s="9"/>
    </row>
    <row r="107" ht="48" customHeight="1" spans="1:18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</row>
    <row r="124" ht="13.2" spans="1: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</row>
    <row r="125" ht="13.2" spans="1: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</row>
    <row r="126" ht="13.2" spans="1: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</row>
    <row r="127" ht="13.2" spans="1: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</row>
    <row r="128" ht="13.2" spans="1: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</row>
    <row r="129" ht="13.2" spans="1: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</row>
    <row r="130" ht="13.2" spans="1: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</row>
    <row r="131" ht="13.2" spans="1: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</row>
    <row r="132" ht="13.2" spans="1: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</row>
    <row r="133" ht="13.2" spans="1: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</row>
    <row r="134" ht="13.2" spans="1: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</row>
    <row r="135" ht="13.2" spans="1: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</row>
    <row r="136" ht="13.2" spans="1: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</row>
    <row r="137" ht="13.2" spans="1: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</row>
    <row r="138" ht="13.2" spans="1: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</row>
    <row r="139" ht="13.2" spans="1: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</row>
    <row r="140" ht="13.2" spans="1: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</row>
    <row r="141" ht="13.2" spans="1: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</row>
    <row r="142" ht="13.2" spans="1: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</row>
    <row r="143" ht="13.2" spans="1: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</row>
    <row r="144" ht="13.2" spans="1: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</row>
    <row r="145" ht="13.2" spans="1: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</row>
    <row r="146" ht="13.2" spans="1: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</row>
    <row r="147" ht="13.2" spans="1: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</row>
    <row r="148" ht="13.2" spans="1: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</row>
    <row r="149" ht="13.2" spans="1: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</row>
    <row r="150" ht="13.2" spans="1: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</row>
    <row r="151" ht="13.2" spans="1: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</row>
    <row r="152" ht="13.2" spans="1: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</row>
    <row r="153" ht="13.2" spans="1: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</row>
    <row r="154" ht="13.2" spans="1: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</row>
    <row r="155" ht="13.2" spans="1: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</row>
    <row r="156" ht="13.2" spans="1: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</row>
    <row r="157" ht="13.2" spans="1: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</row>
    <row r="158" ht="13.2" spans="1: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</row>
    <row r="159" ht="13.2" spans="1: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</row>
    <row r="160" ht="13.2" spans="1: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</row>
    <row r="161" ht="13.2" spans="1: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</row>
    <row r="162" ht="13.2" spans="1: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</row>
    <row r="163" ht="13.2" spans="1: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English for Engineers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Organizational Behavior and Leadership&quot;)"/>
    <hyperlink ref="F6" r:id="rId5" display="=IFERROR(@__xludf.DUMMYFUNCTION(&quot;&quot;&quot;COMPUTED_VALUE&quot;&quot;&quot;),&quot;Human Values and Professional Ethics&quot;)"/>
    <hyperlink ref="F7" r:id="rId6" display="=IFERROR(@__xludf.DUMMYFUNCTION(&quot;&quot;&quot;COMPUTED_VALUE&quot;&quot;&quot;),&quot;தமிழர் மரபு/ Heritage of Tamils&quot;)"/>
    <hyperlink ref="F8" r:id="rId7" display="=IFERROR(@__xludf.DUMMYFUNCTION(&quot;&quot;&quot;COMPUTED_VALUE&quot;&quot;&quot;),&quot;தமிழரும் தொழில்நுட்பமும்/ Tamils and Technology&quot;)"/>
    <hyperlink ref="F9" r:id="rId8" display="=IFERROR(@__xludf.DUMMYFUNCTION(&quot;&quot;&quot;COMPUTED_VALUE&quot;&quot;&quot;),&quot;Calculus and Matrix Algebra&quot;)"/>
    <hyperlink ref="F10" r:id="rId9" display="=IFERROR(@__xludf.DUMMYFUNCTION(&quot;&quot;&quot;COMPUTED_VALUE&quot;&quot;&quot;),&quot;Statistics and Numerical Methods&quot;)"/>
    <hyperlink ref="F11" r:id="rId10" display="=IFERROR(@__xludf.DUMMYFUNCTION(&quot;&quot;&quot;COMPUTED_VALUE&quot;&quot;&quot;),&quot;Linear Algebra and Probability&quot;)"/>
    <hyperlink ref="F12" r:id="rId11" display="=IFERROR(@__xludf.DUMMYFUNCTION(&quot;&quot;&quot;COMPUTED_VALUE&quot;&quot;&quot;),&quot;Physics for Electronics Engineering&quot;)"/>
    <hyperlink ref="F13" r:id="rId12" display="=IFERROR(@__xludf.DUMMYFUNCTION(&quot;&quot;&quot;COMPUTED_VALUE&quot;&quot;&quot;),&quot;Chemistry of Engineering Materials&quot;)"/>
    <hyperlink ref="F14" r:id="rId13" display="=IFERROR(@__xludf.DUMMYFUNCTION(&quot;&quot;&quot;COMPUTED_VALUE&quot;&quot;&quot;),&quot;Environmental Sciences and Sustainability&quot;)"/>
    <hyperlink ref="F15" r:id="rId14" display="=IFERROR(@__xludf.DUMMYFUNCTION(&quot;&quot;&quot;COMPUTED_VALUE&quot;&quot;&quot;),&quot;Fundamentals of C Programming&quot;)"/>
    <hyperlink ref="F16" r:id="rId15" display="=IFERROR(@__xludf.DUMMYFUNCTION(&quot;&quot;&quot;COMPUTED_VALUE&quot;&quot;&quot;),&quot;Advanced C Programming&quot;)"/>
    <hyperlink ref="F17" r:id="rId16" display="=IFERROR(@__xludf.DUMMYFUNCTION(&quot;&quot;&quot;COMPUTED_VALUE&quot;&quot;&quot;),&quot;Object Oriented Programming using C++&quot;)"/>
    <hyperlink ref="F18" r:id="rId17" display="=IFERROR(@__xludf.DUMMYFUNCTION(&quot;&quot;&quot;COMPUTED_VALUE&quot;&quot;&quot;),&quot;Object Oriented Programming using Java&quot;)"/>
    <hyperlink ref="F19" r:id="rId18" display="=IFERROR(@__xludf.DUMMYFUNCTION(&quot;&quot;&quot;COMPUTED_VALUE&quot;&quot;&quot;),&quot;Python Programming&quot;)"/>
    <hyperlink ref="F20" r:id="rId19" display="=IFERROR(@__xludf.DUMMYFUNCTION(&quot;&quot;&quot;COMPUTED_VALUE&quot;&quot;&quot;),&quot;Data Structures&quot;)"/>
    <hyperlink ref="F21" r:id="rId20" display="=IFERROR(@__xludf.DUMMYFUNCTION(&quot;&quot;&quot;COMPUTED_VALUE&quot;&quot;&quot;),&quot;Artificial Intelligence and Applications&quot;)"/>
    <hyperlink ref="F22" r:id="rId21" display="=IFERROR(@__xludf.DUMMYFUNCTION(&quot;&quot;&quot;COMPUTED_VALUE&quot;&quot;&quot;),&quot;Power Generation Engineering&quot;)"/>
    <hyperlink ref="F23" r:id="rId22" display="=IFERROR(@__xludf.DUMMYFUNCTION(&quot;&quot;&quot;COMPUTED_VALUE&quot;&quot;&quot;),&quot;Electric Circuits and Networks&quot;)"/>
    <hyperlink ref="F24" r:id="rId23" display="=IFERROR(@__xludf.DUMMYFUNCTION(&quot;&quot;&quot;COMPUTED_VALUE&quot;&quot;&quot;),&quot;Electromagnetic Theory&quot;)"/>
    <hyperlink ref="F25" r:id="rId24" display="=IFERROR(@__xludf.DUMMYFUNCTION(&quot;&quot;&quot;COMPUTED_VALUE&quot;&quot;&quot;),&quot;Transformers and DC Machines&quot;)"/>
    <hyperlink ref="F26" r:id="rId25" display="=IFERROR(@__xludf.DUMMYFUNCTION(&quot;&quot;&quot;COMPUTED_VALUE&quot;&quot;&quot;),&quot;AC Machines&quot;)"/>
    <hyperlink ref="F27" r:id="rId26" display="=IFERROR(@__xludf.DUMMYFUNCTION(&quot;&quot;&quot;COMPUTED_VALUE&quot;&quot;&quot;),&quot;Digital Electronics&quot;)"/>
    <hyperlink ref="F28" r:id="rId27" display="=IFERROR(@__xludf.DUMMYFUNCTION(&quot;&quot;&quot;COMPUTED_VALUE&quot;&quot;&quot;),&quot;Electronic Circuits&quot;)"/>
    <hyperlink ref="F29" r:id="rId28" display="=IFERROR(@__xludf.DUMMYFUNCTION(&quot;&quot;&quot;COMPUTED_VALUE&quot;&quot;&quot;),&quot;Measurement and Instrumentation Systems&quot;)"/>
    <hyperlink ref="F30" r:id="rId29" display="=IFERROR(@__xludf.DUMMYFUNCTION(&quot;&quot;&quot;COMPUTED_VALUE&quot;&quot;&quot;),&quot;Linear Integrated Circuits and Applications&quot;)"/>
    <hyperlink ref="F31" r:id="rId30" display="=IFERROR(@__xludf.DUMMYFUNCTION(&quot;&quot;&quot;COMPUTED_VALUE&quot;&quot;&quot;),&quot;Control Systems&quot;)"/>
    <hyperlink ref="F32" r:id="rId31" display="=IFERROR(@__xludf.DUMMYFUNCTION(&quot;&quot;&quot;COMPUTED_VALUE&quot;&quot;&quot;),&quot;Electrical Power Transmission and Distribution Systems&quot;)"/>
    <hyperlink ref="F33" r:id="rId32" display="=IFERROR(@__xludf.DUMMYFUNCTION(&quot;&quot;&quot;COMPUTED_VALUE&quot;&quot;&quot;),&quot;Power System Analysis&quot;)"/>
    <hyperlink ref="F34" r:id="rId33" display="=IFERROR(@__xludf.DUMMYFUNCTION(&quot;&quot;&quot;COMPUTED_VALUE&quot;&quot;&quot;),&quot;Power Electronics&quot;)"/>
    <hyperlink ref="F35" r:id="rId34" display="=IFERROR(@__xludf.DUMMYFUNCTION(&quot;&quot;&quot;COMPUTED_VALUE&quot;&quot;&quot;),&quot;Microprocessor and Microcontroller Systems&quot;)"/>
    <hyperlink ref="F36" r:id="rId35" display="=IFERROR(@__xludf.DUMMYFUNCTION(&quot;&quot;&quot;COMPUTED_VALUE&quot;&quot;&quot;),&quot;Solid State Drives and Control&quot;)"/>
    <hyperlink ref="F37" r:id="rId36" display="=IFERROR(@__xludf.DUMMYFUNCTION(&quot;&quot;&quot;COMPUTED_VALUE&quot;&quot;&quot;),&quot;Digital Signal Processing&quot;)"/>
    <hyperlink ref="F38" r:id="rId37" display="=IFERROR(@__xludf.DUMMYFUNCTION(&quot;&quot;&quot;COMPUTED_VALUE&quot;&quot;&quot;),&quot;High Voltage Engineering&quot;)"/>
    <hyperlink ref="F39" r:id="rId38" display="=IFERROR(@__xludf.DUMMYFUNCTION(&quot;&quot;&quot;COMPUTED_VALUE&quot;&quot;&quot;),&quot;Fundamentals of Renewable Energy Systems&quot;)"/>
    <hyperlink ref="F40" r:id="rId39" display="=IFERROR(@__xludf.DUMMYFUNCTION(&quot;&quot;&quot;COMPUTED_VALUE&quot;&quot;&quot;),&quot;Restructured Power Systems&quot;)"/>
    <hyperlink ref="F41" r:id="rId40" display="=IFERROR(@__xludf.DUMMYFUNCTION(&quot;&quot;&quot;COMPUTED_VALUE&quot;&quot;&quot;),&quot;Flexible AC Transmission Systems&quot;)"/>
    <hyperlink ref="F42" r:id="rId41" display="=IFERROR(@__xludf.DUMMYFUNCTION(&quot;&quot;&quot;COMPUTED_VALUE&quot;&quot;&quot;),&quot;Energy Storage Technologies&quot;)"/>
    <hyperlink ref="F43" r:id="rId42" display="=IFERROR(@__xludf.DUMMYFUNCTION(&quot;&quot;&quot;COMPUTED_VALUE&quot;&quot;&quot;),&quot;Power Quality&quot;)"/>
    <hyperlink ref="F44" r:id="rId43" display="=IFERROR(@__xludf.DUMMYFUNCTION(&quot;&quot;&quot;COMPUTED_VALUE&quot;&quot;&quot;),&quot;Microgrid Modelling and Analysis&quot;)"/>
    <hyperlink ref="F45" r:id="rId44" display="=IFERROR(@__xludf.DUMMYFUNCTION(&quot;&quot;&quot;COMPUTED_VALUE&quot;&quot;&quot;),&quot;Microgrid Protection and Control&quot;)"/>
    <hyperlink ref="F46" r:id="rId45" display="=IFERROR(@__xludf.DUMMYFUNCTION(&quot;&quot;&quot;COMPUTED_VALUE&quot;&quot;&quot;),&quot;Wind Energy and Sustainability&quot;)"/>
    <hyperlink ref="F47" r:id="rId46" display="=IFERROR(@__xludf.DUMMYFUNCTION(&quot;&quot;&quot;COMPUTED_VALUE&quot;&quot;&quot;),&quot;Smart Grid Technology for Renewable Energy System&quot;)"/>
    <hyperlink ref="F48" r:id="rId47" display="=IFERROR(@__xludf.DUMMYFUNCTION(&quot;&quot;&quot;COMPUTED_VALUE&quot;&quot;&quot;),&quot;Grid Connected and Standalone PV Solar Plant Design&quot;)"/>
    <hyperlink ref="F49" r:id="rId48" display="=IFERROR(@__xludf.DUMMYFUNCTION(&quot;&quot;&quot;COMPUTED_VALUE&quot;&quot;&quot;),&quot;Energy Forecasting and Modelling&quot;)"/>
    <hyperlink ref="F50" r:id="rId49" display="=IFERROR(@__xludf.DUMMYFUNCTION(&quot;&quot;&quot;COMPUTED_VALUE&quot;&quot;&quot;),&quot;Solar Energy Engineering and Technology&quot;)"/>
    <hyperlink ref="F51" r:id="rId50" display="=IFERROR(@__xludf.DUMMYFUNCTION(&quot;&quot;&quot;COMPUTED_VALUE&quot;&quot;&quot;),&quot;Power Electronics for Renewable Energy Systems&quot;)"/>
    <hyperlink ref="F52" r:id="rId51" display="=IFERROR(@__xludf.DUMMYFUNCTION(&quot;&quot;&quot;COMPUTED_VALUE&quot;&quot;&quot;),&quot;Embedded System Design&quot;)"/>
    <hyperlink ref="F53" r:id="rId51" display="=IFERROR(@__xludf.DUMMYFUNCTION(&quot;&quot;&quot;COMPUTED_VALUE&quot;&quot;&quot;),&quot;Embedded Control for Electric Drives&quot;)"/>
    <hyperlink ref="F54" r:id="rId52" display="=IFERROR(@__xludf.DUMMYFUNCTION(&quot;&quot;&quot;COMPUTED_VALUE&quot;&quot;&quot;),&quot;Embedded System for Automotive Applications&quot;)"/>
    <hyperlink ref="F55" r:id="rId53" display="=IFERROR(@__xludf.DUMMYFUNCTION(&quot;&quot;&quot;COMPUTED_VALUE&quot;&quot;&quot;),&quot;Embedded Processors&quot;)"/>
    <hyperlink ref="F56" r:id="rId54" display="=IFERROR(@__xludf.DUMMYFUNCTION(&quot;&quot;&quot;COMPUTED_VALUE&quot;&quot;&quot;),&quot;Embedded C- Programming&quot;)"/>
    <hyperlink ref="F57" r:id="rId55" display="=IFERROR(@__xludf.DUMMYFUNCTION(&quot;&quot;&quot;COMPUTED_VALUE&quot;&quot;&quot;),&quot;Smart System Automation&quot;)"/>
    <hyperlink ref="F58" r:id="rId56" display="=IFERROR(@__xludf.DUMMYFUNCTION(&quot;&quot;&quot;COMPUTED_VALUE&quot;&quot;&quot;),&quot;Introduction to Fundamentals of Electric Vehicles&quot;)"/>
    <hyperlink ref="F59" r:id="rId57" display="=IFERROR(@__xludf.DUMMYFUNCTION(&quot;&quot;&quot;COMPUTED_VALUE&quot;&quot;&quot;),&quot;Electric Vehicle Powertrain and Integration&quot;)"/>
    <hyperlink ref="F60" r:id="rId58" display="=IFERROR(@__xludf.DUMMYFUNCTION(&quot;&quot;&quot;COMPUTED_VALUE&quot;&quot;&quot;),&quot;Electric Vehicle Charging Infrastructure&quot;)"/>
    <hyperlink ref="F61" r:id="rId59" display="=IFERROR(@__xludf.DUMMYFUNCTION(&quot;&quot;&quot;COMPUTED_VALUE&quot;&quot;&quot;),&quot;Electric Vehicle Grid Integration&quot;)"/>
    <hyperlink ref="F62" r:id="rId60" display="=IFERROR(@__xludf.DUMMYFUNCTION(&quot;&quot;&quot;COMPUTED_VALUE&quot;&quot;&quot;),&quot;Embedded IoT for Electric Vehicles&quot;)"/>
    <hyperlink ref="F63" r:id="rId61" display="=IFERROR(@__xludf.DUMMYFUNCTION(&quot;&quot;&quot;COMPUTED_VALUE&quot;&quot;&quot;),&quot;Embedded AI for Electric Vehicles&quot;)"/>
    <hyperlink ref="F64" r:id="rId62" display="=IFERROR(@__xludf.DUMMYFUNCTION(&quot;&quot;&quot;COMPUTED_VALUE&quot;&quot;&quot;),&quot;Battery Technologies and Management Systems for Electric Vehicles&quot;)"/>
    <hyperlink ref="F65" r:id="rId63" display="=IFERROR(@__xludf.DUMMYFUNCTION(&quot;&quot;&quot;COMPUTED_VALUE&quot;&quot;&quot;),&quot;VLSI Design&quot;)"/>
    <hyperlink ref="F66" r:id="rId64" display="=IFERROR(@__xludf.DUMMYFUNCTION(&quot;&quot;&quot;COMPUTED_VALUE&quot;&quot;&quot;),&quot;Verilog HDL&quot;)"/>
    <hyperlink ref="F67" r:id="rId65" display="=IFERROR(@__xludf.DUMMYFUNCTION(&quot;&quot;&quot;COMPUTED_VALUE&quot;&quot;&quot;),&quot;System Verilog for Design and Verification&quot;)"/>
    <hyperlink ref="F68" r:id="rId66" display="=IFERROR(@__xludf.DUMMYFUNCTION(&quot;&quot;&quot;COMPUTED_VALUE&quot;&quot;&quot;),&quot;Physical Design for VLSI&quot;)"/>
    <hyperlink ref="F69" r:id="rId67" display="=IFERROR(@__xludf.DUMMYFUNCTION(&quot;&quot;&quot;COMPUTED_VALUE&quot;&quot;&quot;),&quot;VLSI Technology&quot;)"/>
    <hyperlink ref="F70" r:id="rId68" display="=IFERROR(@__xludf.DUMMYFUNCTION(&quot;&quot;&quot;COMPUTED_VALUE&quot;&quot;&quot;),&quot;Low Power VLSI Design&quot;)"/>
    <hyperlink ref="F71" r:id="rId69" display="=IFERROR(@__xludf.DUMMYFUNCTION(&quot;&quot;&quot;COMPUTED_VALUE&quot;&quot;&quot;),&quot;Testing of VLSI Circuits&quot;)"/>
    <hyperlink ref="F72" r:id="rId70" display="=IFERROR(@__xludf.DUMMYFUNCTION(&quot;&quot;&quot;COMPUTED_VALUE&quot;&quot;&quot;),&quot;Analysis of Algorithms&quot;)"/>
    <hyperlink ref="F74" r:id="rId71" display="=IFERROR(@__xludf.DUMMYFUNCTION(&quot;&quot;&quot;COMPUTED_VALUE&quot;&quot;&quot;),&quot;Graph Theory and Applications&quot;)"/>
    <hyperlink ref="F75" r:id="rId72" display="=IFERROR(@__xludf.DUMMYFUNCTION(&quot;&quot;&quot;COMPUTED_VALUE&quot;&quot;&quot;),&quot;Introduction to Machine Learning&quot;)"/>
    <hyperlink ref="F76" r:id="rId73" display="=IFERROR(@__xludf.DUMMYFUNCTION(&quot;&quot;&quot;COMPUTED_VALUE&quot;&quot;&quot;),&quot;Power System Transients&quot;)"/>
    <hyperlink ref="F77" r:id="rId74" display="=IFERROR(@__xludf.DUMMYFUNCTION(&quot;&quot;&quot;COMPUTED_VALUE&quot;&quot;&quot;),&quot;Protection and Switchgear&quot;)"/>
    <hyperlink ref="F78" r:id="rId75" display="=IFERROR(@__xludf.DUMMYFUNCTION(&quot;&quot;&quot;COMPUTED_VALUE&quot;&quot;&quot;),&quot;Utilisation, Safety and Maintenance of Electrical Systems&quot;)"/>
    <hyperlink ref="F79" r:id="rId76" display="=IFERROR(@__xludf.DUMMYFUNCTION(&quot;&quot;&quot;COMPUTED_VALUE&quot;&quot;&quot;),&quot;Substation Engineering and Automation&quot;)"/>
    <hyperlink ref="F80" r:id="rId77" display="=IFERROR(@__xludf.DUMMYFUNCTION(&quot;&quot;&quot;COMPUTED_VALUE&quot;&quot;&quot;),&quot;Sustainable Engineering Design for Indoor And Outdoor Illumination&quot;)"/>
    <hyperlink ref="F81" r:id="rId78" display="=IFERROR(@__xludf.DUMMYFUNCTION(&quot;&quot;&quot;COMPUTED_VALUE&quot;&quot;&quot;),&quot;Energy Management and Auditing&quot;)"/>
    <hyperlink ref="F82" r:id="rId79" display="=IFERROR(@__xludf.DUMMYFUNCTION(&quot;&quot;&quot;COMPUTED_VALUE&quot;&quot;&quot;),&quot;Computer Aided Design of Electrical Machines&quot;)"/>
    <hyperlink ref="F83" r:id="rId80" display="=IFERROR(@__xludf.DUMMYFUNCTION(&quot;&quot;&quot;COMPUTED_VALUE&quot;&quot;&quot;),&quot;Introduction to MEMS and NEMS&quot;)"/>
    <hyperlink ref="F84" r:id="rId81" display="=IFERROR(@__xludf.DUMMYFUNCTION(&quot;&quot;&quot;COMPUTED_VALUE&quot;&quot;&quot;),&quot;Soft Computing Techniques&quot;)"/>
    <hyperlink ref="F85" r:id="rId82" display="=IFERROR(@__xludf.DUMMYFUNCTION(&quot;&quot;&quot;COMPUTED_VALUE&quot;&quot;&quot;),&quot;Embedded Board Design&quot;)"/>
    <hyperlink ref="F88" r:id="rId83" display="=IFERROR(@__xludf.DUMMYFUNCTION(&quot;&quot;&quot;COMPUTED_VALUE&quot;&quot;&quot;),&quot;Mini Project&quot;)"/>
    <hyperlink ref="F89" r:id="rId84" display="=IFERROR(@__xludf.DUMMYFUNCTION(&quot;&quot;&quot;COMPUTED_VALUE&quot;&quot;&quot;),&quot;Project Work Phase I&quot;)"/>
    <hyperlink ref="F90" r:id="rId85" display="=IFERROR(@__xludf.DUMMYFUNCTION(&quot;&quot;&quot;COMPUTED_VALUE&quot;&quot;&quot;),&quot;Project Work Phase II&quot;)"/>
    <hyperlink ref="F92" r:id="rId86" display="=IFERROR(@__xludf.DUMMYFUNCTION(&quot;&quot;&quot;COMPUTED_VALUE&quot;&quot;&quot;),&quot;Career Development Skills&quot;)"/>
    <hyperlink ref="F93" r:id="rId87" display="=IFERROR(@__xludf.DUMMYFUNCTION(&quot;&quot;&quot;COMPUTED_VALUE&quot;&quot;&quot;),&quot;Reasoning Ability&quot;)"/>
    <hyperlink ref="F94" r:id="rId88" display="=IFERROR(@__xludf.DUMMYFUNCTION(&quot;&quot;&quot;COMPUTED_VALUE&quot;&quot;&quot;),&quot;Quantitative Ability I&quot;)"/>
    <hyperlink ref="F95" r:id="rId89" display="=IFERROR(@__xludf.DUMMYFUNCTION(&quot;&quot;&quot;COMPUTED_VALUE&quot;&quot;&quot;),&quot;Quantitative Ability II&quot;)"/>
    <hyperlink ref="F96" r:id="rId90" display="=IFERROR(@__xludf.DUMMYFUNCTION(&quot;&quot;&quot;COMPUTED_VALUE&quot;&quot;&quot;),&quot;Employment Enrichment Skills&quot;)"/>
    <hyperlink ref="F97" r:id="rId91" display="=IFERROR(@__xludf.DUMMYFUNCTION(&quot;&quot;&quot;COMPUTED_VALUE&quot;&quot;&quot;),&quot;Placement Readiness Assessment&quot;)"/>
    <hyperlink ref="F98" r:id="rId92" display="=IFERROR(@__xludf.DUMMYFUNCTION(&quot;&quot;&quot;COMPUTED_VALUE&quot;&quot;&quot;),&quot;Paper Publication&quot;)"/>
    <hyperlink ref="F99" r:id="rId93" display="=IFERROR(@__xludf.DUMMYFUNCTION(&quot;&quot;&quot;COMPUTED_VALUE&quot;&quot;&quot;),&quot;Constitutionalism and Artificial Intelligence Policies in India&quot;)"/>
    <hyperlink ref="F100" r:id="rId94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481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""R2019-CHEM!A:A""),
IMPORTRANGE(""https://docs.google.com/spreadsheets/d/1UvPg-G_Bj-UNhLC2uL8tntfYsnld_PABqE3impzOchM/edit"", ""R2019"&amp;"-CHEM!D:D""),
IMPORTRANGE(""https://docs.google.com/spreadsheets/d/1UvPg-G_Bj-UNhLC2uL8tntfYsnld_PABqE3impzOchM/edit"", ""R2019-CHEM!E:E""),
IMPORTRANGE(""https://docs.google.com/spreadsheets/d/1UvPg-G_Bj-UNhLC2uL8tntfYsnld_PABqE3impzOchM/edit"", ""R2019-"&amp;"CHEM!F:F""),
IMPORTRANGE(""https://docs.google.com/spreadsheets/d/1UvPg-G_Bj-UNhLC2uL8tntfYsnld_PABqE3impzOchM/edit"", ""R2019-CHEM!G:G""),
IMPORTRANGE(""https://docs.google.com/spreadsheets/d/1UvPg-G_Bj-UNhLC2uL8tntfYsnld_PABqE3impzOchM/edit"", ""R2019-C"&amp;"HEM!I:I""),
IMPORTRANGE(""https://docs.google.com/spreadsheets/d/1UvPg-G_Bj-UNhLC2uL8tntfYsnld_PABqE3impzOchM/edit"", ""R2019-CHEM!N:N""),
IMPORTRANGE(""https://docs.google.com/spreadsheets/d/1UvPg-G_Bj-UNhLC2uL8tntfYsnld_PABqE3impzOchM/edit"", ""R2019-CH"&amp;"EM!O:O""),
IMPORTRANGE(""https://docs.google.com/spreadsheets/d/1UvPg-G_Bj-UNhLC2uL8tntfYsnld_PABqE3impzOchM/edit"", ""R2019-CHEM!P:P""),
IMPORTRANGE(""https://docs.google.com/spreadsheets/d/1UvPg-G_Bj-UNhLC2uL8tntfYsnld_PABqE3impzOchM/edit"", ""R2019-CHE"&amp;"M!Q:Q""),
IMPORTRANGE(""https://docs.google.com/spreadsheets/d/1UvPg-G_Bj-UNhLC2uL8tntfYsnld_PABqE3impzOchM/edit"", ""R2019-CHEM!R:R""),
IMPORTRANGE(""https://docs.google.com/spreadsheets/d/1UvPg-G_Bj-UNhLC2uL8tntfYsnld_PABqE3impzOchM/edit"", ""R2019-CHEM"&amp;"!S:S""),
IMPORTRANGE(""https://docs.google.com/spreadsheets/d/1UvPg-G_Bj-UNhLC2uL8tntfYsnld_PABqE3impzOchM/edit"", ""R2019-CHEM!V:V""),
IMPORTRANGE(""https://docs.google.com/spreadsheets/d/1UvPg-G_Bj-UNhLC2uL8tntfYsnld_PABqE3impzOchM/edit"", ""R2019-CHEM!"&amp;"X:X""),
IMPORTRANGE(""https://docs.google.com/spreadsheets/d/1UvPg-G_Bj-UNhLC2uL8tntfYsnld_PABqE3impzOchM/edit"", ""R2019-CHEM!Y:Y""),
IMPORTRANGE(""https://docs.google.com/spreadsheets/d/1UvPg-G_Bj-UNhLC2uL8tntfYsnld_PABqE3impzOchM/edit"", ""R2019-CHEM!A"&amp;"A:AA""),
IMPORTRANGE(""https://docs.google.com/spreadsheets/d/1UvPg-G_Bj-UNhLC2uL8tntfYsnld_PABqE3impzOchM/edit"", ""R2019-CHEM!AC:AC""),
IMPORTRANGE(""https://docs.google.com/spreadsheets/d/1UvPg-G_Bj-UNhLC2uL8tntfYsnld_PABqE3impzOchM/edit"", ""R2019-CHE"&amp;"M!AD:AD"")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IFERROR(__xludf.DUMMYFUNCTION("""COMPUTED_VALUE"""),"SH1101")</f>
        <v>SH1101</v>
      </c>
      <c r="E3" s="2" t="str">
        <f>IFERROR(__xludf.DUMMYFUNCTION("""COMPUTED_VALUE"""),"19EN101")</f>
        <v>19EN101</v>
      </c>
      <c r="F3" s="7" t="str">
        <f>IFERROR(__xludf.DUMMYFUNCTION("""COMPUTED_VALUE"""),"Communicative English")</f>
        <v>Communicative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IFERROR(__xludf.DUMMYFUNCTION("""COMPUTED_VALUE"""),4)</f>
        <v>4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IFERROR(__xludf.DUMMYFUNCTION("""COMPUTED_VALUE"""),4)</f>
        <v>4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IFERROR(__xludf.DUMMYFUNCTION("""COMPUTED_VALUE"""),"SH1106")</f>
        <v>SH1106</v>
      </c>
      <c r="E4" s="2" t="str">
        <f>IFERROR(__xludf.DUMMYFUNCTION("""COMPUTED_VALUE"""),"19EN106")</f>
        <v>19EN106</v>
      </c>
      <c r="F4" s="7" t="str">
        <f>IFERROR(__xludf.DUMMYFUNCTION("""COMPUTED_VALUE"""),"English for Engineers")</f>
        <v>English for Engineers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IFERROR(__xludf.DUMMYFUNCTION("""COMPUTED_VALUE"""),28)</f>
        <v>28</v>
      </c>
      <c r="O4" s="20">
        <f>IFERROR(__xludf.DUMMYFUNCTION("""COMPUTED_VALUE"""),4)</f>
        <v>4</v>
      </c>
      <c r="P4" s="19" t="str">
        <f>IFERROR(__xludf.DUMMYFUNCTION("""COMPUTED_VALUE"""),"BS")</f>
        <v>BS</v>
      </c>
      <c r="Q4" s="2">
        <f>IFERROR(__xludf.DUMMYFUNCTION("""COMPUTED_VALUE"""),28)</f>
        <v>28</v>
      </c>
      <c r="R4" s="20">
        <f>IFERROR(__xludf.DUMMYFUNCTION("""COMPUTED_VALUE"""),4)</f>
        <v>4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LE, Option 1 for Regular")</f>
        <v>Exempted for LE, Option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IFERROR(__xludf.DUMMYFUNCTION("""COMPUTED_VALUE"""),"19EN102")</f>
        <v>19EN102</v>
      </c>
      <c r="F5" s="7" t="str">
        <f>IFERROR(__xludf.DUMMYFUNCTION("""COMPUTED_VALUE"""),"Technical English")</f>
        <v>Technical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IFERROR(__xludf.DUMMYFUNCTION("""COMPUTED_VALUE"""),24)</f>
        <v>24</v>
      </c>
      <c r="O5" s="20">
        <f>IFERROR(__xludf.DUMMYFUNCTION("""COMPUTED_VALUE"""),14)</f>
        <v>14</v>
      </c>
      <c r="P5" s="19" t="str">
        <f>IFERROR(__xludf.DUMMYFUNCTION("""COMPUTED_VALUE"""),"ES")</f>
        <v>ES</v>
      </c>
      <c r="Q5" s="2">
        <f>IFERROR(__xludf.DUMMYFUNCTION("""COMPUTED_VALUE"""),24)</f>
        <v>24</v>
      </c>
      <c r="R5" s="20">
        <f>IFERROR(__xludf.DUMMYFUNCTION("""COMPUTED_VALUE"""),14)</f>
        <v>14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LE, Option 2 for Regular")</f>
        <v>Exempted for LE, Option 2 for Regular</v>
      </c>
      <c r="C6" s="2" t="str">
        <f>IFERROR(__xludf.DUMMYFUNCTION("""COMPUTED_VALUE"""),"HS")</f>
        <v>HS</v>
      </c>
      <c r="D6" s="2" t="str">
        <f>IFERROR(__xludf.DUMMYFUNCTION("""COMPUTED_VALUE"""),"SH1107")</f>
        <v>SH1107</v>
      </c>
      <c r="E6" s="2" t="str">
        <f>IFERROR(__xludf.DUMMYFUNCTION("""COMPUTED_VALUE"""),"19EN107")</f>
        <v>19EN107</v>
      </c>
      <c r="F6" s="7" t="str">
        <f>IFERROR(__xludf.DUMMYFUNCTION("""COMPUTED_VALUE"""),"Technical Writing and Presentation")</f>
        <v>Technical Writing and Presentation</v>
      </c>
      <c r="G6" s="2" t="str">
        <f>IFERROR(__xludf.DUMMYFUNCTION("""COMPUTED_VALUE"""),"-")</f>
        <v>-</v>
      </c>
      <c r="H6" s="2">
        <f>IFERROR(__xludf.DUMMYFUNCTION("""COMPUTED_VALUE"""),0)</f>
        <v>0</v>
      </c>
      <c r="I6" s="2">
        <f>IFERROR(__xludf.DUMMYFUNCTION("""COMPUTED_VALUE"""),2)</f>
        <v>2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IFERROR(__xludf.DUMMYFUNCTION("""COMPUTED_VALUE"""),"Practical (10 Expts)")</f>
        <v>Practical (10 Expts)</v>
      </c>
      <c r="M6" s="19" t="str">
        <f>IFERROR(__xludf.DUMMYFUNCTION("""COMPUTED_VALUE"""),"PC")</f>
        <v>PC</v>
      </c>
      <c r="N6" s="2">
        <f>IFERROR(__xludf.DUMMYFUNCTION("""COMPUTED_VALUE"""),55)</f>
        <v>55</v>
      </c>
      <c r="O6" s="20">
        <f>IFERROR(__xludf.DUMMYFUNCTION("""COMPUTED_VALUE"""),55)</f>
        <v>55</v>
      </c>
      <c r="P6" s="19" t="str">
        <f>IFERROR(__xludf.DUMMYFUNCTION("""COMPUTED_VALUE"""),"PC")</f>
        <v>PC</v>
      </c>
      <c r="Q6" s="2">
        <f>IFERROR(__xludf.DUMMYFUNCTION("""COMPUTED_VALUE"""),55)</f>
        <v>55</v>
      </c>
      <c r="R6" s="20">
        <f>IFERROR(__xludf.DUMMYFUNCTION("""COMPUTED_VALUE"""),55)</f>
        <v>55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LE, Option 2 for Regular")</f>
        <v>Exempted for LE, Option 2 for Regular</v>
      </c>
      <c r="C7" s="2" t="str">
        <f>IFERROR(__xludf.DUMMYFUNCTION("""COMPUTED_VALUE"""),"HS")</f>
        <v>HS</v>
      </c>
      <c r="D7" s="2" t="str">
        <f>IFERROR(__xludf.DUMMYFUNCTION("""COMPUTED_VALUE"""),"SH1105")</f>
        <v>SH1105</v>
      </c>
      <c r="E7" s="2" t="str">
        <f>IFERROR(__xludf.DUMMYFUNCTION("""COMPUTED_VALUE"""),"19EN105")</f>
        <v>19EN105</v>
      </c>
      <c r="F7" s="7" t="str">
        <f>IFERROR(__xludf.DUMMYFUNCTION("""COMPUTED_VALUE"""),"Public Speaking")</f>
        <v>Public Speaking</v>
      </c>
      <c r="G7" s="2" t="str">
        <f>IFERROR(__xludf.DUMMYFUNCTION("""COMPUTED_VALUE"""),"-")</f>
        <v>-</v>
      </c>
      <c r="H7" s="2">
        <f>IFERROR(__xludf.DUMMYFUNCTION("""COMPUTED_VALUE"""),0)</f>
        <v>0</v>
      </c>
      <c r="I7" s="2">
        <f>IFERROR(__xludf.DUMMYFUNCTION("""COMPUTED_VALUE"""),3)</f>
        <v>3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IFERROR(__xludf.DUMMYFUNCTION("""COMPUTED_VALUE"""),"Practical (10 Expts)")</f>
        <v>Practical (10 Expts)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 t="str">
        <f>IFERROR(__xludf.DUMMYFUNCTION("""COMPUTED_VALUE"""),"PE")</f>
        <v>PE</v>
      </c>
      <c r="Q7" s="2">
        <f>IFERROR(__xludf.DUMMYFUNCTION("""COMPUTED_VALUE"""),15)</f>
        <v>15</v>
      </c>
      <c r="R7" s="20">
        <f>IFERROR(__xludf.DUMMYFUNCTION("""COMPUTED_VALUE"""),15)</f>
        <v>15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IFERROR(__xludf.DUMMYFUNCTION("""COMPUTED_VALUE"""),"NA")</f>
        <v>NA</v>
      </c>
      <c r="E8" s="2" t="str">
        <f>IFERROR(__xludf.DUMMYFUNCTION("""COMPUTED_VALUE"""),"19MS152")</f>
        <v>19MS152</v>
      </c>
      <c r="F8" s="7" t="str">
        <f>IFERROR(__xludf.DUMMYFUNCTION("""COMPUTED_VALUE"""),"Total Quality Management")</f>
        <v>Total Quality Management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IFERROR(__xludf.DUMMYFUNCTION("""COMPUTED_VALUE"""),"SH2201")</f>
        <v>SH2201</v>
      </c>
      <c r="E11" s="2" t="str">
        <f>IFERROR(__xludf.DUMMYFUNCTION("""COMPUTED_VALUE"""),"19MA201")</f>
        <v>19MA201</v>
      </c>
      <c r="F11" s="7" t="str">
        <f>IFERROR(__xludf.DUMMYFUNCTION("""COMPUTED_VALUE"""),"Calculus and Matrix Algebra")</f>
        <v>Calculus and Matrix Algebra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IFERROR(__xludf.DUMMYFUNCTION("""COMPUTED_VALUE"""),164)</f>
        <v>164</v>
      </c>
      <c r="O11" s="23">
        <f>IFERROR(__xludf.DUMMYFUNCTION("""COMPUTED_VALUE"""),123)</f>
        <v>123</v>
      </c>
      <c r="P11" s="21" t="str">
        <f>IFERROR(__xludf.DUMMYFUNCTION("""COMPUTED_VALUE"""),"TOTAL")</f>
        <v>TOTAL</v>
      </c>
      <c r="Q11" s="22">
        <f>IFERROR(__xludf.DUMMYFUNCTION("""COMPUTED_VALUE"""),166)</f>
        <v>166</v>
      </c>
      <c r="R11" s="23">
        <f>IFERROR(__xludf.DUMMYFUNCTION("""COMPUTED_VALUE"""),123)</f>
        <v>123</v>
      </c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 , Any 1 for Regular")</f>
        <v>Exempted for LE , Any 1 for Regular</v>
      </c>
      <c r="C12" s="2" t="str">
        <f>IFERROR(__xludf.DUMMYFUNCTION("""COMPUTED_VALUE"""),"BS")</f>
        <v>BS</v>
      </c>
      <c r="D12" s="2" t="str">
        <f>IFERROR(__xludf.DUMMYFUNCTION("""COMPUTED_VALUE"""),"NA")</f>
        <v>NA</v>
      </c>
      <c r="E12" s="2" t="str">
        <f>IFERROR(__xludf.DUMMYFUNCTION("""COMPUTED_VALUE"""),"19MA205")</f>
        <v>19MA205</v>
      </c>
      <c r="F12" s="7" t="str">
        <f>IFERROR(__xludf.DUMMYFUNCTION("""COMPUTED_VALUE"""),"Differential Equations and Laplace Transforms")</f>
        <v>Differential Equations and Laplace Transforms</v>
      </c>
      <c r="G12" s="2" t="str">
        <f>IFERROR(__xludf.DUMMYFUNCTION("""COMPUTED_VALUE"""),"19MA201")</f>
        <v>19MA201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 , Any 1 for Regular")</f>
        <v>Exempted for LE , Any 1 for Regular</v>
      </c>
      <c r="C13" s="2" t="str">
        <f>IFERROR(__xludf.DUMMYFUNCTION("""COMPUTED_VALUE"""),"BS")</f>
        <v>BS</v>
      </c>
      <c r="D13" s="2" t="str">
        <f>IFERROR(__xludf.DUMMYFUNCTION("""COMPUTED_VALUE"""),"SH2224")</f>
        <v>SH2224</v>
      </c>
      <c r="E13" s="2" t="str">
        <f>IFERROR(__xludf.DUMMYFUNCTION("""COMPUTED_VALUE"""),"19MA224")</f>
        <v>19MA224</v>
      </c>
      <c r="F13" s="7" t="str">
        <f>IFERROR(__xludf.DUMMYFUNCTION("""COMPUTED_VALUE"""),"Transforms and Differential Equations")</f>
        <v>Transforms and Differential Equations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IFERROR(__xludf.DUMMYFUNCTION("""COMPUTED_VALUE"""),"Any 1")</f>
        <v>Any 1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IFERROR(__xludf.DUMMYFUNCTION("""COMPUTED_VALUE"""),"19MA209")</f>
        <v>19MA209</v>
      </c>
      <c r="F14" s="7" t="str">
        <f>IFERROR(__xludf.DUMMYFUNCTION("""COMPUTED_VALUE"""),"Numerical Methods")</f>
        <v>Numerical Methods</v>
      </c>
      <c r="G14" s="2" t="str">
        <f>IFERROR(__xludf.DUMMYFUNCTION("""COMPUTED_VALUE"""),"19MA201")</f>
        <v>19MA201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IFERROR(__xludf.DUMMYFUNCTION("""COMPUTED_VALUE"""),"Any 1")</f>
        <v>Any 1</v>
      </c>
      <c r="C15" s="2" t="str">
        <f>IFERROR(__xludf.DUMMYFUNCTION("""COMPUTED_VALUE"""),"BS")</f>
        <v>BS</v>
      </c>
      <c r="D15" s="2" t="str">
        <f>IFERROR(__xludf.DUMMYFUNCTION("""COMPUTED_VALUE"""),"SH2211")</f>
        <v>SH2211</v>
      </c>
      <c r="E15" s="2" t="str">
        <f>IFERROR(__xludf.DUMMYFUNCTION("""COMPUTED_VALUE"""),"19MA211")</f>
        <v>19MA211</v>
      </c>
      <c r="F15" s="7" t="str">
        <f>IFERROR(__xludf.DUMMYFUNCTION("""COMPUTED_VALUE"""),"Statistics and Numerical Methods")</f>
        <v>Statistics and Numerical Methods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IFERROR(__xludf.DUMMYFUNCTION("""COMPUTED_VALUE"""),"SH3204")</f>
        <v>SH3204</v>
      </c>
      <c r="E16" s="2" t="str">
        <f>IFERROR(__xludf.DUMMYFUNCTION("""COMPUTED_VALUE"""),"19PH204")</f>
        <v>19PH204</v>
      </c>
      <c r="F16" s="7" t="str">
        <f>IFERROR(__xludf.DUMMYFUNCTION("""COMPUTED_VALUE"""),"Physics for Chemical Engineering")</f>
        <v>Physics for Chemical Engineering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IFERROR(__xludf.DUMMYFUNCTION("""COMPUTED_VALUE"""),"NA")</f>
        <v>NA</v>
      </c>
      <c r="E17" s="2" t="str">
        <f>IFERROR(__xludf.DUMMYFUNCTION("""COMPUTED_VALUE"""),"19CY204 ")</f>
        <v>19CY204 </v>
      </c>
      <c r="F17" s="7" t="str">
        <f>IFERROR(__xludf.DUMMYFUNCTION("""COMPUTED_VALUE"""),"Chemistry for Technologists I")</f>
        <v>Chemistry for Technologists I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IFERROR(__xludf.DUMMYFUNCTION("""COMPUTED_VALUE"""),"BS")</f>
        <v>BS</v>
      </c>
      <c r="D18" s="2" t="str">
        <f>IFERROR(__xludf.DUMMYFUNCTION("""COMPUTED_VALUE"""),"NA")</f>
        <v>NA</v>
      </c>
      <c r="E18" s="2" t="str">
        <f>IFERROR(__xludf.DUMMYFUNCTION("""COMPUTED_VALUE"""),"19CY209")</f>
        <v>19CY209</v>
      </c>
      <c r="F18" s="7" t="str">
        <f>IFERROR(__xludf.DUMMYFUNCTION("""COMPUTED_VALUE"""),"Chemistry for Technologists II")</f>
        <v>Chemistry for Technologists II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IFERROR(__xludf.DUMMYFUNCTION("""COMPUTED_VALUE"""),"BS")</f>
        <v>BS</v>
      </c>
      <c r="D19" s="2" t="str">
        <f>IFERROR(__xludf.DUMMYFUNCTION("""COMPUTED_VALUE"""),"NA")</f>
        <v>NA</v>
      </c>
      <c r="E19" s="2" t="str">
        <f>IFERROR(__xludf.DUMMYFUNCTION("""COMPUTED_VALUE"""),"19CY210 ")</f>
        <v>19CY210 </v>
      </c>
      <c r="F19" s="7" t="str">
        <f>IFERROR(__xludf.DUMMYFUNCTION("""COMPUTED_VALUE"""),"Chemistry for Technologists III")</f>
        <v>Chemistry for Technologists III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IFERROR(__xludf.DUMMYFUNCTION("""COMPUTED_VALUE"""),"NA")</f>
        <v>NA</v>
      </c>
      <c r="E20" s="2" t="str">
        <f>IFERROR(__xludf.DUMMYFUNCTION("""COMPUTED_VALUE"""),"19CS301")</f>
        <v>19CS301</v>
      </c>
      <c r="F20" s="7" t="str">
        <f>IFERROR(__xludf.DUMMYFUNCTION("""COMPUTED_VALUE"""),"Problem Solving and Python Programming")</f>
        <v>Problem Solving and Python Programming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IFERROR(__xludf.DUMMYFUNCTION("""COMPUTED_VALUE"""),1)</f>
        <v>1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IFERROR(__xludf.DUMMYFUNCTION("""COMPUTED_VALUE"""),"NA")</f>
        <v>NA</v>
      </c>
      <c r="E21" s="2" t="str">
        <f>IFERROR(__xludf.DUMMYFUNCTION("""COMPUTED_VALUE"""),"19ME302")</f>
        <v>19ME302</v>
      </c>
      <c r="F21" s="7" t="str">
        <f>IFERROR(__xludf.DUMMYFUNCTION("""COMPUTED_VALUE"""),"Engineering Drawing")</f>
        <v>Engineering Drawing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IFERROR(__xludf.DUMMYFUNCTION("""COMPUTED_VALUE"""),"19ME307")</f>
        <v>19ME307</v>
      </c>
      <c r="F22" s="7" t="str">
        <f>IFERROR(__xludf.DUMMYFUNCTION("""COMPUTED_VALUE"""),"Basic Mechanical Engineering")</f>
        <v>Basic Mechanical Engineering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IFERROR(__xludf.DUMMYFUNCTION("""COMPUTED_VALUE"""),1)</f>
        <v>1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IFERROR(__xludf.DUMMYFUNCTION("""COMPUTED_VALUE"""),"EC2306")</f>
        <v>EC2306</v>
      </c>
      <c r="E23" s="2" t="str">
        <f>IFERROR(__xludf.DUMMYFUNCTION("""COMPUTED_VALUE"""),"19EE306  ")</f>
        <v>19EE306  </v>
      </c>
      <c r="F23" s="7" t="str">
        <f>IFERROR(__xludf.DUMMYFUNCTION("""COMPUTED_VALUE"""),"Basic Electrical, Electronics and Instrumentation Engineering")</f>
        <v>Basic Electrical, Electronics and Instrumentation Engineering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IFERROR(__xludf.DUMMYFUNCTION("""COMPUTED_VALUE"""),"CH0301")</f>
        <v>CH0301</v>
      </c>
      <c r="E24" s="2" t="str">
        <f>IFERROR(__xludf.DUMMYFUNCTION("""COMPUTED_VALUE"""),"19CH301")</f>
        <v>19CH301</v>
      </c>
      <c r="F24" s="7" t="str">
        <f>IFERROR(__xludf.DUMMYFUNCTION("""COMPUTED_VALUE"""),"Principles of Chemical Engineering")</f>
        <v>Principles of Chemical Engineering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IFERROR(__xludf.DUMMYFUNCTION("""COMPUTED_VALUE"""),0)</f>
        <v>0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IFERROR(__xludf.DUMMYFUNCTION("""COMPUTED_VALUE"""),"CH0302")</f>
        <v>CH0302</v>
      </c>
      <c r="E25" s="2" t="str">
        <f>IFERROR(__xludf.DUMMYFUNCTION("""COMPUTED_VALUE"""),"19CH302")</f>
        <v>19CH302</v>
      </c>
      <c r="F25" s="7" t="str">
        <f>IFERROR(__xludf.DUMMYFUNCTION("""COMPUTED_VALUE"""),"Basics of Material Science and Solid Mechanics")</f>
        <v>Basics of Material Science and Solid Mechanics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IFERROR(__xludf.DUMMYFUNCTION("""COMPUTED_VALUE"""),0)</f>
        <v>0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IFERROR(__xludf.DUMMYFUNCTION("""COMPUTED_VALUE"""),"Theory")</f>
        <v>Theory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IFERROR(__xludf.DUMMYFUNCTION("""COMPUTED_VALUE"""),"NA")</f>
        <v>NA</v>
      </c>
      <c r="E26" s="2" t="str">
        <f>IFERROR(__xludf.DUMMYFUNCTION("""COMPUTED_VALUE"""),"19CH303")</f>
        <v>19CH303</v>
      </c>
      <c r="F26" s="7" t="str">
        <f>IFERROR(__xludf.DUMMYFUNCTION("""COMPUTED_VALUE"""),"Chemical Process Calculations")</f>
        <v>Chemical Process Calculations</v>
      </c>
      <c r="G26" s="2" t="str">
        <f>IFERROR(__xludf.DUMMYFUNCTION("""COMPUTED_VALUE"""),"-")</f>
        <v>-</v>
      </c>
      <c r="H26" s="2">
        <f>IFERROR(__xludf.DUMMYFUNCTION("""COMPUTED_VALUE"""),4)</f>
        <v>4</v>
      </c>
      <c r="I26" s="2">
        <f>IFERROR(__xludf.DUMMYFUNCTION("""COMPUTED_VALUE"""),0)</f>
        <v>0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IFERROR(__xludf.DUMMYFUNCTION("""COMPUTED_VALUE"""),"Theory")</f>
        <v>Theory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IFERROR(__xludf.DUMMYFUNCTION("""COMPUTED_VALUE"""),"CH0401")</f>
        <v>CH0401</v>
      </c>
      <c r="E27" s="2" t="str">
        <f>IFERROR(__xludf.DUMMYFUNCTION("""COMPUTED_VALUE"""),"19CH401")</f>
        <v>19CH401</v>
      </c>
      <c r="F27" s="7" t="str">
        <f>IFERROR(__xludf.DUMMYFUNCTION("""COMPUTED_VALUE"""),"Fluid Mechanics for Chemical Engineers")</f>
        <v>Fluid Mechanics for Chemical Engineers</v>
      </c>
      <c r="G27" s="2" t="str">
        <f>IFERROR(__xludf.DUMMYFUNCTION("""COMPUTED_VALUE"""),"-")</f>
        <v>-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IFERROR(__xludf.DUMMYFUNCTION("""COMPUTED_VALUE"""),"NA")</f>
        <v>NA</v>
      </c>
      <c r="E28" s="2" t="str">
        <f>IFERROR(__xludf.DUMMYFUNCTION("""COMPUTED_VALUE"""),"19CH402")</f>
        <v>19CH402</v>
      </c>
      <c r="F28" s="7" t="str">
        <f>IFERROR(__xludf.DUMMYFUNCTION("""COMPUTED_VALUE"""),"Chemical Engineering Thermodynamics")</f>
        <v>Chemical Engineering Thermodynamics</v>
      </c>
      <c r="G28" s="2" t="str">
        <f>IFERROR(__xludf.DUMMYFUNCTION("""COMPUTED_VALUE"""),"19CH301 / CH0301")</f>
        <v>19CH301 / CH0301</v>
      </c>
      <c r="H28" s="2">
        <f>IFERROR(__xludf.DUMMYFUNCTION("""COMPUTED_VALUE"""),4)</f>
        <v>4</v>
      </c>
      <c r="I28" s="2">
        <f>IFERROR(__xludf.DUMMYFUNCTION("""COMPUTED_VALUE"""),0)</f>
        <v>0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IFERROR(__xludf.DUMMYFUNCTION("""COMPUTED_VALUE"""),"Theory")</f>
        <v>Theory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IFERROR(__xludf.DUMMYFUNCTION("""COMPUTED_VALUE"""),"CH0403")</f>
        <v>CH0403</v>
      </c>
      <c r="E29" s="2" t="str">
        <f>IFERROR(__xludf.DUMMYFUNCTION("""COMPUTED_VALUE"""),"19CH403")</f>
        <v>19CH403</v>
      </c>
      <c r="F29" s="7" t="str">
        <f>IFERROR(__xludf.DUMMYFUNCTION("""COMPUTED_VALUE"""),"Mechanical Operations")</f>
        <v>Mechanical Operations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IFERROR(__xludf.DUMMYFUNCTION("""COMPUTED_VALUE"""),"CH0404")</f>
        <v>CH0404</v>
      </c>
      <c r="E30" s="2" t="str">
        <f>IFERROR(__xludf.DUMMYFUNCTION("""COMPUTED_VALUE"""),"19CH404")</f>
        <v>19CH404</v>
      </c>
      <c r="F30" s="7" t="str">
        <f>IFERROR(__xludf.DUMMYFUNCTION("""COMPUTED_VALUE"""),"Chemical Process Industries")</f>
        <v>Chemical Process Industries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IFERROR(__xludf.DUMMYFUNCTION("""COMPUTED_VALUE"""),0)</f>
        <v>0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IFERROR(__xludf.DUMMYFUNCTION("""COMPUTED_VALUE"""),"CH0405")</f>
        <v>CH0405</v>
      </c>
      <c r="E31" s="2" t="str">
        <f>IFERROR(__xludf.DUMMYFUNCTION("""COMPUTED_VALUE"""),"19CH405")</f>
        <v>19CH405</v>
      </c>
      <c r="F31" s="7" t="str">
        <f>IFERROR(__xludf.DUMMYFUNCTION("""COMPUTED_VALUE"""),"Heat Transfer")</f>
        <v>Heat Transfer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IFERROR(__xludf.DUMMYFUNCTION("""COMPUTED_VALUE"""),"CH0406")</f>
        <v>CH0406</v>
      </c>
      <c r="E32" s="2" t="str">
        <f>IFERROR(__xludf.DUMMYFUNCTION("""COMPUTED_VALUE"""),"19CH406")</f>
        <v>19CH406</v>
      </c>
      <c r="F32" s="7" t="str">
        <f>IFERROR(__xludf.DUMMYFUNCTION("""COMPUTED_VALUE"""),"Mass Transfer I")</f>
        <v>Mass Transfer I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IFERROR(__xludf.DUMMYFUNCTION("""COMPUTED_VALUE"""),"CH0407")</f>
        <v>CH0407</v>
      </c>
      <c r="E33" s="2" t="str">
        <f>IFERROR(__xludf.DUMMYFUNCTION("""COMPUTED_VALUE"""),"19CH407")</f>
        <v>19CH407</v>
      </c>
      <c r="F33" s="7" t="str">
        <f>IFERROR(__xludf.DUMMYFUNCTION("""COMPUTED_VALUE"""),"Chemical Reaction Engineering I")</f>
        <v>Chemical Reaction Engineering I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IFERROR(__xludf.DUMMYFUNCTION("""COMPUTED_VALUE"""),"CH0408")</f>
        <v>CH0408</v>
      </c>
      <c r="E34" s="2" t="str">
        <f>IFERROR(__xludf.DUMMYFUNCTION("""COMPUTED_VALUE"""),"19CH408")</f>
        <v>19CH408</v>
      </c>
      <c r="F34" s="7" t="str">
        <f>IFERROR(__xludf.DUMMYFUNCTION("""COMPUTED_VALUE"""),"Mass Transfer II")</f>
        <v>Mass Transfer II</v>
      </c>
      <c r="G34" s="2" t="str">
        <f>IFERROR(__xludf.DUMMYFUNCTION("""COMPUTED_VALUE"""),"19CH406 / CH0406")</f>
        <v>19CH406 / CH0406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IFERROR(__xludf.DUMMYFUNCTION("""COMPUTED_VALUE"""),"CH0409")</f>
        <v>CH0409</v>
      </c>
      <c r="E35" s="2" t="str">
        <f>IFERROR(__xludf.DUMMYFUNCTION("""COMPUTED_VALUE"""),"19CH409")</f>
        <v>19CH409</v>
      </c>
      <c r="F35" s="7" t="str">
        <f>IFERROR(__xludf.DUMMYFUNCTION("""COMPUTED_VALUE"""),"Chemical Reaction Engineering II")</f>
        <v>Chemical Reaction Engineering II</v>
      </c>
      <c r="G35" s="2" t="str">
        <f>IFERROR(__xludf.DUMMYFUNCTION("""COMPUTED_VALUE"""),"19CH407 / CH0407")</f>
        <v>19CH407 / CH0407</v>
      </c>
      <c r="H35" s="2">
        <f>IFERROR(__xludf.DUMMYFUNCTION("""COMPUTED_VALUE"""),4)</f>
        <v>4</v>
      </c>
      <c r="I35" s="2">
        <f>IFERROR(__xludf.DUMMYFUNCTION("""COMPUTED_VALUE"""),0)</f>
        <v>0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IFERROR(__xludf.DUMMYFUNCTION("""COMPUTED_VALUE"""),"CH0410")</f>
        <v>CH0410</v>
      </c>
      <c r="E36" s="2" t="str">
        <f>IFERROR(__xludf.DUMMYFUNCTION("""COMPUTED_VALUE"""),"19CH410")</f>
        <v>19CH410</v>
      </c>
      <c r="F36" s="7" t="str">
        <f>IFERROR(__xludf.DUMMYFUNCTION("""COMPUTED_VALUE"""),"Transport Phenomena")</f>
        <v>Transport Phenomena</v>
      </c>
      <c r="G36" s="2" t="str">
        <f>IFERROR(__xludf.DUMMYFUNCTION("""COMPUTED_VALUE"""),"19CH405, 19CH408 / CH0405, CH0408")</f>
        <v>19CH405, 19CH408 / CH0405, CH0408</v>
      </c>
      <c r="H36" s="2">
        <f>IFERROR(__xludf.DUMMYFUNCTION("""COMPUTED_VALUE"""),4)</f>
        <v>4</v>
      </c>
      <c r="I36" s="2">
        <f>IFERROR(__xludf.DUMMYFUNCTION("""COMPUTED_VALUE"""),0)</f>
        <v>0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IFERROR(__xludf.DUMMYFUNCTION("""COMPUTED_VALUE"""),"Theory")</f>
        <v>Theory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IFERROR(__xludf.DUMMYFUNCTION("""COMPUTED_VALUE"""),"CH0411")</f>
        <v>CH0411</v>
      </c>
      <c r="E37" s="2" t="str">
        <f>IFERROR(__xludf.DUMMYFUNCTION("""COMPUTED_VALUE"""),"19CH411")</f>
        <v>19CH411</v>
      </c>
      <c r="F37" s="7" t="str">
        <f>IFERROR(__xludf.DUMMYFUNCTION("""COMPUTED_VALUE"""),"Process Instrumentation, Dynamics and Control")</f>
        <v>Process Instrumentation, Dynamics and Control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IFERROR(__xludf.DUMMYFUNCTION("""COMPUTED_VALUE"""),"19CH412")</f>
        <v>19CH412</v>
      </c>
      <c r="F38" s="7" t="str">
        <f>IFERROR(__xludf.DUMMYFUNCTION("""COMPUTED_VALUE"""),"Process Equipment Design and Drawing")</f>
        <v>Process Equipment Design and Drawing</v>
      </c>
      <c r="G38" s="2" t="str">
        <f>IFERROR(__xludf.DUMMYFUNCTION("""COMPUTED_VALUE"""),"19CH405, 19CH408 / CH0405, CH0408")</f>
        <v>19CH405, 19CH408 / CH0405, CH0408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IFERROR(__xludf.DUMMYFUNCTION("""COMPUTED_VALUE"""),"CH0413")</f>
        <v>CH0413</v>
      </c>
      <c r="E39" s="2" t="str">
        <f>IFERROR(__xludf.DUMMYFUNCTION("""COMPUTED_VALUE"""),"19CH413")</f>
        <v>19CH413</v>
      </c>
      <c r="F39" s="7" t="str">
        <f>IFERROR(__xludf.DUMMYFUNCTION("""COMPUTED_VALUE"""),"Project Engineering Economics")</f>
        <v>Project Engineering Economics</v>
      </c>
      <c r="G39" s="2" t="str">
        <f>IFERROR(__xludf.DUMMYFUNCTION("""COMPUTED_VALUE"""),"19CH404 / CH0404")</f>
        <v>19CH404 / CH0404</v>
      </c>
      <c r="H39" s="2">
        <f>IFERROR(__xludf.DUMMYFUNCTION("""COMPUTED_VALUE"""),3)</f>
        <v>3</v>
      </c>
      <c r="I39" s="2">
        <f>IFERROR(__xludf.DUMMYFUNCTION("""COMPUTED_VALUE"""),0)</f>
        <v>0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IFERROR(__xludf.DUMMYFUNCTION("""COMPUTED_VALUE"""),"Theory")</f>
        <v>Theory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IFERROR(__xludf.DUMMYFUNCTION("""COMPUTED_VALUE"""),"CH0414")</f>
        <v>CH0414</v>
      </c>
      <c r="E40" s="2" t="str">
        <f>IFERROR(__xludf.DUMMYFUNCTION("""COMPUTED_VALUE"""),"19CH414")</f>
        <v>19CH414</v>
      </c>
      <c r="F40" s="7" t="str">
        <f>IFERROR(__xludf.DUMMYFUNCTION("""COMPUTED_VALUE"""),"Safety in Chemical Industries")</f>
        <v>Safety in Chemical Industries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IFERROR(__xludf.DUMMYFUNCTION("""COMPUTED_VALUE"""),"CH0415")</f>
        <v>CH0415</v>
      </c>
      <c r="E41" s="2" t="str">
        <f>IFERROR(__xludf.DUMMYFUNCTION("""COMPUTED_VALUE"""),"19CH415")</f>
        <v>19CH415</v>
      </c>
      <c r="F41" s="7" t="str">
        <f>IFERROR(__xludf.DUMMYFUNCTION("""COMPUTED_VALUE"""),"Computational Programming Laboratory")</f>
        <v>Computational Programming Laboratory</v>
      </c>
      <c r="G41" s="2" t="str">
        <f>IFERROR(__xludf.DUMMYFUNCTION("""COMPUTED_VALUE"""),"-")</f>
        <v>-</v>
      </c>
      <c r="H41" s="2">
        <f>IFERROR(__xludf.DUMMYFUNCTION("""COMPUTED_VALUE"""),0)</f>
        <v>0</v>
      </c>
      <c r="I41" s="2">
        <f>IFERROR(__xludf.DUMMYFUNCTION("""COMPUTED_VALUE"""),2)</f>
        <v>2</v>
      </c>
      <c r="J41" s="2">
        <f>IFERROR(__xludf.DUMMYFUNCTION("""COMPUTED_VALUE"""),2)</f>
        <v>2</v>
      </c>
      <c r="K41" s="2" t="str">
        <f>IFERROR(__xludf.DUMMYFUNCTION("""COMPUTED_VALUE"""),"CGPA")</f>
        <v>CGPA</v>
      </c>
      <c r="L41" s="2" t="str">
        <f>IFERROR(__xludf.DUMMYFUNCTION("""COMPUTED_VALUE"""),"Practical (10 Expts)")</f>
        <v>Practical (10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IFERROR(__xludf.DUMMYFUNCTION("""COMPUTED_VALUE"""),"PE")</f>
        <v>PE</v>
      </c>
      <c r="D42" s="2" t="str">
        <f>IFERROR(__xludf.DUMMYFUNCTION("""COMPUTED_VALUE"""),"CH0522")</f>
        <v>CH0522</v>
      </c>
      <c r="E42" s="2" t="str">
        <f>IFERROR(__xludf.DUMMYFUNCTION("""COMPUTED_VALUE"""),"19CH522")</f>
        <v>19CH522</v>
      </c>
      <c r="F42" s="7" t="str">
        <f>IFERROR(__xludf.DUMMYFUNCTION("""COMPUTED_VALUE"""),"Bioenergy")</f>
        <v>Bioenergy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IFERROR(__xludf.DUMMYFUNCTION("""COMPUTED_VALUE"""),"PE")</f>
        <v>PE</v>
      </c>
      <c r="D43" s="2" t="str">
        <f>IFERROR(__xludf.DUMMYFUNCTION("""COMPUTED_VALUE"""),"CH0523")</f>
        <v>CH0523</v>
      </c>
      <c r="E43" s="2" t="str">
        <f>IFERROR(__xludf.DUMMYFUNCTION("""COMPUTED_VALUE"""),"19CH523")</f>
        <v>19CH523</v>
      </c>
      <c r="F43" s="7" t="str">
        <f>IFERROR(__xludf.DUMMYFUNCTION("""COMPUTED_VALUE"""),"Green Energy")</f>
        <v>Green Energy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IFERROR(__xludf.DUMMYFUNCTION("""COMPUTED_VALUE"""),"CH0524")</f>
        <v>CH0524</v>
      </c>
      <c r="E44" s="2" t="str">
        <f>IFERROR(__xludf.DUMMYFUNCTION("""COMPUTED_VALUE"""),"19CH524")</f>
        <v>19CH524</v>
      </c>
      <c r="F44" s="7" t="str">
        <f>IFERROR(__xludf.DUMMYFUNCTION("""COMPUTED_VALUE"""),"Pinch Technology")</f>
        <v>Pinch Technology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IFERROR(__xludf.DUMMYFUNCTION("""COMPUTED_VALUE"""),"CH0525")</f>
        <v>CH0525</v>
      </c>
      <c r="E45" s="2" t="str">
        <f>IFERROR(__xludf.DUMMYFUNCTION("""COMPUTED_VALUE"""),"19CH525")</f>
        <v>19CH525</v>
      </c>
      <c r="F45" s="7" t="str">
        <f>IFERROR(__xludf.DUMMYFUNCTION("""COMPUTED_VALUE"""),"Hydrogen and Fuel Cell Technology")</f>
        <v>Hydrogen and Fuel Cell Technology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IFERROR(__xludf.DUMMYFUNCTION("""COMPUTED_VALUE"""),"CH0526")</f>
        <v>CH0526</v>
      </c>
      <c r="E46" s="2" t="str">
        <f>IFERROR(__xludf.DUMMYFUNCTION("""COMPUTED_VALUE"""),"19CH526")</f>
        <v>19CH526</v>
      </c>
      <c r="F46" s="7" t="str">
        <f>IFERROR(__xludf.DUMMYFUNCTION("""COMPUTED_VALUE"""),"Conventional Energy Sources")</f>
        <v>Conventional Energy Sources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IFERROR(__xludf.DUMMYFUNCTION("""COMPUTED_VALUE"""),"CH0527")</f>
        <v>CH0527</v>
      </c>
      <c r="E47" s="2" t="str">
        <f>IFERROR(__xludf.DUMMYFUNCTION("""COMPUTED_VALUE"""),"19CH527")</f>
        <v>19CH527</v>
      </c>
      <c r="F47" s="7" t="str">
        <f>IFERROR(__xludf.DUMMYFUNCTION("""COMPUTED_VALUE"""),"Smart Energy Systems")</f>
        <v>Smart Energy Systems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IFERROR(__xludf.DUMMYFUNCTION("""COMPUTED_VALUE"""),"CH0528")</f>
        <v>CH0528</v>
      </c>
      <c r="E48" s="2" t="str">
        <f>IFERROR(__xludf.DUMMYFUNCTION("""COMPUTED_VALUE"""),"19CH528")</f>
        <v>19CH528</v>
      </c>
      <c r="F48" s="7" t="str">
        <f>IFERROR(__xludf.DUMMYFUNCTION("""COMPUTED_VALUE"""),"Petroleum Chemistry and Refining Fundamentals")</f>
        <v>Petroleum Chemistry and Refining Fundamentals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IFERROR(__xludf.DUMMYFUNCTION("""COMPUTED_VALUE"""),"CH0529")</f>
        <v>CH0529</v>
      </c>
      <c r="E49" s="2" t="str">
        <f>IFERROR(__xludf.DUMMYFUNCTION("""COMPUTED_VALUE"""),"19CH529")</f>
        <v>19CH529</v>
      </c>
      <c r="F49" s="7" t="str">
        <f>IFERROR(__xludf.DUMMYFUNCTION("""COMPUTED_VALUE"""),"Primary Refining Technology")</f>
        <v>Primary Refining Technology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IFERROR(__xludf.DUMMYFUNCTION("""COMPUTED_VALUE"""),"CH0530")</f>
        <v>CH0530</v>
      </c>
      <c r="E50" s="2" t="str">
        <f>IFERROR(__xludf.DUMMYFUNCTION("""COMPUTED_VALUE"""),"19CH530")</f>
        <v>19CH530</v>
      </c>
      <c r="F50" s="7" t="str">
        <f>IFERROR(__xludf.DUMMYFUNCTION("""COMPUTED_VALUE"""),"Secondary Refining Technology")</f>
        <v>Secondary Refining Technology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IFERROR(__xludf.DUMMYFUNCTION("""COMPUTED_VALUE"""),"CH0531")</f>
        <v>CH0531</v>
      </c>
      <c r="E51" s="2" t="str">
        <f>IFERROR(__xludf.DUMMYFUNCTION("""COMPUTED_VALUE"""),"19CH531")</f>
        <v>19CH531</v>
      </c>
      <c r="F51" s="7" t="str">
        <f>IFERROR(__xludf.DUMMYFUNCTION("""COMPUTED_VALUE"""),"Refinery Advancement and Environmental Regulations")</f>
        <v>Refinery Advancement and Environmental Regulations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IFERROR(__xludf.DUMMYFUNCTION("""COMPUTED_VALUE"""),"CH0532")</f>
        <v>CH0532</v>
      </c>
      <c r="E52" s="2" t="str">
        <f>IFERROR(__xludf.DUMMYFUNCTION("""COMPUTED_VALUE"""),"19CH532")</f>
        <v>19CH532</v>
      </c>
      <c r="F52" s="7" t="str">
        <f>IFERROR(__xludf.DUMMYFUNCTION("""COMPUTED_VALUE"""),"Petroleum Equipment Design")</f>
        <v>Petroleum Equipment Design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IFERROR(__xludf.DUMMYFUNCTION("""COMPUTED_VALUE"""),"CH0533")</f>
        <v>CH0533</v>
      </c>
      <c r="E53" s="2" t="str">
        <f>IFERROR(__xludf.DUMMYFUNCTION("""COMPUTED_VALUE"""),"19CH533")</f>
        <v>19CH533</v>
      </c>
      <c r="F53" s="7" t="str">
        <f>IFERROR(__xludf.DUMMYFUNCTION("""COMPUTED_VALUE"""),"Petrochemical Technology")</f>
        <v>Petrochemical Technology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IFERROR(__xludf.DUMMYFUNCTION("""COMPUTED_VALUE"""),"CH0534")</f>
        <v>CH0534</v>
      </c>
      <c r="E54" s="2" t="str">
        <f>IFERROR(__xludf.DUMMYFUNCTION("""COMPUTED_VALUE"""),"19CH534")</f>
        <v>19CH534</v>
      </c>
      <c r="F54" s="7" t="str">
        <f>IFERROR(__xludf.DUMMYFUNCTION("""COMPUTED_VALUE"""),"Design and Analysis of Experiments")</f>
        <v>Design and Analysis of Experiments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IFERROR(__xludf.DUMMYFUNCTION("""COMPUTED_VALUE"""),"CH0535")</f>
        <v>CH0535</v>
      </c>
      <c r="E55" s="2" t="str">
        <f>IFERROR(__xludf.DUMMYFUNCTION("""COMPUTED_VALUE"""),"19CH535")</f>
        <v>19CH535</v>
      </c>
      <c r="F55" s="7" t="str">
        <f>IFERROR(__xludf.DUMMYFUNCTION("""COMPUTED_VALUE"""),"Optimization of Chemical Processes")</f>
        <v>Optimization of Chemical Processes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IFERROR(__xludf.DUMMYFUNCTION("""COMPUTED_VALUE"""),"CH0536")</f>
        <v>CH0536</v>
      </c>
      <c r="E56" s="2" t="str">
        <f>IFERROR(__xludf.DUMMYFUNCTION("""COMPUTED_VALUE"""),"19CH536")</f>
        <v>19CH536</v>
      </c>
      <c r="F56" s="7" t="str">
        <f>IFERROR(__xludf.DUMMYFUNCTION("""COMPUTED_VALUE"""),"Chemical Process Simulation and Analysis")</f>
        <v>Chemical Process Simulation and Analysis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IFERROR(__xludf.DUMMYFUNCTION("""COMPUTED_VALUE"""),"CH0537")</f>
        <v>CH0537</v>
      </c>
      <c r="E57" s="2" t="str">
        <f>IFERROR(__xludf.DUMMYFUNCTION("""COMPUTED_VALUE"""),"19CH537")</f>
        <v>19CH537</v>
      </c>
      <c r="F57" s="7" t="str">
        <f>IFERROR(__xludf.DUMMYFUNCTION("""COMPUTED_VALUE"""),"Pinch Analysis and Heat Exchange Network Design")</f>
        <v>Pinch Analysis and Heat Exchange Network Design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IFERROR(__xludf.DUMMYFUNCTION("""COMPUTED_VALUE"""),"CH0538")</f>
        <v>CH0538</v>
      </c>
      <c r="E58" s="2" t="str">
        <f>IFERROR(__xludf.DUMMYFUNCTION("""COMPUTED_VALUE"""),"19CH538")</f>
        <v>19CH538</v>
      </c>
      <c r="F58" s="7" t="str">
        <f>IFERROR(__xludf.DUMMYFUNCTION("""COMPUTED_VALUE"""),"Chemical Process Flow sheeting")</f>
        <v>Chemical Process Flow sheeting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IFERROR(__xludf.DUMMYFUNCTION("""COMPUTED_VALUE"""),"CH0539")</f>
        <v>CH0539</v>
      </c>
      <c r="E59" s="2" t="str">
        <f>IFERROR(__xludf.DUMMYFUNCTION("""COMPUTED_VALUE"""),"19CH539")</f>
        <v>19CH539</v>
      </c>
      <c r="F59" s="7" t="str">
        <f>IFERROR(__xludf.DUMMYFUNCTION("""COMPUTED_VALUE"""),"Computational Fluid Dynamics")</f>
        <v>Computational Fluid Dynamics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IFERROR(__xludf.DUMMYFUNCTION("""COMPUTED_VALUE"""),"CH0540")</f>
        <v>CH0540</v>
      </c>
      <c r="E60" s="2" t="str">
        <f>IFERROR(__xludf.DUMMYFUNCTION("""COMPUTED_VALUE"""),"19CH540")</f>
        <v>19CH540</v>
      </c>
      <c r="F60" s="7" t="str">
        <f>IFERROR(__xludf.DUMMYFUNCTION("""COMPUTED_VALUE"""),"Introduction to Biochemistry")</f>
        <v>Introduction to Biochemistry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IFERROR(__xludf.DUMMYFUNCTION("""COMPUTED_VALUE"""),"CH0541")</f>
        <v>CH0541</v>
      </c>
      <c r="E61" s="2" t="str">
        <f>IFERROR(__xludf.DUMMYFUNCTION("""COMPUTED_VALUE"""),"19CH541")</f>
        <v>19CH541</v>
      </c>
      <c r="F61" s="7" t="str">
        <f>IFERROR(__xludf.DUMMYFUNCTION("""COMPUTED_VALUE"""),"Bioprocess Technology")</f>
        <v>Bioprocess Technology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IFERROR(__xludf.DUMMYFUNCTION("""COMPUTED_VALUE"""),"CH0542")</f>
        <v>CH0542</v>
      </c>
      <c r="E62" s="2" t="str">
        <f>IFERROR(__xludf.DUMMYFUNCTION("""COMPUTED_VALUE"""),"19CH542")</f>
        <v>19CH542</v>
      </c>
      <c r="F62" s="7" t="str">
        <f>IFERROR(__xludf.DUMMYFUNCTION("""COMPUTED_VALUE"""),"Fermentation and Bioprocessing")</f>
        <v>Fermentation and Bioprocessing</v>
      </c>
      <c r="G62" s="2" t="str">
        <f>IFERROR(__xludf.DUMMYFUNCTION("""COMPUTED_VALUE"""),"-")</f>
        <v>-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IFERROR(__xludf.DUMMYFUNCTION("""COMPUTED_VALUE"""),"CH0543")</f>
        <v>CH0543</v>
      </c>
      <c r="E63" s="2" t="str">
        <f>IFERROR(__xludf.DUMMYFUNCTION("""COMPUTED_VALUE"""),"19CH543")</f>
        <v>19CH543</v>
      </c>
      <c r="F63" s="7" t="str">
        <f>IFERROR(__xludf.DUMMYFUNCTION("""COMPUTED_VALUE"""),"Bioseparation and Downstream Processing")</f>
        <v>Bioseparation and Downstream Processing</v>
      </c>
      <c r="G63" s="2" t="str">
        <f>IFERROR(__xludf.DUMMYFUNCTION("""COMPUTED_VALUE"""),"-")</f>
        <v>-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IFERROR(__xludf.DUMMYFUNCTION("""COMPUTED_VALUE"""),"CH0544")</f>
        <v>CH0544</v>
      </c>
      <c r="E64" s="2" t="str">
        <f>IFERROR(__xludf.DUMMYFUNCTION("""COMPUTED_VALUE"""),"19CH544")</f>
        <v>19CH544</v>
      </c>
      <c r="F64" s="7" t="str">
        <f>IFERROR(__xludf.DUMMYFUNCTION("""COMPUTED_VALUE"""),"Enzyme Immobilization Technology")</f>
        <v>Enzyme Immobilization Technology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IFERROR(__xludf.DUMMYFUNCTION("""COMPUTED_VALUE"""),"CH0545")</f>
        <v>CH0545</v>
      </c>
      <c r="E65" s="2" t="str">
        <f>IFERROR(__xludf.DUMMYFUNCTION("""COMPUTED_VALUE"""),"19CH545")</f>
        <v>19CH545</v>
      </c>
      <c r="F65" s="7" t="str">
        <f>IFERROR(__xludf.DUMMYFUNCTION("""COMPUTED_VALUE"""),"Bioreactor Design")</f>
        <v>Bioreactor Design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IFERROR(__xludf.DUMMYFUNCTION("""COMPUTED_VALUE"""),"CH0546")</f>
        <v>CH0546</v>
      </c>
      <c r="E66" s="2" t="str">
        <f>IFERROR(__xludf.DUMMYFUNCTION("""COMPUTED_VALUE"""),"19CH546")</f>
        <v>19CH546</v>
      </c>
      <c r="F66" s="7" t="str">
        <f>IFERROR(__xludf.DUMMYFUNCTION("""COMPUTED_VALUE"""),"Plant Design")</f>
        <v>Plant Design</v>
      </c>
      <c r="G66" s="2" t="str">
        <f>IFERROR(__xludf.DUMMYFUNCTION("""COMPUTED_VALUE"""),"-")</f>
        <v>-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IFERROR(__xludf.DUMMYFUNCTION("""COMPUTED_VALUE"""),"CH0547")</f>
        <v>CH0547</v>
      </c>
      <c r="E67" s="2" t="str">
        <f>IFERROR(__xludf.DUMMYFUNCTION("""COMPUTED_VALUE"""),"19CH547")</f>
        <v>19CH547</v>
      </c>
      <c r="F67" s="7" t="str">
        <f>IFERROR(__xludf.DUMMYFUNCTION("""COMPUTED_VALUE"""),"Plant Layout")</f>
        <v>Plant Layout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IFERROR(__xludf.DUMMYFUNCTION("""COMPUTED_VALUE"""),"CH0548")</f>
        <v>CH0548</v>
      </c>
      <c r="E68" s="2" t="str">
        <f>IFERROR(__xludf.DUMMYFUNCTION("""COMPUTED_VALUE"""),"19CH548")</f>
        <v>19CH548</v>
      </c>
      <c r="F68" s="7" t="str">
        <f>IFERROR(__xludf.DUMMYFUNCTION("""COMPUTED_VALUE"""),"Design Safety")</f>
        <v>Design Safety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IFERROR(__xludf.DUMMYFUNCTION("""COMPUTED_VALUE"""),"CH0549")</f>
        <v>CH0549</v>
      </c>
      <c r="E69" s="2" t="str">
        <f>IFERROR(__xludf.DUMMYFUNCTION("""COMPUTED_VALUE"""),"19CH549")</f>
        <v>19CH549</v>
      </c>
      <c r="F69" s="7" t="str">
        <f>IFERROR(__xludf.DUMMYFUNCTION("""COMPUTED_VALUE"""),"Material Selection")</f>
        <v>Material Selection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IFERROR(__xludf.DUMMYFUNCTION("""COMPUTED_VALUE"""),"CH0550")</f>
        <v>CH0550</v>
      </c>
      <c r="E70" s="2" t="str">
        <f>IFERROR(__xludf.DUMMYFUNCTION("""COMPUTED_VALUE"""),"19CH550")</f>
        <v>19CH550</v>
      </c>
      <c r="F70" s="7" t="str">
        <f>IFERROR(__xludf.DUMMYFUNCTION("""COMPUTED_VALUE"""),"Statutory Requirements and Customer Care")</f>
        <v>Statutory Requirements and Customer Care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IFERROR(__xludf.DUMMYFUNCTION("""COMPUTED_VALUE"""),"CH0551")</f>
        <v>CH0551</v>
      </c>
      <c r="E71" s="2" t="str">
        <f>IFERROR(__xludf.DUMMYFUNCTION("""COMPUTED_VALUE"""),"19CH551")</f>
        <v>19CH551</v>
      </c>
      <c r="F71" s="7" t="str">
        <f>IFERROR(__xludf.DUMMYFUNCTION("""COMPUTED_VALUE"""),"Plant Utilities")</f>
        <v>Plant Utilities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IFERROR(__xludf.DUMMYFUNCTION("""COMPUTED_VALUE"""),"CH0552")</f>
        <v>CH0552</v>
      </c>
      <c r="E72" s="2" t="str">
        <f>IFERROR(__xludf.DUMMYFUNCTION("""COMPUTED_VALUE"""),"19CH552")</f>
        <v>19CH552</v>
      </c>
      <c r="F72" s="7" t="str">
        <f>IFERROR(__xludf.DUMMYFUNCTION("""COMPUTED_VALUE"""),"Solid Waste Management")</f>
        <v>Solid Waste Management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IFERROR(__xludf.DUMMYFUNCTION("""COMPUTED_VALUE"""),"CH0553")</f>
        <v>CH0553</v>
      </c>
      <c r="E73" s="2" t="str">
        <f>IFERROR(__xludf.DUMMYFUNCTION("""COMPUTED_VALUE"""),"19CH553")</f>
        <v>19CH553</v>
      </c>
      <c r="F73" s="7" t="str">
        <f>IFERROR(__xludf.DUMMYFUNCTION("""COMPUTED_VALUE"""),"Environmental Social Risk Assessment")</f>
        <v>Environmental Social Risk Assessment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IFERROR(__xludf.DUMMYFUNCTION("""COMPUTED_VALUE"""),"CH0554")</f>
        <v>CH0554</v>
      </c>
      <c r="E74" s="2" t="str">
        <f>IFERROR(__xludf.DUMMYFUNCTION("""COMPUTED_VALUE"""),"19CH554")</f>
        <v>19CH554</v>
      </c>
      <c r="F74" s="7" t="str">
        <f>IFERROR(__xludf.DUMMYFUNCTION("""COMPUTED_VALUE"""),"Process Safety Management")</f>
        <v>Process Safety Management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IFERROR(__xludf.DUMMYFUNCTION("""COMPUTED_VALUE"""),"CH0555")</f>
        <v>CH0555</v>
      </c>
      <c r="E75" s="2" t="str">
        <f>IFERROR(__xludf.DUMMYFUNCTION("""COMPUTED_VALUE"""),"19CH555")</f>
        <v>19CH555</v>
      </c>
      <c r="F75" s="7" t="str">
        <f>IFERROR(__xludf.DUMMYFUNCTION("""COMPUTED_VALUE"""),"Risk and HAZOP Analysis")</f>
        <v>Risk and HAZOP Analysis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IFERROR(__xludf.DUMMYFUNCTION("""COMPUTED_VALUE"""),"CH0504")</f>
        <v>CH0504</v>
      </c>
      <c r="E76" s="2" t="str">
        <f>IFERROR(__xludf.DUMMYFUNCTION("""COMPUTED_VALUE"""),"19CH504")</f>
        <v>19CH504</v>
      </c>
      <c r="F76" s="7" t="str">
        <f>IFERROR(__xludf.DUMMYFUNCTION("""COMPUTED_VALUE"""),"Air Pollution and Control")</f>
        <v>Air Pollution and Control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IFERROR(__xludf.DUMMYFUNCTION("""COMPUTED_VALUE"""),"CH0506")</f>
        <v>CH0506</v>
      </c>
      <c r="E77" s="2" t="str">
        <f>IFERROR(__xludf.DUMMYFUNCTION("""COMPUTED_VALUE"""),"19CH506")</f>
        <v>19CH506</v>
      </c>
      <c r="F77" s="7" t="str">
        <f>IFERROR(__xludf.DUMMYFUNCTION("""COMPUTED_VALUE"""),"Wastewater Treatment")</f>
        <v>Wastewater Treatment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IFERROR(__xludf.DUMMYFUNCTION("""COMPUTED_VALUE"""),"NA")</f>
        <v>NA</v>
      </c>
      <c r="E78" s="2" t="str">
        <f>IFERROR(__xludf.DUMMYFUNCTION("""COMPUTED_VALUE"""),"19CH501")</f>
        <v>19CH501</v>
      </c>
      <c r="F78" s="7" t="str">
        <f>IFERROR(__xludf.DUMMYFUNCTION("""COMPUTED_VALUE"""),"Petroleum Refining and Petrochemicals")</f>
        <v>Petroleum Refining and Petrochemicals</v>
      </c>
      <c r="G78" s="2" t="str">
        <f>IFERROR(__xludf.DUMMYFUNCTION("""COMPUTED_VALUE"""),"-")</f>
        <v>-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IFERROR(__xludf.DUMMYFUNCTION("""COMPUTED_VALUE"""),"NA")</f>
        <v>NA</v>
      </c>
      <c r="E79" s="2" t="str">
        <f>IFERROR(__xludf.DUMMYFUNCTION("""COMPUTED_VALUE"""),"19CH502")</f>
        <v>19CH502</v>
      </c>
      <c r="F79" s="7" t="str">
        <f>IFERROR(__xludf.DUMMYFUNCTION("""COMPUTED_VALUE"""),"Natural Gas Engineering")</f>
        <v>Natural Gas Engineering</v>
      </c>
      <c r="G79" s="2" t="str">
        <f>IFERROR(__xludf.DUMMYFUNCTION("""COMPUTED_VALUE"""),"-")</f>
        <v>-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IFERROR(__xludf.DUMMYFUNCTION("""COMPUTED_VALUE"""),"CH0503")</f>
        <v>CH0503</v>
      </c>
      <c r="E80" s="2" t="str">
        <f>IFERROR(__xludf.DUMMYFUNCTION("""COMPUTED_VALUE"""),"19CH503")</f>
        <v>19CH503</v>
      </c>
      <c r="F80" s="7" t="str">
        <f>IFERROR(__xludf.DUMMYFUNCTION("""COMPUTED_VALUE"""),"Energy Technology")</f>
        <v>Energy Technology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IFERROR(__xludf.DUMMYFUNCTION("""COMPUTED_VALUE"""),"NA")</f>
        <v>NA</v>
      </c>
      <c r="E81" s="2" t="str">
        <f>IFERROR(__xludf.DUMMYFUNCTION("""COMPUTED_VALUE"""),"19CH505")</f>
        <v>19CH505</v>
      </c>
      <c r="F81" s="7" t="str">
        <f>IFERROR(__xludf.DUMMYFUNCTION("""COMPUTED_VALUE"""),"Green Technology")</f>
        <v>Green Technology</v>
      </c>
      <c r="G81" s="2" t="str">
        <f>IFERROR(__xludf.DUMMYFUNCTION("""COMPUTED_VALUE"""),"-")</f>
        <v>-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IFERROR(__xludf.DUMMYFUNCTION("""COMPUTED_VALUE"""),"NA")</f>
        <v>NA</v>
      </c>
      <c r="E82" s="2" t="str">
        <f>IFERROR(__xludf.DUMMYFUNCTION("""COMPUTED_VALUE"""),"19CH507")</f>
        <v>19CH507</v>
      </c>
      <c r="F82" s="7" t="str">
        <f>IFERROR(__xludf.DUMMYFUNCTION("""COMPUTED_VALUE"""),"Disaster Management")</f>
        <v>Disaster Management</v>
      </c>
      <c r="G82" s="2" t="str">
        <f>IFERROR(__xludf.DUMMYFUNCTION("""COMPUTED_VALUE"""),"-")</f>
        <v>-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IFERROR(__xludf.DUMMYFUNCTION("""COMPUTED_VALUE"""),"NA")</f>
        <v>NA</v>
      </c>
      <c r="E83" s="2" t="str">
        <f>IFERROR(__xludf.DUMMYFUNCTION("""COMPUTED_VALUE"""),"19CH508")</f>
        <v>19CH508</v>
      </c>
      <c r="F83" s="7" t="str">
        <f>IFERROR(__xludf.DUMMYFUNCTION("""COMPUTED_VALUE"""),"Process Plant Utilities")</f>
        <v>Process Plant Utilities</v>
      </c>
      <c r="G83" s="2" t="str">
        <f>IFERROR(__xludf.DUMMYFUNCTION("""COMPUTED_VALUE"""),"-")</f>
        <v>-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IFERROR(__xludf.DUMMYFUNCTION("""COMPUTED_VALUE"""),"NA")</f>
        <v>NA</v>
      </c>
      <c r="E84" s="2" t="str">
        <f>IFERROR(__xludf.DUMMYFUNCTION("""COMPUTED_VALUE"""),"19CH509")</f>
        <v>19CH509</v>
      </c>
      <c r="F84" s="7" t="str">
        <f>IFERROR(__xludf.DUMMYFUNCTION("""COMPUTED_VALUE"""),"Instrumental Methods of Analysis")</f>
        <v>Instrumental Methods of Analysis</v>
      </c>
      <c r="G84" s="2" t="str">
        <f>IFERROR(__xludf.DUMMYFUNCTION("""COMPUTED_VALUE"""),"-")</f>
        <v>-</v>
      </c>
      <c r="H84" s="2">
        <f>IFERROR(__xludf.DUMMYFUNCTION("""COMPUTED_VALUE"""),3)</f>
        <v>3</v>
      </c>
      <c r="I84" s="2">
        <f>IFERROR(__xludf.DUMMYFUNCTION("""COMPUTED_VALUE"""),0)</f>
        <v>0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IFERROR(__xludf.DUMMYFUNCTION("""COMPUTED_VALUE"""),"Theory")</f>
        <v>Theory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IFERROR(__xludf.DUMMYFUNCTION("""COMPUTED_VALUE"""),"NA")</f>
        <v>NA</v>
      </c>
      <c r="E85" s="2" t="str">
        <f>IFERROR(__xludf.DUMMYFUNCTION("""COMPUTED_VALUE"""),"19CH510")</f>
        <v>19CH510</v>
      </c>
      <c r="F85" s="7" t="str">
        <f>IFERROR(__xludf.DUMMYFUNCTION("""COMPUTED_VALUE"""),"Instrumentation and Control")</f>
        <v>Instrumentation and Control</v>
      </c>
      <c r="G85" s="2" t="str">
        <f>IFERROR(__xludf.DUMMYFUNCTION("""COMPUTED_VALUE"""),"-")</f>
        <v>-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IFERROR(__xludf.DUMMYFUNCTION("""COMPUTED_VALUE"""),"NA")</f>
        <v>NA</v>
      </c>
      <c r="E86" s="2" t="str">
        <f>IFERROR(__xludf.DUMMYFUNCTION("""COMPUTED_VALUE"""),"19CH511")</f>
        <v>19CH511</v>
      </c>
      <c r="F86" s="7" t="str">
        <f>IFERROR(__xludf.DUMMYFUNCTION("""COMPUTED_VALUE"""),"Food Technology")</f>
        <v>Food Technology</v>
      </c>
      <c r="G86" s="2" t="str">
        <f>IFERROR(__xludf.DUMMYFUNCTION("""COMPUTED_VALUE"""),"-")</f>
        <v>-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IFERROR(__xludf.DUMMYFUNCTION("""COMPUTED_VALUE"""),"NA")</f>
        <v>NA</v>
      </c>
      <c r="E87" s="2" t="str">
        <f>IFERROR(__xludf.DUMMYFUNCTION("""COMPUTED_VALUE"""),"19CH512")</f>
        <v>19CH512</v>
      </c>
      <c r="F87" s="7" t="str">
        <f>IFERROR(__xludf.DUMMYFUNCTION("""COMPUTED_VALUE"""),"Drugs and Pharmaceutical Technology")</f>
        <v>Drugs and Pharmaceutical Technology</v>
      </c>
      <c r="G87" s="2" t="str">
        <f>IFERROR(__xludf.DUMMYFUNCTION("""COMPUTED_VALUE"""),"-")</f>
        <v>-</v>
      </c>
      <c r="H87" s="2">
        <f>IFERROR(__xludf.DUMMYFUNCTION("""COMPUTED_VALUE"""),3)</f>
        <v>3</v>
      </c>
      <c r="I87" s="2">
        <f>IFERROR(__xludf.DUMMYFUNCTION("""COMPUTED_VALUE"""),0)</f>
        <v>0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IFERROR(__xludf.DUMMYFUNCTION("""COMPUTED_VALUE"""),"Theory")</f>
        <v>Theory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IFERROR(__xludf.DUMMYFUNCTION("""COMPUTED_VALUE"""),"NA")</f>
        <v>NA</v>
      </c>
      <c r="E88" s="2" t="str">
        <f>IFERROR(__xludf.DUMMYFUNCTION("""COMPUTED_VALUE"""),"19CH513")</f>
        <v>19CH513</v>
      </c>
      <c r="F88" s="7" t="str">
        <f>IFERROR(__xludf.DUMMYFUNCTION("""COMPUTED_VALUE"""),"Polymer Science and Technology")</f>
        <v>Polymer Science and Technology</v>
      </c>
      <c r="G88" s="2" t="str">
        <f>IFERROR(__xludf.DUMMYFUNCTION("""COMPUTED_VALUE"""),"-")</f>
        <v>-</v>
      </c>
      <c r="H88" s="2">
        <f>IFERROR(__xludf.DUMMYFUNCTION("""COMPUTED_VALUE"""),3)</f>
        <v>3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IFERROR(__xludf.DUMMYFUNCTION("""COMPUTED_VALUE"""),"Theory")</f>
        <v>Theory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IFERROR(__xludf.DUMMYFUNCTION("""COMPUTED_VALUE"""),"NA")</f>
        <v>NA</v>
      </c>
      <c r="E89" s="2" t="str">
        <f>IFERROR(__xludf.DUMMYFUNCTION("""COMPUTED_VALUE"""),"19CH514")</f>
        <v>19CH514</v>
      </c>
      <c r="F89" s="7" t="str">
        <f>IFERROR(__xludf.DUMMYFUNCTION("""COMPUTED_VALUE"""),"Pulp and Paper Technology")</f>
        <v>Pulp and Paper Technology</v>
      </c>
      <c r="G89" s="2" t="str">
        <f>IFERROR(__xludf.DUMMYFUNCTION("""COMPUTED_VALUE"""),"-")</f>
        <v>-</v>
      </c>
      <c r="H89" s="2">
        <f>IFERROR(__xludf.DUMMYFUNCTION("""COMPUTED_VALUE"""),3)</f>
        <v>3</v>
      </c>
      <c r="I89" s="2">
        <f>IFERROR(__xludf.DUMMYFUNCTION("""COMPUTED_VALUE"""),0)</f>
        <v>0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IFERROR(__xludf.DUMMYFUNCTION("""COMPUTED_VALUE"""),"Theory")</f>
        <v>Theory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IFERROR(__xludf.DUMMYFUNCTION("""COMPUTED_VALUE"""),"NA")</f>
        <v>NA</v>
      </c>
      <c r="E90" s="2" t="str">
        <f>IFERROR(__xludf.DUMMYFUNCTION("""COMPUTED_VALUE"""),"19CH515")</f>
        <v>19CH515</v>
      </c>
      <c r="F90" s="7" t="str">
        <f>IFERROR(__xludf.DUMMYFUNCTION("""COMPUTED_VALUE"""),"Fertilizer Technology")</f>
        <v>Fertilizer Technology</v>
      </c>
      <c r="G90" s="2" t="str">
        <f>IFERROR(__xludf.DUMMYFUNCTION("""COMPUTED_VALUE"""),"-")</f>
        <v>-</v>
      </c>
      <c r="H90" s="2">
        <f>IFERROR(__xludf.DUMMYFUNCTION("""COMPUTED_VALUE"""),3)</f>
        <v>3</v>
      </c>
      <c r="I90" s="2">
        <f>IFERROR(__xludf.DUMMYFUNCTION("""COMPUTED_VALUE"""),0)</f>
        <v>0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IFERROR(__xludf.DUMMYFUNCTION("""COMPUTED_VALUE"""),"Theory")</f>
        <v>Theory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IFERROR(__xludf.DUMMYFUNCTION("""COMPUTED_VALUE"""),"NA")</f>
        <v>NA</v>
      </c>
      <c r="E91" s="2" t="str">
        <f>IFERROR(__xludf.DUMMYFUNCTION("""COMPUTED_VALUE"""),"19CH515")</f>
        <v>19CH515</v>
      </c>
      <c r="F91" s="7" t="str">
        <f>IFERROR(__xludf.DUMMYFUNCTION("""COMPUTED_VALUE"""),"Fertilizer Technology")</f>
        <v>Fertilizer Technology</v>
      </c>
      <c r="G91" s="2" t="str">
        <f>IFERROR(__xludf.DUMMYFUNCTION("""COMPUTED_VALUE"""),"-")</f>
        <v>-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IFERROR(__xludf.DUMMYFUNCTION("""COMPUTED_VALUE"""),"NA")</f>
        <v>NA</v>
      </c>
      <c r="E92" s="2" t="str">
        <f>IFERROR(__xludf.DUMMYFUNCTION("""COMPUTED_VALUE"""),"19CH516")</f>
        <v>19CH516</v>
      </c>
      <c r="F92" s="7" t="str">
        <f>IFERROR(__xludf.DUMMYFUNCTION("""COMPUTED_VALUE"""),"Corrosion Technology")</f>
        <v>Corrosion Technology</v>
      </c>
      <c r="G92" s="2" t="str">
        <f>IFERROR(__xludf.DUMMYFUNCTION("""COMPUTED_VALUE"""),"-")</f>
        <v>-</v>
      </c>
      <c r="H92" s="2">
        <f>IFERROR(__xludf.DUMMYFUNCTION("""COMPUTED_VALUE"""),3)</f>
        <v>3</v>
      </c>
      <c r="I92" s="2">
        <f>IFERROR(__xludf.DUMMYFUNCTION("""COMPUTED_VALUE"""),0)</f>
        <v>0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IFERROR(__xludf.DUMMYFUNCTION("""COMPUTED_VALUE"""),"Theory")</f>
        <v>Theory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IFERROR(__xludf.DUMMYFUNCTION("""COMPUTED_VALUE"""),"NA")</f>
        <v>NA</v>
      </c>
      <c r="E93" s="2" t="str">
        <f>IFERROR(__xludf.DUMMYFUNCTION("""COMPUTED_VALUE"""),"19CH517")</f>
        <v>19CH517</v>
      </c>
      <c r="F93" s="7" t="str">
        <f>IFERROR(__xludf.DUMMYFUNCTION("""COMPUTED_VALUE"""),"Enzyme Engineering")</f>
        <v>Enzyme Engineering</v>
      </c>
      <c r="G93" s="2" t="str">
        <f>IFERROR(__xludf.DUMMYFUNCTION("""COMPUTED_VALUE"""),"-")</f>
        <v>-</v>
      </c>
      <c r="H93" s="2">
        <f>IFERROR(__xludf.DUMMYFUNCTION("""COMPUTED_VALUE"""),3)</f>
        <v>3</v>
      </c>
      <c r="I93" s="2">
        <f>IFERROR(__xludf.DUMMYFUNCTION("""COMPUTED_VALUE"""),0)</f>
        <v>0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IFERROR(__xludf.DUMMYFUNCTION("""COMPUTED_VALUE"""),"Theory")</f>
        <v>Theory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IFERROR(__xludf.DUMMYFUNCTION("""COMPUTED_VALUE"""),"NA")</f>
        <v>NA</v>
      </c>
      <c r="E94" s="2" t="str">
        <f>IFERROR(__xludf.DUMMYFUNCTION("""COMPUTED_VALUE"""),"19CH518")</f>
        <v>19CH518</v>
      </c>
      <c r="F94" s="7" t="str">
        <f>IFERROR(__xludf.DUMMYFUNCTION("""COMPUTED_VALUE"""),"Biochemical Engineering")</f>
        <v>Biochemical Engineering</v>
      </c>
      <c r="G94" s="2" t="str">
        <f>IFERROR(__xludf.DUMMYFUNCTION("""COMPUTED_VALUE"""),"-")</f>
        <v>-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IFERROR(__xludf.DUMMYFUNCTION("""COMPUTED_VALUE"""),"NA")</f>
        <v>NA</v>
      </c>
      <c r="E95" s="2" t="str">
        <f>IFERROR(__xludf.DUMMYFUNCTION("""COMPUTED_VALUE"""),"19CH519")</f>
        <v>19CH519</v>
      </c>
      <c r="F95" s="7" t="str">
        <f>IFERROR(__xludf.DUMMYFUNCTION("""COMPUTED_VALUE"""),"Novel Separation Techniques")</f>
        <v>Novel Separation Techniques</v>
      </c>
      <c r="G95" s="2" t="str">
        <f>IFERROR(__xludf.DUMMYFUNCTION("""COMPUTED_VALUE"""),"-")</f>
        <v>-</v>
      </c>
      <c r="H95" s="2">
        <f>IFERROR(__xludf.DUMMYFUNCTION("""COMPUTED_VALUE"""),3)</f>
        <v>3</v>
      </c>
      <c r="I95" s="2">
        <f>IFERROR(__xludf.DUMMYFUNCTION("""COMPUTED_VALUE"""),0)</f>
        <v>0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IFERROR(__xludf.DUMMYFUNCTION("""COMPUTED_VALUE"""),"Theory")</f>
        <v>Theory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IFERROR(__xludf.DUMMYFUNCTION("""COMPUTED_VALUE"""),"NA")</f>
        <v>NA</v>
      </c>
      <c r="E96" s="2" t="str">
        <f>IFERROR(__xludf.DUMMYFUNCTION("""COMPUTED_VALUE"""),"19CH520")</f>
        <v>19CH520</v>
      </c>
      <c r="F96" s="7" t="str">
        <f>IFERROR(__xludf.DUMMYFUNCTION("""COMPUTED_VALUE"""),"Process Modelling and Simulation")</f>
        <v>Process Modelling and Simulation</v>
      </c>
      <c r="G96" s="2" t="str">
        <f>IFERROR(__xludf.DUMMYFUNCTION("""COMPUTED_VALUE"""),"-")</f>
        <v>-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IFERROR(__xludf.DUMMYFUNCTION("""COMPUTED_VALUE"""),"NA")</f>
        <v>NA</v>
      </c>
      <c r="E97" s="2" t="str">
        <f>IFERROR(__xludf.DUMMYFUNCTION("""COMPUTED_VALUE"""),"19CH521")</f>
        <v>19CH521</v>
      </c>
      <c r="F97" s="7" t="str">
        <f>IFERROR(__xludf.DUMMYFUNCTION("""COMPUTED_VALUE"""),"Chemical Process Instrumentation")</f>
        <v>Chemical Process Instrumentation</v>
      </c>
      <c r="G97" s="2" t="str">
        <f>IFERROR(__xludf.DUMMYFUNCTION("""COMPUTED_VALUE"""),"-")</f>
        <v>-</v>
      </c>
      <c r="H97" s="2">
        <f>IFERROR(__xludf.DUMMYFUNCTION("""COMPUTED_VALUE"""),3)</f>
        <v>3</v>
      </c>
      <c r="I97" s="2">
        <f>IFERROR(__xludf.DUMMYFUNCTION("""COMPUTED_VALUE"""),0)</f>
        <v>0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IFERROR(__xludf.DUMMYFUNCTION("""COMPUTED_VALUE"""),"Theory")</f>
        <v>Theory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IFERROR(__xludf.DUMMYFUNCTION("""COMPUTED_VALUE"""),"OE")</f>
        <v>OE</v>
      </c>
      <c r="D98" s="2" t="str">
        <f>IFERROR(__xludf.DUMMYFUNCTION("""COMPUTED_VALUE"""),"XXXXXX")</f>
        <v>XXXXXX</v>
      </c>
      <c r="E98" s="2" t="str">
        <f>IFERROR(__xludf.DUMMYFUNCTION("""COMPUTED_VALUE"""),"19XXXXX")</f>
        <v>19XXXXX</v>
      </c>
      <c r="F98" s="3" t="str">
        <f>IFERROR(__xludf.DUMMYFUNCTION("""COMPUTED_VALUE"""),"Open Electives")</f>
        <v>Open Electives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 t="str">
        <f>IFERROR(__xludf.DUMMYFUNCTION("""COMPUTED_VALUE"""),"CGPA")</f>
        <v>CGPA</v>
      </c>
      <c r="L98" s="2" t="str">
        <f>IFERROR(__xludf.DUMMYFUNCTION("""COMPUTED_VALUE"""),"Theory")</f>
        <v>Theory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IFERROR(__xludf.DUMMYFUNCTION("""COMPUTED_VALUE"""),"EEC")</f>
        <v>EEC</v>
      </c>
      <c r="D99" s="2" t="str">
        <f>IFERROR(__xludf.DUMMYFUNCTION("""COMPUTED_VALUE"""),"CH0701")</f>
        <v>CH0701</v>
      </c>
      <c r="E99" s="2" t="str">
        <f>IFERROR(__xludf.DUMMYFUNCTION("""COMPUTED_VALUE"""),"19CH701")</f>
        <v>19CH701</v>
      </c>
      <c r="F99" s="7" t="str">
        <f>IFERROR(__xludf.DUMMYFUNCTION("""COMPUTED_VALUE"""),"Mini Project")</f>
        <v>Mini Project</v>
      </c>
      <c r="G99" s="2" t="str">
        <f>IFERROR(__xludf.DUMMYFUNCTION("""COMPUTED_VALUE"""),"-")</f>
        <v>-</v>
      </c>
      <c r="H99" s="2">
        <f>IFERROR(__xludf.DUMMYFUNCTION("""COMPUTED_VALUE"""),0)</f>
        <v>0</v>
      </c>
      <c r="I99" s="2">
        <f>IFERROR(__xludf.DUMMYFUNCTION("""COMPUTED_VALUE"""),2)</f>
        <v>2</v>
      </c>
      <c r="J99" s="2">
        <f>IFERROR(__xludf.DUMMYFUNCTION("""COMPUTED_VALUE"""),2)</f>
        <v>2</v>
      </c>
      <c r="K99" s="2" t="str">
        <f>IFERROR(__xludf.DUMMYFUNCTION("""COMPUTED_VALUE"""),"CGPA")</f>
        <v>CGPA</v>
      </c>
      <c r="L99" s="2" t="str">
        <f>IFERROR(__xludf.DUMMYFUNCTION("""COMPUTED_VALUE"""),"Project (Int Only)")</f>
        <v>Project (Int Only)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IFERROR(__xludf.DUMMYFUNCTION("""COMPUTED_VALUE"""),"EEC")</f>
        <v>EEC</v>
      </c>
      <c r="D100" s="2" t="str">
        <f>IFERROR(__xludf.DUMMYFUNCTION("""COMPUTED_VALUE"""),"CH0702")</f>
        <v>CH0702</v>
      </c>
      <c r="E100" s="2" t="str">
        <f>IFERROR(__xludf.DUMMYFUNCTION("""COMPUTED_VALUE"""),"19CH702")</f>
        <v>19CH702</v>
      </c>
      <c r="F100" s="7" t="str">
        <f>IFERROR(__xludf.DUMMYFUNCTION("""COMPUTED_VALUE"""),"Project Work Phase I")</f>
        <v>Project Work Phase I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IFERROR(__xludf.DUMMYFUNCTION("""COMPUTED_VALUE"""),2)</f>
        <v>2</v>
      </c>
      <c r="J100" s="2">
        <f>IFERROR(__xludf.DUMMYFUNCTION("""COMPUTED_VALUE"""),2)</f>
        <v>2</v>
      </c>
      <c r="K100" s="2" t="str">
        <f>IFERROR(__xludf.DUMMYFUNCTION("""COMPUTED_VALUE"""),"CGPA")</f>
        <v>CGPA</v>
      </c>
      <c r="L100" s="2" t="str">
        <f>IFERROR(__xludf.DUMMYFUNCTION("""COMPUTED_VALUE"""),"Project (Int Only)")</f>
        <v>Project (Int Only)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IFERROR(__xludf.DUMMYFUNCTION("""COMPUTED_VALUE"""),"EEC")</f>
        <v>EEC</v>
      </c>
      <c r="D101" s="2" t="str">
        <f>IFERROR(__xludf.DUMMYFUNCTION("""COMPUTED_VALUE"""),"CH0703")</f>
        <v>CH0703</v>
      </c>
      <c r="E101" s="2" t="str">
        <f>IFERROR(__xludf.DUMMYFUNCTION("""COMPUTED_VALUE"""),"19CH703")</f>
        <v>19CH703</v>
      </c>
      <c r="F101" s="7" t="str">
        <f>IFERROR(__xludf.DUMMYFUNCTION("""COMPUTED_VALUE"""),"Project Work Phase II")</f>
        <v>Project Work Phase II</v>
      </c>
      <c r="G101" s="2" t="str">
        <f>IFERROR(__xludf.DUMMYFUNCTION("""COMPUTED_VALUE"""),"-")</f>
        <v>-</v>
      </c>
      <c r="H101" s="2">
        <f>IFERROR(__xludf.DUMMYFUNCTION("""COMPUTED_VALUE"""),0)</f>
        <v>0</v>
      </c>
      <c r="I101" s="2">
        <f>IFERROR(__xludf.DUMMYFUNCTION("""COMPUTED_VALUE"""),6)</f>
        <v>6</v>
      </c>
      <c r="J101" s="2">
        <f>IFERROR(__xludf.DUMMYFUNCTION("""COMPUTED_VALUE"""),6)</f>
        <v>6</v>
      </c>
      <c r="K101" s="2" t="str">
        <f>IFERROR(__xludf.DUMMYFUNCTION("""COMPUTED_VALUE"""),"CGPA")</f>
        <v>CGPA</v>
      </c>
      <c r="L101" s="2" t="str">
        <f>IFERROR(__xludf.DUMMYFUNCTION("""COMPUTED_VALUE"""),"Project")</f>
        <v>Project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 t="str">
        <f>IFERROR(__xludf.DUMMYFUNCTION("""COMPUTED_VALUE"""),"Any 1")</f>
        <v>Any 1</v>
      </c>
      <c r="C102" s="2" t="str">
        <f>IFERROR(__xludf.DUMMYFUNCTION("""COMPUTED_VALUE"""),"EEC")</f>
        <v>EEC</v>
      </c>
      <c r="D102" s="2" t="str">
        <f>IFERROR(__xludf.DUMMYFUNCTION("""COMPUTED_VALUE"""),"NA")</f>
        <v>NA</v>
      </c>
      <c r="E102" s="2" t="str">
        <f>IFERROR(__xludf.DUMMYFUNCTION("""COMPUTED_VALUE"""),"19EY701")</f>
        <v>19EY701</v>
      </c>
      <c r="F102" s="7" t="str">
        <f>IFERROR(__xludf.DUMMYFUNCTION("""COMPUTED_VALUE"""),"Softskills")</f>
        <v>Softskills</v>
      </c>
      <c r="G102" s="2" t="str">
        <f>IFERROR(__xludf.DUMMYFUNCTION("""COMPUTED_VALUE"""),"-")</f>
        <v>-</v>
      </c>
      <c r="H102" s="2">
        <f>IFERROR(__xludf.DUMMYFUNCTION("""COMPUTED_VALUE"""),0)</f>
        <v>0</v>
      </c>
      <c r="I102" s="2">
        <f>IFERROR(__xludf.DUMMYFUNCTION("""COMPUTED_VALUE"""),1)</f>
        <v>1</v>
      </c>
      <c r="J102" s="2">
        <f>IFERROR(__xludf.DUMMYFUNCTION("""COMPUTED_VALUE"""),1)</f>
        <v>1</v>
      </c>
      <c r="K102" s="2" t="str">
        <f>IFERROR(__xludf.DUMMYFUNCTION("""COMPUTED_VALUE"""),"CGPA")</f>
        <v>CGPA</v>
      </c>
      <c r="L102" s="2" t="str">
        <f>IFERROR(__xludf.DUMMYFUNCTION("""COMPUTED_VALUE"""),"Practical (6 Expts)")</f>
        <v>Practical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 t="str">
        <f>IFERROR(__xludf.DUMMYFUNCTION("""COMPUTED_VALUE"""),"Any 1")</f>
        <v>Any 1</v>
      </c>
      <c r="C103" s="2" t="str">
        <f>IFERROR(__xludf.DUMMYFUNCTION("""COMPUTED_VALUE"""),"EEC")</f>
        <v>EEC</v>
      </c>
      <c r="D103" s="2" t="str">
        <f>IFERROR(__xludf.DUMMYFUNCTION("""COMPUTED_VALUE"""),"SH6708")</f>
        <v>SH6708</v>
      </c>
      <c r="E103" s="2" t="str">
        <f>IFERROR(__xludf.DUMMYFUNCTION("""COMPUTED_VALUE"""),"19EY708")</f>
        <v>19EY708</v>
      </c>
      <c r="F103" s="7" t="str">
        <f>IFERROR(__xludf.DUMMYFUNCTION("""COMPUTED_VALUE"""),"Career Development Skills")</f>
        <v>Career Development Skills</v>
      </c>
      <c r="G103" s="2" t="str">
        <f>IFERROR(__xludf.DUMMYFUNCTION("""COMPUTED_VALUE"""),"NIL")</f>
        <v>NIL</v>
      </c>
      <c r="H103" s="2">
        <f>IFERROR(__xludf.DUMMYFUNCTION("""COMPUTED_VALUE"""),1)</f>
        <v>1</v>
      </c>
      <c r="I103" s="2">
        <f>IFERROR(__xludf.DUMMYFUNCTION("""COMPUTED_VALUE"""),0)</f>
        <v>0</v>
      </c>
      <c r="J103" s="2">
        <f>IFERROR(__xludf.DUMMYFUNCTION("""COMPUTED_VALUE"""),1)</f>
        <v>1</v>
      </c>
      <c r="K103" s="2" t="str">
        <f>IFERROR(__xludf.DUMMYFUNCTION("""COMPUTED_VALUE"""),"CGPA")</f>
        <v>CGPA</v>
      </c>
      <c r="L103" s="2" t="str">
        <f>IFERROR(__xludf.DUMMYFUNCTION("""COMPUTED_VALUE"""),"Theory (Int Only)")</f>
        <v>Theory (Int Only)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 t="str">
        <f>IFERROR(__xludf.DUMMYFUNCTION("""COMPUTED_VALUE"""),"Any 1")</f>
        <v>Any 1</v>
      </c>
      <c r="C104" s="2" t="str">
        <f>IFERROR(__xludf.DUMMYFUNCTION("""COMPUTED_VALUE"""),"EEC")</f>
        <v>EEC</v>
      </c>
      <c r="D104" s="2" t="str">
        <f>IFERROR(__xludf.DUMMYFUNCTION("""COMPUTED_VALUE"""),"NA")</f>
        <v>NA</v>
      </c>
      <c r="E104" s="2" t="str">
        <f>IFERROR(__xludf.DUMMYFUNCTION("""COMPUTED_VALUE"""),"19EY702")</f>
        <v>19EY702</v>
      </c>
      <c r="F104" s="7" t="str">
        <f>IFERROR(__xludf.DUMMYFUNCTION("""COMPUTED_VALUE"""),"Creative Skills for Communication")</f>
        <v>Creative Skills for Communication</v>
      </c>
      <c r="G104" s="2" t="str">
        <f>IFERROR(__xludf.DUMMYFUNCTION("""COMPUTED_VALUE"""),"-")</f>
        <v>-</v>
      </c>
      <c r="H104" s="2">
        <f>IFERROR(__xludf.DUMMYFUNCTION("""COMPUTED_VALUE"""),0)</f>
        <v>0</v>
      </c>
      <c r="I104" s="2">
        <f>IFERROR(__xludf.DUMMYFUNCTION("""COMPUTED_VALUE"""),1)</f>
        <v>1</v>
      </c>
      <c r="J104" s="2">
        <f>IFERROR(__xludf.DUMMYFUNCTION("""COMPUTED_VALUE"""),1)</f>
        <v>1</v>
      </c>
      <c r="K104" s="2" t="str">
        <f>IFERROR(__xludf.DUMMYFUNCTION("""COMPUTED_VALUE"""),"CGPA")</f>
        <v>CGPA</v>
      </c>
      <c r="L104" s="2" t="str">
        <f>IFERROR(__xludf.DUMMYFUNCTION("""COMPUTED_VALUE"""),"Practical (6 Expts)")</f>
        <v>Practical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 t="str">
        <f>IFERROR(__xludf.DUMMYFUNCTION("""COMPUTED_VALUE"""),"Any 1")</f>
        <v>Any 1</v>
      </c>
      <c r="C105" s="2" t="str">
        <f>IFERROR(__xludf.DUMMYFUNCTION("""COMPUTED_VALUE"""),"EEC")</f>
        <v>EEC</v>
      </c>
      <c r="D105" s="2" t="str">
        <f>IFERROR(__xludf.DUMMYFUNCTION("""COMPUTED_VALUE"""),"SH6709")</f>
        <v>SH6709</v>
      </c>
      <c r="E105" s="2" t="str">
        <f>IFERROR(__xludf.DUMMYFUNCTION("""COMPUTED_VALUE"""),"19EY709")</f>
        <v>19EY709</v>
      </c>
      <c r="F105" s="7" t="str">
        <f>IFERROR(__xludf.DUMMYFUNCTION("""COMPUTED_VALUE"""),"Reasoning Ability")</f>
        <v>Reasoning Ability</v>
      </c>
      <c r="G105" s="2" t="str">
        <f>IFERROR(__xludf.DUMMYFUNCTION("""COMPUTED_VALUE"""),"NIL")</f>
        <v>NIL</v>
      </c>
      <c r="H105" s="2">
        <f>IFERROR(__xludf.DUMMYFUNCTION("""COMPUTED_VALUE"""),1)</f>
        <v>1</v>
      </c>
      <c r="I105" s="2">
        <f>IFERROR(__xludf.DUMMYFUNCTION("""COMPUTED_VALUE"""),0)</f>
        <v>0</v>
      </c>
      <c r="J105" s="2">
        <f>IFERROR(__xludf.DUMMYFUNCTION("""COMPUTED_VALUE"""),1)</f>
        <v>1</v>
      </c>
      <c r="K105" s="2" t="str">
        <f>IFERROR(__xludf.DUMMYFUNCTION("""COMPUTED_VALUE"""),"CGPA")</f>
        <v>CGPA</v>
      </c>
      <c r="L105" s="2" t="str">
        <f>IFERROR(__xludf.DUMMYFUNCTION("""COMPUTED_VALUE"""),"Theory (Int Only)")</f>
        <v>Theory (Int Only)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 t="str">
        <f>IFERROR(__xludf.DUMMYFUNCTION("""COMPUTED_VALUE"""),"Option 1")</f>
        <v>Option 1</v>
      </c>
      <c r="C106" s="2" t="str">
        <f>IFERROR(__xludf.DUMMYFUNCTION("""COMPUTED_VALUE"""),"EEC")</f>
        <v>EEC</v>
      </c>
      <c r="D106" s="2" t="str">
        <f>IFERROR(__xludf.DUMMYFUNCTION("""COMPUTED_VALUE"""),"NA")</f>
        <v>NA</v>
      </c>
      <c r="E106" s="2" t="str">
        <f>IFERROR(__xludf.DUMMYFUNCTION("""COMPUTED_VALUE"""),"19EY703")</f>
        <v>19EY703</v>
      </c>
      <c r="F106" s="7" t="str">
        <f>IFERROR(__xludf.DUMMYFUNCTION("""COMPUTED_VALUE"""),"System of Numerical and Logical Terminologies")</f>
        <v>System of Numerical and Logical Terminologies</v>
      </c>
      <c r="G106" s="2" t="str">
        <f>IFERROR(__xludf.DUMMYFUNCTION("""COMPUTED_VALUE"""),"-")</f>
        <v>-</v>
      </c>
      <c r="H106" s="2">
        <f>IFERROR(__xludf.DUMMYFUNCTION("""COMPUTED_VALUE"""),0)</f>
        <v>0</v>
      </c>
      <c r="I106" s="2">
        <f>IFERROR(__xludf.DUMMYFUNCTION("""COMPUTED_VALUE"""),1)</f>
        <v>1</v>
      </c>
      <c r="J106" s="2">
        <f>IFERROR(__xludf.DUMMYFUNCTION("""COMPUTED_VALUE"""),1)</f>
        <v>1</v>
      </c>
      <c r="K106" s="2" t="str">
        <f>IFERROR(__xludf.DUMMYFUNCTION("""COMPUTED_VALUE"""),"CGPA")</f>
        <v>CGPA</v>
      </c>
      <c r="L106" s="2" t="str">
        <f>IFERROR(__xludf.DUMMYFUNCTION("""COMPUTED_VALUE"""),"Practical (6 Expts)")</f>
        <v>Practical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 t="str">
        <f>IFERROR(__xludf.DUMMYFUNCTION("""COMPUTED_VALUE"""),"Option 1")</f>
        <v>Option 1</v>
      </c>
      <c r="C107" s="2" t="str">
        <f>IFERROR(__xludf.DUMMYFUNCTION("""COMPUTED_VALUE"""),"EEC")</f>
        <v>EEC</v>
      </c>
      <c r="D107" s="2" t="str">
        <f>IFERROR(__xludf.DUMMYFUNCTION("""COMPUTED_VALUE"""),"NA")</f>
        <v>NA</v>
      </c>
      <c r="E107" s="2" t="str">
        <f>IFERROR(__xludf.DUMMYFUNCTION("""COMPUTED_VALUE"""),"19EY704")</f>
        <v>19EY704</v>
      </c>
      <c r="F107" s="7" t="str">
        <f>IFERROR(__xludf.DUMMYFUNCTION("""COMPUTED_VALUE"""),"Advanced Quantitative and Logical Reasoning")</f>
        <v>Advanced Quantitative and Logical Reasoning</v>
      </c>
      <c r="G107" s="2" t="str">
        <f>IFERROR(__xludf.DUMMYFUNCTION("""COMPUTED_VALUE"""),"-")</f>
        <v>-</v>
      </c>
      <c r="H107" s="2">
        <f>IFERROR(__xludf.DUMMYFUNCTION("""COMPUTED_VALUE"""),0)</f>
        <v>0</v>
      </c>
      <c r="I107" s="2">
        <f>IFERROR(__xludf.DUMMYFUNCTION("""COMPUTED_VALUE"""),1)</f>
        <v>1</v>
      </c>
      <c r="J107" s="2">
        <f>IFERROR(__xludf.DUMMYFUNCTION("""COMPUTED_VALUE"""),1)</f>
        <v>1</v>
      </c>
      <c r="K107" s="2" t="str">
        <f>IFERROR(__xludf.DUMMYFUNCTION("""COMPUTED_VALUE"""),"CGPA")</f>
        <v>CGPA</v>
      </c>
      <c r="L107" s="2" t="str">
        <f>IFERROR(__xludf.DUMMYFUNCTION("""COMPUTED_VALUE"""),"Practical (6 Expts)")</f>
        <v>Practical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 t="str">
        <f>IFERROR(__xludf.DUMMYFUNCTION("""COMPUTED_VALUE"""),"Option 2")</f>
        <v>Option 2</v>
      </c>
      <c r="C108" s="2" t="str">
        <f>IFERROR(__xludf.DUMMYFUNCTION("""COMPUTED_VALUE"""),"EEC")</f>
        <v>EEC</v>
      </c>
      <c r="D108" s="2" t="str">
        <f>IFERROR(__xludf.DUMMYFUNCTION("""COMPUTED_VALUE"""),"SH6710")</f>
        <v>SH6710</v>
      </c>
      <c r="E108" s="2" t="str">
        <f>IFERROR(__xludf.DUMMYFUNCTION("""COMPUTED_VALUE"""),"19EY710")</f>
        <v>19EY710</v>
      </c>
      <c r="F108" s="7" t="str">
        <f>IFERROR(__xludf.DUMMYFUNCTION("""COMPUTED_VALUE"""),"Quantitative Ability I")</f>
        <v>Quantitative Ability I</v>
      </c>
      <c r="G108" s="2" t="str">
        <f>IFERROR(__xludf.DUMMYFUNCTION("""COMPUTED_VALUE"""),"NIL")</f>
        <v>NIL</v>
      </c>
      <c r="H108" s="2">
        <f>IFERROR(__xludf.DUMMYFUNCTION("""COMPUTED_VALUE"""),1)</f>
        <v>1</v>
      </c>
      <c r="I108" s="2">
        <f>IFERROR(__xludf.DUMMYFUNCTION("""COMPUTED_VALUE"""),0)</f>
        <v>0</v>
      </c>
      <c r="J108" s="2">
        <f>IFERROR(__xludf.DUMMYFUNCTION("""COMPUTED_VALUE"""),1)</f>
        <v>1</v>
      </c>
      <c r="K108" s="2" t="str">
        <f>IFERROR(__xludf.DUMMYFUNCTION("""COMPUTED_VALUE"""),"CGPA")</f>
        <v>CGPA</v>
      </c>
      <c r="L108" s="2" t="str">
        <f>IFERROR(__xludf.DUMMYFUNCTION("""COMPUTED_VALUE"""),"Theory (Int Only)")</f>
        <v>Theory (Int Only)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 t="str">
        <f>IFERROR(__xludf.DUMMYFUNCTION("""COMPUTED_VALUE"""),"Option 2")</f>
        <v>Option 2</v>
      </c>
      <c r="C109" s="2" t="str">
        <f>IFERROR(__xludf.DUMMYFUNCTION("""COMPUTED_VALUE"""),"EEC")</f>
        <v>EEC</v>
      </c>
      <c r="D109" s="2" t="str">
        <f>IFERROR(__xludf.DUMMYFUNCTION("""COMPUTED_VALUE"""),"SH6711")</f>
        <v>SH6711</v>
      </c>
      <c r="E109" s="2" t="str">
        <f>IFERROR(__xludf.DUMMYFUNCTION("""COMPUTED_VALUE"""),"19EY711")</f>
        <v>19EY711</v>
      </c>
      <c r="F109" s="7" t="str">
        <f>IFERROR(__xludf.DUMMYFUNCTION("""COMPUTED_VALUE"""),"Quantitative Ability II")</f>
        <v>Quantitative Ability II</v>
      </c>
      <c r="G109" s="2" t="str">
        <f>IFERROR(__xludf.DUMMYFUNCTION("""COMPUTED_VALUE"""),"SH6710 /19EY710")</f>
        <v>SH6710 /19EY710</v>
      </c>
      <c r="H109" s="2">
        <f>IFERROR(__xludf.DUMMYFUNCTION("""COMPUTED_VALUE"""),1)</f>
        <v>1</v>
      </c>
      <c r="I109" s="2">
        <f>IFERROR(__xludf.DUMMYFUNCTION("""COMPUTED_VALUE"""),0)</f>
        <v>0</v>
      </c>
      <c r="J109" s="2">
        <f>IFERROR(__xludf.DUMMYFUNCTION("""COMPUTED_VALUE"""),1)</f>
        <v>1</v>
      </c>
      <c r="K109" s="2" t="str">
        <f>IFERROR(__xludf.DUMMYFUNCTION("""COMPUTED_VALUE"""),"CGPA")</f>
        <v>CGPA</v>
      </c>
      <c r="L109" s="2" t="str">
        <f>IFERROR(__xludf.DUMMYFUNCTION("""COMPUTED_VALUE"""),"Theory (Int Only)")</f>
        <v>Theory (Int Only)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 t="str">
        <f>IFERROR(__xludf.DUMMYFUNCTION("""COMPUTED_VALUE"""),"Any 1")</f>
        <v>Any 1</v>
      </c>
      <c r="C110" s="2" t="str">
        <f>IFERROR(__xludf.DUMMYFUNCTION("""COMPUTED_VALUE"""),"EEC")</f>
        <v>EEC</v>
      </c>
      <c r="D110" s="2" t="str">
        <f>IFERROR(__xludf.DUMMYFUNCTION("""COMPUTED_VALUE"""),"NA")</f>
        <v>NA</v>
      </c>
      <c r="E110" s="2" t="str">
        <f>IFERROR(__xludf.DUMMYFUNCTION("""COMPUTED_VALUE"""),"19EY705")</f>
        <v>19EY705</v>
      </c>
      <c r="F110" s="7" t="str">
        <f>IFERROR(__xludf.DUMMYFUNCTION("""COMPUTED_VALUE"""),"Employment Enhancement Skills")</f>
        <v>Employment Enhancement Skills</v>
      </c>
      <c r="G110" s="2" t="str">
        <f>IFERROR(__xludf.DUMMYFUNCTION("""COMPUTED_VALUE"""),"-")</f>
        <v>-</v>
      </c>
      <c r="H110" s="2">
        <f>IFERROR(__xludf.DUMMYFUNCTION("""COMPUTED_VALUE"""),0)</f>
        <v>0</v>
      </c>
      <c r="I110" s="2">
        <f>IFERROR(__xludf.DUMMYFUNCTION("""COMPUTED_VALUE"""),1)</f>
        <v>1</v>
      </c>
      <c r="J110" s="2">
        <f>IFERROR(__xludf.DUMMYFUNCTION("""COMPUTED_VALUE"""),1)</f>
        <v>1</v>
      </c>
      <c r="K110" s="2" t="str">
        <f>IFERROR(__xludf.DUMMYFUNCTION("""COMPUTED_VALUE"""),"CGPA")</f>
        <v>CGPA</v>
      </c>
      <c r="L110" s="2" t="str">
        <f>IFERROR(__xludf.DUMMYFUNCTION("""COMPUTED_VALUE"""),"Practical (6 Expts)")</f>
        <v>Practical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 t="str">
        <f>IFERROR(__xludf.DUMMYFUNCTION("""COMPUTED_VALUE"""),"Any 1")</f>
        <v>Any 1</v>
      </c>
      <c r="C111" s="2" t="str">
        <f>IFERROR(__xludf.DUMMYFUNCTION("""COMPUTED_VALUE"""),"EEC")</f>
        <v>EEC</v>
      </c>
      <c r="D111" s="2" t="str">
        <f>IFERROR(__xludf.DUMMYFUNCTION("""COMPUTED_VALUE"""),"SH6712")</f>
        <v>SH6712</v>
      </c>
      <c r="E111" s="2" t="str">
        <f>IFERROR(__xludf.DUMMYFUNCTION("""COMPUTED_VALUE"""),"19EY712")</f>
        <v>19EY712</v>
      </c>
      <c r="F111" s="7" t="str">
        <f>IFERROR(__xludf.DUMMYFUNCTION("""COMPUTED_VALUE"""),"Employment Enrichment Skills")</f>
        <v>Employment Enrichment Skills</v>
      </c>
      <c r="G111" s="2" t="str">
        <f>IFERROR(__xludf.DUMMYFUNCTION("""COMPUTED_VALUE"""),"19EY702 / 19EY709 / SH6709")</f>
        <v>19EY702 / 19EY709 / SH6709</v>
      </c>
      <c r="H111" s="2">
        <f>IFERROR(__xludf.DUMMYFUNCTION("""COMPUTED_VALUE"""),1)</f>
        <v>1</v>
      </c>
      <c r="I111" s="2">
        <f>IFERROR(__xludf.DUMMYFUNCTION("""COMPUTED_VALUE"""),0)</f>
        <v>0</v>
      </c>
      <c r="J111" s="2">
        <f>IFERROR(__xludf.DUMMYFUNCTION("""COMPUTED_VALUE"""),1)</f>
        <v>1</v>
      </c>
      <c r="K111" s="2" t="str">
        <f>IFERROR(__xludf.DUMMYFUNCTION("""COMPUTED_VALUE"""),"CGPA")</f>
        <v>CGPA</v>
      </c>
      <c r="L111" s="2" t="str">
        <f>IFERROR(__xludf.DUMMYFUNCTION("""COMPUTED_VALUE"""),"Theory (Int Only)")</f>
        <v>Theory (Int Only)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 t="str">
        <f>IFERROR(__xludf.DUMMYFUNCTION("""COMPUTED_VALUE"""),"Any 1")</f>
        <v>Any 1</v>
      </c>
      <c r="C112" s="2" t="str">
        <f>IFERROR(__xludf.DUMMYFUNCTION("""COMPUTED_VALUE"""),"EEC")</f>
        <v>EEC</v>
      </c>
      <c r="D112" s="2" t="str">
        <f>IFERROR(__xludf.DUMMYFUNCTION("""COMPUTED_VALUE"""),"NA")</f>
        <v>NA</v>
      </c>
      <c r="E112" s="2" t="str">
        <f>IFERROR(__xludf.DUMMYFUNCTION("""COMPUTED_VALUE"""),"19EY706")</f>
        <v>19EY706</v>
      </c>
      <c r="F112" s="7" t="str">
        <f>IFERROR(__xludf.DUMMYFUNCTION("""COMPUTED_VALUE"""),"Company Specific Assessments For Employability")</f>
        <v>Company Specific Assessments For Employability</v>
      </c>
      <c r="G112" s="2" t="str">
        <f>IFERROR(__xludf.DUMMYFUNCTION("""COMPUTED_VALUE"""),"-")</f>
        <v>-</v>
      </c>
      <c r="H112" s="2">
        <f>IFERROR(__xludf.DUMMYFUNCTION("""COMPUTED_VALUE"""),0)</f>
        <v>0</v>
      </c>
      <c r="I112" s="2">
        <f>IFERROR(__xludf.DUMMYFUNCTION("""COMPUTED_VALUE"""),1)</f>
        <v>1</v>
      </c>
      <c r="J112" s="2">
        <f>IFERROR(__xludf.DUMMYFUNCTION("""COMPUTED_VALUE"""),1)</f>
        <v>1</v>
      </c>
      <c r="K112" s="2" t="str">
        <f>IFERROR(__xludf.DUMMYFUNCTION("""COMPUTED_VALUE"""),"CGPA")</f>
        <v>CGPA</v>
      </c>
      <c r="L112" s="2" t="str">
        <f>IFERROR(__xludf.DUMMYFUNCTION("""COMPUTED_VALUE"""),"Practical (6 Expts)")</f>
        <v>Practical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 t="str">
        <f>IFERROR(__xludf.DUMMYFUNCTION("""COMPUTED_VALUE"""),"Any 1")</f>
        <v>Any 1</v>
      </c>
      <c r="C113" s="2" t="str">
        <f>IFERROR(__xludf.DUMMYFUNCTION("""COMPUTED_VALUE"""),"EEC")</f>
        <v>EEC</v>
      </c>
      <c r="D113" s="2" t="str">
        <f>IFERROR(__xludf.DUMMYFUNCTION("""COMPUTED_VALUE"""),"SH6713")</f>
        <v>SH6713</v>
      </c>
      <c r="E113" s="2" t="str">
        <f>IFERROR(__xludf.DUMMYFUNCTION("""COMPUTED_VALUE"""),"19EY713")</f>
        <v>19EY713</v>
      </c>
      <c r="F113" s="7" t="str">
        <f>IFERROR(__xludf.DUMMYFUNCTION("""COMPUTED_VALUE"""),"Placement Readiness Assessment")</f>
        <v>Placement Readiness Assessment</v>
      </c>
      <c r="G113" s="2" t="str">
        <f>IFERROR(__xludf.DUMMYFUNCTION("""COMPUTED_VALUE"""),"19EY704 / 19EY711/SH6711")</f>
        <v>19EY704 / 19EY711/SH6711</v>
      </c>
      <c r="H113" s="2">
        <f>IFERROR(__xludf.DUMMYFUNCTION("""COMPUTED_VALUE"""),1)</f>
        <v>1</v>
      </c>
      <c r="I113" s="2">
        <f>IFERROR(__xludf.DUMMYFUNCTION("""COMPUTED_VALUE"""),0)</f>
        <v>0</v>
      </c>
      <c r="J113" s="2">
        <f>IFERROR(__xludf.DUMMYFUNCTION("""COMPUTED_VALUE"""),1)</f>
        <v>1</v>
      </c>
      <c r="K113" s="2" t="str">
        <f>IFERROR(__xludf.DUMMYFUNCTION("""COMPUTED_VALUE"""),"CGPA")</f>
        <v>CGPA</v>
      </c>
      <c r="L113" s="2" t="str">
        <f>IFERROR(__xludf.DUMMYFUNCTION("""COMPUTED_VALUE"""),"Theory (Int Only)")</f>
        <v>Theory (Int Only)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IFERROR(__xludf.DUMMYFUNCTION("""COMPUTED_VALUE"""),"EEC")</f>
        <v>EEC</v>
      </c>
      <c r="D114" s="2" t="str">
        <f>IFERROR(__xludf.DUMMYFUNCTION("""COMPUTED_VALUE"""),"SH6707")</f>
        <v>SH6707</v>
      </c>
      <c r="E114" s="2" t="str">
        <f>IFERROR(__xludf.DUMMYFUNCTION("""COMPUTED_VALUE"""),"19EY707")</f>
        <v>19EY707</v>
      </c>
      <c r="F114" s="7" t="str">
        <f>IFERROR(__xludf.DUMMYFUNCTION("""COMPUTED_VALUE"""),"Paper Publication")</f>
        <v>Paper Publication</v>
      </c>
      <c r="G114" s="2" t="str">
        <f>IFERROR(__xludf.DUMMYFUNCTION("""COMPUTED_VALUE"""),"-")</f>
        <v>-</v>
      </c>
      <c r="H114" s="2">
        <f>IFERROR(__xludf.DUMMYFUNCTION("""COMPUTED_VALUE"""),0)</f>
        <v>0</v>
      </c>
      <c r="I114" s="2">
        <f>IFERROR(__xludf.DUMMYFUNCTION("""COMPUTED_VALUE"""),0)</f>
        <v>0</v>
      </c>
      <c r="J114" s="2">
        <f>IFERROR(__xludf.DUMMYFUNCTION("""COMPUTED_VALUE"""),1)</f>
        <v>1</v>
      </c>
      <c r="K114" s="2" t="str">
        <f>IFERROR(__xludf.DUMMYFUNCTION("""COMPUTED_VALUE"""),"NON-CGPA")</f>
        <v>NON-CGPA</v>
      </c>
      <c r="L114" s="2" t="str">
        <f>IFERROR(__xludf.DUMMYFUNCTION("""COMPUTED_VALUE"""),"Experiential Learning (Int Only)")</f>
        <v>Experiential Learning (Int Only)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IFERROR(__xludf.DUMMYFUNCTION("""COMPUTED_VALUE"""),"MC")</f>
        <v>MC</v>
      </c>
      <c r="D115" s="2" t="str">
        <f>IFERROR(__xludf.DUMMYFUNCTION("""COMPUTED_VALUE"""),"NA")</f>
        <v>NA</v>
      </c>
      <c r="E115" s="2" t="str">
        <f>IFERROR(__xludf.DUMMYFUNCTION("""COMPUTED_VALUE"""),"19MC801")</f>
        <v>19MC801</v>
      </c>
      <c r="F115" s="7" t="str">
        <f>IFERROR(__xludf.DUMMYFUNCTION("""COMPUTED_VALUE"""),"Professional Ethics")</f>
        <v>Professional Ethics</v>
      </c>
      <c r="G115" s="2" t="str">
        <f>IFERROR(__xludf.DUMMYFUNCTION("""COMPUTED_VALUE"""),"-")</f>
        <v>-</v>
      </c>
      <c r="H115" s="2">
        <f>IFERROR(__xludf.DUMMYFUNCTION("""COMPUTED_VALUE"""),0)</f>
        <v>0</v>
      </c>
      <c r="I115" s="2">
        <f>IFERROR(__xludf.DUMMYFUNCTION("""COMPUTED_VALUE"""),0)</f>
        <v>0</v>
      </c>
      <c r="J115" s="2">
        <f>IFERROR(__xludf.DUMMYFUNCTION("""COMPUTED_VALUE"""),0)</f>
        <v>0</v>
      </c>
      <c r="K115" s="2" t="str">
        <f>IFERROR(__xludf.DUMMYFUNCTION("""COMPUTED_VALUE"""),"NON - CGPA")</f>
        <v>NON - CGPA</v>
      </c>
      <c r="L115" s="2" t="str">
        <f>IFERROR(__xludf.DUMMYFUNCTION("""COMPUTED_VALUE"""),"Theory (Int Only)")</f>
        <v>Theory (Int Only)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IFERROR(__xludf.DUMMYFUNCTION("""COMPUTED_VALUE"""),"MC")</f>
        <v>MC</v>
      </c>
      <c r="D116" s="2" t="str">
        <f>IFERROR(__xludf.DUMMYFUNCTION("""COMPUTED_VALUE"""),"NA")</f>
        <v>NA</v>
      </c>
      <c r="E116" s="2" t="str">
        <f>IFERROR(__xludf.DUMMYFUNCTION("""COMPUTED_VALUE"""),"19MC802")</f>
        <v>19MC802</v>
      </c>
      <c r="F116" s="7" t="str">
        <f>IFERROR(__xludf.DUMMYFUNCTION("""COMPUTED_VALUE"""),"Environmental Science")</f>
        <v>Environmental Science</v>
      </c>
      <c r="G116" s="2" t="str">
        <f>IFERROR(__xludf.DUMMYFUNCTION("""COMPUTED_VALUE"""),"-")</f>
        <v>-</v>
      </c>
      <c r="H116" s="2">
        <f>IFERROR(__xludf.DUMMYFUNCTION("""COMPUTED_VALUE"""),0)</f>
        <v>0</v>
      </c>
      <c r="I116" s="2">
        <f>IFERROR(__xludf.DUMMYFUNCTION("""COMPUTED_VALUE"""),0)</f>
        <v>0</v>
      </c>
      <c r="J116" s="2">
        <f>IFERROR(__xludf.DUMMYFUNCTION("""COMPUTED_VALUE"""),0)</f>
        <v>0</v>
      </c>
      <c r="K116" s="2" t="str">
        <f>IFERROR(__xludf.DUMMYFUNCTION("""COMPUTED_VALUE"""),"CGPA")</f>
        <v>CGPA</v>
      </c>
      <c r="L116" s="2" t="str">
        <f>IFERROR(__xludf.DUMMYFUNCTION("""COMPUTED_VALUE"""),"Theory (Int Only)")</f>
        <v>Theory (Int Only)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IFERROR(__xludf.DUMMYFUNCTION("""COMPUTED_VALUE"""),"MC")</f>
        <v>MC</v>
      </c>
      <c r="D117" s="2" t="str">
        <f>IFERROR(__xludf.DUMMYFUNCTION("""COMPUTED_VALUE"""),"NA")</f>
        <v>NA</v>
      </c>
      <c r="E117" s="2" t="str">
        <f>IFERROR(__xludf.DUMMYFUNCTION("""COMPUTED_VALUE"""),"19MC803")</f>
        <v>19MC803</v>
      </c>
      <c r="F117" s="7" t="str">
        <f>IFERROR(__xludf.DUMMYFUNCTION("""COMPUTED_VALUE"""),"Constitution of India")</f>
        <v>Constitution of India</v>
      </c>
      <c r="G117" s="2" t="str">
        <f>IFERROR(__xludf.DUMMYFUNCTION("""COMPUTED_VALUE"""),"-")</f>
        <v>-</v>
      </c>
      <c r="H117" s="2">
        <f>IFERROR(__xludf.DUMMYFUNCTION("""COMPUTED_VALUE"""),0)</f>
        <v>0</v>
      </c>
      <c r="I117" s="2">
        <f>IFERROR(__xludf.DUMMYFUNCTION("""COMPUTED_VALUE"""),0)</f>
        <v>0</v>
      </c>
      <c r="J117" s="2">
        <f>IFERROR(__xludf.DUMMYFUNCTION("""COMPUTED_VALUE"""),0)</f>
        <v>0</v>
      </c>
      <c r="K117" s="2" t="str">
        <f>IFERROR(__xludf.DUMMYFUNCTION("""COMPUTED_VALUE"""),"CGPA")</f>
        <v>CGPA</v>
      </c>
      <c r="L117" s="2" t="str">
        <f>IFERROR(__xludf.DUMMYFUNCTION("""COMPUTED_VALUE"""),"Theory (Int Only)")</f>
        <v>Theory (Int Only)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IFERROR(__xludf.DUMMYFUNCTION("""COMPUTED_VALUE"""),"MC")</f>
        <v>MC</v>
      </c>
      <c r="D118" s="2" t="str">
        <f>IFERROR(__xludf.DUMMYFUNCTION("""COMPUTED_VALUE"""),"NA")</f>
        <v>NA</v>
      </c>
      <c r="E118" s="2" t="str">
        <f>IFERROR(__xludf.DUMMYFUNCTION("""COMPUTED_VALUE"""),"19MC804")</f>
        <v>19MC804</v>
      </c>
      <c r="F118" s="3" t="str">
        <f>IFERROR(__xludf.DUMMYFUNCTION("""COMPUTED_VALUE"""),"Internship/Entrepreneurship/Consultancy")</f>
        <v>Internship/Entrepreneurship/Consultancy</v>
      </c>
      <c r="G118" s="2" t="str">
        <f>IFERROR(__xludf.DUMMYFUNCTION("""COMPUTED_VALUE"""),"-")</f>
        <v>-</v>
      </c>
      <c r="H118" s="2">
        <f>IFERROR(__xludf.DUMMYFUNCTION("""COMPUTED_VALUE"""),0)</f>
        <v>0</v>
      </c>
      <c r="I118" s="2">
        <f>IFERROR(__xludf.DUMMYFUNCTION("""COMPUTED_VALUE"""),0)</f>
        <v>0</v>
      </c>
      <c r="J118" s="2">
        <f>IFERROR(__xludf.DUMMYFUNCTION("""COMPUTED_VALUE"""),2)</f>
        <v>2</v>
      </c>
      <c r="K118" s="2" t="str">
        <f>IFERROR(__xludf.DUMMYFUNCTION("""COMPUTED_VALUE"""),"NON-CGPA")</f>
        <v>NON-CGPA</v>
      </c>
      <c r="L118" s="2" t="str">
        <f>IFERROR(__xludf.DUMMYFUNCTION("""COMPUTED_VALUE"""),"Experiential Learning (Int Only)")</f>
        <v>Experiential Learning (Int Only)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IFERROR(__xludf.DUMMYFUNCTION("""COMPUTED_VALUE"""),"MC")</f>
        <v>MC</v>
      </c>
      <c r="D119" s="2" t="str">
        <f>IFERROR(__xludf.DUMMYFUNCTION("""COMPUTED_VALUE"""),"NA")</f>
        <v>NA</v>
      </c>
      <c r="E119" s="2" t="str">
        <f>IFERROR(__xludf.DUMMYFUNCTION("""COMPUTED_VALUE"""),"19MC805")</f>
        <v>19MC805</v>
      </c>
      <c r="F119" s="7" t="str">
        <f>IFERROR(__xludf.DUMMYFUNCTION("""COMPUTED_VALUE"""),"Inplant Training")</f>
        <v>Inplant Training</v>
      </c>
      <c r="G119" s="2" t="str">
        <f>IFERROR(__xludf.DUMMYFUNCTION("""COMPUTED_VALUE"""),"-")</f>
        <v>-</v>
      </c>
      <c r="H119" s="2">
        <f>IFERROR(__xludf.DUMMYFUNCTION("""COMPUTED_VALUE"""),0)</f>
        <v>0</v>
      </c>
      <c r="I119" s="2">
        <f>IFERROR(__xludf.DUMMYFUNCTION("""COMPUTED_VALUE"""),0)</f>
        <v>0</v>
      </c>
      <c r="J119" s="2">
        <f>IFERROR(__xludf.DUMMYFUNCTION("""COMPUTED_VALUE"""),1)</f>
        <v>1</v>
      </c>
      <c r="K119" s="2" t="str">
        <f>IFERROR(__xludf.DUMMYFUNCTION("""COMPUTED_VALUE"""),"Non - CGPA")</f>
        <v>Non - CGPA</v>
      </c>
      <c r="L119" s="2" t="str">
        <f>IFERROR(__xludf.DUMMYFUNCTION("""COMPUTED_VALUE"""),"Experiential Learning (Int Only)")</f>
        <v>Experiential Learning (Int Only)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 t="str">
        <f>IFERROR(__xludf.DUMMYFUNCTION("""COMPUTED_VALUE"""),"Any 1")</f>
        <v>Any 1</v>
      </c>
      <c r="C120" s="2" t="str">
        <f>IFERROR(__xludf.DUMMYFUNCTION("""COMPUTED_VALUE"""),"MC")</f>
        <v>MC</v>
      </c>
      <c r="D120" s="2" t="str">
        <f>IFERROR(__xludf.DUMMYFUNCTION("""COMPUTED_VALUE"""),"SH6803")</f>
        <v>SH6803</v>
      </c>
      <c r="E120" s="2" t="str">
        <f>IFERROR(__xludf.DUMMYFUNCTION("""COMPUTED_VALUE"""),"19MC807")</f>
        <v>19MC807</v>
      </c>
      <c r="F120" s="3" t="str">
        <f>IFERROR(__xludf.DUMMYFUNCTION("""COMPUTED_VALUE"""),"National Service Scheme")</f>
        <v>National Service Scheme</v>
      </c>
      <c r="G120" s="2" t="str">
        <f>IFERROR(__xludf.DUMMYFUNCTION("""COMPUTED_VALUE"""),"-")</f>
        <v>-</v>
      </c>
      <c r="H120" s="2">
        <f>IFERROR(__xludf.DUMMYFUNCTION("""COMPUTED_VALUE"""),0)</f>
        <v>0</v>
      </c>
      <c r="I120" s="2">
        <f>IFERROR(__xludf.DUMMYFUNCTION("""COMPUTED_VALUE"""),0)</f>
        <v>0</v>
      </c>
      <c r="J120" s="2">
        <f>IFERROR(__xludf.DUMMYFUNCTION("""COMPUTED_VALUE"""),0)</f>
        <v>0</v>
      </c>
      <c r="K120" s="2" t="str">
        <f>IFERROR(__xludf.DUMMYFUNCTION("""COMPUTED_VALUE"""),"NON-CGPA")</f>
        <v>NON-CGPA</v>
      </c>
      <c r="L120" s="2" t="str">
        <f>IFERROR(__xludf.DUMMYFUNCTION("""COMPUTED_VALUE"""),"Experiential Learning (Int Only)")</f>
        <v>Experiential Learning (Int Only)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 t="str">
        <f>IFERROR(__xludf.DUMMYFUNCTION("""COMPUTED_VALUE"""),"Any 1")</f>
        <v>Any 1</v>
      </c>
      <c r="C121" s="2" t="str">
        <f>IFERROR(__xludf.DUMMYFUNCTION("""COMPUTED_VALUE"""),"MC")</f>
        <v>MC</v>
      </c>
      <c r="D121" s="2" t="str">
        <f>IFERROR(__xludf.DUMMYFUNCTION("""COMPUTED_VALUE"""),"SH8807")</f>
        <v>SH8807</v>
      </c>
      <c r="E121" s="2" t="str">
        <f>IFERROR(__xludf.DUMMYFUNCTION("""COMPUTED_VALUE"""),"19MC808")</f>
        <v>19MC808</v>
      </c>
      <c r="F121" s="3" t="str">
        <f>IFERROR(__xludf.DUMMYFUNCTION("""COMPUTED_VALUE"""),"National Sports Organization ")</f>
        <v>National Sports Organization </v>
      </c>
      <c r="G121" s="2" t="str">
        <f>IFERROR(__xludf.DUMMYFUNCTION("""COMPUTED_VALUE"""),"-")</f>
        <v>-</v>
      </c>
      <c r="H121" s="2">
        <f>IFERROR(__xludf.DUMMYFUNCTION("""COMPUTED_VALUE"""),0)</f>
        <v>0</v>
      </c>
      <c r="I121" s="2">
        <f>IFERROR(__xludf.DUMMYFUNCTION("""COMPUTED_VALUE"""),0)</f>
        <v>0</v>
      </c>
      <c r="J121" s="2">
        <f>IFERROR(__xludf.DUMMYFUNCTION("""COMPUTED_VALUE"""),0)</f>
        <v>0</v>
      </c>
      <c r="K121" s="2" t="str">
        <f>IFERROR(__xludf.DUMMYFUNCTION("""COMPUTED_VALUE"""),"NON-CGPA")</f>
        <v>NON-CGPA</v>
      </c>
      <c r="L121" s="2" t="str">
        <f>IFERROR(__xludf.DUMMYFUNCTION("""COMPUTED_VALUE"""),"Experiential Learning (Int Only)")</f>
        <v>Experiential Learning (Int Only)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 t="str">
        <f>IFERROR(__xludf.DUMMYFUNCTION("""COMPUTED_VALUE"""),"Any 1")</f>
        <v>Any 1</v>
      </c>
      <c r="C122" s="2" t="str">
        <f>IFERROR(__xludf.DUMMYFUNCTION("""COMPUTED_VALUE"""),"MC")</f>
        <v>MC</v>
      </c>
      <c r="D122" s="2" t="str">
        <f>IFERROR(__xludf.DUMMYFUNCTION("""COMPUTED_VALUE"""),"SH8808")</f>
        <v>SH8808</v>
      </c>
      <c r="E122" s="2" t="str">
        <f>IFERROR(__xludf.DUMMYFUNCTION("""COMPUTED_VALUE"""),"19MC809")</f>
        <v>19MC809</v>
      </c>
      <c r="F122" s="3" t="str">
        <f>IFERROR(__xludf.DUMMYFUNCTION("""COMPUTED_VALUE"""),"Youth Red Cross")</f>
        <v>Youth Red Cross</v>
      </c>
      <c r="G122" s="2" t="str">
        <f>IFERROR(__xludf.DUMMYFUNCTION("""COMPUTED_VALUE"""),"-")</f>
        <v>-</v>
      </c>
      <c r="H122" s="2">
        <f>IFERROR(__xludf.DUMMYFUNCTION("""COMPUTED_VALUE"""),0)</f>
        <v>0</v>
      </c>
      <c r="I122" s="2">
        <f>IFERROR(__xludf.DUMMYFUNCTION("""COMPUTED_VALUE"""),0)</f>
        <v>0</v>
      </c>
      <c r="J122" s="2">
        <f>IFERROR(__xludf.DUMMYFUNCTION("""COMPUTED_VALUE"""),0)</f>
        <v>0</v>
      </c>
      <c r="K122" s="2" t="str">
        <f>IFERROR(__xludf.DUMMYFUNCTION("""COMPUTED_VALUE"""),"NON-CGPA")</f>
        <v>NON-CGPA</v>
      </c>
      <c r="L122" s="2" t="str">
        <f>IFERROR(__xludf.DUMMYFUNCTION("""COMPUTED_VALUE"""),"Experiential Learning (Int Only)")</f>
        <v>Experiential Learning (Int Only)</v>
      </c>
      <c r="M122" s="9"/>
      <c r="N122" s="9"/>
      <c r="O122" s="9"/>
      <c r="P122" s="9"/>
      <c r="Q122" s="9"/>
      <c r="R122" s="9"/>
    </row>
    <row r="123" ht="13.2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ht="13.2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ht="13.2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ht="13.2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ht="13.2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ht="13.2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ht="13.2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ht="13.2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ht="13.2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ht="13.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ht="13.2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ht="13.2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ht="13.2" spans="1:1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</row>
    <row r="136" ht="13.2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ht="13.2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ht="13.2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ht="13.2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ht="13.2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ht="13.2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ve English&quot;)"/>
    <hyperlink ref="F4" r:id="rId3" display="=IFERROR(@__xludf.DUMMYFUNCTION(&quot;&quot;&quot;COMPUTED_VALUE&quot;&quot;&quot;),&quot;English for Engineers&quot;)"/>
    <hyperlink ref="F5" r:id="rId4" display="=IFERROR(@__xludf.DUMMYFUNCTION(&quot;&quot;&quot;COMPUTED_VALUE&quot;&quot;&quot;),&quot;Technical English&quot;)"/>
    <hyperlink ref="F6" r:id="rId5" display="=IFERROR(@__xludf.DUMMYFUNCTION(&quot;&quot;&quot;COMPUTED_VALUE&quot;&quot;&quot;),&quot;Technical Writing and Presentation&quot;)"/>
    <hyperlink ref="F7" r:id="rId6" display="=IFERROR(@__xludf.DUMMYFUNCTION(&quot;&quot;&quot;COMPUTED_VALUE&quot;&quot;&quot;),&quot;Public Speaking&quot;)"/>
    <hyperlink ref="F8" r:id="rId7" display="=IFERROR(@__xludf.DUMMYFUNCTION(&quot;&quot;&quot;COMPUTED_VALUE&quot;&quot;&quot;),&quot;Total Quality Management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Calculus and Matrix Algebra&quot;)"/>
    <hyperlink ref="F12" r:id="rId11" display="=IFERROR(@__xludf.DUMMYFUNCTION(&quot;&quot;&quot;COMPUTED_VALUE&quot;&quot;&quot;),&quot;Differential Equations and Laplace Transforms&quot;)"/>
    <hyperlink ref="F13" r:id="rId12" display="=IFERROR(@__xludf.DUMMYFUNCTION(&quot;&quot;&quot;COMPUTED_VALUE&quot;&quot;&quot;),&quot;Transforms and Differential Equations&quot;)"/>
    <hyperlink ref="F14" r:id="rId13" display="=IFERROR(@__xludf.DUMMYFUNCTION(&quot;&quot;&quot;COMPUTED_VALUE&quot;&quot;&quot;),&quot;Numerical Methods&quot;)"/>
    <hyperlink ref="F15" r:id="rId14" display="=IFERROR(@__xludf.DUMMYFUNCTION(&quot;&quot;&quot;COMPUTED_VALUE&quot;&quot;&quot;),&quot;Statistics and Numerical Methods&quot;)"/>
    <hyperlink ref="F16" r:id="rId15" display="=IFERROR(@__xludf.DUMMYFUNCTION(&quot;&quot;&quot;COMPUTED_VALUE&quot;&quot;&quot;),&quot;Physics for Chemical Engineering&quot;)"/>
    <hyperlink ref="F17" r:id="rId16" display="=IFERROR(@__xludf.DUMMYFUNCTION(&quot;&quot;&quot;COMPUTED_VALUE&quot;&quot;&quot;),&quot;Chemistry for Technologists I&quot;)"/>
    <hyperlink ref="F18" r:id="rId17" display="=IFERROR(@__xludf.DUMMYFUNCTION(&quot;&quot;&quot;COMPUTED_VALUE&quot;&quot;&quot;),&quot;Chemistry for Technologists II&quot;)"/>
    <hyperlink ref="F19" r:id="rId18" display="=IFERROR(@__xludf.DUMMYFUNCTION(&quot;&quot;&quot;COMPUTED_VALUE&quot;&quot;&quot;),&quot;Chemistry for Technologists III&quot;)"/>
    <hyperlink ref="F20" r:id="rId19" display="=IFERROR(@__xludf.DUMMYFUNCTION(&quot;&quot;&quot;COMPUTED_VALUE&quot;&quot;&quot;),&quot;Problem Solving and Python Programming&quot;)"/>
    <hyperlink ref="F21" r:id="rId20" display="=IFERROR(@__xludf.DUMMYFUNCTION(&quot;&quot;&quot;COMPUTED_VALUE&quot;&quot;&quot;),&quot;Engineering Drawing&quot;)"/>
    <hyperlink ref="F22" r:id="rId21" display="=IFERROR(@__xludf.DUMMYFUNCTION(&quot;&quot;&quot;COMPUTED_VALUE&quot;&quot;&quot;),&quot;Basic Mechanical Engineering&quot;)"/>
    <hyperlink ref="F23" r:id="rId22" display="=IFERROR(@__xludf.DUMMYFUNCTION(&quot;&quot;&quot;COMPUTED_VALUE&quot;&quot;&quot;),&quot;Basic Electrical, Electronics and Instrumentation Engineering&quot;)"/>
    <hyperlink ref="F24" r:id="rId23" display="=IFERROR(@__xludf.DUMMYFUNCTION(&quot;&quot;&quot;COMPUTED_VALUE&quot;&quot;&quot;),&quot;Principles of Chemical Engineering&quot;)"/>
    <hyperlink ref="F25" r:id="rId24" display="=IFERROR(@__xludf.DUMMYFUNCTION(&quot;&quot;&quot;COMPUTED_VALUE&quot;&quot;&quot;),&quot;Basics of Material Science and Solid Mechanics&quot;)"/>
    <hyperlink ref="F26" r:id="rId25" display="=IFERROR(@__xludf.DUMMYFUNCTION(&quot;&quot;&quot;COMPUTED_VALUE&quot;&quot;&quot;),&quot;Chemical Process Calculations&quot;)"/>
    <hyperlink ref="F27" r:id="rId26" display="=IFERROR(@__xludf.DUMMYFUNCTION(&quot;&quot;&quot;COMPUTED_VALUE&quot;&quot;&quot;),&quot;Fluid Mechanics for Chemical Engineers&quot;)"/>
    <hyperlink ref="F28" r:id="rId27" display="=IFERROR(@__xludf.DUMMYFUNCTION(&quot;&quot;&quot;COMPUTED_VALUE&quot;&quot;&quot;),&quot;Chemical Engineering Thermodynamics&quot;)"/>
    <hyperlink ref="F29" r:id="rId28" display="=IFERROR(@__xludf.DUMMYFUNCTION(&quot;&quot;&quot;COMPUTED_VALUE&quot;&quot;&quot;),&quot;Mechanical Operations&quot;)"/>
    <hyperlink ref="F30" r:id="rId29" display="=IFERROR(@__xludf.DUMMYFUNCTION(&quot;&quot;&quot;COMPUTED_VALUE&quot;&quot;&quot;),&quot;Chemical Process Industries&quot;)"/>
    <hyperlink ref="F31" r:id="rId30" display="=IFERROR(@__xludf.DUMMYFUNCTION(&quot;&quot;&quot;COMPUTED_VALUE&quot;&quot;&quot;),&quot;Heat Transfer&quot;)"/>
    <hyperlink ref="F32" r:id="rId31" display="=IFERROR(@__xludf.DUMMYFUNCTION(&quot;&quot;&quot;COMPUTED_VALUE&quot;&quot;&quot;),&quot;Mass Transfer I&quot;)"/>
    <hyperlink ref="F33" r:id="rId32" display="=IFERROR(@__xludf.DUMMYFUNCTION(&quot;&quot;&quot;COMPUTED_VALUE&quot;&quot;&quot;),&quot;Chemical Reaction Engineering I&quot;)"/>
    <hyperlink ref="F34" r:id="rId33" display="=IFERROR(@__xludf.DUMMYFUNCTION(&quot;&quot;&quot;COMPUTED_VALUE&quot;&quot;&quot;),&quot;Mass Transfer II&quot;)"/>
    <hyperlink ref="F35" r:id="rId34" display="=IFERROR(@__xludf.DUMMYFUNCTION(&quot;&quot;&quot;COMPUTED_VALUE&quot;&quot;&quot;),&quot;Chemical Reaction Engineering II&quot;)"/>
    <hyperlink ref="F36" r:id="rId35" display="=IFERROR(@__xludf.DUMMYFUNCTION(&quot;&quot;&quot;COMPUTED_VALUE&quot;&quot;&quot;),&quot;Transport Phenomena&quot;)"/>
    <hyperlink ref="F37" r:id="rId36" display="=IFERROR(@__xludf.DUMMYFUNCTION(&quot;&quot;&quot;COMPUTED_VALUE&quot;&quot;&quot;),&quot;Process Instrumentation, Dynamics and Control&quot;)"/>
    <hyperlink ref="F38" r:id="rId37" display="=IFERROR(@__xludf.DUMMYFUNCTION(&quot;&quot;&quot;COMPUTED_VALUE&quot;&quot;&quot;),&quot;Process Equipment Design and Drawing&quot;)"/>
    <hyperlink ref="F39" r:id="rId38" display="=IFERROR(@__xludf.DUMMYFUNCTION(&quot;&quot;&quot;COMPUTED_VALUE&quot;&quot;&quot;),&quot;Project Engineering Economics&quot;)"/>
    <hyperlink ref="F40" r:id="rId39" display="=IFERROR(@__xludf.DUMMYFUNCTION(&quot;&quot;&quot;COMPUTED_VALUE&quot;&quot;&quot;),&quot;Safety in Chemical Industries&quot;)"/>
    <hyperlink ref="F41" r:id="rId40" display="=IFERROR(@__xludf.DUMMYFUNCTION(&quot;&quot;&quot;COMPUTED_VALUE&quot;&quot;&quot;),&quot;Computational Programming Laboratory&quot;)"/>
    <hyperlink ref="F42" r:id="rId41" display="=IFERROR(@__xludf.DUMMYFUNCTION(&quot;&quot;&quot;COMPUTED_VALUE&quot;&quot;&quot;),&quot;Bioenergy&quot;)"/>
    <hyperlink ref="F43" r:id="rId42" display="=IFERROR(@__xludf.DUMMYFUNCTION(&quot;&quot;&quot;COMPUTED_VALUE&quot;&quot;&quot;),&quot;Green Energy&quot;)"/>
    <hyperlink ref="F44" r:id="rId43" display="=IFERROR(@__xludf.DUMMYFUNCTION(&quot;&quot;&quot;COMPUTED_VALUE&quot;&quot;&quot;),&quot;Pinch Technology&quot;)"/>
    <hyperlink ref="F45" r:id="rId44" display="=IFERROR(@__xludf.DUMMYFUNCTION(&quot;&quot;&quot;COMPUTED_VALUE&quot;&quot;&quot;),&quot;Hydrogen and Fuel Cell Technology&quot;)"/>
    <hyperlink ref="F46" r:id="rId45" display="=IFERROR(@__xludf.DUMMYFUNCTION(&quot;&quot;&quot;COMPUTED_VALUE&quot;&quot;&quot;),&quot;Conventional Energy Sources&quot;)"/>
    <hyperlink ref="F47" r:id="rId46" display="=IFERROR(@__xludf.DUMMYFUNCTION(&quot;&quot;&quot;COMPUTED_VALUE&quot;&quot;&quot;),&quot;Smart Energy Systems&quot;)"/>
    <hyperlink ref="F48" r:id="rId47" display="=IFERROR(@__xludf.DUMMYFUNCTION(&quot;&quot;&quot;COMPUTED_VALUE&quot;&quot;&quot;),&quot;Petroleum Chemistry and Refining Fundamentals&quot;)"/>
    <hyperlink ref="F49" r:id="rId48" display="=IFERROR(@__xludf.DUMMYFUNCTION(&quot;&quot;&quot;COMPUTED_VALUE&quot;&quot;&quot;),&quot;Primary Refining Technology&quot;)"/>
    <hyperlink ref="F50" r:id="rId49" display="=IFERROR(@__xludf.DUMMYFUNCTION(&quot;&quot;&quot;COMPUTED_VALUE&quot;&quot;&quot;),&quot;Secondary Refining Technology&quot;)"/>
    <hyperlink ref="F51" r:id="rId50" display="=IFERROR(@__xludf.DUMMYFUNCTION(&quot;&quot;&quot;COMPUTED_VALUE&quot;&quot;&quot;),&quot;Refinery Advancement and Environmental Regulations&quot;)"/>
    <hyperlink ref="F52" r:id="rId51" display="=IFERROR(@__xludf.DUMMYFUNCTION(&quot;&quot;&quot;COMPUTED_VALUE&quot;&quot;&quot;),&quot;Petroleum Equipment Design&quot;)"/>
    <hyperlink ref="F53" r:id="rId52" display="=IFERROR(@__xludf.DUMMYFUNCTION(&quot;&quot;&quot;COMPUTED_VALUE&quot;&quot;&quot;),&quot;Petrochemical Technology&quot;)"/>
    <hyperlink ref="F54" r:id="rId53" display="=IFERROR(@__xludf.DUMMYFUNCTION(&quot;&quot;&quot;COMPUTED_VALUE&quot;&quot;&quot;),&quot;Design and Analysis of Experiments&quot;)"/>
    <hyperlink ref="F55" r:id="rId54" display="=IFERROR(@__xludf.DUMMYFUNCTION(&quot;&quot;&quot;COMPUTED_VALUE&quot;&quot;&quot;),&quot;Optimization of Chemical Processes&quot;)"/>
    <hyperlink ref="F56" r:id="rId55" display="=IFERROR(@__xludf.DUMMYFUNCTION(&quot;&quot;&quot;COMPUTED_VALUE&quot;&quot;&quot;),&quot;Chemical Process Simulation and Analysis&quot;)"/>
    <hyperlink ref="F57" r:id="rId56" display="=IFERROR(@__xludf.DUMMYFUNCTION(&quot;&quot;&quot;COMPUTED_VALUE&quot;&quot;&quot;),&quot;Pinch Analysis and Heat Exchange Network Design&quot;)"/>
    <hyperlink ref="F58" r:id="rId57" display="=IFERROR(@__xludf.DUMMYFUNCTION(&quot;&quot;&quot;COMPUTED_VALUE&quot;&quot;&quot;),&quot;Chemical Process Flow sheeting&quot;)"/>
    <hyperlink ref="F59" r:id="rId58" display="=IFERROR(@__xludf.DUMMYFUNCTION(&quot;&quot;&quot;COMPUTED_VALUE&quot;&quot;&quot;),&quot;Computational Fluid Dynamics&quot;)"/>
    <hyperlink ref="F60" r:id="rId59" display="=IFERROR(@__xludf.DUMMYFUNCTION(&quot;&quot;&quot;COMPUTED_VALUE&quot;&quot;&quot;),&quot;Introduction to Biochemistry&quot;)"/>
    <hyperlink ref="F61" r:id="rId60" display="=IFERROR(@__xludf.DUMMYFUNCTION(&quot;&quot;&quot;COMPUTED_VALUE&quot;&quot;&quot;),&quot;Bioprocess Technology&quot;)"/>
    <hyperlink ref="F62" r:id="rId61" display="=IFERROR(@__xludf.DUMMYFUNCTION(&quot;&quot;&quot;COMPUTED_VALUE&quot;&quot;&quot;),&quot;Fermentation and Bioprocessing&quot;)"/>
    <hyperlink ref="F63" r:id="rId62" display="=IFERROR(@__xludf.DUMMYFUNCTION(&quot;&quot;&quot;COMPUTED_VALUE&quot;&quot;&quot;),&quot;Bioseparation and Downstream Processing&quot;)"/>
    <hyperlink ref="F64" r:id="rId63" display="=IFERROR(@__xludf.DUMMYFUNCTION(&quot;&quot;&quot;COMPUTED_VALUE&quot;&quot;&quot;),&quot;Enzyme Immobilization Technology&quot;)"/>
    <hyperlink ref="F65" r:id="rId64" display="=IFERROR(@__xludf.DUMMYFUNCTION(&quot;&quot;&quot;COMPUTED_VALUE&quot;&quot;&quot;),&quot;Bioreactor Design&quot;)"/>
    <hyperlink ref="F66" r:id="rId65" display="=IFERROR(@__xludf.DUMMYFUNCTION(&quot;&quot;&quot;COMPUTED_VALUE&quot;&quot;&quot;),&quot;Plant Design&quot;)"/>
    <hyperlink ref="F67" r:id="rId66" display="=IFERROR(@__xludf.DUMMYFUNCTION(&quot;&quot;&quot;COMPUTED_VALUE&quot;&quot;&quot;),&quot;Plant Layout&quot;)"/>
    <hyperlink ref="F68" r:id="rId67" display="=IFERROR(@__xludf.DUMMYFUNCTION(&quot;&quot;&quot;COMPUTED_VALUE&quot;&quot;&quot;),&quot;Design Safety&quot;)"/>
    <hyperlink ref="F69" r:id="rId68" display="=IFERROR(@__xludf.DUMMYFUNCTION(&quot;&quot;&quot;COMPUTED_VALUE&quot;&quot;&quot;),&quot;Material Selection&quot;)"/>
    <hyperlink ref="F70" r:id="rId69" display="=IFERROR(@__xludf.DUMMYFUNCTION(&quot;&quot;&quot;COMPUTED_VALUE&quot;&quot;&quot;),&quot;Statutory Requirements and Customer Care&quot;)"/>
    <hyperlink ref="F71" r:id="rId70" display="=IFERROR(@__xludf.DUMMYFUNCTION(&quot;&quot;&quot;COMPUTED_VALUE&quot;&quot;&quot;),&quot;Plant Utilities&quot;)"/>
    <hyperlink ref="F72" r:id="rId71" display="=IFERROR(@__xludf.DUMMYFUNCTION(&quot;&quot;&quot;COMPUTED_VALUE&quot;&quot;&quot;),&quot;Solid Waste Management&quot;)"/>
    <hyperlink ref="F73" r:id="rId72" display="=IFERROR(@__xludf.DUMMYFUNCTION(&quot;&quot;&quot;COMPUTED_VALUE&quot;&quot;&quot;),&quot;Environmental Social Risk Assessment&quot;)"/>
    <hyperlink ref="F74" r:id="rId73" display="=IFERROR(@__xludf.DUMMYFUNCTION(&quot;&quot;&quot;COMPUTED_VALUE&quot;&quot;&quot;),&quot;Process Safety Management&quot;)"/>
    <hyperlink ref="F75" r:id="rId74" display="=IFERROR(@__xludf.DUMMYFUNCTION(&quot;&quot;&quot;COMPUTED_VALUE&quot;&quot;&quot;),&quot;Risk and HAZOP Analysis&quot;)"/>
    <hyperlink ref="F76" r:id="rId75" display="=IFERROR(@__xludf.DUMMYFUNCTION(&quot;&quot;&quot;COMPUTED_VALUE&quot;&quot;&quot;),&quot;Air Pollution and Control&quot;)"/>
    <hyperlink ref="F77" r:id="rId76" display="=IFERROR(@__xludf.DUMMYFUNCTION(&quot;&quot;&quot;COMPUTED_VALUE&quot;&quot;&quot;),&quot;Wastewater Treatment&quot;)"/>
    <hyperlink ref="F78" r:id="rId77" display="=IFERROR(@__xludf.DUMMYFUNCTION(&quot;&quot;&quot;COMPUTED_VALUE&quot;&quot;&quot;),&quot;Petroleum Refining and Petrochemicals&quot;)"/>
    <hyperlink ref="F79" r:id="rId78" display="=IFERROR(@__xludf.DUMMYFUNCTION(&quot;&quot;&quot;COMPUTED_VALUE&quot;&quot;&quot;),&quot;Natural Gas Engineering&quot;)"/>
    <hyperlink ref="F80" r:id="rId79" display="=IFERROR(@__xludf.DUMMYFUNCTION(&quot;&quot;&quot;COMPUTED_VALUE&quot;&quot;&quot;),&quot;Energy Technology&quot;)"/>
    <hyperlink ref="F81" r:id="rId80" display="=IFERROR(@__xludf.DUMMYFUNCTION(&quot;&quot;&quot;COMPUTED_VALUE&quot;&quot;&quot;),&quot;Green Technology&quot;)"/>
    <hyperlink ref="F82" r:id="rId81" display="=IFERROR(@__xludf.DUMMYFUNCTION(&quot;&quot;&quot;COMPUTED_VALUE&quot;&quot;&quot;),&quot;Disaster Management&quot;)"/>
    <hyperlink ref="F83" r:id="rId82" display="=IFERROR(@__xludf.DUMMYFUNCTION(&quot;&quot;&quot;COMPUTED_VALUE&quot;&quot;&quot;),&quot;Process Plant Utilities&quot;)"/>
    <hyperlink ref="F84" r:id="rId83" display="=IFERROR(@__xludf.DUMMYFUNCTION(&quot;&quot;&quot;COMPUTED_VALUE&quot;&quot;&quot;),&quot;Instrumental Methods of Analysis&quot;)"/>
    <hyperlink ref="F85" r:id="rId84" display="=IFERROR(@__xludf.DUMMYFUNCTION(&quot;&quot;&quot;COMPUTED_VALUE&quot;&quot;&quot;),&quot;Instrumentation and Control&quot;)"/>
    <hyperlink ref="F86" r:id="rId85" display="=IFERROR(@__xludf.DUMMYFUNCTION(&quot;&quot;&quot;COMPUTED_VALUE&quot;&quot;&quot;),&quot;Food Technology&quot;)"/>
    <hyperlink ref="F87" r:id="rId86" display="=IFERROR(@__xludf.DUMMYFUNCTION(&quot;&quot;&quot;COMPUTED_VALUE&quot;&quot;&quot;),&quot;Drugs and Pharmaceutical Technology&quot;)"/>
    <hyperlink ref="F88" r:id="rId87" display="=IFERROR(@__xludf.DUMMYFUNCTION(&quot;&quot;&quot;COMPUTED_VALUE&quot;&quot;&quot;),&quot;Polymer Science and Technology&quot;)"/>
    <hyperlink ref="F89" r:id="rId88" display="=IFERROR(@__xludf.DUMMYFUNCTION(&quot;&quot;&quot;COMPUTED_VALUE&quot;&quot;&quot;),&quot;Pulp and Paper Technology&quot;)"/>
    <hyperlink ref="F90" r:id="rId89" display="=IFERROR(@__xludf.DUMMYFUNCTION(&quot;&quot;&quot;COMPUTED_VALUE&quot;&quot;&quot;),&quot;Fertilizer Technology&quot;)"/>
    <hyperlink ref="F91" r:id="rId89" display="=IFERROR(@__xludf.DUMMYFUNCTION(&quot;&quot;&quot;COMPUTED_VALUE&quot;&quot;&quot;),&quot;Fertilizer Technology&quot;)"/>
    <hyperlink ref="F92" r:id="rId90" display="=IFERROR(@__xludf.DUMMYFUNCTION(&quot;&quot;&quot;COMPUTED_VALUE&quot;&quot;&quot;),&quot;Corrosion Technology&quot;)"/>
    <hyperlink ref="F93" r:id="rId91" display="=IFERROR(@__xludf.DUMMYFUNCTION(&quot;&quot;&quot;COMPUTED_VALUE&quot;&quot;&quot;),&quot;Enzyme Engineering&quot;)"/>
    <hyperlink ref="F94" r:id="rId92" display="=IFERROR(@__xludf.DUMMYFUNCTION(&quot;&quot;&quot;COMPUTED_VALUE&quot;&quot;&quot;),&quot;Biochemical Engineering&quot;)"/>
    <hyperlink ref="F95" r:id="rId93" display="=IFERROR(@__xludf.DUMMYFUNCTION(&quot;&quot;&quot;COMPUTED_VALUE&quot;&quot;&quot;),&quot;Novel Separation Techniques&quot;)"/>
    <hyperlink ref="F96" r:id="rId94" display="=IFERROR(@__xludf.DUMMYFUNCTION(&quot;&quot;&quot;COMPUTED_VALUE&quot;&quot;&quot;),&quot;Process Modelling and Simulation&quot;)"/>
    <hyperlink ref="F97" r:id="rId95" display="=IFERROR(@__xludf.DUMMYFUNCTION(&quot;&quot;&quot;COMPUTED_VALUE&quot;&quot;&quot;),&quot;Chemical Process Instrumentation&quot;)"/>
    <hyperlink ref="F99" r:id="rId96" display="=IFERROR(@__xludf.DUMMYFUNCTION(&quot;&quot;&quot;COMPUTED_VALUE&quot;&quot;&quot;),&quot;Mini Project&quot;)"/>
    <hyperlink ref="F100" r:id="rId97" display="=IFERROR(@__xludf.DUMMYFUNCTION(&quot;&quot;&quot;COMPUTED_VALUE&quot;&quot;&quot;),&quot;Project Work Phase I&quot;)"/>
    <hyperlink ref="F101" r:id="rId98" display="=IFERROR(@__xludf.DUMMYFUNCTION(&quot;&quot;&quot;COMPUTED_VALUE&quot;&quot;&quot;),&quot;Project Work Phase II&quot;)"/>
    <hyperlink ref="F102" r:id="rId99" display="=IFERROR(@__xludf.DUMMYFUNCTION(&quot;&quot;&quot;COMPUTED_VALUE&quot;&quot;&quot;),&quot;Softskills&quot;)"/>
    <hyperlink ref="F103" r:id="rId100" display="=IFERROR(@__xludf.DUMMYFUNCTION(&quot;&quot;&quot;COMPUTED_VALUE&quot;&quot;&quot;),&quot;Career Development Skills&quot;)"/>
    <hyperlink ref="F104" r:id="rId101" display="=IFERROR(@__xludf.DUMMYFUNCTION(&quot;&quot;&quot;COMPUTED_VALUE&quot;&quot;&quot;),&quot;Creative Skills for Communication&quot;)"/>
    <hyperlink ref="F105" r:id="rId102" display="=IFERROR(@__xludf.DUMMYFUNCTION(&quot;&quot;&quot;COMPUTED_VALUE&quot;&quot;&quot;),&quot;Reasoning Ability&quot;)"/>
    <hyperlink ref="F106" r:id="rId103" display="=IFERROR(@__xludf.DUMMYFUNCTION(&quot;&quot;&quot;COMPUTED_VALUE&quot;&quot;&quot;),&quot;System of Numerical and Logical Terminologies&quot;)"/>
    <hyperlink ref="F107" r:id="rId104" display="=IFERROR(@__xludf.DUMMYFUNCTION(&quot;&quot;&quot;COMPUTED_VALUE&quot;&quot;&quot;),&quot;Advanced Quantitative and Logical Reasoning&quot;)"/>
    <hyperlink ref="F108" r:id="rId105" display="=IFERROR(@__xludf.DUMMYFUNCTION(&quot;&quot;&quot;COMPUTED_VALUE&quot;&quot;&quot;),&quot;Quantitative Ability I&quot;)"/>
    <hyperlink ref="F109" r:id="rId106" display="=IFERROR(@__xludf.DUMMYFUNCTION(&quot;&quot;&quot;COMPUTED_VALUE&quot;&quot;&quot;),&quot;Quantitative Ability II&quot;)"/>
    <hyperlink ref="F110" r:id="rId107" display="=IFERROR(@__xludf.DUMMYFUNCTION(&quot;&quot;&quot;COMPUTED_VALUE&quot;&quot;&quot;),&quot;Employment Enhancement Skills&quot;)"/>
    <hyperlink ref="F111" r:id="rId108" display="=IFERROR(@__xludf.DUMMYFUNCTION(&quot;&quot;&quot;COMPUTED_VALUE&quot;&quot;&quot;),&quot;Employment Enrichment Skills&quot;)"/>
    <hyperlink ref="F112" r:id="rId109" display="=IFERROR(@__xludf.DUMMYFUNCTION(&quot;&quot;&quot;COMPUTED_VALUE&quot;&quot;&quot;),&quot;Company Specific Assessments For Employability&quot;)"/>
    <hyperlink ref="F113" r:id="rId110" display="=IFERROR(@__xludf.DUMMYFUNCTION(&quot;&quot;&quot;COMPUTED_VALUE&quot;&quot;&quot;),&quot;Placement Readiness Assessment&quot;)"/>
    <hyperlink ref="F114" r:id="rId111" display="=IFERROR(@__xludf.DUMMYFUNCTION(&quot;&quot;&quot;COMPUTED_VALUE&quot;&quot;&quot;),&quot;Paper Publication&quot;)"/>
    <hyperlink ref="F115" r:id="rId112" display="=IFERROR(@__xludf.DUMMYFUNCTION(&quot;&quot;&quot;COMPUTED_VALUE&quot;&quot;&quot;),&quot;Professional Ethics&quot;)"/>
    <hyperlink ref="F116" r:id="rId113" display="=IFERROR(@__xludf.DUMMYFUNCTION(&quot;&quot;&quot;COMPUTED_VALUE&quot;&quot;&quot;),&quot;Environmental Science&quot;)"/>
    <hyperlink ref="F117" r:id="rId114" display="=IFERROR(@__xludf.DUMMYFUNCTION(&quot;&quot;&quot;COMPUTED_VALUE&quot;&quot;&quot;),&quot;Constitution of India&quot;)"/>
    <hyperlink ref="F119" r:id="rId115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79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""R2024-CHEM!A:A""),
IMPORTRANGE(""https://docs.google.com/spreadsheets/d/1UvPg-G_Bj-UNhLC2uL8tntfYsnld_PABqE3impzOchM/edit"", ""R2024"&amp;"-CHEM!D:D""),
IMPORTRANGE(""https://docs.google.com/spreadsheets/d/1UvPg-G_Bj-UNhLC2uL8tntfYsnld_PABqE3impzOchM/edit"", ""R2024-CHEM!E:E""),
IMPORTRANGE(""https://docs.google.com/spreadsheets/d/1UvPg-G_Bj-UNhLC2uL8tntfYsnld_PABqE3impzOchM/edit"", ""R2024-"&amp;"CHEM!F:F""),
IMPORTRANGE(""https://docs.google.com/spreadsheets/d/1UvPg-G_Bj-UNhLC2uL8tntfYsnld_PABqE3impzOchM/edit"", ""R2024-CHEM!G:G""),
IMPORTRANGE(""https://docs.google.com/spreadsheets/d/1UvPg-G_Bj-UNhLC2uL8tntfYsnld_PABqE3impzOchM/edit"", ""R2024-C"&amp;"HEM!I:I""),
IMPORTRANGE(""https://docs.google.com/spreadsheets/d/1UvPg-G_Bj-UNhLC2uL8tntfYsnld_PABqE3impzOchM/edit"", ""R2024-CHEM!N:N""),
IMPORTRANGE(""https://docs.google.com/spreadsheets/d/1UvPg-G_Bj-UNhLC2uL8tntfYsnld_PABqE3impzOchM/edit"", ""R2024-CH"&amp;"EM!O:O""),
IMPORTRANGE(""https://docs.google.com/spreadsheets/d/1UvPg-G_Bj-UNhLC2uL8tntfYsnld_PABqE3impzOchM/edit"", ""R2024-CHEM!P:P""),
IMPORTRANGE(""https://docs.google.com/spreadsheets/d/1UvPg-G_Bj-UNhLC2uL8tntfYsnld_PABqE3impzOchM/edit"", ""R2024-CHE"&amp;"M!Q:Q""),
IMPORTRANGE(""https://docs.google.com/spreadsheets/d/1UvPg-G_Bj-UNhLC2uL8tntfYsnld_PABqE3impzOchM/edit"", ""R2024-CHEM!R:R""),
IMPORTRANGE(""https://docs.google.com/spreadsheets/d/1UvPg-G_Bj-UNhLC2uL8tntfYsnld_PABqE3impzOchM/edit"", ""R2024-CHEM"&amp;"!S:S""),
IMPORTRANGE(""https://docs.google.com/spreadsheets/d/1UvPg-G_Bj-UNhLC2uL8tntfYsnld_PABqE3impzOchM/edit"", ""R2024-CHEM!V:V""),
IMPORTRANGE(""https://docs.google.com/spreadsheets/d/1UvPg-G_Bj-UNhLC2uL8tntfYsnld_PABqE3impzOchM/edit"", ""R2024-CHEM!"&amp;"X:X""),
IMPORTRANGE(""https://docs.google.com/spreadsheets/d/1UvPg-G_Bj-UNhLC2uL8tntfYsnld_PABqE3impzOchM/edit"", ""R2024-CHEM!Y:Y"")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IFERROR(__xludf.DUMMYFUNCTION("""COMPUTED_VALUE"""),"SH1106")</f>
        <v>SH1106</v>
      </c>
      <c r="E3" s="2" t="str">
        <f>IFERROR(__xludf.DUMMYFUNCTION("""COMPUTED_VALUE"""),"19EN106")</f>
        <v>19EN106</v>
      </c>
      <c r="F3" s="7" t="str">
        <f>IFERROR(__xludf.DUMMYFUNCTION("""COMPUTED_VALUE"""),"English for Engineers")</f>
        <v>English for Engineers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IFERROR(__xludf.DUMMYFUNCTION("""COMPUTED_VALUE"""),13)</f>
        <v>13</v>
      </c>
      <c r="O3" s="20">
        <f>IFERROR(__xludf.DUMMYFUNCTION("""COMPUTED_VALUE"""),5)</f>
        <v>5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/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IFERROR(__xludf.DUMMYFUNCTION("""COMPUTED_VALUE"""),26)</f>
        <v>26</v>
      </c>
      <c r="O4" s="20">
        <f>IFERROR(__xludf.DUMMYFUNCTION("""COMPUTED_VALUE"""),6)</f>
        <v>6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/>
      <c r="C5" s="2" t="str">
        <f>IFERROR(__xludf.DUMMYFUNCTION("""COMPUTED_VALUE"""),"HS")</f>
        <v>HS</v>
      </c>
      <c r="D5" s="2" t="str">
        <f>IFERROR(__xludf.DUMMYFUNCTION("""COMPUTED_VALUE"""),"SH9801")</f>
        <v>SH9801</v>
      </c>
      <c r="E5" s="2" t="str">
        <f>IFERROR(__xludf.DUMMYFUNCTION("""COMPUTED_VALUE"""),"NA")</f>
        <v>NA</v>
      </c>
      <c r="F5" s="7" t="str">
        <f>IFERROR(__xludf.DUMMYFUNCTION("""COMPUTED_VALUE"""),"Organizational Behavior and Leadership")</f>
        <v>Organizational Behavior and Leadership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IFERROR(__xludf.DUMMYFUNCTION("""COMPUTED_VALUE"""),0)</f>
        <v>0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IFERROR(__xludf.DUMMYFUNCTION("""COMPUTED_VALUE"""),17)</f>
        <v>17</v>
      </c>
      <c r="O5" s="20">
        <f>IFERROR(__xludf.DUMMYFUNCTION("""COMPUTED_VALUE"""),7)</f>
        <v>7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IFERROR(__xludf.DUMMYFUNCTION("""COMPUTED_VALUE"""),"SH7801")</f>
        <v>SH7801</v>
      </c>
      <c r="E6" s="2" t="str">
        <f>IFERROR(__xludf.DUMMYFUNCTION("""COMPUTED_VALUE"""),"NA")</f>
        <v>NA</v>
      </c>
      <c r="F6" s="7" t="str">
        <f>IFERROR(__xludf.DUMMYFUNCTION("""COMPUTED_VALUE"""),"Human Values and Professional Ethics")</f>
        <v>Human Values and Professional Ethics</v>
      </c>
      <c r="G6" s="2" t="str">
        <f>IFERROR(__xludf.DUMMYFUNCTION("""COMPUTED_VALUE"""),"-")</f>
        <v>-</v>
      </c>
      <c r="H6" s="2">
        <f>IFERROR(__xludf.DUMMYFUNCTION("""COMPUTED_VALUE"""),2)</f>
        <v>2</v>
      </c>
      <c r="I6" s="2">
        <f>IFERROR(__xludf.DUMMYFUNCTION("""COMPUTED_VALUE"""),0)</f>
        <v>0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IFERROR(__xludf.DUMMYFUNCTION("""COMPUTED_VALUE"""),58)</f>
        <v>58</v>
      </c>
      <c r="O6" s="20">
        <f>IFERROR(__xludf.DUMMYFUNCTION("""COMPUTED_VALUE"""),58)</f>
        <v>58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IFERROR(__xludf.DUMMYFUNCTION("""COMPUTED_VALUE"""),"SH7101")</f>
        <v>SH7101</v>
      </c>
      <c r="E7" s="2" t="str">
        <f>IFERROR(__xludf.DUMMYFUNCTION("""COMPUTED_VALUE"""),"22HS101")</f>
        <v>22HS101</v>
      </c>
      <c r="F7" s="7" t="str">
        <f>IFERROR(__xludf.DUMMYFUNCTION("""COMPUTED_VALUE"""),"தமிழர் மரபு/ Heritage of Tamils")</f>
        <v>தமிழர் மரபு/ Heritage of Tamils</v>
      </c>
      <c r="G7" s="2" t="str">
        <f>IFERROR(__xludf.DUMMYFUNCTION("""COMPUTED_VALUE"""),"-")</f>
        <v>-</v>
      </c>
      <c r="H7" s="2">
        <f>IFERROR(__xludf.DUMMYFUNCTION("""COMPUTED_VALUE"""),1)</f>
        <v>1</v>
      </c>
      <c r="I7" s="2">
        <f>IFERROR(__xludf.DUMMYFUNCTION("""COMPUTED_VALUE"""),0)</f>
        <v>0</v>
      </c>
      <c r="J7" s="2">
        <f>IFERROR(__xludf.DUMMYFUNCTION("""COMPUTED_VALUE"""),1)</f>
        <v>1</v>
      </c>
      <c r="K7" s="2" t="str">
        <f>IFERROR(__xludf.DUMMYFUNCTION("""COMPUTED_VALUE"""),"CGPA")</f>
        <v>CGPA</v>
      </c>
      <c r="L7" s="18" t="str">
        <f>IFERROR(__xludf.DUMMYFUNCTION("""COMPUTED_VALUE"""),"Theory (Int Only)")</f>
        <v>Theory (Int Only)</v>
      </c>
      <c r="M7" s="19" t="str">
        <f>IFERROR(__xludf.DUMMYFUNCTION("""COMPUTED_VALUE"""),"PE")</f>
        <v>PE</v>
      </c>
      <c r="N7" s="2">
        <f>IFERROR(__xludf.DUMMYFUNCTION("""COMPUTED_VALUE"""),18)</f>
        <v>18</v>
      </c>
      <c r="O7" s="20">
        <f>IFERROR(__xludf.DUMMYFUNCTION("""COMPUTED_VALUE"""),18)</f>
        <v>18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IFERROR(__xludf.DUMMYFUNCTION("""COMPUTED_VALUE"""),"SH7102")</f>
        <v>SH7102</v>
      </c>
      <c r="E8" s="2" t="str">
        <f>IFERROR(__xludf.DUMMYFUNCTION("""COMPUTED_VALUE"""),"22HS102")</f>
        <v>22HS102</v>
      </c>
      <c r="F8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8" s="2" t="str">
        <f>IFERROR(__xludf.DUMMYFUNCTION("""COMPUTED_VALUE"""),"-")</f>
        <v>-</v>
      </c>
      <c r="H8" s="2">
        <f>IFERROR(__xludf.DUMMYFUNCTION("""COMPUTED_VALUE"""),1)</f>
        <v>1</v>
      </c>
      <c r="I8" s="2">
        <f>IFERROR(__xludf.DUMMYFUNCTION("""COMPUTED_VALUE"""),0)</f>
        <v>0</v>
      </c>
      <c r="J8" s="2">
        <f>IFERROR(__xludf.DUMMYFUNCTION("""COMPUTED_VALUE"""),1)</f>
        <v>1</v>
      </c>
      <c r="K8" s="2" t="str">
        <f>IFERROR(__xludf.DUMMYFUNCTION("""COMPUTED_VALUE"""),"CGPA")</f>
        <v>CGPA</v>
      </c>
      <c r="L8" s="18" t="str">
        <f>IFERROR(__xludf.DUMMYFUNCTION("""COMPUTED_VALUE"""),"Theory (Int Only)")</f>
        <v>Theory (Int Only)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IFERROR(__xludf.DUMMYFUNCTION("""COMPUTED_VALUE"""),"BS")</f>
        <v>BS</v>
      </c>
      <c r="D9" s="2" t="str">
        <f>IFERROR(__xludf.DUMMYFUNCTION("""COMPUTED_VALUE"""),"SH2201")</f>
        <v>SH2201</v>
      </c>
      <c r="E9" s="2" t="str">
        <f>IFERROR(__xludf.DUMMYFUNCTION("""COMPUTED_VALUE"""),"19MA201")</f>
        <v>19MA201</v>
      </c>
      <c r="F9" s="7" t="str">
        <f>IFERROR(__xludf.DUMMYFUNCTION("""COMPUTED_VALUE"""),"Calculus and Matrix Algebra")</f>
        <v>Calculus and Matrix Algebra</v>
      </c>
      <c r="G9" s="2" t="str">
        <f>IFERROR(__xludf.DUMMYFUNCTION("""COMPUTED_VALUE"""),"-")</f>
        <v>-</v>
      </c>
      <c r="H9" s="2">
        <f>IFERROR(__xludf.DUMMYFUNCTION("""COMPUTED_VALUE"""),4)</f>
        <v>4</v>
      </c>
      <c r="I9" s="2">
        <f>IFERROR(__xludf.DUMMYFUNCTION("""COMPUTED_VALUE"""),0)</f>
        <v>0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IFERROR(__xludf.DUMMYFUNCTION("""COMPUTED_VALUE"""),"BS")</f>
        <v>BS</v>
      </c>
      <c r="D10" s="2" t="str">
        <f>IFERROR(__xludf.DUMMYFUNCTION("""COMPUTED_VALUE"""),"SH2211")</f>
        <v>SH2211</v>
      </c>
      <c r="E10" s="2" t="str">
        <f>IFERROR(__xludf.DUMMYFUNCTION("""COMPUTED_VALUE"""),"19MA211")</f>
        <v>19MA211</v>
      </c>
      <c r="F10" s="7" t="str">
        <f>IFERROR(__xludf.DUMMYFUNCTION("""COMPUTED_VALUE"""),"Statistics and Numerical Methods")</f>
        <v>Statistics and Numerical Methods</v>
      </c>
      <c r="G10" s="2" t="str">
        <f>IFERROR(__xludf.DUMMYFUNCTION("""COMPUTED_VALUE"""),"-")</f>
        <v>-</v>
      </c>
      <c r="H10" s="2">
        <f>IFERROR(__xludf.DUMMYFUNCTION("""COMPUTED_VALUE"""),3)</f>
        <v>3</v>
      </c>
      <c r="I10" s="2">
        <f>IFERROR(__xludf.DUMMYFUNCTION("""COMPUTED_VALUE"""),1)</f>
        <v>1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IFERROR(__xludf.DUMMYFUNCTION("""COMPUTED_VALUE"""),"TIP (6 Expts)")</f>
        <v>TIP (6 Expts)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IFERROR(__xludf.DUMMYFUNCTION("""COMPUTED_VALUE"""),"SH2224")</f>
        <v>SH2224</v>
      </c>
      <c r="E11" s="2" t="str">
        <f>IFERROR(__xludf.DUMMYFUNCTION("""COMPUTED_VALUE"""),"19MA224")</f>
        <v>19MA224</v>
      </c>
      <c r="F11" s="7" t="str">
        <f>IFERROR(__xludf.DUMMYFUNCTION("""COMPUTED_VALUE"""),"Transforms and Differential Equations")</f>
        <v>Transforms and Differential Equations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IFERROR(__xludf.DUMMYFUNCTION("""COMPUTED_VALUE"""),163)</f>
        <v>163</v>
      </c>
      <c r="O11" s="23">
        <f>IFERROR(__xludf.DUMMYFUNCTION("""COMPUTED_VALUE"""),125)</f>
        <v>125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IFERROR(__xludf.DUMMYFUNCTION("""COMPUTED_VALUE"""),"SH3204")</f>
        <v>SH3204</v>
      </c>
      <c r="E12" s="2" t="str">
        <f>IFERROR(__xludf.DUMMYFUNCTION("""COMPUTED_VALUE"""),"19PH204")</f>
        <v>19PH204</v>
      </c>
      <c r="F12" s="7" t="str">
        <f>IFERROR(__xludf.DUMMYFUNCTION("""COMPUTED_VALUE"""),"Physics for Chemical Engineering")</f>
        <v>Physics for Chemical Engineering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IFERROR(__xludf.DUMMYFUNCTION("""COMPUTED_VALUE"""),"SH4208")</f>
        <v>SH4208</v>
      </c>
      <c r="E13" s="2" t="str">
        <f>IFERROR(__xludf.DUMMYFUNCTION("""COMPUTED_VALUE"""),"19CY208")</f>
        <v>19CY208</v>
      </c>
      <c r="F13" s="7" t="str">
        <f>IFERROR(__xludf.DUMMYFUNCTION("""COMPUTED_VALUE"""),"Basic Engineering Chemistry")</f>
        <v>Basic Engineering Chemistry</v>
      </c>
      <c r="G13" s="2" t="str">
        <f>IFERROR(__xludf.DUMMYFUNCTION("""COMPUTED_VALUE"""),"-")</f>
        <v>-</v>
      </c>
      <c r="H13" s="2">
        <f>IFERROR(__xludf.DUMMYFUNCTION("""COMPUTED_VALUE"""),3)</f>
        <v>3</v>
      </c>
      <c r="I13" s="2">
        <f>IFERROR(__xludf.DUMMYFUNCTION("""COMPUTED_VALUE"""),1)</f>
        <v>1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IFERROR(__xludf.DUMMYFUNCTION("""COMPUTED_VALUE"""),"SH4804")</f>
        <v>SH4804</v>
      </c>
      <c r="E14" s="2" t="str">
        <f>IFERROR(__xludf.DUMMYFUNCTION("""COMPUTED_VALUE"""),"NA")</f>
        <v>NA</v>
      </c>
      <c r="F14" s="7" t="str">
        <f>IFERROR(__xludf.DUMMYFUNCTION("""COMPUTED_VALUE"""),"Chemistry for Technologists")</f>
        <v>Chemistry for Technologists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IFERROR(__xludf.DUMMYFUNCTION("""COMPUTED_VALUE"""),1)</f>
        <v>1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IFERROR(__xludf.DUMMYFUNCTION("""COMPUTED_VALUE"""),"SH4801")</f>
        <v>SH4801</v>
      </c>
      <c r="E15" s="2" t="str">
        <f>IFERROR(__xludf.DUMMYFUNCTION("""COMPUTED_VALUE"""),"NA")</f>
        <v>NA</v>
      </c>
      <c r="F15" s="7" t="str">
        <f>IFERROR(__xludf.DUMMYFUNCTION("""COMPUTED_VALUE"""),"Environmental Sciences and Sustainability")</f>
        <v>Environmental Sciences and Sustainability</v>
      </c>
      <c r="G15" s="2" t="str">
        <f>IFERROR(__xludf.DUMMYFUNCTION("""COMPUTED_VALUE"""),"-")</f>
        <v>-</v>
      </c>
      <c r="H15" s="2">
        <f>IFERROR(__xludf.DUMMYFUNCTION("""COMPUTED_VALUE"""),2)</f>
        <v>2</v>
      </c>
      <c r="I15" s="2">
        <f>IFERROR(__xludf.DUMMYFUNCTION("""COMPUTED_VALUE"""),0)</f>
        <v>0</v>
      </c>
      <c r="J15" s="2">
        <f>IFERROR(__xludf.DUMMYFUNCTION("""COMPUTED_VALUE"""),2)</f>
        <v>2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IFERROR(__xludf.DUMMYFUNCTION("""COMPUTED_VALUE"""),"ES")</f>
        <v>ES</v>
      </c>
      <c r="D16" s="2" t="str">
        <f>IFERROR(__xludf.DUMMYFUNCTION("""COMPUTED_VALUE"""),"CS3301")</f>
        <v>CS3301</v>
      </c>
      <c r="E16" s="2" t="str">
        <f>IFERROR(__xludf.DUMMYFUNCTION("""COMPUTED_VALUE"""),"19AI301")</f>
        <v>19AI301</v>
      </c>
      <c r="F16" s="7" t="str">
        <f>IFERROR(__xludf.DUMMYFUNCTION("""COMPUTED_VALUE"""),"Python Programming")</f>
        <v>Python Programming</v>
      </c>
      <c r="G16" s="2" t="str">
        <f>IFERROR(__xludf.DUMMYFUNCTION("""COMPUTED_VALUE"""),"-")</f>
        <v>-</v>
      </c>
      <c r="H16" s="2">
        <f>IFERROR(__xludf.DUMMYFUNCTION("""COMPUTED_VALUE"""),2)</f>
        <v>2</v>
      </c>
      <c r="I16" s="2">
        <f>IFERROR(__xludf.DUMMYFUNCTION("""COMPUTED_VALUE"""),1)</f>
        <v>1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IFERROR(__xludf.DUMMYFUNCTION("""COMPUTED_VALUE"""),"ES")</f>
        <v>ES</v>
      </c>
      <c r="D17" s="2" t="str">
        <f>IFERROR(__xludf.DUMMYFUNCTION("""COMPUTED_VALUE"""),"CS3801")</f>
        <v>CS3801</v>
      </c>
      <c r="E17" s="2" t="str">
        <f>IFERROR(__xludf.DUMMYFUNCTION("""COMPUTED_VALUE"""),"NA")</f>
        <v>NA</v>
      </c>
      <c r="F17" s="7" t="str">
        <f>IFERROR(__xludf.DUMMYFUNCTION("""COMPUTED_VALUE"""),"Artificial Intelligence and Applications")</f>
        <v>Artificial Intelligence and Applications</v>
      </c>
      <c r="G17" s="2" t="str">
        <f>IFERROR(__xludf.DUMMYFUNCTION("""COMPUTED_VALUE"""),"-")</f>
        <v>-</v>
      </c>
      <c r="H17" s="2">
        <f>IFERROR(__xludf.DUMMYFUNCTION("""COMPUTED_VALUE"""),1)</f>
        <v>1</v>
      </c>
      <c r="I17" s="2">
        <f>IFERROR(__xludf.DUMMYFUNCTION("""COMPUTED_VALUE"""),2)</f>
        <v>2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IFERROR(__xludf.DUMMYFUNCTION("""COMPUTED_VALUE"""),"Theory (Int Only) and Practical (10 Expts)")</f>
        <v>Theory (Int Only) and Practical (10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IFERROR(__xludf.DUMMYFUNCTION("""COMPUTED_VALUE"""),"ES")</f>
        <v>ES</v>
      </c>
      <c r="D18" s="2" t="str">
        <f>IFERROR(__xludf.DUMMYFUNCTION("""COMPUTED_VALUE"""),"ME0309")</f>
        <v>ME0309</v>
      </c>
      <c r="E18" s="2" t="str">
        <f>IFERROR(__xludf.DUMMYFUNCTION("""COMPUTED_VALUE"""),"19ME309")</f>
        <v>19ME309</v>
      </c>
      <c r="F18" s="7" t="str">
        <f>IFERROR(__xludf.DUMMYFUNCTION("""COMPUTED_VALUE"""),"Engineering Drawing and Visualisation")</f>
        <v>Engineering Drawing and Visualisation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IFERROR(__xludf.DUMMYFUNCTION("""COMPUTED_VALUE"""),"ME0310")</f>
        <v>ME0310</v>
      </c>
      <c r="E19" s="2" t="str">
        <f>IFERROR(__xludf.DUMMYFUNCTION("""COMPUTED_VALUE"""),"19ME310")</f>
        <v>19ME310</v>
      </c>
      <c r="F19" s="7" t="str">
        <f>IFERROR(__xludf.DUMMYFUNCTION("""COMPUTED_VALUE"""),"Engineering Practices Lab")</f>
        <v>Engineering Practices Lab</v>
      </c>
      <c r="G19" s="2" t="str">
        <f>IFERROR(__xludf.DUMMYFUNCTION("""COMPUTED_VALUE"""),"-")</f>
        <v>-</v>
      </c>
      <c r="H19" s="2">
        <f>IFERROR(__xludf.DUMMYFUNCTION("""COMPUTED_VALUE"""),0)</f>
        <v>0</v>
      </c>
      <c r="I19" s="2">
        <f>IFERROR(__xludf.DUMMYFUNCTION("""COMPUTED_VALUE"""),1)</f>
        <v>1</v>
      </c>
      <c r="J19" s="2">
        <f>IFERROR(__xludf.DUMMYFUNCTION("""COMPUTED_VALUE"""),1)</f>
        <v>1</v>
      </c>
      <c r="K19" s="2" t="str">
        <f>IFERROR(__xludf.DUMMYFUNCTION("""COMPUTED_VALUE"""),"CGPA")</f>
        <v>CGPA</v>
      </c>
      <c r="L19" s="2" t="str">
        <f>IFERROR(__xludf.DUMMYFUNCTION("""COMPUTED_VALUE"""),"Practical (6 Expts)")</f>
        <v>Practical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IFERROR(__xludf.DUMMYFUNCTION("""COMPUTED_VALUE"""),"EC2306")</f>
        <v>EC2306</v>
      </c>
      <c r="E20" s="2" t="str">
        <f>IFERROR(__xludf.DUMMYFUNCTION("""COMPUTED_VALUE"""),"19EE306  ")</f>
        <v>19EE306  </v>
      </c>
      <c r="F20" s="7" t="str">
        <f>IFERROR(__xludf.DUMMYFUNCTION("""COMPUTED_VALUE"""),"Basic Electrical, Electronics and Instrumentation Engineering")</f>
        <v>Basic Electrical, Electronics and Instrumentation Engineering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IFERROR(__xludf.DUMMYFUNCTION("""COMPUTED_VALUE"""),"CH0301")</f>
        <v>CH0301</v>
      </c>
      <c r="E21" s="2" t="str">
        <f>IFERROR(__xludf.DUMMYFUNCTION("""COMPUTED_VALUE"""),"19CH301")</f>
        <v>19CH301</v>
      </c>
      <c r="F21" s="7" t="str">
        <f>IFERROR(__xludf.DUMMYFUNCTION("""COMPUTED_VALUE"""),"Principles of Chemical Engineering")</f>
        <v>Principles of Chemical Engineering</v>
      </c>
      <c r="G21" s="2" t="str">
        <f>IFERROR(__xludf.DUMMYFUNCTION("""COMPUTED_VALUE"""),"-")</f>
        <v>-</v>
      </c>
      <c r="H21" s="2">
        <f>IFERROR(__xludf.DUMMYFUNCTION("""COMPUTED_VALUE"""),3)</f>
        <v>3</v>
      </c>
      <c r="I21" s="2">
        <f>IFERROR(__xludf.DUMMYFUNCTION("""COMPUTED_VALUE"""),0)</f>
        <v>0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IFERROR(__xludf.DUMMYFUNCTION("""COMPUTED_VALUE"""),"Theory")</f>
        <v>Theory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IFERROR(__xludf.DUMMYFUNCTION("""COMPUTED_VALUE"""),"CH0302")</f>
        <v>CH0302</v>
      </c>
      <c r="E22" s="2" t="str">
        <f>IFERROR(__xludf.DUMMYFUNCTION("""COMPUTED_VALUE"""),"19CH302")</f>
        <v>19CH302</v>
      </c>
      <c r="F22" s="7" t="str">
        <f>IFERROR(__xludf.DUMMYFUNCTION("""COMPUTED_VALUE"""),"Basics of Material Science and Solid Mechanics")</f>
        <v>Basics of Material Science and Solid Mechanics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IFERROR(__xludf.DUMMYFUNCTION("""COMPUTED_VALUE"""),0)</f>
        <v>0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IFERROR(__xludf.DUMMYFUNCTION("""COMPUTED_VALUE"""),"Theory")</f>
        <v>Theory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IFERROR(__xludf.DUMMYFUNCTION("""COMPUTED_VALUE"""),"PC")</f>
        <v>PC</v>
      </c>
      <c r="D23" s="2" t="str">
        <f>IFERROR(__xludf.DUMMYFUNCTION("""COMPUTED_VALUE"""),"CH0801")</f>
        <v>CH0801</v>
      </c>
      <c r="E23" s="2" t="str">
        <f>IFERROR(__xludf.DUMMYFUNCTION("""COMPUTED_VALUE"""),"NA")</f>
        <v>NA</v>
      </c>
      <c r="F23" s="7" t="str">
        <f>IFERROR(__xludf.DUMMYFUNCTION("""COMPUTED_VALUE"""),"Process Calculations")</f>
        <v>Process Calculations</v>
      </c>
      <c r="G23" s="2" t="str">
        <f>IFERROR(__xludf.DUMMYFUNCTION("""COMPUTED_VALUE"""),"-")</f>
        <v>-</v>
      </c>
      <c r="H23" s="2">
        <f>IFERROR(__xludf.DUMMYFUNCTION("""COMPUTED_VALUE"""),3)</f>
        <v>3</v>
      </c>
      <c r="I23" s="2">
        <f>IFERROR(__xludf.DUMMYFUNCTION("""COMPUTED_VALUE"""),0)</f>
        <v>0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IFERROR(__xludf.DUMMYFUNCTION("""COMPUTED_VALUE"""),"CH0401")</f>
        <v>CH0401</v>
      </c>
      <c r="E24" s="2" t="str">
        <f>IFERROR(__xludf.DUMMYFUNCTION("""COMPUTED_VALUE"""),"19CH401")</f>
        <v>19CH401</v>
      </c>
      <c r="F24" s="7" t="str">
        <f>IFERROR(__xludf.DUMMYFUNCTION("""COMPUTED_VALUE"""),"Fluid Mechanics for Chemical Engineers")</f>
        <v>Fluid Mechanics for Chemical Engineers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IFERROR(__xludf.DUMMYFUNCTION("""COMPUTED_VALUE"""),"CH0403")</f>
        <v>CH0403</v>
      </c>
      <c r="E25" s="2" t="str">
        <f>IFERROR(__xludf.DUMMYFUNCTION("""COMPUTED_VALUE"""),"19CH403")</f>
        <v>19CH403</v>
      </c>
      <c r="F25" s="7" t="str">
        <f>IFERROR(__xludf.DUMMYFUNCTION("""COMPUTED_VALUE"""),"Mechanical Operations")</f>
        <v>Mechanical Operations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IFERROR(__xludf.DUMMYFUNCTION("""COMPUTED_VALUE"""),"CH0404")</f>
        <v>CH0404</v>
      </c>
      <c r="E26" s="2" t="str">
        <f>IFERROR(__xludf.DUMMYFUNCTION("""COMPUTED_VALUE"""),"19CH404")</f>
        <v>19CH404</v>
      </c>
      <c r="F26" s="7" t="str">
        <f>IFERROR(__xludf.DUMMYFUNCTION("""COMPUTED_VALUE"""),"Chemical Process Industries")</f>
        <v>Chemical Process Industries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IFERROR(__xludf.DUMMYFUNCTION("""COMPUTED_VALUE"""),0)</f>
        <v>0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IFERROR(__xludf.DUMMYFUNCTION("""COMPUTED_VALUE"""),"Theory")</f>
        <v>Theory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IFERROR(__xludf.DUMMYFUNCTION("""COMPUTED_VALUE"""),"CH0802")</f>
        <v>CH0802</v>
      </c>
      <c r="E27" s="2" t="str">
        <f>IFERROR(__xludf.DUMMYFUNCTION("""COMPUTED_VALUE"""),"NA")</f>
        <v>NA</v>
      </c>
      <c r="F27" s="7" t="str">
        <f>IFERROR(__xludf.DUMMYFUNCTION("""COMPUTED_VALUE"""),"Chemical Engineering Thermodynamics I")</f>
        <v>Chemical Engineering Thermodynamics I</v>
      </c>
      <c r="G27" s="2" t="str">
        <f>IFERROR(__xludf.DUMMYFUNCTION("""COMPUTED_VALUE"""),"-")</f>
        <v>-</v>
      </c>
      <c r="H27" s="2">
        <f>IFERROR(__xludf.DUMMYFUNCTION("""COMPUTED_VALUE"""),3)</f>
        <v>3</v>
      </c>
      <c r="I27" s="2">
        <f>IFERROR(__xludf.DUMMYFUNCTION("""COMPUTED_VALUE"""),0)</f>
        <v>0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IFERROR(__xludf.DUMMYFUNCTION("""COMPUTED_VALUE"""),"Theory")</f>
        <v>Theory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IFERROR(__xludf.DUMMYFUNCTION("""COMPUTED_VALUE"""),"CH0803")</f>
        <v>CH0803</v>
      </c>
      <c r="E28" s="2" t="str">
        <f>IFERROR(__xludf.DUMMYFUNCTION("""COMPUTED_VALUE"""),"NA")</f>
        <v>NA</v>
      </c>
      <c r="F28" s="7" t="str">
        <f>IFERROR(__xludf.DUMMYFUNCTION("""COMPUTED_VALUE"""),"Chemical Engineering Thermodynamics II")</f>
        <v>Chemical Engineering Thermodynamics II</v>
      </c>
      <c r="G28" s="2" t="str">
        <f>IFERROR(__xludf.DUMMYFUNCTION("""COMPUTED_VALUE"""),"CH0802")</f>
        <v>CH0802</v>
      </c>
      <c r="H28" s="2">
        <f>IFERROR(__xludf.DUMMYFUNCTION("""COMPUTED_VALUE"""),3)</f>
        <v>3</v>
      </c>
      <c r="I28" s="2">
        <f>IFERROR(__xludf.DUMMYFUNCTION("""COMPUTED_VALUE"""),0)</f>
        <v>0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IFERROR(__xludf.DUMMYFUNCTION("""COMPUTED_VALUE"""),"Theory")</f>
        <v>Theory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IFERROR(__xludf.DUMMYFUNCTION("""COMPUTED_VALUE"""),"CH0405")</f>
        <v>CH0405</v>
      </c>
      <c r="E29" s="2" t="str">
        <f>IFERROR(__xludf.DUMMYFUNCTION("""COMPUTED_VALUE"""),"19CH405")</f>
        <v>19CH405</v>
      </c>
      <c r="F29" s="7" t="str">
        <f>IFERROR(__xludf.DUMMYFUNCTION("""COMPUTED_VALUE"""),"Heat Transfer")</f>
        <v>Heat Transfer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IFERROR(__xludf.DUMMYFUNCTION("""COMPUTED_VALUE"""),"CH0406")</f>
        <v>CH0406</v>
      </c>
      <c r="E30" s="2" t="str">
        <f>IFERROR(__xludf.DUMMYFUNCTION("""COMPUTED_VALUE"""),"19CH406")</f>
        <v>19CH406</v>
      </c>
      <c r="F30" s="7" t="str">
        <f>IFERROR(__xludf.DUMMYFUNCTION("""COMPUTED_VALUE"""),"Mass Transfer I")</f>
        <v>Mass Transfer I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IFERROR(__xludf.DUMMYFUNCTION("""COMPUTED_VALUE"""),"CH0407")</f>
        <v>CH0407</v>
      </c>
      <c r="E31" s="2" t="str">
        <f>IFERROR(__xludf.DUMMYFUNCTION("""COMPUTED_VALUE"""),"19CH407")</f>
        <v>19CH407</v>
      </c>
      <c r="F31" s="7" t="str">
        <f>IFERROR(__xludf.DUMMYFUNCTION("""COMPUTED_VALUE"""),"Chemical Reaction Engineering I")</f>
        <v>Chemical Reaction Engineering I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IFERROR(__xludf.DUMMYFUNCTION("""COMPUTED_VALUE"""),"CH0408")</f>
        <v>CH0408</v>
      </c>
      <c r="E32" s="2" t="str">
        <f>IFERROR(__xludf.DUMMYFUNCTION("""COMPUTED_VALUE"""),"19CH408")</f>
        <v>19CH408</v>
      </c>
      <c r="F32" s="7" t="str">
        <f>IFERROR(__xludf.DUMMYFUNCTION("""COMPUTED_VALUE"""),"Mass Transfer II")</f>
        <v>Mass Transfer II</v>
      </c>
      <c r="G32" s="2" t="str">
        <f>IFERROR(__xludf.DUMMYFUNCTION("""COMPUTED_VALUE"""),"19CH406 / CH0406")</f>
        <v>19CH406 / CH0406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IFERROR(__xludf.DUMMYFUNCTION("""COMPUTED_VALUE"""),"CH0409")</f>
        <v>CH0409</v>
      </c>
      <c r="E33" s="2" t="str">
        <f>IFERROR(__xludf.DUMMYFUNCTION("""COMPUTED_VALUE"""),"19CH409")</f>
        <v>19CH409</v>
      </c>
      <c r="F33" s="7" t="str">
        <f>IFERROR(__xludf.DUMMYFUNCTION("""COMPUTED_VALUE"""),"Chemical Reaction Engineering II")</f>
        <v>Chemical Reaction Engineering II</v>
      </c>
      <c r="G33" s="2" t="str">
        <f>IFERROR(__xludf.DUMMYFUNCTION("""COMPUTED_VALUE"""),"19CH407 / CH0407")</f>
        <v>19CH407 / CH0407</v>
      </c>
      <c r="H33" s="2">
        <f>IFERROR(__xludf.DUMMYFUNCTION("""COMPUTED_VALUE"""),4)</f>
        <v>4</v>
      </c>
      <c r="I33" s="2">
        <f>IFERROR(__xludf.DUMMYFUNCTION("""COMPUTED_VALUE"""),0)</f>
        <v>0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IFERROR(__xludf.DUMMYFUNCTION("""COMPUTED_VALUE"""),"Theory")</f>
        <v>Theory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IFERROR(__xludf.DUMMYFUNCTION("""COMPUTED_VALUE"""),"CH0804")</f>
        <v>CH0804</v>
      </c>
      <c r="E34" s="2" t="str">
        <f>IFERROR(__xludf.DUMMYFUNCTION("""COMPUTED_VALUE"""),"NA")</f>
        <v>NA</v>
      </c>
      <c r="F34" s="7" t="str">
        <f>IFERROR(__xludf.DUMMYFUNCTION("""COMPUTED_VALUE"""),"Process Equipment Design and Drawing Laboratory")</f>
        <v>Process Equipment Design and Drawing Laboratory</v>
      </c>
      <c r="G34" s="2" t="str">
        <f>IFERROR(__xludf.DUMMYFUNCTION("""COMPUTED_VALUE"""),"CH0405 / CH0408")</f>
        <v>CH0405 / CH0408</v>
      </c>
      <c r="H34" s="2">
        <f>IFERROR(__xludf.DUMMYFUNCTION("""COMPUTED_VALUE"""),0)</f>
        <v>0</v>
      </c>
      <c r="I34" s="2">
        <f>IFERROR(__xludf.DUMMYFUNCTION("""COMPUTED_VALUE"""),2)</f>
        <v>2</v>
      </c>
      <c r="J34" s="2">
        <f>IFERROR(__xludf.DUMMYFUNCTION("""COMPUTED_VALUE"""),2)</f>
        <v>2</v>
      </c>
      <c r="K34" s="2" t="str">
        <f>IFERROR(__xludf.DUMMYFUNCTION("""COMPUTED_VALUE"""),"CGPA")</f>
        <v>CGPA</v>
      </c>
      <c r="L34" s="2" t="str">
        <f>IFERROR(__xludf.DUMMYFUNCTION("""COMPUTED_VALUE"""),"Practical (10 Expts)")</f>
        <v>Practical (10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IFERROR(__xludf.DUMMYFUNCTION("""COMPUTED_VALUE"""),"CH0410")</f>
        <v>CH0410</v>
      </c>
      <c r="E35" s="2" t="str">
        <f>IFERROR(__xludf.DUMMYFUNCTION("""COMPUTED_VALUE"""),"19CH410")</f>
        <v>19CH410</v>
      </c>
      <c r="F35" s="7" t="str">
        <f>IFERROR(__xludf.DUMMYFUNCTION("""COMPUTED_VALUE"""),"Transport Phenomena")</f>
        <v>Transport Phenomena</v>
      </c>
      <c r="G35" s="2" t="str">
        <f>IFERROR(__xludf.DUMMYFUNCTION("""COMPUTED_VALUE"""),"19CH405, 19CH408 / CH0405, CH0408")</f>
        <v>19CH405, 19CH408 / CH0405, CH0408</v>
      </c>
      <c r="H35" s="2">
        <f>IFERROR(__xludf.DUMMYFUNCTION("""COMPUTED_VALUE"""),4)</f>
        <v>4</v>
      </c>
      <c r="I35" s="2">
        <f>IFERROR(__xludf.DUMMYFUNCTION("""COMPUTED_VALUE"""),0)</f>
        <v>0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IFERROR(__xludf.DUMMYFUNCTION("""COMPUTED_VALUE"""),"CH0411")</f>
        <v>CH0411</v>
      </c>
      <c r="E36" s="2" t="str">
        <f>IFERROR(__xludf.DUMMYFUNCTION("""COMPUTED_VALUE"""),"19CH411")</f>
        <v>19CH411</v>
      </c>
      <c r="F36" s="7" t="str">
        <f>IFERROR(__xludf.DUMMYFUNCTION("""COMPUTED_VALUE"""),"Process Instrumentation, Dynamics and Control")</f>
        <v>Process Instrumentation, Dynamics and Control</v>
      </c>
      <c r="G36" s="2" t="str">
        <f>IFERROR(__xludf.DUMMYFUNCTION("""COMPUTED_VALUE"""),"-")</f>
        <v>-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IFERROR(__xludf.DUMMYFUNCTION("""COMPUTED_VALUE"""),"CH0413")</f>
        <v>CH0413</v>
      </c>
      <c r="E37" s="2" t="str">
        <f>IFERROR(__xludf.DUMMYFUNCTION("""COMPUTED_VALUE"""),"19CH413")</f>
        <v>19CH413</v>
      </c>
      <c r="F37" s="7" t="str">
        <f>IFERROR(__xludf.DUMMYFUNCTION("""COMPUTED_VALUE"""),"Project Engineering Economics")</f>
        <v>Project Engineering Economics</v>
      </c>
      <c r="G37" s="2" t="str">
        <f>IFERROR(__xludf.DUMMYFUNCTION("""COMPUTED_VALUE"""),"19CH404 / CH0404")</f>
        <v>19CH404 / CH0404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IFERROR(__xludf.DUMMYFUNCTION("""COMPUTED_VALUE"""),"CH0414")</f>
        <v>CH0414</v>
      </c>
      <c r="E38" s="2" t="str">
        <f>IFERROR(__xludf.DUMMYFUNCTION("""COMPUTED_VALUE"""),"19CH414")</f>
        <v>19CH414</v>
      </c>
      <c r="F38" s="7" t="str">
        <f>IFERROR(__xludf.DUMMYFUNCTION("""COMPUTED_VALUE"""),"Safety in Chemical Industries")</f>
        <v>Safety in Chemical Industries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IFERROR(__xludf.DUMMYFUNCTION("""COMPUTED_VALUE"""),0)</f>
        <v>0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IFERROR(__xludf.DUMMYFUNCTION("""COMPUTED_VALUE"""),"Theory")</f>
        <v>Theory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IFERROR(__xludf.DUMMYFUNCTION("""COMPUTED_VALUE"""),"CH0415")</f>
        <v>CH0415</v>
      </c>
      <c r="E39" s="2" t="str">
        <f>IFERROR(__xludf.DUMMYFUNCTION("""COMPUTED_VALUE"""),"19CH415")</f>
        <v>19CH415</v>
      </c>
      <c r="F39" s="7" t="str">
        <f>IFERROR(__xludf.DUMMYFUNCTION("""COMPUTED_VALUE"""),"Computational Programming Laboratory")</f>
        <v>Computational Programming Laboratory</v>
      </c>
      <c r="G39" s="2" t="str">
        <f>IFERROR(__xludf.DUMMYFUNCTION("""COMPUTED_VALUE"""),"-")</f>
        <v>-</v>
      </c>
      <c r="H39" s="2">
        <f>IFERROR(__xludf.DUMMYFUNCTION("""COMPUTED_VALUE"""),0)</f>
        <v>0</v>
      </c>
      <c r="I39" s="2">
        <f>IFERROR(__xludf.DUMMYFUNCTION("""COMPUTED_VALUE"""),2)</f>
        <v>2</v>
      </c>
      <c r="J39" s="2">
        <f>IFERROR(__xludf.DUMMYFUNCTION("""COMPUTED_VALUE"""),2)</f>
        <v>2</v>
      </c>
      <c r="K39" s="2" t="str">
        <f>IFERROR(__xludf.DUMMYFUNCTION("""COMPUTED_VALUE"""),"CGPA")</f>
        <v>CGPA</v>
      </c>
      <c r="L39" s="2" t="str">
        <f>IFERROR(__xludf.DUMMYFUNCTION("""COMPUTED_VALUE"""),"Practical (10 Expts)")</f>
        <v>Practical (10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IFERROR(__xludf.DUMMYFUNCTION("""COMPUTED_VALUE"""),"PE")</f>
        <v>PE</v>
      </c>
      <c r="D40" s="2" t="str">
        <f>IFERROR(__xludf.DUMMYFUNCTION("""COMPUTED_VALUE"""),"CH0528")</f>
        <v>CH0528</v>
      </c>
      <c r="E40" s="2" t="str">
        <f>IFERROR(__xludf.DUMMYFUNCTION("""COMPUTED_VALUE"""),"19CH528")</f>
        <v>19CH528</v>
      </c>
      <c r="F40" s="7" t="str">
        <f>IFERROR(__xludf.DUMMYFUNCTION("""COMPUTED_VALUE"""),"Petroleum Chemistry and Refining Fundamentals")</f>
        <v>Petroleum Chemistry and Refining Fundamentals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IFERROR(__xludf.DUMMYFUNCTION("""COMPUTED_VALUE"""),"PE")</f>
        <v>PE</v>
      </c>
      <c r="D41" s="2" t="str">
        <f>IFERROR(__xludf.DUMMYFUNCTION("""COMPUTED_VALUE"""),"CH0529")</f>
        <v>CH0529</v>
      </c>
      <c r="E41" s="2" t="str">
        <f>IFERROR(__xludf.DUMMYFUNCTION("""COMPUTED_VALUE"""),"19CH529")</f>
        <v>19CH529</v>
      </c>
      <c r="F41" s="7" t="str">
        <f>IFERROR(__xludf.DUMMYFUNCTION("""COMPUTED_VALUE"""),"Primary Refining Technology")</f>
        <v>Primary Refining Technology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IFERROR(__xludf.DUMMYFUNCTION("""COMPUTED_VALUE"""),"PE")</f>
        <v>PE</v>
      </c>
      <c r="D42" s="2" t="str">
        <f>IFERROR(__xludf.DUMMYFUNCTION("""COMPUTED_VALUE"""),"CH0530")</f>
        <v>CH0530</v>
      </c>
      <c r="E42" s="2" t="str">
        <f>IFERROR(__xludf.DUMMYFUNCTION("""COMPUTED_VALUE"""),"19CH530")</f>
        <v>19CH530</v>
      </c>
      <c r="F42" s="7" t="str">
        <f>IFERROR(__xludf.DUMMYFUNCTION("""COMPUTED_VALUE"""),"Secondary Refining Technology")</f>
        <v>Secondary Refining Technology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IFERROR(__xludf.DUMMYFUNCTION("""COMPUTED_VALUE"""),"PE")</f>
        <v>PE</v>
      </c>
      <c r="D43" s="2" t="str">
        <f>IFERROR(__xludf.DUMMYFUNCTION("""COMPUTED_VALUE"""),"CH0531")</f>
        <v>CH0531</v>
      </c>
      <c r="E43" s="2" t="str">
        <f>IFERROR(__xludf.DUMMYFUNCTION("""COMPUTED_VALUE"""),"19CH531")</f>
        <v>19CH531</v>
      </c>
      <c r="F43" s="7" t="str">
        <f>IFERROR(__xludf.DUMMYFUNCTION("""COMPUTED_VALUE"""),"Refinery Advancement and Environmental Regulations")</f>
        <v>Refinery Advancement and Environmental Regulations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IFERROR(__xludf.DUMMYFUNCTION("""COMPUTED_VALUE"""),"CH0532")</f>
        <v>CH0532</v>
      </c>
      <c r="E44" s="2" t="str">
        <f>IFERROR(__xludf.DUMMYFUNCTION("""COMPUTED_VALUE"""),"19CH532")</f>
        <v>19CH532</v>
      </c>
      <c r="F44" s="7" t="str">
        <f>IFERROR(__xludf.DUMMYFUNCTION("""COMPUTED_VALUE"""),"Petroleum Equipment Design")</f>
        <v>Petroleum Equipment Design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IFERROR(__xludf.DUMMYFUNCTION("""COMPUTED_VALUE"""),"CH0533")</f>
        <v>CH0533</v>
      </c>
      <c r="E45" s="2" t="str">
        <f>IFERROR(__xludf.DUMMYFUNCTION("""COMPUTED_VALUE"""),"19CH533")</f>
        <v>19CH533</v>
      </c>
      <c r="F45" s="7" t="str">
        <f>IFERROR(__xludf.DUMMYFUNCTION("""COMPUTED_VALUE"""),"Petrochemical Technology")</f>
        <v>Petrochemical Technology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IFERROR(__xludf.DUMMYFUNCTION("""COMPUTED_VALUE"""),"CH0534")</f>
        <v>CH0534</v>
      </c>
      <c r="E46" s="2" t="str">
        <f>IFERROR(__xludf.DUMMYFUNCTION("""COMPUTED_VALUE"""),"19CH534")</f>
        <v>19CH534</v>
      </c>
      <c r="F46" s="7" t="str">
        <f>IFERROR(__xludf.DUMMYFUNCTION("""COMPUTED_VALUE"""),"Design and Analysis of Experiments")</f>
        <v>Design and Analysis of Experiments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IFERROR(__xludf.DUMMYFUNCTION("""COMPUTED_VALUE"""),"CH0535")</f>
        <v>CH0535</v>
      </c>
      <c r="E47" s="2" t="str">
        <f>IFERROR(__xludf.DUMMYFUNCTION("""COMPUTED_VALUE"""),"19CH535")</f>
        <v>19CH535</v>
      </c>
      <c r="F47" s="7" t="str">
        <f>IFERROR(__xludf.DUMMYFUNCTION("""COMPUTED_VALUE"""),"Optimization of Chemical Processes")</f>
        <v>Optimization of Chemical Processes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IFERROR(__xludf.DUMMYFUNCTION("""COMPUTED_VALUE"""),"CH0536")</f>
        <v>CH0536</v>
      </c>
      <c r="E48" s="2" t="str">
        <f>IFERROR(__xludf.DUMMYFUNCTION("""COMPUTED_VALUE"""),"19CH536")</f>
        <v>19CH536</v>
      </c>
      <c r="F48" s="7" t="str">
        <f>IFERROR(__xludf.DUMMYFUNCTION("""COMPUTED_VALUE"""),"Chemical Process Simulation and Analysis")</f>
        <v>Chemical Process Simulation and Analysis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IFERROR(__xludf.DUMMYFUNCTION("""COMPUTED_VALUE"""),"CH0537")</f>
        <v>CH0537</v>
      </c>
      <c r="E49" s="2" t="str">
        <f>IFERROR(__xludf.DUMMYFUNCTION("""COMPUTED_VALUE"""),"19CH537")</f>
        <v>19CH537</v>
      </c>
      <c r="F49" s="7" t="str">
        <f>IFERROR(__xludf.DUMMYFUNCTION("""COMPUTED_VALUE"""),"Pinch Analysis and Heat Exchange Network Design")</f>
        <v>Pinch Analysis and Heat Exchange Network Design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IFERROR(__xludf.DUMMYFUNCTION("""COMPUTED_VALUE"""),"CH0538")</f>
        <v>CH0538</v>
      </c>
      <c r="E50" s="2" t="str">
        <f>IFERROR(__xludf.DUMMYFUNCTION("""COMPUTED_VALUE"""),"19CH538")</f>
        <v>19CH538</v>
      </c>
      <c r="F50" s="7" t="str">
        <f>IFERROR(__xludf.DUMMYFUNCTION("""COMPUTED_VALUE"""),"Chemical Process Flow sheeting")</f>
        <v>Chemical Process Flow sheeting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IFERROR(__xludf.DUMMYFUNCTION("""COMPUTED_VALUE"""),"CH0539")</f>
        <v>CH0539</v>
      </c>
      <c r="E51" s="2" t="str">
        <f>IFERROR(__xludf.DUMMYFUNCTION("""COMPUTED_VALUE"""),"19CH539")</f>
        <v>19CH539</v>
      </c>
      <c r="F51" s="7" t="str">
        <f>IFERROR(__xludf.DUMMYFUNCTION("""COMPUTED_VALUE"""),"Computational Fluid Dynamics")</f>
        <v>Computational Fluid Dynamics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IFERROR(__xludf.DUMMYFUNCTION("""COMPUTED_VALUE"""),"CH0540")</f>
        <v>CH0540</v>
      </c>
      <c r="E52" s="2" t="str">
        <f>IFERROR(__xludf.DUMMYFUNCTION("""COMPUTED_VALUE"""),"19CH540")</f>
        <v>19CH540</v>
      </c>
      <c r="F52" s="7" t="str">
        <f>IFERROR(__xludf.DUMMYFUNCTION("""COMPUTED_VALUE"""),"Introduction to Biochemistry")</f>
        <v>Introduction to Biochemistry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IFERROR(__xludf.DUMMYFUNCTION("""COMPUTED_VALUE"""),"CH0541")</f>
        <v>CH0541</v>
      </c>
      <c r="E53" s="2" t="str">
        <f>IFERROR(__xludf.DUMMYFUNCTION("""COMPUTED_VALUE"""),"19CH541")</f>
        <v>19CH541</v>
      </c>
      <c r="F53" s="7" t="str">
        <f>IFERROR(__xludf.DUMMYFUNCTION("""COMPUTED_VALUE"""),"Bioprocess Technology")</f>
        <v>Bioprocess Technology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IFERROR(__xludf.DUMMYFUNCTION("""COMPUTED_VALUE"""),"CH0542")</f>
        <v>CH0542</v>
      </c>
      <c r="E54" s="2" t="str">
        <f>IFERROR(__xludf.DUMMYFUNCTION("""COMPUTED_VALUE"""),"19CH542")</f>
        <v>19CH542</v>
      </c>
      <c r="F54" s="7" t="str">
        <f>IFERROR(__xludf.DUMMYFUNCTION("""COMPUTED_VALUE"""),"Fermentation and Bioprocessing")</f>
        <v>Fermentation and Bioprocessing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IFERROR(__xludf.DUMMYFUNCTION("""COMPUTED_VALUE"""),"CH0543")</f>
        <v>CH0543</v>
      </c>
      <c r="E55" s="2" t="str">
        <f>IFERROR(__xludf.DUMMYFUNCTION("""COMPUTED_VALUE"""),"19CH543")</f>
        <v>19CH543</v>
      </c>
      <c r="F55" s="7" t="str">
        <f>IFERROR(__xludf.DUMMYFUNCTION("""COMPUTED_VALUE"""),"Bioseparation and Downstream Processing")</f>
        <v>Bioseparation and Downstream Processing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IFERROR(__xludf.DUMMYFUNCTION("""COMPUTED_VALUE"""),"CH0544")</f>
        <v>CH0544</v>
      </c>
      <c r="E56" s="2" t="str">
        <f>IFERROR(__xludf.DUMMYFUNCTION("""COMPUTED_VALUE"""),"19CH544")</f>
        <v>19CH544</v>
      </c>
      <c r="F56" s="7" t="str">
        <f>IFERROR(__xludf.DUMMYFUNCTION("""COMPUTED_VALUE"""),"Enzyme Immobilization Technology")</f>
        <v>Enzyme Immobilization Technology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IFERROR(__xludf.DUMMYFUNCTION("""COMPUTED_VALUE"""),"CH0545")</f>
        <v>CH0545</v>
      </c>
      <c r="E57" s="2" t="str">
        <f>IFERROR(__xludf.DUMMYFUNCTION("""COMPUTED_VALUE"""),"19CH545")</f>
        <v>19CH545</v>
      </c>
      <c r="F57" s="7" t="str">
        <f>IFERROR(__xludf.DUMMYFUNCTION("""COMPUTED_VALUE"""),"Bioreactor Design")</f>
        <v>Bioreactor Design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IFERROR(__xludf.DUMMYFUNCTION("""COMPUTED_VALUE"""),"CH0546")</f>
        <v>CH0546</v>
      </c>
      <c r="E58" s="2" t="str">
        <f>IFERROR(__xludf.DUMMYFUNCTION("""COMPUTED_VALUE"""),"19CH546")</f>
        <v>19CH546</v>
      </c>
      <c r="F58" s="7" t="str">
        <f>IFERROR(__xludf.DUMMYFUNCTION("""COMPUTED_VALUE"""),"Plant Design")</f>
        <v>Plant Design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IFERROR(__xludf.DUMMYFUNCTION("""COMPUTED_VALUE"""),"CH0547")</f>
        <v>CH0547</v>
      </c>
      <c r="E59" s="2" t="str">
        <f>IFERROR(__xludf.DUMMYFUNCTION("""COMPUTED_VALUE"""),"19CH547")</f>
        <v>19CH547</v>
      </c>
      <c r="F59" s="7" t="str">
        <f>IFERROR(__xludf.DUMMYFUNCTION("""COMPUTED_VALUE"""),"Plant Layout")</f>
        <v>Plant Layout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IFERROR(__xludf.DUMMYFUNCTION("""COMPUTED_VALUE"""),"CH0548")</f>
        <v>CH0548</v>
      </c>
      <c r="E60" s="2" t="str">
        <f>IFERROR(__xludf.DUMMYFUNCTION("""COMPUTED_VALUE"""),"19CH548")</f>
        <v>19CH548</v>
      </c>
      <c r="F60" s="7" t="str">
        <f>IFERROR(__xludf.DUMMYFUNCTION("""COMPUTED_VALUE"""),"Design Safety")</f>
        <v>Design Safety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IFERROR(__xludf.DUMMYFUNCTION("""COMPUTED_VALUE"""),"CH0549")</f>
        <v>CH0549</v>
      </c>
      <c r="E61" s="2" t="str">
        <f>IFERROR(__xludf.DUMMYFUNCTION("""COMPUTED_VALUE"""),"19CH549")</f>
        <v>19CH549</v>
      </c>
      <c r="F61" s="7" t="str">
        <f>IFERROR(__xludf.DUMMYFUNCTION("""COMPUTED_VALUE"""),"Material Selection")</f>
        <v>Material Selection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IFERROR(__xludf.DUMMYFUNCTION("""COMPUTED_VALUE"""),"CH0550")</f>
        <v>CH0550</v>
      </c>
      <c r="E62" s="2" t="str">
        <f>IFERROR(__xludf.DUMMYFUNCTION("""COMPUTED_VALUE"""),"19CH550")</f>
        <v>19CH550</v>
      </c>
      <c r="F62" s="7" t="str">
        <f>IFERROR(__xludf.DUMMYFUNCTION("""COMPUTED_VALUE"""),"Statutory Requirements and Customer Care")</f>
        <v>Statutory Requirements and Customer Care</v>
      </c>
      <c r="G62" s="2" t="str">
        <f>IFERROR(__xludf.DUMMYFUNCTION("""COMPUTED_VALUE"""),"-")</f>
        <v>-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IFERROR(__xludf.DUMMYFUNCTION("""COMPUTED_VALUE"""),"CH0551")</f>
        <v>CH0551</v>
      </c>
      <c r="E63" s="2" t="str">
        <f>IFERROR(__xludf.DUMMYFUNCTION("""COMPUTED_VALUE"""),"19CH551")</f>
        <v>19CH551</v>
      </c>
      <c r="F63" s="7" t="str">
        <f>IFERROR(__xludf.DUMMYFUNCTION("""COMPUTED_VALUE"""),"Plant Utilities")</f>
        <v>Plant Utilities</v>
      </c>
      <c r="G63" s="2" t="str">
        <f>IFERROR(__xludf.DUMMYFUNCTION("""COMPUTED_VALUE"""),"-")</f>
        <v>-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IFERROR(__xludf.DUMMYFUNCTION("""COMPUTED_VALUE"""),"CH0504")</f>
        <v>CH0504</v>
      </c>
      <c r="E64" s="2" t="str">
        <f>IFERROR(__xludf.DUMMYFUNCTION("""COMPUTED_VALUE"""),"19CH504")</f>
        <v>19CH504</v>
      </c>
      <c r="F64" s="7" t="str">
        <f>IFERROR(__xludf.DUMMYFUNCTION("""COMPUTED_VALUE"""),"Air Pollution and Control")</f>
        <v>Air Pollution and Control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IFERROR(__xludf.DUMMYFUNCTION("""COMPUTED_VALUE"""),"CH0506")</f>
        <v>CH0506</v>
      </c>
      <c r="E65" s="2" t="str">
        <f>IFERROR(__xludf.DUMMYFUNCTION("""COMPUTED_VALUE"""),"19CH506")</f>
        <v>19CH506</v>
      </c>
      <c r="F65" s="7" t="str">
        <f>IFERROR(__xludf.DUMMYFUNCTION("""COMPUTED_VALUE"""),"Wastewater Treatment")</f>
        <v>Wastewater Treatment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IFERROR(__xludf.DUMMYFUNCTION("""COMPUTED_VALUE"""),"CH0552")</f>
        <v>CH0552</v>
      </c>
      <c r="E66" s="2" t="str">
        <f>IFERROR(__xludf.DUMMYFUNCTION("""COMPUTED_VALUE"""),"19CH552")</f>
        <v>19CH552</v>
      </c>
      <c r="F66" s="7" t="str">
        <f>IFERROR(__xludf.DUMMYFUNCTION("""COMPUTED_VALUE"""),"Solid Waste Management")</f>
        <v>Solid Waste Management</v>
      </c>
      <c r="G66" s="2" t="str">
        <f>IFERROR(__xludf.DUMMYFUNCTION("""COMPUTED_VALUE"""),"-")</f>
        <v>-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IFERROR(__xludf.DUMMYFUNCTION("""COMPUTED_VALUE"""),"CH0553")</f>
        <v>CH0553</v>
      </c>
      <c r="E67" s="2" t="str">
        <f>IFERROR(__xludf.DUMMYFUNCTION("""COMPUTED_VALUE"""),"19CH553")</f>
        <v>19CH553</v>
      </c>
      <c r="F67" s="7" t="str">
        <f>IFERROR(__xludf.DUMMYFUNCTION("""COMPUTED_VALUE"""),"Environmental Social Risk Assessment")</f>
        <v>Environmental Social Risk Assessment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IFERROR(__xludf.DUMMYFUNCTION("""COMPUTED_VALUE"""),"CH0554")</f>
        <v>CH0554</v>
      </c>
      <c r="E68" s="2" t="str">
        <f>IFERROR(__xludf.DUMMYFUNCTION("""COMPUTED_VALUE"""),"19CH554")</f>
        <v>19CH554</v>
      </c>
      <c r="F68" s="7" t="str">
        <f>IFERROR(__xludf.DUMMYFUNCTION("""COMPUTED_VALUE"""),"Process Safety Management")</f>
        <v>Process Safety Management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IFERROR(__xludf.DUMMYFUNCTION("""COMPUTED_VALUE"""),"CH0555")</f>
        <v>CH0555</v>
      </c>
      <c r="E69" s="2" t="str">
        <f>IFERROR(__xludf.DUMMYFUNCTION("""COMPUTED_VALUE"""),"19CH555")</f>
        <v>19CH555</v>
      </c>
      <c r="F69" s="7" t="str">
        <f>IFERROR(__xludf.DUMMYFUNCTION("""COMPUTED_VALUE"""),"Risk and HAZOP Analysis")</f>
        <v>Risk and HAZOP Analysis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IFERROR(__xludf.DUMMYFUNCTION("""COMPUTED_VALUE"""),"CH0522")</f>
        <v>CH0522</v>
      </c>
      <c r="E70" s="2" t="str">
        <f>IFERROR(__xludf.DUMMYFUNCTION("""COMPUTED_VALUE"""),"19CH522")</f>
        <v>19CH522</v>
      </c>
      <c r="F70" s="7" t="str">
        <f>IFERROR(__xludf.DUMMYFUNCTION("""COMPUTED_VALUE"""),"Bioenergy")</f>
        <v>Bioenergy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IFERROR(__xludf.DUMMYFUNCTION("""COMPUTED_VALUE"""),"CH0523")</f>
        <v>CH0523</v>
      </c>
      <c r="E71" s="2" t="str">
        <f>IFERROR(__xludf.DUMMYFUNCTION("""COMPUTED_VALUE"""),"19CH523")</f>
        <v>19CH523</v>
      </c>
      <c r="F71" s="7" t="str">
        <f>IFERROR(__xludf.DUMMYFUNCTION("""COMPUTED_VALUE"""),"Green Energy")</f>
        <v>Green Energy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IFERROR(__xludf.DUMMYFUNCTION("""COMPUTED_VALUE"""),"CH0524")</f>
        <v>CH0524</v>
      </c>
      <c r="E72" s="2" t="str">
        <f>IFERROR(__xludf.DUMMYFUNCTION("""COMPUTED_VALUE"""),"19CH524")</f>
        <v>19CH524</v>
      </c>
      <c r="F72" s="7" t="str">
        <f>IFERROR(__xludf.DUMMYFUNCTION("""COMPUTED_VALUE"""),"Pinch Technology")</f>
        <v>Pinch Technology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IFERROR(__xludf.DUMMYFUNCTION("""COMPUTED_VALUE"""),"CH0525")</f>
        <v>CH0525</v>
      </c>
      <c r="E73" s="2" t="str">
        <f>IFERROR(__xludf.DUMMYFUNCTION("""COMPUTED_VALUE"""),"19CH525")</f>
        <v>19CH525</v>
      </c>
      <c r="F73" s="7" t="str">
        <f>IFERROR(__xludf.DUMMYFUNCTION("""COMPUTED_VALUE"""),"Hydrogen and Fuel Cell Technology")</f>
        <v>Hydrogen and Fuel Cell Technology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IFERROR(__xludf.DUMMYFUNCTION("""COMPUTED_VALUE"""),"CH0526")</f>
        <v>CH0526</v>
      </c>
      <c r="E74" s="2" t="str">
        <f>IFERROR(__xludf.DUMMYFUNCTION("""COMPUTED_VALUE"""),"19CH526")</f>
        <v>19CH526</v>
      </c>
      <c r="F74" s="7" t="str">
        <f>IFERROR(__xludf.DUMMYFUNCTION("""COMPUTED_VALUE"""),"Conventional Energy Sources")</f>
        <v>Conventional Energy Sources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IFERROR(__xludf.DUMMYFUNCTION("""COMPUTED_VALUE"""),"CH0527")</f>
        <v>CH0527</v>
      </c>
      <c r="E75" s="2" t="str">
        <f>IFERROR(__xludf.DUMMYFUNCTION("""COMPUTED_VALUE"""),"19CH527")</f>
        <v>19CH527</v>
      </c>
      <c r="F75" s="7" t="str">
        <f>IFERROR(__xludf.DUMMYFUNCTION("""COMPUTED_VALUE"""),"Smart Energy Systems")</f>
        <v>Smart Energy Systems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IFERROR(__xludf.DUMMYFUNCTION("""COMPUTED_VALUE"""),"OE")</f>
        <v>OE</v>
      </c>
      <c r="D76" s="2" t="str">
        <f>IFERROR(__xludf.DUMMYFUNCTION("""COMPUTED_VALUE"""),"XXXXXX")</f>
        <v>XXXXXX</v>
      </c>
      <c r="E76" s="2" t="str">
        <f>IFERROR(__xludf.DUMMYFUNCTION("""COMPUTED_VALUE"""),"19XXXXX")</f>
        <v>19XXXXX</v>
      </c>
      <c r="F76" s="3" t="str">
        <f>IFERROR(__xludf.DUMMYFUNCTION("""COMPUTED_VALUE"""),"Open Electives")</f>
        <v>Open Electives</v>
      </c>
      <c r="G76" s="2" t="str">
        <f>IFERROR(__xludf.DUMMYFUNCTION("""COMPUTED_VALUE"""),"-")</f>
        <v>-</v>
      </c>
      <c r="H76" s="2">
        <f>IFERROR(__xludf.DUMMYFUNCTION("""COMPUTED_VALUE"""),0)</f>
        <v>0</v>
      </c>
      <c r="I76" s="2">
        <f>IFERROR(__xludf.DUMMYFUNCTION("""COMPUTED_VALUE"""),0)</f>
        <v>0</v>
      </c>
      <c r="J76" s="2">
        <f>IFERROR(__xludf.DUMMYFUNCTION("""COMPUTED_VALUE"""),0)</f>
        <v>0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IFERROR(__xludf.DUMMYFUNCTION("""COMPUTED_VALUE"""),"EEC")</f>
        <v>EEC</v>
      </c>
      <c r="D77" s="2" t="str">
        <f>IFERROR(__xludf.DUMMYFUNCTION("""COMPUTED_VALUE"""),"CH0701")</f>
        <v>CH0701</v>
      </c>
      <c r="E77" s="2" t="str">
        <f>IFERROR(__xludf.DUMMYFUNCTION("""COMPUTED_VALUE"""),"19CH701")</f>
        <v>19CH701</v>
      </c>
      <c r="F77" s="7" t="str">
        <f>IFERROR(__xludf.DUMMYFUNCTION("""COMPUTED_VALUE"""),"Mini Project")</f>
        <v>Mini Project</v>
      </c>
      <c r="G77" s="2" t="str">
        <f>IFERROR(__xludf.DUMMYFUNCTION("""COMPUTED_VALUE"""),"-")</f>
        <v>-</v>
      </c>
      <c r="H77" s="2">
        <f>IFERROR(__xludf.DUMMYFUNCTION("""COMPUTED_VALUE"""),0)</f>
        <v>0</v>
      </c>
      <c r="I77" s="2">
        <f>IFERROR(__xludf.DUMMYFUNCTION("""COMPUTED_VALUE"""),2)</f>
        <v>2</v>
      </c>
      <c r="J77" s="2">
        <f>IFERROR(__xludf.DUMMYFUNCTION("""COMPUTED_VALUE"""),2)</f>
        <v>2</v>
      </c>
      <c r="K77" s="2" t="str">
        <f>IFERROR(__xludf.DUMMYFUNCTION("""COMPUTED_VALUE"""),"CGPA")</f>
        <v>CGPA</v>
      </c>
      <c r="L77" s="2" t="str">
        <f>IFERROR(__xludf.DUMMYFUNCTION("""COMPUTED_VALUE"""),"Project (Int Only)")</f>
        <v>Project (Int Only)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 t="str">
        <f>IFERROR(__xludf.DUMMYFUNCTION("""COMPUTED_VALUE"""),"Option 1")</f>
        <v>Option 1</v>
      </c>
      <c r="C78" s="2" t="str">
        <f>IFERROR(__xludf.DUMMYFUNCTION("""COMPUTED_VALUE"""),"EEC")</f>
        <v>EEC</v>
      </c>
      <c r="D78" s="2" t="str">
        <f>IFERROR(__xludf.DUMMYFUNCTION("""COMPUTED_VALUE"""),"CH0702")</f>
        <v>CH0702</v>
      </c>
      <c r="E78" s="2" t="str">
        <f>IFERROR(__xludf.DUMMYFUNCTION("""COMPUTED_VALUE"""),"19CH702")</f>
        <v>19CH702</v>
      </c>
      <c r="F78" s="7" t="str">
        <f>IFERROR(__xludf.DUMMYFUNCTION("""COMPUTED_VALUE"""),"Project Work Phase I")</f>
        <v>Project Work Phase I</v>
      </c>
      <c r="G78" s="2" t="str">
        <f>IFERROR(__xludf.DUMMYFUNCTION("""COMPUTED_VALUE"""),"-")</f>
        <v>-</v>
      </c>
      <c r="H78" s="2">
        <f>IFERROR(__xludf.DUMMYFUNCTION("""COMPUTED_VALUE"""),0)</f>
        <v>0</v>
      </c>
      <c r="I78" s="2">
        <f>IFERROR(__xludf.DUMMYFUNCTION("""COMPUTED_VALUE"""),2)</f>
        <v>2</v>
      </c>
      <c r="J78" s="2">
        <f>IFERROR(__xludf.DUMMYFUNCTION("""COMPUTED_VALUE"""),2)</f>
        <v>2</v>
      </c>
      <c r="K78" s="2" t="str">
        <f>IFERROR(__xludf.DUMMYFUNCTION("""COMPUTED_VALUE"""),"CGPA")</f>
        <v>CGPA</v>
      </c>
      <c r="L78" s="2" t="str">
        <f>IFERROR(__xludf.DUMMYFUNCTION("""COMPUTED_VALUE"""),"Project (Int Only)")</f>
        <v>Project (Int Only)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 t="str">
        <f>IFERROR(__xludf.DUMMYFUNCTION("""COMPUTED_VALUE"""),"Option 1")</f>
        <v>Option 1</v>
      </c>
      <c r="C79" s="2" t="str">
        <f>IFERROR(__xludf.DUMMYFUNCTION("""COMPUTED_VALUE"""),"EEC")</f>
        <v>EEC</v>
      </c>
      <c r="D79" s="2" t="str">
        <f>IFERROR(__xludf.DUMMYFUNCTION("""COMPUTED_VALUE"""),"CH0703")</f>
        <v>CH0703</v>
      </c>
      <c r="E79" s="2" t="str">
        <f>IFERROR(__xludf.DUMMYFUNCTION("""COMPUTED_VALUE"""),"19CH703")</f>
        <v>19CH703</v>
      </c>
      <c r="F79" s="7" t="str">
        <f>IFERROR(__xludf.DUMMYFUNCTION("""COMPUTED_VALUE"""),"Project Work Phase II")</f>
        <v>Project Work Phase II</v>
      </c>
      <c r="G79" s="2" t="str">
        <f>IFERROR(__xludf.DUMMYFUNCTION("""COMPUTED_VALUE"""),"-")</f>
        <v>-</v>
      </c>
      <c r="H79" s="2">
        <f>IFERROR(__xludf.DUMMYFUNCTION("""COMPUTED_VALUE"""),0)</f>
        <v>0</v>
      </c>
      <c r="I79" s="2">
        <f>IFERROR(__xludf.DUMMYFUNCTION("""COMPUTED_VALUE"""),6)</f>
        <v>6</v>
      </c>
      <c r="J79" s="2">
        <f>IFERROR(__xludf.DUMMYFUNCTION("""COMPUTED_VALUE"""),6)</f>
        <v>6</v>
      </c>
      <c r="K79" s="2" t="str">
        <f>IFERROR(__xludf.DUMMYFUNCTION("""COMPUTED_VALUE"""),"CGPA")</f>
        <v>CGPA</v>
      </c>
      <c r="L79" s="2" t="str">
        <f>IFERROR(__xludf.DUMMYFUNCTION("""COMPUTED_VALUE"""),"Project")</f>
        <v>Project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 t="str">
        <f>IFERROR(__xludf.DUMMYFUNCTION("""COMPUTED_VALUE"""),"Option 2")</f>
        <v>Option 2</v>
      </c>
      <c r="C80" s="2" t="str">
        <f>IFERROR(__xludf.DUMMYFUNCTION("""COMPUTED_VALUE"""),"EEC")</f>
        <v>EEC</v>
      </c>
      <c r="D80" s="2" t="str">
        <f>IFERROR(__xludf.DUMMYFUNCTION("""COMPUTED_VALUE"""),"SH6802")</f>
        <v>SH6802</v>
      </c>
      <c r="E80" s="2" t="str">
        <f>IFERROR(__xludf.DUMMYFUNCTION("""COMPUTED_VALUE"""),"NA")</f>
        <v>NA</v>
      </c>
      <c r="F80" s="3" t="str">
        <f>IFERROR(__xludf.DUMMYFUNCTION("""COMPUTED_VALUE"""),"Start Up")</f>
        <v>Start Up</v>
      </c>
      <c r="G80" s="2" t="str">
        <f>IFERROR(__xludf.DUMMYFUNCTION("""COMPUTED_VALUE"""),"-")</f>
        <v>-</v>
      </c>
      <c r="H80" s="2">
        <f>IFERROR(__xludf.DUMMYFUNCTION("""COMPUTED_VALUE"""),0)</f>
        <v>0</v>
      </c>
      <c r="I80" s="2">
        <f>IFERROR(__xludf.DUMMYFUNCTION("""COMPUTED_VALUE"""),8)</f>
        <v>8</v>
      </c>
      <c r="J80" s="2">
        <f>IFERROR(__xludf.DUMMYFUNCTION("""COMPUTED_VALUE"""),8)</f>
        <v>8</v>
      </c>
      <c r="K80" s="2" t="str">
        <f>IFERROR(__xludf.DUMMYFUNCTION("""COMPUTED_VALUE"""),"CGPA")</f>
        <v>CGPA</v>
      </c>
      <c r="L80" s="2" t="str">
        <f>IFERROR(__xludf.DUMMYFUNCTION("""COMPUTED_VALUE"""),"Project")</f>
        <v>Project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IFERROR(__xludf.DUMMYFUNCTION("""COMPUTED_VALUE"""),"EEC")</f>
        <v>EEC</v>
      </c>
      <c r="D81" s="2" t="str">
        <f>IFERROR(__xludf.DUMMYFUNCTION("""COMPUTED_VALUE"""),"SH6708")</f>
        <v>SH6708</v>
      </c>
      <c r="E81" s="2" t="str">
        <f>IFERROR(__xludf.DUMMYFUNCTION("""COMPUTED_VALUE"""),"19EY708")</f>
        <v>19EY708</v>
      </c>
      <c r="F81" s="7" t="str">
        <f>IFERROR(__xludf.DUMMYFUNCTION("""COMPUTED_VALUE"""),"Career Development Skills")</f>
        <v>Career Development Skills</v>
      </c>
      <c r="G81" s="2" t="str">
        <f>IFERROR(__xludf.DUMMYFUNCTION("""COMPUTED_VALUE"""),"NIL")</f>
        <v>NIL</v>
      </c>
      <c r="H81" s="2">
        <f>IFERROR(__xludf.DUMMYFUNCTION("""COMPUTED_VALUE"""),1)</f>
        <v>1</v>
      </c>
      <c r="I81" s="2">
        <f>IFERROR(__xludf.DUMMYFUNCTION("""COMPUTED_VALUE"""),0)</f>
        <v>0</v>
      </c>
      <c r="J81" s="2">
        <f>IFERROR(__xludf.DUMMYFUNCTION("""COMPUTED_VALUE"""),1)</f>
        <v>1</v>
      </c>
      <c r="K81" s="2" t="str">
        <f>IFERROR(__xludf.DUMMYFUNCTION("""COMPUTED_VALUE"""),"CGPA")</f>
        <v>CGPA</v>
      </c>
      <c r="L81" s="2" t="str">
        <f>IFERROR(__xludf.DUMMYFUNCTION("""COMPUTED_VALUE"""),"Theory (Int Only)")</f>
        <v>Theory (Int Only)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IFERROR(__xludf.DUMMYFUNCTION("""COMPUTED_VALUE"""),"EEC")</f>
        <v>EEC</v>
      </c>
      <c r="D82" s="2" t="str">
        <f>IFERROR(__xludf.DUMMYFUNCTION("""COMPUTED_VALUE"""),"SH6709")</f>
        <v>SH6709</v>
      </c>
      <c r="E82" s="2" t="str">
        <f>IFERROR(__xludf.DUMMYFUNCTION("""COMPUTED_VALUE"""),"19EY709")</f>
        <v>19EY709</v>
      </c>
      <c r="F82" s="7" t="str">
        <f>IFERROR(__xludf.DUMMYFUNCTION("""COMPUTED_VALUE"""),"Reasoning Ability")</f>
        <v>Reasoning Ability</v>
      </c>
      <c r="G82" s="2" t="str">
        <f>IFERROR(__xludf.DUMMYFUNCTION("""COMPUTED_VALUE"""),"NIL")</f>
        <v>NIL</v>
      </c>
      <c r="H82" s="2">
        <f>IFERROR(__xludf.DUMMYFUNCTION("""COMPUTED_VALUE"""),1)</f>
        <v>1</v>
      </c>
      <c r="I82" s="2">
        <f>IFERROR(__xludf.DUMMYFUNCTION("""COMPUTED_VALUE"""),0)</f>
        <v>0</v>
      </c>
      <c r="J82" s="2">
        <f>IFERROR(__xludf.DUMMYFUNCTION("""COMPUTED_VALUE"""),1)</f>
        <v>1</v>
      </c>
      <c r="K82" s="2" t="str">
        <f>IFERROR(__xludf.DUMMYFUNCTION("""COMPUTED_VALUE"""),"CGPA")</f>
        <v>CGPA</v>
      </c>
      <c r="L82" s="2" t="str">
        <f>IFERROR(__xludf.DUMMYFUNCTION("""COMPUTED_VALUE"""),"Theory (Int Only)")</f>
        <v>Theory (Int Only)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IFERROR(__xludf.DUMMYFUNCTION("""COMPUTED_VALUE"""),"EEC")</f>
        <v>EEC</v>
      </c>
      <c r="D83" s="2" t="str">
        <f>IFERROR(__xludf.DUMMYFUNCTION("""COMPUTED_VALUE"""),"SH6710")</f>
        <v>SH6710</v>
      </c>
      <c r="E83" s="2" t="str">
        <f>IFERROR(__xludf.DUMMYFUNCTION("""COMPUTED_VALUE"""),"19EY710")</f>
        <v>19EY710</v>
      </c>
      <c r="F83" s="7" t="str">
        <f>IFERROR(__xludf.DUMMYFUNCTION("""COMPUTED_VALUE"""),"Quantitative Ability I")</f>
        <v>Quantitative Ability I</v>
      </c>
      <c r="G83" s="2" t="str">
        <f>IFERROR(__xludf.DUMMYFUNCTION("""COMPUTED_VALUE"""),"NIL")</f>
        <v>NIL</v>
      </c>
      <c r="H83" s="2">
        <f>IFERROR(__xludf.DUMMYFUNCTION("""COMPUTED_VALUE"""),1)</f>
        <v>1</v>
      </c>
      <c r="I83" s="2">
        <f>IFERROR(__xludf.DUMMYFUNCTION("""COMPUTED_VALUE"""),0)</f>
        <v>0</v>
      </c>
      <c r="J83" s="2">
        <f>IFERROR(__xludf.DUMMYFUNCTION("""COMPUTED_VALUE"""),1)</f>
        <v>1</v>
      </c>
      <c r="K83" s="2" t="str">
        <f>IFERROR(__xludf.DUMMYFUNCTION("""COMPUTED_VALUE"""),"CGPA")</f>
        <v>CGPA</v>
      </c>
      <c r="L83" s="2" t="str">
        <f>IFERROR(__xludf.DUMMYFUNCTION("""COMPUTED_VALUE"""),"Theory (Int Only)")</f>
        <v>Theory (Int Only)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IFERROR(__xludf.DUMMYFUNCTION("""COMPUTED_VALUE"""),"EEC")</f>
        <v>EEC</v>
      </c>
      <c r="D84" s="2" t="str">
        <f>IFERROR(__xludf.DUMMYFUNCTION("""COMPUTED_VALUE"""),"SH6711")</f>
        <v>SH6711</v>
      </c>
      <c r="E84" s="2" t="str">
        <f>IFERROR(__xludf.DUMMYFUNCTION("""COMPUTED_VALUE"""),"19EY711")</f>
        <v>19EY711</v>
      </c>
      <c r="F84" s="7" t="str">
        <f>IFERROR(__xludf.DUMMYFUNCTION("""COMPUTED_VALUE"""),"Quantitative Ability II")</f>
        <v>Quantitative Ability II</v>
      </c>
      <c r="G84" s="2" t="str">
        <f>IFERROR(__xludf.DUMMYFUNCTION("""COMPUTED_VALUE"""),"SH6710 /19EY710")</f>
        <v>SH6710 /19EY710</v>
      </c>
      <c r="H84" s="2">
        <f>IFERROR(__xludf.DUMMYFUNCTION("""COMPUTED_VALUE"""),1)</f>
        <v>1</v>
      </c>
      <c r="I84" s="2">
        <f>IFERROR(__xludf.DUMMYFUNCTION("""COMPUTED_VALUE"""),0)</f>
        <v>0</v>
      </c>
      <c r="J84" s="2">
        <f>IFERROR(__xludf.DUMMYFUNCTION("""COMPUTED_VALUE"""),1)</f>
        <v>1</v>
      </c>
      <c r="K84" s="2" t="str">
        <f>IFERROR(__xludf.DUMMYFUNCTION("""COMPUTED_VALUE"""),"CGPA")</f>
        <v>CGPA</v>
      </c>
      <c r="L84" s="2" t="str">
        <f>IFERROR(__xludf.DUMMYFUNCTION("""COMPUTED_VALUE"""),"Theory (Int Only)")</f>
        <v>Theory (Int Only)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IFERROR(__xludf.DUMMYFUNCTION("""COMPUTED_VALUE"""),"EEC")</f>
        <v>EEC</v>
      </c>
      <c r="D85" s="2" t="str">
        <f>IFERROR(__xludf.DUMMYFUNCTION("""COMPUTED_VALUE"""),"SH6712")</f>
        <v>SH6712</v>
      </c>
      <c r="E85" s="2" t="str">
        <f>IFERROR(__xludf.DUMMYFUNCTION("""COMPUTED_VALUE"""),"19EY712")</f>
        <v>19EY712</v>
      </c>
      <c r="F85" s="7" t="str">
        <f>IFERROR(__xludf.DUMMYFUNCTION("""COMPUTED_VALUE"""),"Employment Enrichment Skills")</f>
        <v>Employment Enrichment Skills</v>
      </c>
      <c r="G85" s="2" t="str">
        <f>IFERROR(__xludf.DUMMYFUNCTION("""COMPUTED_VALUE"""),"19EY702 / 19EY709 / SH6709")</f>
        <v>19EY702 / 19EY709 / SH6709</v>
      </c>
      <c r="H85" s="2">
        <f>IFERROR(__xludf.DUMMYFUNCTION("""COMPUTED_VALUE"""),1)</f>
        <v>1</v>
      </c>
      <c r="I85" s="2">
        <f>IFERROR(__xludf.DUMMYFUNCTION("""COMPUTED_VALUE"""),0)</f>
        <v>0</v>
      </c>
      <c r="J85" s="2">
        <f>IFERROR(__xludf.DUMMYFUNCTION("""COMPUTED_VALUE"""),1)</f>
        <v>1</v>
      </c>
      <c r="K85" s="2" t="str">
        <f>IFERROR(__xludf.DUMMYFUNCTION("""COMPUTED_VALUE"""),"CGPA")</f>
        <v>CGPA</v>
      </c>
      <c r="L85" s="2" t="str">
        <f>IFERROR(__xludf.DUMMYFUNCTION("""COMPUTED_VALUE"""),"Theory (Int Only)")</f>
        <v>Theory (Int Only)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IFERROR(__xludf.DUMMYFUNCTION("""COMPUTED_VALUE"""),"EEC")</f>
        <v>EEC</v>
      </c>
      <c r="D86" s="2" t="str">
        <f>IFERROR(__xludf.DUMMYFUNCTION("""COMPUTED_VALUE"""),"SH6713")</f>
        <v>SH6713</v>
      </c>
      <c r="E86" s="2" t="str">
        <f>IFERROR(__xludf.DUMMYFUNCTION("""COMPUTED_VALUE"""),"19EY713")</f>
        <v>19EY713</v>
      </c>
      <c r="F86" s="7" t="str">
        <f>IFERROR(__xludf.DUMMYFUNCTION("""COMPUTED_VALUE"""),"Placement Readiness Assessment")</f>
        <v>Placement Readiness Assessment</v>
      </c>
      <c r="G86" s="2" t="str">
        <f>IFERROR(__xludf.DUMMYFUNCTION("""COMPUTED_VALUE"""),"19EY704 / 19EY711/SH6711")</f>
        <v>19EY704 / 19EY711/SH6711</v>
      </c>
      <c r="H86" s="2">
        <f>IFERROR(__xludf.DUMMYFUNCTION("""COMPUTED_VALUE"""),1)</f>
        <v>1</v>
      </c>
      <c r="I86" s="2">
        <f>IFERROR(__xludf.DUMMYFUNCTION("""COMPUTED_VALUE"""),0)</f>
        <v>0</v>
      </c>
      <c r="J86" s="2">
        <f>IFERROR(__xludf.DUMMYFUNCTION("""COMPUTED_VALUE"""),1)</f>
        <v>1</v>
      </c>
      <c r="K86" s="2" t="str">
        <f>IFERROR(__xludf.DUMMYFUNCTION("""COMPUTED_VALUE"""),"CGPA")</f>
        <v>CGPA</v>
      </c>
      <c r="L86" s="2" t="str">
        <f>IFERROR(__xludf.DUMMYFUNCTION("""COMPUTED_VALUE"""),"Theory (Int Only)")</f>
        <v>Theory (Int Only)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IFERROR(__xludf.DUMMYFUNCTION("""COMPUTED_VALUE"""),"EEC")</f>
        <v>EEC</v>
      </c>
      <c r="D87" s="2" t="str">
        <f>IFERROR(__xludf.DUMMYFUNCTION("""COMPUTED_VALUE"""),"SH6707")</f>
        <v>SH6707</v>
      </c>
      <c r="E87" s="2" t="str">
        <f>IFERROR(__xludf.DUMMYFUNCTION("""COMPUTED_VALUE"""),"19EY707")</f>
        <v>19EY707</v>
      </c>
      <c r="F87" s="7" t="str">
        <f>IFERROR(__xludf.DUMMYFUNCTION("""COMPUTED_VALUE"""),"Paper Publication")</f>
        <v>Paper Publication</v>
      </c>
      <c r="G87" s="2" t="str">
        <f>IFERROR(__xludf.DUMMYFUNCTION("""COMPUTED_VALUE"""),"-")</f>
        <v>-</v>
      </c>
      <c r="H87" s="2">
        <f>IFERROR(__xludf.DUMMYFUNCTION("""COMPUTED_VALUE"""),0)</f>
        <v>0</v>
      </c>
      <c r="I87" s="2">
        <f>IFERROR(__xludf.DUMMYFUNCTION("""COMPUTED_VALUE"""),0)</f>
        <v>0</v>
      </c>
      <c r="J87" s="2">
        <f>IFERROR(__xludf.DUMMYFUNCTION("""COMPUTED_VALUE"""),1)</f>
        <v>1</v>
      </c>
      <c r="K87" s="2" t="str">
        <f>IFERROR(__xludf.DUMMYFUNCTION("""COMPUTED_VALUE"""),"NON-CGPA")</f>
        <v>NON-CGPA</v>
      </c>
      <c r="L87" s="2" t="str">
        <f>IFERROR(__xludf.DUMMYFUNCTION("""COMPUTED_VALUE"""),"Experiential Learning (Int Only)")</f>
        <v>Experiential Learning (Int Only)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IFERROR(__xludf.DUMMYFUNCTION("""COMPUTED_VALUE"""),"MC")</f>
        <v>MC</v>
      </c>
      <c r="D88" s="2" t="str">
        <f>IFERROR(__xludf.DUMMYFUNCTION("""COMPUTED_VALUE"""),"SH8801")</f>
        <v>SH8801</v>
      </c>
      <c r="E88" s="2" t="str">
        <f>IFERROR(__xludf.DUMMYFUNCTION("""COMPUTED_VALUE"""),"NA")</f>
        <v>NA</v>
      </c>
      <c r="F88" s="7" t="str">
        <f>IFERROR(__xludf.DUMMYFUNCTION("""COMPUTED_VALUE"""),"Constitutionalism and Artificial Intelligence Policies in India")</f>
        <v>Constitutionalism and Artificial Intelligence Policies in India</v>
      </c>
      <c r="G88" s="2" t="str">
        <f>IFERROR(__xludf.DUMMYFUNCTION("""COMPUTED_VALUE"""),"-")</f>
        <v>-</v>
      </c>
      <c r="H88" s="2">
        <f>IFERROR(__xludf.DUMMYFUNCTION("""COMPUTED_VALUE"""),1)</f>
        <v>1</v>
      </c>
      <c r="I88" s="2">
        <f>IFERROR(__xludf.DUMMYFUNCTION("""COMPUTED_VALUE"""),0)</f>
        <v>0</v>
      </c>
      <c r="J88" s="2">
        <f>IFERROR(__xludf.DUMMYFUNCTION("""COMPUTED_VALUE"""),1)</f>
        <v>1</v>
      </c>
      <c r="K88" s="2" t="str">
        <f>IFERROR(__xludf.DUMMYFUNCTION("""COMPUTED_VALUE"""),"NON-CGPA")</f>
        <v>NON-CGPA</v>
      </c>
      <c r="L88" s="2" t="str">
        <f>IFERROR(__xludf.DUMMYFUNCTION("""COMPUTED_VALUE"""),"Theory (Int Only)")</f>
        <v>Theory (Int Only)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 t="str">
        <f>IFERROR(__xludf.DUMMYFUNCTION("""COMPUTED_VALUE"""),"Any 1")</f>
        <v>Any 1</v>
      </c>
      <c r="C89" s="2" t="str">
        <f>IFERROR(__xludf.DUMMYFUNCTION("""COMPUTED_VALUE"""),"MC")</f>
        <v>MC</v>
      </c>
      <c r="D89" s="2" t="str">
        <f>IFERROR(__xludf.DUMMYFUNCTION("""COMPUTED_VALUE"""),"SH8802")</f>
        <v>SH8802</v>
      </c>
      <c r="E89" s="2" t="str">
        <f>IFERROR(__xludf.DUMMYFUNCTION("""COMPUTED_VALUE"""),"NA")</f>
        <v>NA</v>
      </c>
      <c r="F89" s="7" t="str">
        <f>IFERROR(__xludf.DUMMYFUNCTION("""COMPUTED_VALUE"""),"Internship")</f>
        <v>Internship</v>
      </c>
      <c r="G89" s="2" t="str">
        <f>IFERROR(__xludf.DUMMYFUNCTION("""COMPUTED_VALUE"""),"-")</f>
        <v>-</v>
      </c>
      <c r="H89" s="2">
        <f>IFERROR(__xludf.DUMMYFUNCTION("""COMPUTED_VALUE"""),0)</f>
        <v>0</v>
      </c>
      <c r="I89" s="2">
        <f>IFERROR(__xludf.DUMMYFUNCTION("""COMPUTED_VALUE"""),0)</f>
        <v>0</v>
      </c>
      <c r="J89" s="2">
        <f>IFERROR(__xludf.DUMMYFUNCTION("""COMPUTED_VALUE"""),2)</f>
        <v>2</v>
      </c>
      <c r="K89" s="2" t="str">
        <f>IFERROR(__xludf.DUMMYFUNCTION("""COMPUTED_VALUE"""),"NON-CGPA")</f>
        <v>NON-CGPA</v>
      </c>
      <c r="L89" s="2" t="str">
        <f>IFERROR(__xludf.DUMMYFUNCTION("""COMPUTED_VALUE"""),"Experiential Learning (Int Only)")</f>
        <v>Experiential Learning (Int Only)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 t="str">
        <f>IFERROR(__xludf.DUMMYFUNCTION("""COMPUTED_VALUE"""),"Any 1")</f>
        <v>Any 1</v>
      </c>
      <c r="C90" s="2" t="str">
        <f>IFERROR(__xludf.DUMMYFUNCTION("""COMPUTED_VALUE"""),"MC")</f>
        <v>MC</v>
      </c>
      <c r="D90" s="2" t="str">
        <f>IFERROR(__xludf.DUMMYFUNCTION("""COMPUTED_VALUE"""),"SH8803")</f>
        <v>SH8803</v>
      </c>
      <c r="E90" s="2" t="str">
        <f>IFERROR(__xludf.DUMMYFUNCTION("""COMPUTED_VALUE"""),"NA")</f>
        <v>NA</v>
      </c>
      <c r="F90" s="3" t="str">
        <f>IFERROR(__xludf.DUMMYFUNCTION("""COMPUTED_VALUE"""),"Entrepreneurship")</f>
        <v>Entrepreneurship</v>
      </c>
      <c r="G90" s="2" t="str">
        <f>IFERROR(__xludf.DUMMYFUNCTION("""COMPUTED_VALUE"""),"-")</f>
        <v>-</v>
      </c>
      <c r="H90" s="2">
        <f>IFERROR(__xludf.DUMMYFUNCTION("""COMPUTED_VALUE"""),0)</f>
        <v>0</v>
      </c>
      <c r="I90" s="2">
        <f>IFERROR(__xludf.DUMMYFUNCTION("""COMPUTED_VALUE"""),0)</f>
        <v>0</v>
      </c>
      <c r="J90" s="2">
        <f>IFERROR(__xludf.DUMMYFUNCTION("""COMPUTED_VALUE"""),2)</f>
        <v>2</v>
      </c>
      <c r="K90" s="2" t="str">
        <f>IFERROR(__xludf.DUMMYFUNCTION("""COMPUTED_VALUE"""),"NON-CGPA")</f>
        <v>NON-CGPA</v>
      </c>
      <c r="L90" s="2" t="str">
        <f>IFERROR(__xludf.DUMMYFUNCTION("""COMPUTED_VALUE"""),"Experiential Learning (Int Only)")</f>
        <v>Experiential Learning (Int Only)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 t="str">
        <f>IFERROR(__xludf.DUMMYFUNCTION("""COMPUTED_VALUE"""),"Any 1")</f>
        <v>Any 1</v>
      </c>
      <c r="C91" s="2" t="str">
        <f>IFERROR(__xludf.DUMMYFUNCTION("""COMPUTED_VALUE"""),"MC")</f>
        <v>MC</v>
      </c>
      <c r="D91" s="2" t="str">
        <f>IFERROR(__xludf.DUMMYFUNCTION("""COMPUTED_VALUE"""),"SH6803")</f>
        <v>SH6803</v>
      </c>
      <c r="E91" s="2" t="str">
        <f>IFERROR(__xludf.DUMMYFUNCTION("""COMPUTED_VALUE"""),"19MC807")</f>
        <v>19MC807</v>
      </c>
      <c r="F91" s="3" t="str">
        <f>IFERROR(__xludf.DUMMYFUNCTION("""COMPUTED_VALUE"""),"National Service Scheme")</f>
        <v>National Service Scheme</v>
      </c>
      <c r="G91" s="2" t="str">
        <f>IFERROR(__xludf.DUMMYFUNCTION("""COMPUTED_VALUE"""),"-")</f>
        <v>-</v>
      </c>
      <c r="H91" s="2">
        <f>IFERROR(__xludf.DUMMYFUNCTION("""COMPUTED_VALUE"""),0)</f>
        <v>0</v>
      </c>
      <c r="I91" s="2">
        <f>IFERROR(__xludf.DUMMYFUNCTION("""COMPUTED_VALUE"""),0)</f>
        <v>0</v>
      </c>
      <c r="J91" s="2">
        <f>IFERROR(__xludf.DUMMYFUNCTION("""COMPUTED_VALUE"""),0)</f>
        <v>0</v>
      </c>
      <c r="K91" s="2" t="str">
        <f>IFERROR(__xludf.DUMMYFUNCTION("""COMPUTED_VALUE"""),"NON-CGPA")</f>
        <v>NON-CGPA</v>
      </c>
      <c r="L91" s="2" t="str">
        <f>IFERROR(__xludf.DUMMYFUNCTION("""COMPUTED_VALUE"""),"Experiential Learning (Int Only)")</f>
        <v>Experiential Learning (Int Only)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 t="str">
        <f>IFERROR(__xludf.DUMMYFUNCTION("""COMPUTED_VALUE"""),"Any 1")</f>
        <v>Any 1</v>
      </c>
      <c r="C92" s="2" t="str">
        <f>IFERROR(__xludf.DUMMYFUNCTION("""COMPUTED_VALUE"""),"MC")</f>
        <v>MC</v>
      </c>
      <c r="D92" s="2" t="str">
        <f>IFERROR(__xludf.DUMMYFUNCTION("""COMPUTED_VALUE"""),"SH8807")</f>
        <v>SH8807</v>
      </c>
      <c r="E92" s="2" t="str">
        <f>IFERROR(__xludf.DUMMYFUNCTION("""COMPUTED_VALUE"""),"19MC808")</f>
        <v>19MC808</v>
      </c>
      <c r="F92" s="3" t="str">
        <f>IFERROR(__xludf.DUMMYFUNCTION("""COMPUTED_VALUE"""),"National Sports Organization ")</f>
        <v>National Sports Organization </v>
      </c>
      <c r="G92" s="2" t="str">
        <f>IFERROR(__xludf.DUMMYFUNCTION("""COMPUTED_VALUE"""),"-")</f>
        <v>-</v>
      </c>
      <c r="H92" s="2">
        <f>IFERROR(__xludf.DUMMYFUNCTION("""COMPUTED_VALUE"""),0)</f>
        <v>0</v>
      </c>
      <c r="I92" s="2">
        <f>IFERROR(__xludf.DUMMYFUNCTION("""COMPUTED_VALUE"""),0)</f>
        <v>0</v>
      </c>
      <c r="J92" s="2">
        <f>IFERROR(__xludf.DUMMYFUNCTION("""COMPUTED_VALUE"""),0)</f>
        <v>0</v>
      </c>
      <c r="K92" s="2" t="str">
        <f>IFERROR(__xludf.DUMMYFUNCTION("""COMPUTED_VALUE"""),"NON-CGPA")</f>
        <v>NON-CGPA</v>
      </c>
      <c r="L92" s="2" t="str">
        <f>IFERROR(__xludf.DUMMYFUNCTION("""COMPUTED_VALUE"""),"Experiential Learning (Int Only)")</f>
        <v>Experiential Learning (Int Only)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 t="str">
        <f>IFERROR(__xludf.DUMMYFUNCTION("""COMPUTED_VALUE"""),"Any 1")</f>
        <v>Any 1</v>
      </c>
      <c r="C93" s="2" t="str">
        <f>IFERROR(__xludf.DUMMYFUNCTION("""COMPUTED_VALUE"""),"MC")</f>
        <v>MC</v>
      </c>
      <c r="D93" s="2" t="str">
        <f>IFERROR(__xludf.DUMMYFUNCTION("""COMPUTED_VALUE"""),"SH8808")</f>
        <v>SH8808</v>
      </c>
      <c r="E93" s="2" t="str">
        <f>IFERROR(__xludf.DUMMYFUNCTION("""COMPUTED_VALUE"""),"19MC809")</f>
        <v>19MC809</v>
      </c>
      <c r="F93" s="3" t="str">
        <f>IFERROR(__xludf.DUMMYFUNCTION("""COMPUTED_VALUE"""),"Youth Red Cross")</f>
        <v>Youth Red Cross</v>
      </c>
      <c r="G93" s="2" t="str">
        <f>IFERROR(__xludf.DUMMYFUNCTION("""COMPUTED_VALUE"""),"-")</f>
        <v>-</v>
      </c>
      <c r="H93" s="2">
        <f>IFERROR(__xludf.DUMMYFUNCTION("""COMPUTED_VALUE"""),0)</f>
        <v>0</v>
      </c>
      <c r="I93" s="2">
        <f>IFERROR(__xludf.DUMMYFUNCTION("""COMPUTED_VALUE"""),0)</f>
        <v>0</v>
      </c>
      <c r="J93" s="2">
        <f>IFERROR(__xludf.DUMMYFUNCTION("""COMPUTED_VALUE"""),0)</f>
        <v>0</v>
      </c>
      <c r="K93" s="2" t="str">
        <f>IFERROR(__xludf.DUMMYFUNCTION("""COMPUTED_VALUE"""),"NON-CGPA")</f>
        <v>NON-CGPA</v>
      </c>
      <c r="L93" s="2" t="str">
        <f>IFERROR(__xludf.DUMMYFUNCTION("""COMPUTED_VALUE"""),"Experiential Learning (Int Only)")</f>
        <v>Experiential Learning (Int Only)</v>
      </c>
      <c r="M93" s="9"/>
      <c r="N93" s="9"/>
      <c r="O93" s="9"/>
      <c r="P93" s="9"/>
      <c r="Q93" s="9"/>
      <c r="R93" s="9"/>
    </row>
    <row r="94" ht="48" customHeight="1" spans="1:18">
      <c r="A94" s="2"/>
      <c r="B94" s="2"/>
      <c r="C94" s="2"/>
      <c r="D94" s="2"/>
      <c r="E94" s="2"/>
      <c r="F94" s="3"/>
      <c r="G94" s="2"/>
      <c r="H94" s="2"/>
      <c r="I94" s="2"/>
      <c r="J94" s="2"/>
      <c r="K94" s="2"/>
      <c r="L94" s="2"/>
      <c r="M94" s="9"/>
      <c r="N94" s="9"/>
      <c r="O94" s="9"/>
      <c r="P94" s="9"/>
      <c r="Q94" s="9"/>
      <c r="R94" s="9"/>
    </row>
    <row r="95" ht="48" customHeight="1" spans="1:18">
      <c r="A95" s="2"/>
      <c r="B95" s="2"/>
      <c r="C95" s="2"/>
      <c r="D95" s="2"/>
      <c r="E95" s="2"/>
      <c r="F95" s="3"/>
      <c r="G95" s="2"/>
      <c r="H95" s="2"/>
      <c r="I95" s="2"/>
      <c r="J95" s="2"/>
      <c r="K95" s="2"/>
      <c r="L95" s="2"/>
      <c r="M95" s="9"/>
      <c r="N95" s="9"/>
      <c r="O95" s="9"/>
      <c r="P95" s="9"/>
      <c r="Q95" s="9"/>
      <c r="R95" s="9"/>
    </row>
    <row r="96" ht="48" customHeight="1" spans="1:18">
      <c r="A96" s="2"/>
      <c r="B96" s="2"/>
      <c r="C96" s="2"/>
      <c r="D96" s="2"/>
      <c r="E96" s="2"/>
      <c r="F96" s="3"/>
      <c r="G96" s="2"/>
      <c r="H96" s="2"/>
      <c r="I96" s="2"/>
      <c r="J96" s="2"/>
      <c r="K96" s="2"/>
      <c r="L96" s="2"/>
      <c r="M96" s="9"/>
      <c r="N96" s="9"/>
      <c r="O96" s="9"/>
      <c r="P96" s="9"/>
      <c r="Q96" s="9"/>
      <c r="R96" s="9"/>
    </row>
    <row r="97" ht="48" customHeight="1" spans="1:18">
      <c r="A97" s="2"/>
      <c r="B97" s="2"/>
      <c r="C97" s="2"/>
      <c r="D97" s="2"/>
      <c r="E97" s="2"/>
      <c r="F97" s="3"/>
      <c r="G97" s="2"/>
      <c r="H97" s="2"/>
      <c r="I97" s="2"/>
      <c r="J97" s="2"/>
      <c r="K97" s="2"/>
      <c r="L97" s="2"/>
      <c r="M97" s="9"/>
      <c r="N97" s="9"/>
      <c r="O97" s="9"/>
      <c r="P97" s="9"/>
      <c r="Q97" s="9"/>
      <c r="R97" s="9"/>
    </row>
    <row r="98" ht="48" customHeight="1" spans="1:18">
      <c r="A98" s="2"/>
      <c r="B98" s="2"/>
      <c r="C98" s="2"/>
      <c r="D98" s="2"/>
      <c r="E98" s="2"/>
      <c r="F98" s="3"/>
      <c r="G98" s="2"/>
      <c r="H98" s="2"/>
      <c r="I98" s="2"/>
      <c r="J98" s="2"/>
      <c r="K98" s="2"/>
      <c r="L98" s="2"/>
      <c r="M98" s="9"/>
      <c r="N98" s="9"/>
      <c r="O98" s="9"/>
      <c r="P98" s="9"/>
      <c r="Q98" s="9"/>
      <c r="R98" s="9"/>
    </row>
    <row r="99" ht="48" customHeight="1" spans="1:18">
      <c r="A99" s="2"/>
      <c r="B99" s="2"/>
      <c r="C99" s="2"/>
      <c r="D99" s="2"/>
      <c r="E99" s="2"/>
      <c r="F99" s="3"/>
      <c r="G99" s="2"/>
      <c r="H99" s="2"/>
      <c r="I99" s="2"/>
      <c r="J99" s="2"/>
      <c r="K99" s="2"/>
      <c r="L99" s="2"/>
      <c r="M99" s="9"/>
      <c r="N99" s="9"/>
      <c r="O99" s="9"/>
      <c r="P99" s="9"/>
      <c r="Q99" s="9"/>
      <c r="R99" s="9"/>
    </row>
    <row r="100" ht="48" customHeight="1" spans="1:18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9"/>
      <c r="N100" s="9"/>
      <c r="O100" s="9"/>
      <c r="P100" s="9"/>
      <c r="Q100" s="9"/>
      <c r="R100" s="9"/>
    </row>
    <row r="101" ht="48" customHeight="1" spans="1:18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9"/>
      <c r="N101" s="9"/>
      <c r="O101" s="9"/>
      <c r="P101" s="9"/>
      <c r="Q101" s="9"/>
      <c r="R101" s="9"/>
    </row>
    <row r="102" ht="48" customHeight="1" spans="1:18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9"/>
      <c r="N102" s="9"/>
      <c r="O102" s="9"/>
      <c r="P102" s="9"/>
      <c r="Q102" s="9"/>
      <c r="R102" s="9"/>
    </row>
    <row r="103" ht="48" customHeight="1" spans="1:18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9"/>
      <c r="N103" s="9"/>
      <c r="O103" s="9"/>
      <c r="P103" s="9"/>
      <c r="Q103" s="9"/>
      <c r="R103" s="9"/>
    </row>
    <row r="104" ht="48" customHeight="1" spans="1:18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9"/>
      <c r="N104" s="9"/>
      <c r="O104" s="9"/>
      <c r="P104" s="9"/>
      <c r="Q104" s="9"/>
      <c r="R104" s="9"/>
    </row>
    <row r="105" ht="48" customHeight="1" spans="1:18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9"/>
      <c r="N105" s="9"/>
      <c r="O105" s="9"/>
      <c r="P105" s="9"/>
      <c r="Q105" s="9"/>
      <c r="R105" s="9"/>
    </row>
    <row r="106" ht="48" customHeight="1" spans="1:18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9"/>
      <c r="N106" s="9"/>
      <c r="O106" s="9"/>
      <c r="P106" s="9"/>
      <c r="Q106" s="9"/>
      <c r="R106" s="9"/>
    </row>
    <row r="107" ht="48" customHeight="1" spans="1:18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</row>
    <row r="124" ht="13.2" spans="1: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</row>
    <row r="125" ht="13.2" spans="1: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</row>
    <row r="126" ht="13.2" spans="1: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</row>
    <row r="127" ht="13.2" spans="1: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</row>
    <row r="128" ht="13.2" spans="1: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</row>
    <row r="129" ht="13.2" spans="1: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</row>
    <row r="130" ht="13.2" spans="1: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</row>
    <row r="131" ht="13.2" spans="1: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</row>
    <row r="132" ht="13.2" spans="1: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</row>
    <row r="133" ht="13.2" spans="1: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</row>
    <row r="134" ht="13.2" spans="1: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</row>
    <row r="135" ht="13.2" spans="1: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</row>
    <row r="136" ht="13.2" spans="1: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</row>
    <row r="137" ht="13.2" spans="1: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</row>
    <row r="138" ht="13.2" spans="1: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</row>
    <row r="139" ht="13.2" spans="1: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</row>
    <row r="140" ht="13.2" spans="1: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</row>
    <row r="141" ht="13.2" spans="1: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</row>
    <row r="142" ht="13.2" spans="1: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</row>
    <row r="143" ht="13.2" spans="1: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</row>
    <row r="144" ht="13.2" spans="1: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</row>
    <row r="145" ht="13.2" spans="1: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</row>
    <row r="146" ht="13.2" spans="1: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</row>
    <row r="147" ht="13.2" spans="1: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</row>
    <row r="148" ht="13.2" spans="1: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</row>
    <row r="149" ht="13.2" spans="1: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</row>
    <row r="150" ht="13.2" spans="1: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</row>
    <row r="151" ht="13.2" spans="1: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</row>
    <row r="152" ht="13.2" spans="1: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</row>
    <row r="153" ht="13.2" spans="1: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</row>
    <row r="154" ht="13.2" spans="1: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</row>
    <row r="155" ht="13.2" spans="1: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</row>
    <row r="156" ht="13.2" spans="1: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</row>
    <row r="157" ht="13.2" spans="1: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</row>
    <row r="158" ht="13.2" spans="1: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</row>
    <row r="159" ht="13.2" spans="1: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</row>
    <row r="160" ht="13.2" spans="1: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</row>
    <row r="161" ht="13.2" spans="1: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</row>
    <row r="162" ht="13.2" spans="1: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</row>
    <row r="163" ht="13.2" spans="1: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English for Engineers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Organizational Behavior and Leadership&quot;)"/>
    <hyperlink ref="F6" r:id="rId5" display="=IFERROR(@__xludf.DUMMYFUNCTION(&quot;&quot;&quot;COMPUTED_VALUE&quot;&quot;&quot;),&quot;Human Values and Professional Ethics&quot;)"/>
    <hyperlink ref="F7" r:id="rId6" display="=IFERROR(@__xludf.DUMMYFUNCTION(&quot;&quot;&quot;COMPUTED_VALUE&quot;&quot;&quot;),&quot;தமிழர் மரபு/ Heritage of Tamils&quot;)"/>
    <hyperlink ref="F8" r:id="rId7" display="=IFERROR(@__xludf.DUMMYFUNCTION(&quot;&quot;&quot;COMPUTED_VALUE&quot;&quot;&quot;),&quot;தமிழரும் தொழில்நுட்பமும்/ Tamils and Technology&quot;)"/>
    <hyperlink ref="F9" r:id="rId8" display="=IFERROR(@__xludf.DUMMYFUNCTION(&quot;&quot;&quot;COMPUTED_VALUE&quot;&quot;&quot;),&quot;Calculus and Matrix Algebra&quot;)"/>
    <hyperlink ref="F10" r:id="rId9" display="=IFERROR(@__xludf.DUMMYFUNCTION(&quot;&quot;&quot;COMPUTED_VALUE&quot;&quot;&quot;),&quot;Statistics and Numerical Methods&quot;)"/>
    <hyperlink ref="F11" r:id="rId10" display="=IFERROR(@__xludf.DUMMYFUNCTION(&quot;&quot;&quot;COMPUTED_VALUE&quot;&quot;&quot;),&quot;Transforms and Differential Equations&quot;)"/>
    <hyperlink ref="F12" r:id="rId11" display="=IFERROR(@__xludf.DUMMYFUNCTION(&quot;&quot;&quot;COMPUTED_VALUE&quot;&quot;&quot;),&quot;Physics for Chemical Engineering&quot;)"/>
    <hyperlink ref="F13" r:id="rId12" display="=IFERROR(@__xludf.DUMMYFUNCTION(&quot;&quot;&quot;COMPUTED_VALUE&quot;&quot;&quot;),&quot;Basic Engineering Chemistry&quot;)"/>
    <hyperlink ref="F14" r:id="rId13" display="=IFERROR(@__xludf.DUMMYFUNCTION(&quot;&quot;&quot;COMPUTED_VALUE&quot;&quot;&quot;),&quot;Chemistry for Technologists&quot;)"/>
    <hyperlink ref="F15" r:id="rId14" display="=IFERROR(@__xludf.DUMMYFUNCTION(&quot;&quot;&quot;COMPUTED_VALUE&quot;&quot;&quot;),&quot;Environmental Sciences and Sustainability&quot;)"/>
    <hyperlink ref="F16" r:id="rId15" display="=IFERROR(@__xludf.DUMMYFUNCTION(&quot;&quot;&quot;COMPUTED_VALUE&quot;&quot;&quot;),&quot;Python Programming&quot;)"/>
    <hyperlink ref="F17" r:id="rId16" display="=IFERROR(@__xludf.DUMMYFUNCTION(&quot;&quot;&quot;COMPUTED_VALUE&quot;&quot;&quot;),&quot;Artificial Intelligence and Applications&quot;)"/>
    <hyperlink ref="F18" r:id="rId17" display="=IFERROR(@__xludf.DUMMYFUNCTION(&quot;&quot;&quot;COMPUTED_VALUE&quot;&quot;&quot;),&quot;Engineering Drawing and Visualisation&quot;)"/>
    <hyperlink ref="F19" r:id="rId18" display="=IFERROR(@__xludf.DUMMYFUNCTION(&quot;&quot;&quot;COMPUTED_VALUE&quot;&quot;&quot;),&quot;Engineering Practices Lab&quot;)"/>
    <hyperlink ref="F20" r:id="rId19" display="=IFERROR(@__xludf.DUMMYFUNCTION(&quot;&quot;&quot;COMPUTED_VALUE&quot;&quot;&quot;),&quot;Basic Electrical, Electronics and Instrumentation Engineering&quot;)"/>
    <hyperlink ref="F21" r:id="rId20" display="=IFERROR(@__xludf.DUMMYFUNCTION(&quot;&quot;&quot;COMPUTED_VALUE&quot;&quot;&quot;),&quot;Principles of Chemical Engineering&quot;)"/>
    <hyperlink ref="F22" r:id="rId21" display="=IFERROR(@__xludf.DUMMYFUNCTION(&quot;&quot;&quot;COMPUTED_VALUE&quot;&quot;&quot;),&quot;Basics of Material Science and Solid Mechanics&quot;)"/>
    <hyperlink ref="F23" r:id="rId22" display="=IFERROR(@__xludf.DUMMYFUNCTION(&quot;&quot;&quot;COMPUTED_VALUE&quot;&quot;&quot;),&quot;Process Calculations&quot;)"/>
    <hyperlink ref="F24" r:id="rId23" display="=IFERROR(@__xludf.DUMMYFUNCTION(&quot;&quot;&quot;COMPUTED_VALUE&quot;&quot;&quot;),&quot;Fluid Mechanics for Chemical Engineers&quot;)"/>
    <hyperlink ref="F25" r:id="rId24" display="=IFERROR(@__xludf.DUMMYFUNCTION(&quot;&quot;&quot;COMPUTED_VALUE&quot;&quot;&quot;),&quot;Mechanical Operations&quot;)"/>
    <hyperlink ref="F26" r:id="rId25" display="=IFERROR(@__xludf.DUMMYFUNCTION(&quot;&quot;&quot;COMPUTED_VALUE&quot;&quot;&quot;),&quot;Chemical Process Industries&quot;)"/>
    <hyperlink ref="F27" r:id="rId26" display="=IFERROR(@__xludf.DUMMYFUNCTION(&quot;&quot;&quot;COMPUTED_VALUE&quot;&quot;&quot;),&quot;Chemical Engineering Thermodynamics I&quot;)"/>
    <hyperlink ref="F28" r:id="rId27" display="=IFERROR(@__xludf.DUMMYFUNCTION(&quot;&quot;&quot;COMPUTED_VALUE&quot;&quot;&quot;),&quot;Chemical Engineering Thermodynamics II&quot;)"/>
    <hyperlink ref="F29" r:id="rId28" display="=IFERROR(@__xludf.DUMMYFUNCTION(&quot;&quot;&quot;COMPUTED_VALUE&quot;&quot;&quot;),&quot;Heat Transfer&quot;)"/>
    <hyperlink ref="F30" r:id="rId29" display="=IFERROR(@__xludf.DUMMYFUNCTION(&quot;&quot;&quot;COMPUTED_VALUE&quot;&quot;&quot;),&quot;Mass Transfer I&quot;)"/>
    <hyperlink ref="F31" r:id="rId30" display="=IFERROR(@__xludf.DUMMYFUNCTION(&quot;&quot;&quot;COMPUTED_VALUE&quot;&quot;&quot;),&quot;Chemical Reaction Engineering I&quot;)"/>
    <hyperlink ref="F32" r:id="rId31" display="=IFERROR(@__xludf.DUMMYFUNCTION(&quot;&quot;&quot;COMPUTED_VALUE&quot;&quot;&quot;),&quot;Mass Transfer II&quot;)"/>
    <hyperlink ref="F33" r:id="rId32" display="=IFERROR(@__xludf.DUMMYFUNCTION(&quot;&quot;&quot;COMPUTED_VALUE&quot;&quot;&quot;),&quot;Chemical Reaction Engineering II&quot;)"/>
    <hyperlink ref="F34" r:id="rId33" display="=IFERROR(@__xludf.DUMMYFUNCTION(&quot;&quot;&quot;COMPUTED_VALUE&quot;&quot;&quot;),&quot;Process Equipment Design and Drawing Laboratory&quot;)"/>
    <hyperlink ref="F35" r:id="rId34" display="=IFERROR(@__xludf.DUMMYFUNCTION(&quot;&quot;&quot;COMPUTED_VALUE&quot;&quot;&quot;),&quot;Transport Phenomena&quot;)"/>
    <hyperlink ref="F36" r:id="rId35" display="=IFERROR(@__xludf.DUMMYFUNCTION(&quot;&quot;&quot;COMPUTED_VALUE&quot;&quot;&quot;),&quot;Process Instrumentation, Dynamics and Control&quot;)"/>
    <hyperlink ref="F37" r:id="rId36" display="=IFERROR(@__xludf.DUMMYFUNCTION(&quot;&quot;&quot;COMPUTED_VALUE&quot;&quot;&quot;),&quot;Project Engineering Economics&quot;)"/>
    <hyperlink ref="F38" r:id="rId37" display="=IFERROR(@__xludf.DUMMYFUNCTION(&quot;&quot;&quot;COMPUTED_VALUE&quot;&quot;&quot;),&quot;Safety in Chemical Industries&quot;)"/>
    <hyperlink ref="F39" r:id="rId38" display="=IFERROR(@__xludf.DUMMYFUNCTION(&quot;&quot;&quot;COMPUTED_VALUE&quot;&quot;&quot;),&quot;Computational Programming Laboratory&quot;)"/>
    <hyperlink ref="F40" r:id="rId39" display="=IFERROR(@__xludf.DUMMYFUNCTION(&quot;&quot;&quot;COMPUTED_VALUE&quot;&quot;&quot;),&quot;Petroleum Chemistry and Refining Fundamentals&quot;)"/>
    <hyperlink ref="F41" r:id="rId40" display="=IFERROR(@__xludf.DUMMYFUNCTION(&quot;&quot;&quot;COMPUTED_VALUE&quot;&quot;&quot;),&quot;Primary Refining Technology&quot;)"/>
    <hyperlink ref="F42" r:id="rId41" display="=IFERROR(@__xludf.DUMMYFUNCTION(&quot;&quot;&quot;COMPUTED_VALUE&quot;&quot;&quot;),&quot;Secondary Refining Technology&quot;)"/>
    <hyperlink ref="F43" r:id="rId42" display="=IFERROR(@__xludf.DUMMYFUNCTION(&quot;&quot;&quot;COMPUTED_VALUE&quot;&quot;&quot;),&quot;Refinery Advancement and Environmental Regulations&quot;)"/>
    <hyperlink ref="F44" r:id="rId43" display="=IFERROR(@__xludf.DUMMYFUNCTION(&quot;&quot;&quot;COMPUTED_VALUE&quot;&quot;&quot;),&quot;Petroleum Equipment Design&quot;)"/>
    <hyperlink ref="F45" r:id="rId44" display="=IFERROR(@__xludf.DUMMYFUNCTION(&quot;&quot;&quot;COMPUTED_VALUE&quot;&quot;&quot;),&quot;Petrochemical Technology&quot;)"/>
    <hyperlink ref="F46" r:id="rId45" display="=IFERROR(@__xludf.DUMMYFUNCTION(&quot;&quot;&quot;COMPUTED_VALUE&quot;&quot;&quot;),&quot;Design and Analysis of Experiments&quot;)"/>
    <hyperlink ref="F47" r:id="rId46" display="=IFERROR(@__xludf.DUMMYFUNCTION(&quot;&quot;&quot;COMPUTED_VALUE&quot;&quot;&quot;),&quot;Optimization of Chemical Processes&quot;)"/>
    <hyperlink ref="F48" r:id="rId47" display="=IFERROR(@__xludf.DUMMYFUNCTION(&quot;&quot;&quot;COMPUTED_VALUE&quot;&quot;&quot;),&quot;Chemical Process Simulation and Analysis&quot;)"/>
    <hyperlink ref="F49" r:id="rId48" display="=IFERROR(@__xludf.DUMMYFUNCTION(&quot;&quot;&quot;COMPUTED_VALUE&quot;&quot;&quot;),&quot;Pinch Analysis and Heat Exchange Network Design&quot;)"/>
    <hyperlink ref="F50" r:id="rId49" display="=IFERROR(@__xludf.DUMMYFUNCTION(&quot;&quot;&quot;COMPUTED_VALUE&quot;&quot;&quot;),&quot;Chemical Process Flow sheeting&quot;)"/>
    <hyperlink ref="F51" r:id="rId50" display="=IFERROR(@__xludf.DUMMYFUNCTION(&quot;&quot;&quot;COMPUTED_VALUE&quot;&quot;&quot;),&quot;Computational Fluid Dynamics&quot;)"/>
    <hyperlink ref="F52" r:id="rId51" display="=IFERROR(@__xludf.DUMMYFUNCTION(&quot;&quot;&quot;COMPUTED_VALUE&quot;&quot;&quot;),&quot;Introduction to Biochemistry&quot;)"/>
    <hyperlink ref="F53" r:id="rId52" display="=IFERROR(@__xludf.DUMMYFUNCTION(&quot;&quot;&quot;COMPUTED_VALUE&quot;&quot;&quot;),&quot;Bioprocess Technology&quot;)"/>
    <hyperlink ref="F54" r:id="rId53" display="=IFERROR(@__xludf.DUMMYFUNCTION(&quot;&quot;&quot;COMPUTED_VALUE&quot;&quot;&quot;),&quot;Fermentation and Bioprocessing&quot;)"/>
    <hyperlink ref="F55" r:id="rId54" display="=IFERROR(@__xludf.DUMMYFUNCTION(&quot;&quot;&quot;COMPUTED_VALUE&quot;&quot;&quot;),&quot;Bioseparation and Downstream Processing&quot;)"/>
    <hyperlink ref="F56" r:id="rId55" display="=IFERROR(@__xludf.DUMMYFUNCTION(&quot;&quot;&quot;COMPUTED_VALUE&quot;&quot;&quot;),&quot;Enzyme Immobilization Technology&quot;)"/>
    <hyperlink ref="F57" r:id="rId56" display="=IFERROR(@__xludf.DUMMYFUNCTION(&quot;&quot;&quot;COMPUTED_VALUE&quot;&quot;&quot;),&quot;Bioreactor Design&quot;)"/>
    <hyperlink ref="F58" r:id="rId57" display="=IFERROR(@__xludf.DUMMYFUNCTION(&quot;&quot;&quot;COMPUTED_VALUE&quot;&quot;&quot;),&quot;Plant Design&quot;)"/>
    <hyperlink ref="F59" r:id="rId58" display="=IFERROR(@__xludf.DUMMYFUNCTION(&quot;&quot;&quot;COMPUTED_VALUE&quot;&quot;&quot;),&quot;Plant Layout&quot;)"/>
    <hyperlink ref="F60" r:id="rId59" display="=IFERROR(@__xludf.DUMMYFUNCTION(&quot;&quot;&quot;COMPUTED_VALUE&quot;&quot;&quot;),&quot;Design Safety&quot;)"/>
    <hyperlink ref="F61" r:id="rId60" display="=IFERROR(@__xludf.DUMMYFUNCTION(&quot;&quot;&quot;COMPUTED_VALUE&quot;&quot;&quot;),&quot;Material Selection&quot;)"/>
    <hyperlink ref="F62" r:id="rId61" display="=IFERROR(@__xludf.DUMMYFUNCTION(&quot;&quot;&quot;COMPUTED_VALUE&quot;&quot;&quot;),&quot;Statutory Requirements and Customer Care&quot;)"/>
    <hyperlink ref="F63" r:id="rId62" display="=IFERROR(@__xludf.DUMMYFUNCTION(&quot;&quot;&quot;COMPUTED_VALUE&quot;&quot;&quot;),&quot;Plant Utilities&quot;)"/>
    <hyperlink ref="F64" r:id="rId63" display="=IFERROR(@__xludf.DUMMYFUNCTION(&quot;&quot;&quot;COMPUTED_VALUE&quot;&quot;&quot;),&quot;Air Pollution and Control&quot;)"/>
    <hyperlink ref="F65" r:id="rId64" display="=IFERROR(@__xludf.DUMMYFUNCTION(&quot;&quot;&quot;COMPUTED_VALUE&quot;&quot;&quot;),&quot;Wastewater Treatment&quot;)"/>
    <hyperlink ref="F66" r:id="rId65" display="=IFERROR(@__xludf.DUMMYFUNCTION(&quot;&quot;&quot;COMPUTED_VALUE&quot;&quot;&quot;),&quot;Solid Waste Management&quot;)"/>
    <hyperlink ref="F67" r:id="rId66" display="=IFERROR(@__xludf.DUMMYFUNCTION(&quot;&quot;&quot;COMPUTED_VALUE&quot;&quot;&quot;),&quot;Environmental Social Risk Assessment&quot;)"/>
    <hyperlink ref="F68" r:id="rId67" display="=IFERROR(@__xludf.DUMMYFUNCTION(&quot;&quot;&quot;COMPUTED_VALUE&quot;&quot;&quot;),&quot;Process Safety Management&quot;)"/>
    <hyperlink ref="F69" r:id="rId68" display="=IFERROR(@__xludf.DUMMYFUNCTION(&quot;&quot;&quot;COMPUTED_VALUE&quot;&quot;&quot;),&quot;Risk and HAZOP Analysis&quot;)"/>
    <hyperlink ref="F70" r:id="rId69" display="=IFERROR(@__xludf.DUMMYFUNCTION(&quot;&quot;&quot;COMPUTED_VALUE&quot;&quot;&quot;),&quot;Bioenergy&quot;)"/>
    <hyperlink ref="F71" r:id="rId70" display="=IFERROR(@__xludf.DUMMYFUNCTION(&quot;&quot;&quot;COMPUTED_VALUE&quot;&quot;&quot;),&quot;Green Energy&quot;)"/>
    <hyperlink ref="F72" r:id="rId71" display="=IFERROR(@__xludf.DUMMYFUNCTION(&quot;&quot;&quot;COMPUTED_VALUE&quot;&quot;&quot;),&quot;Pinch Technology&quot;)"/>
    <hyperlink ref="F73" r:id="rId72" display="=IFERROR(@__xludf.DUMMYFUNCTION(&quot;&quot;&quot;COMPUTED_VALUE&quot;&quot;&quot;),&quot;Hydrogen and Fuel Cell Technology&quot;)"/>
    <hyperlink ref="F74" r:id="rId73" display="=IFERROR(@__xludf.DUMMYFUNCTION(&quot;&quot;&quot;COMPUTED_VALUE&quot;&quot;&quot;),&quot;Conventional Energy Sources&quot;)"/>
    <hyperlink ref="F75" r:id="rId74" display="=IFERROR(@__xludf.DUMMYFUNCTION(&quot;&quot;&quot;COMPUTED_VALUE&quot;&quot;&quot;),&quot;Smart Energy Systems&quot;)"/>
    <hyperlink ref="F77" r:id="rId75" display="=IFERROR(@__xludf.DUMMYFUNCTION(&quot;&quot;&quot;COMPUTED_VALUE&quot;&quot;&quot;),&quot;Mini Project&quot;)"/>
    <hyperlink ref="F78" r:id="rId76" display="=IFERROR(@__xludf.DUMMYFUNCTION(&quot;&quot;&quot;COMPUTED_VALUE&quot;&quot;&quot;),&quot;Project Work Phase I&quot;)"/>
    <hyperlink ref="F79" r:id="rId77" display="=IFERROR(@__xludf.DUMMYFUNCTION(&quot;&quot;&quot;COMPUTED_VALUE&quot;&quot;&quot;),&quot;Project Work Phase II&quot;)"/>
    <hyperlink ref="F81" r:id="rId78" display="=IFERROR(@__xludf.DUMMYFUNCTION(&quot;&quot;&quot;COMPUTED_VALUE&quot;&quot;&quot;),&quot;Career Development Skills&quot;)"/>
    <hyperlink ref="F82" r:id="rId79" display="=IFERROR(@__xludf.DUMMYFUNCTION(&quot;&quot;&quot;COMPUTED_VALUE&quot;&quot;&quot;),&quot;Reasoning Ability&quot;)"/>
    <hyperlink ref="F83" r:id="rId80" display="=IFERROR(@__xludf.DUMMYFUNCTION(&quot;&quot;&quot;COMPUTED_VALUE&quot;&quot;&quot;),&quot;Quantitative Ability I&quot;)"/>
    <hyperlink ref="F84" r:id="rId81" display="=IFERROR(@__xludf.DUMMYFUNCTION(&quot;&quot;&quot;COMPUTED_VALUE&quot;&quot;&quot;),&quot;Quantitative Ability II&quot;)"/>
    <hyperlink ref="F85" r:id="rId82" display="=IFERROR(@__xludf.DUMMYFUNCTION(&quot;&quot;&quot;COMPUTED_VALUE&quot;&quot;&quot;),&quot;Employment Enrichment Skills&quot;)"/>
    <hyperlink ref="F86" r:id="rId83" display="=IFERROR(@__xludf.DUMMYFUNCTION(&quot;&quot;&quot;COMPUTED_VALUE&quot;&quot;&quot;),&quot;Placement Readiness Assessment&quot;)"/>
    <hyperlink ref="F87" r:id="rId84" display="=IFERROR(@__xludf.DUMMYFUNCTION(&quot;&quot;&quot;COMPUTED_VALUE&quot;&quot;&quot;),&quot;Paper Publication&quot;)"/>
    <hyperlink ref="F88" r:id="rId85" display="=IFERROR(@__xludf.DUMMYFUNCTION(&quot;&quot;&quot;COMPUTED_VALUE&quot;&quot;&quot;),&quot;Constitutionalism and Artificial Intelligence Policies in India&quot;)"/>
    <hyperlink ref="F89" r:id="rId86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75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""R2019-AGRI!A:A""),
IMPORTRANGE(""https://docs.google.com/spreadsheets/d/1UvPg-G_Bj-UNhLC2uL8tntfYsnld_PABqE3impzOchM/edit"", ""R2019"&amp;"-AGRI!D:D""),
IMPORTRANGE(""https://docs.google.com/spreadsheets/d/1UvPg-G_Bj-UNhLC2uL8tntfYsnld_PABqE3impzOchM/edit"", ""R2019-AGRI!E:E""),
IMPORTRANGE(""https://docs.google.com/spreadsheets/d/1UvPg-G_Bj-UNhLC2uL8tntfYsnld_PABqE3impzOchM/edit"", ""R2019-"&amp;"AGRI!F:F""),
IMPORTRANGE(""https://docs.google.com/spreadsheets/d/1UvPg-G_Bj-UNhLC2uL8tntfYsnld_PABqE3impzOchM/edit"", ""R2019-AGRI!G:G""),
IMPORTRANGE(""https://docs.google.com/spreadsheets/d/1UvPg-G_Bj-UNhLC2uL8tntfYsnld_PABqE3impzOchM/edit"", ""R2019-A"&amp;"GRI!I:I""),
IMPORTRANGE(""https://docs.google.com/spreadsheets/d/1UvPg-G_Bj-UNhLC2uL8tntfYsnld_PABqE3impzOchM/edit"", ""R2019-AGRI!N:N""),
IMPORTRANGE(""https://docs.google.com/spreadsheets/d/1UvPg-G_Bj-UNhLC2uL8tntfYsnld_PABqE3impzOchM/edit"", ""R2019-AG"&amp;"RI!O:O""),
IMPORTRANGE(""https://docs.google.com/spreadsheets/d/1UvPg-G_Bj-UNhLC2uL8tntfYsnld_PABqE3impzOchM/edit"", ""R2019-AGRI!P:P""),
IMPORTRANGE(""https://docs.google.com/spreadsheets/d/1UvPg-G_Bj-UNhLC2uL8tntfYsnld_PABqE3impzOchM/edit"", ""R2019-AGR"&amp;"I!Q:Q""),
IMPORTRANGE(""https://docs.google.com/spreadsheets/d/1UvPg-G_Bj-UNhLC2uL8tntfYsnld_PABqE3impzOchM/edit"", ""R2019-AGRI!R:R""),
IMPORTRANGE(""https://docs.google.com/spreadsheets/d/1UvPg-G_Bj-UNhLC2uL8tntfYsnld_PABqE3impzOchM/edit"", ""R2019-AGRI"&amp;"!S:S""),
IMPORTRANGE(""https://docs.google.com/spreadsheets/d/1UvPg-G_Bj-UNhLC2uL8tntfYsnld_PABqE3impzOchM/edit"", ""R2019-AGRI!V:V""),
IMPORTRANGE(""https://docs.google.com/spreadsheets/d/1UvPg-G_Bj-UNhLC2uL8tntfYsnld_PABqE3impzOchM/edit"", ""R2019-AGRI!"&amp;"X:X""),
IMPORTRANGE(""https://docs.google.com/spreadsheets/d/1UvPg-G_Bj-UNhLC2uL8tntfYsnld_PABqE3impzOchM/edit"", ""R2019-AGRI!Y:Y""),
IMPORTRANGE(""https://docs.google.com/spreadsheets/d/1UvPg-G_Bj-UNhLC2uL8tntfYsnld_PABqE3impzOchM/edit"", ""R2019-AGRI!A"&amp;"A:AA""),
IMPORTRANGE(""https://docs.google.com/spreadsheets/d/1UvPg-G_Bj-UNhLC2uL8tntfYsnld_PABqE3impzOchM/edit"", ""R2019-AGRI!AC:AC""),
IMPORTRANGE(""https://docs.google.com/spreadsheets/d/1UvPg-G_Bj-UNhLC2uL8tntfYsnld_PABqE3impzOchM/edit"", ""R2019-AGR"&amp;"I!AD:AD"")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IFERROR(__xludf.DUMMYFUNCTION("""COMPUTED_VALUE"""),"NA")</f>
        <v>NA</v>
      </c>
      <c r="E3" s="2" t="str">
        <f>IFERROR(__xludf.DUMMYFUNCTION("""COMPUTED_VALUE"""),"19EN103")</f>
        <v>19EN103</v>
      </c>
      <c r="F3" s="7" t="str">
        <f>IFERROR(__xludf.DUMMYFUNCTION("""COMPUTED_VALUE"""),"Communication Skills and Personality Development")</f>
        <v>Communication Skills and Personality Development</v>
      </c>
      <c r="G3" s="2" t="str">
        <f>IFERROR(__xludf.DUMMYFUNCTION("""COMPUTED_VALUE"""),"-")</f>
        <v>-</v>
      </c>
      <c r="H3" s="2">
        <f>IFERROR(__xludf.DUMMYFUNCTION("""COMPUTED_VALUE"""),1)</f>
        <v>1</v>
      </c>
      <c r="I3" s="2">
        <f>IFERROR(__xludf.DUMMYFUNCTION("""COMPUTED_VALUE"""),1)</f>
        <v>1</v>
      </c>
      <c r="J3" s="2">
        <f>IFERROR(__xludf.DUMMYFUNCTION("""COMPUTED_VALUE"""),2)</f>
        <v>2</v>
      </c>
      <c r="K3" s="2" t="str">
        <f>IFERROR(__xludf.DUMMYFUNCTION("""COMPUTED_VALUE"""),"CGPA")</f>
        <v>CGPA</v>
      </c>
      <c r="L3" s="18" t="str">
        <f>IFERROR(__xludf.DUMMYFUNCTION("""COMPUTED_VALUE"""),"Theory (Int Only) and Practical (6 Expts)")</f>
        <v>Theory (Int Only) and Practical (6 Expts)</v>
      </c>
      <c r="M3" s="19" t="str">
        <f>IFERROR(__xludf.DUMMYFUNCTION("""COMPUTED_VALUE"""),"HS")</f>
        <v>HS</v>
      </c>
      <c r="N3" s="2">
        <f>IFERROR(__xludf.DUMMYFUNCTION("""COMPUTED_VALUE"""),5)</f>
        <v>5</v>
      </c>
      <c r="O3" s="20">
        <f>IFERROR(__xludf.DUMMYFUNCTION("""COMPUTED_VALUE"""),0)</f>
        <v>0</v>
      </c>
      <c r="P3" s="19" t="str">
        <f>IFERROR(__xludf.DUMMYFUNCTION("""COMPUTED_VALUE"""),"HS")</f>
        <v>HS</v>
      </c>
      <c r="Q3" s="2">
        <f>IFERROR(__xludf.DUMMYFUNCTION("""COMPUTED_VALUE"""),9)</f>
        <v>9</v>
      </c>
      <c r="R3" s="20">
        <f>IFERROR(__xludf.DUMMYFUNCTION("""COMPUTED_VALUE"""),2)</f>
        <v>2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LE")</f>
        <v>Exempted for LE</v>
      </c>
      <c r="C4" s="2" t="str">
        <f>IFERROR(__xludf.DUMMYFUNCTION("""COMPUTED_VALUE"""),"HS")</f>
        <v>HS</v>
      </c>
      <c r="D4" s="2" t="str">
        <f>IFERROR(__xludf.DUMMYFUNCTION("""COMPUTED_VALUE"""),"SH7801")</f>
        <v>SH7801</v>
      </c>
      <c r="E4" s="2" t="str">
        <f>IFERROR(__xludf.DUMMYFUNCTION("""COMPUTED_VALUE"""),"NA")</f>
        <v>NA</v>
      </c>
      <c r="F4" s="7" t="str">
        <f>IFERROR(__xludf.DUMMYFUNCTION("""COMPUTED_VALUE"""),"Human Values and Professional Ethics")</f>
        <v>Human Values and Professional Ethics</v>
      </c>
      <c r="G4" s="2" t="str">
        <f>IFERROR(__xludf.DUMMYFUNCTION("""COMPUTED_VALUE"""),"-")</f>
        <v>-</v>
      </c>
      <c r="H4" s="2">
        <f>IFERROR(__xludf.DUMMYFUNCTION("""COMPUTED_VALUE"""),2)</f>
        <v>2</v>
      </c>
      <c r="I4" s="2">
        <f>IFERROR(__xludf.DUMMYFUNCTION("""COMPUTED_VALUE"""),0)</f>
        <v>0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IFERROR(__xludf.DUMMYFUNCTION("""COMPUTED_VALUE"""),"Theory")</f>
        <v>Theory</v>
      </c>
      <c r="M4" s="19" t="str">
        <f>IFERROR(__xludf.DUMMYFUNCTION("""COMPUTED_VALUE"""),"PC")</f>
        <v>PC</v>
      </c>
      <c r="N4" s="2">
        <f>IFERROR(__xludf.DUMMYFUNCTION("""COMPUTED_VALUE"""),65)</f>
        <v>65</v>
      </c>
      <c r="O4" s="20">
        <f>IFERROR(__xludf.DUMMYFUNCTION("""COMPUTED_VALUE"""),65)</f>
        <v>65</v>
      </c>
      <c r="P4" s="19" t="str">
        <f>IFERROR(__xludf.DUMMYFUNCTION("""COMPUTED_VALUE"""),"PC")</f>
        <v>PC</v>
      </c>
      <c r="Q4" s="2">
        <f>IFERROR(__xludf.DUMMYFUNCTION("""COMPUTED_VALUE"""),65)</f>
        <v>65</v>
      </c>
      <c r="R4" s="20">
        <f>IFERROR(__xludf.DUMMYFUNCTION("""COMPUTED_VALUE"""),65)</f>
        <v>65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LE")</f>
        <v>Exempted for LE</v>
      </c>
      <c r="C5" s="2" t="str">
        <f>IFERROR(__xludf.DUMMYFUNCTION("""COMPUTED_VALUE"""),"HS")</f>
        <v>HS</v>
      </c>
      <c r="D5" s="2" t="str">
        <f>IFERROR(__xludf.DUMMYFUNCTION("""COMPUTED_VALUE"""),"SH7101")</f>
        <v>SH7101</v>
      </c>
      <c r="E5" s="2" t="str">
        <f>IFERROR(__xludf.DUMMYFUNCTION("""COMPUTED_VALUE"""),"22HS101")</f>
        <v>22HS101</v>
      </c>
      <c r="F5" s="7" t="str">
        <f>IFERROR(__xludf.DUMMYFUNCTION("""COMPUTED_VALUE"""),"தமிழர் மரபு/ Heritage of Tamils")</f>
        <v>தமிழர் மரபு/ Heritage of Tamils</v>
      </c>
      <c r="G5" s="2" t="str">
        <f>IFERROR(__xludf.DUMMYFUNCTION("""COMPUTED_VALUE"""),"-")</f>
        <v>-</v>
      </c>
      <c r="H5" s="2">
        <f>IFERROR(__xludf.DUMMYFUNCTION("""COMPUTED_VALUE"""),1)</f>
        <v>1</v>
      </c>
      <c r="I5" s="2">
        <f>IFERROR(__xludf.DUMMYFUNCTION("""COMPUTED_VALUE"""),0)</f>
        <v>0</v>
      </c>
      <c r="J5" s="2">
        <f>IFERROR(__xludf.DUMMYFUNCTION("""COMPUTED_VALUE"""),1)</f>
        <v>1</v>
      </c>
      <c r="K5" s="2" t="str">
        <f>IFERROR(__xludf.DUMMYFUNCTION("""COMPUTED_VALUE"""),"CGPA")</f>
        <v>CGPA</v>
      </c>
      <c r="L5" s="18" t="str">
        <f>IFERROR(__xludf.DUMMYFUNCTION("""COMPUTED_VALUE"""),"Theory (Int Only)")</f>
        <v>Theory (Int Only)</v>
      </c>
      <c r="M5" s="19" t="str">
        <f>IFERROR(__xludf.DUMMYFUNCTION("""COMPUTED_VALUE"""),"PE")</f>
        <v>PE</v>
      </c>
      <c r="N5" s="2">
        <f>IFERROR(__xludf.DUMMYFUNCTION("""COMPUTED_VALUE"""),9)</f>
        <v>9</v>
      </c>
      <c r="O5" s="20">
        <f>IFERROR(__xludf.DUMMYFUNCTION("""COMPUTED_VALUE"""),9)</f>
        <v>9</v>
      </c>
      <c r="P5" s="19" t="str">
        <f>IFERROR(__xludf.DUMMYFUNCTION("""COMPUTED_VALUE"""),"PE")</f>
        <v>PE</v>
      </c>
      <c r="Q5" s="2">
        <f>IFERROR(__xludf.DUMMYFUNCTION("""COMPUTED_VALUE"""),9)</f>
        <v>9</v>
      </c>
      <c r="R5" s="20">
        <f>IFERROR(__xludf.DUMMYFUNCTION("""COMPUTED_VALUE"""),9)</f>
        <v>9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IFERROR(__xludf.DUMMYFUNCTION("""COMPUTED_VALUE"""),"SH7102")</f>
        <v>SH7102</v>
      </c>
      <c r="E6" s="2" t="str">
        <f>IFERROR(__xludf.DUMMYFUNCTION("""COMPUTED_VALUE"""),"22HS102")</f>
        <v>22HS102</v>
      </c>
      <c r="F6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6" s="2" t="str">
        <f>IFERROR(__xludf.DUMMYFUNCTION("""COMPUTED_VALUE"""),"-")</f>
        <v>-</v>
      </c>
      <c r="H6" s="2">
        <f>IFERROR(__xludf.DUMMYFUNCTION("""COMPUTED_VALUE"""),1)</f>
        <v>1</v>
      </c>
      <c r="I6" s="2">
        <f>IFERROR(__xludf.DUMMYFUNCTION("""COMPUTED_VALUE"""),0)</f>
        <v>0</v>
      </c>
      <c r="J6" s="2">
        <f>IFERROR(__xludf.DUMMYFUNCTION("""COMPUTED_VALUE"""),1)</f>
        <v>1</v>
      </c>
      <c r="K6" s="2" t="str">
        <f>IFERROR(__xludf.DUMMYFUNCTION("""COMPUTED_VALUE"""),"CGPA")</f>
        <v>CGPA</v>
      </c>
      <c r="L6" s="18" t="str">
        <f>IFERROR(__xludf.DUMMYFUNCTION("""COMPUTED_VALUE"""),"Theory (Int Only)")</f>
        <v>Theory (Int Only)</v>
      </c>
      <c r="M6" s="19" t="str">
        <f>IFERROR(__xludf.DUMMYFUNCTION("""COMPUTED_VALUE"""),"OE")</f>
        <v>OE</v>
      </c>
      <c r="N6" s="2">
        <f>IFERROR(__xludf.DUMMYFUNCTION("""COMPUTED_VALUE"""),6)</f>
        <v>6</v>
      </c>
      <c r="O6" s="20">
        <f>IFERROR(__xludf.DUMMYFUNCTION("""COMPUTED_VALUE"""),6)</f>
        <v>6</v>
      </c>
      <c r="P6" s="19" t="str">
        <f>IFERROR(__xludf.DUMMYFUNCTION("""COMPUTED_VALUE"""),"OE")</f>
        <v>OE</v>
      </c>
      <c r="Q6" s="2">
        <f>IFERROR(__xludf.DUMMYFUNCTION("""COMPUTED_VALUE"""),6)</f>
        <v>6</v>
      </c>
      <c r="R6" s="20">
        <f>IFERROR(__xludf.DUMMYFUNCTION("""COMPUTED_VALUE"""),6)</f>
        <v>6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1 for Regular")</f>
        <v>Exempted for LE , Any 1 for Regular</v>
      </c>
      <c r="C7" s="2" t="str">
        <f>IFERROR(__xludf.DUMMYFUNCTION("""COMPUTED_VALUE"""),"BS")</f>
        <v>BS</v>
      </c>
      <c r="D7" s="2" t="str">
        <f>IFERROR(__xludf.DUMMYFUNCTION("""COMPUTED_VALUE"""),"SH2201")</f>
        <v>SH2201</v>
      </c>
      <c r="E7" s="2" t="str">
        <f>IFERROR(__xludf.DUMMYFUNCTION("""COMPUTED_VALUE"""),"19MA201")</f>
        <v>19MA201</v>
      </c>
      <c r="F7" s="7" t="str">
        <f>IFERROR(__xludf.DUMMYFUNCTION("""COMPUTED_VALUE"""),"Calculus and Matrix Algebra")</f>
        <v>Calculus and Matrix Algebra</v>
      </c>
      <c r="G7" s="2" t="str">
        <f>IFERROR(__xludf.DUMMYFUNCTION("""COMPUTED_VALUE"""),"-")</f>
        <v>-</v>
      </c>
      <c r="H7" s="2">
        <f>IFERROR(__xludf.DUMMYFUNCTION("""COMPUTED_VALUE"""),4)</f>
        <v>4</v>
      </c>
      <c r="I7" s="2">
        <f>IFERROR(__xludf.DUMMYFUNCTION("""COMPUTED_VALUE"""),0)</f>
        <v>0</v>
      </c>
      <c r="J7" s="2">
        <f>IFERROR(__xludf.DUMMYFUNCTION("""COMPUTED_VALUE"""),4)</f>
        <v>4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IFERROR(__xludf.DUMMYFUNCTION("""COMPUTED_VALUE"""),"EEC")</f>
        <v>EEC</v>
      </c>
      <c r="N7" s="2">
        <f>IFERROR(__xludf.DUMMYFUNCTION("""COMPUTED_VALUE"""),48)</f>
        <v>48</v>
      </c>
      <c r="O7" s="20">
        <f>IFERROR(__xludf.DUMMYFUNCTION("""COMPUTED_VALUE"""),48)</f>
        <v>48</v>
      </c>
      <c r="P7" s="19" t="str">
        <f>IFERROR(__xludf.DUMMYFUNCTION("""COMPUTED_VALUE"""),"EEC")</f>
        <v>EEC</v>
      </c>
      <c r="Q7" s="2">
        <f>IFERROR(__xludf.DUMMYFUNCTION("""COMPUTED_VALUE"""),49)</f>
        <v>49</v>
      </c>
      <c r="R7" s="20">
        <f>IFERROR(__xludf.DUMMYFUNCTION("""COMPUTED_VALUE"""),49)</f>
        <v>49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1 for Regular")</f>
        <v>Exempted for LE , Any 1 for Regular</v>
      </c>
      <c r="C8" s="2" t="str">
        <f>IFERROR(__xludf.DUMMYFUNCTION("""COMPUTED_VALUE"""),"BS")</f>
        <v>BS</v>
      </c>
      <c r="D8" s="2" t="str">
        <f>IFERROR(__xludf.DUMMYFUNCTION("""COMPUTED_VALUE"""),"NA")</f>
        <v>NA</v>
      </c>
      <c r="E8" s="2" t="str">
        <f>IFERROR(__xludf.DUMMYFUNCTION("""COMPUTED_VALUE"""),"19MA208")</f>
        <v>19MA208</v>
      </c>
      <c r="F8" s="7" t="str">
        <f>IFERROR(__xludf.DUMMYFUNCTION("""COMPUTED_VALUE"""),"Calculus and Matrices")</f>
        <v>Calculus and Matrices</v>
      </c>
      <c r="G8" s="2" t="str">
        <f>IFERROR(__xludf.DUMMYFUNCTION("""COMPUTED_VALUE"""),"-")</f>
        <v>-</v>
      </c>
      <c r="H8" s="2">
        <f>IFERROR(__xludf.DUMMYFUNCTION("""COMPUTED_VALUE"""),2)</f>
        <v>2</v>
      </c>
      <c r="I8" s="2">
        <f>IFERROR(__xludf.DUMMYFUNCTION("""COMPUTED_VALUE"""),1)</f>
        <v>1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IFERROR(__xludf.DUMMYFUNCTION("""COMPUTED_VALUE"""),"TIP (6 Expts)")</f>
        <v>TIP (6 Expts)</v>
      </c>
      <c r="M8" s="19" t="str">
        <f>IFERROR(__xludf.DUMMYFUNCTION("""COMPUTED_VALUE"""),"ES")</f>
        <v>ES</v>
      </c>
      <c r="N8" s="2">
        <f>IFERROR(__xludf.DUMMYFUNCTION("""COMPUTED_VALUE"""),37)</f>
        <v>37</v>
      </c>
      <c r="O8" s="20">
        <f>IFERROR(__xludf.DUMMYFUNCTION("""COMPUTED_VALUE"""),21)</f>
        <v>21</v>
      </c>
      <c r="P8" s="19" t="str">
        <f>IFERROR(__xludf.DUMMYFUNCTION("""COMPUTED_VALUE"""),"ES")</f>
        <v>ES</v>
      </c>
      <c r="Q8" s="2">
        <f>IFERROR(__xludf.DUMMYFUNCTION("""COMPUTED_VALUE"""),40)</f>
        <v>40</v>
      </c>
      <c r="R8" s="20">
        <f>IFERROR(__xludf.DUMMYFUNCTION("""COMPUTED_VALUE"""),19)</f>
        <v>19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IFERROR(__xludf.DUMMYFUNCTION("""COMPUTED_VALUE"""),"BS")</f>
        <v>BS</v>
      </c>
      <c r="D9" s="2" t="str">
        <f>IFERROR(__xludf.DUMMYFUNCTION("""COMPUTED_VALUE"""),"NA")</f>
        <v>NA</v>
      </c>
      <c r="E9" s="2" t="str">
        <f>IFERROR(__xludf.DUMMYFUNCTION("""COMPUTED_VALUE"""),"19MA203")</f>
        <v>19MA203</v>
      </c>
      <c r="F9" s="7" t="str">
        <f>IFERROR(__xludf.DUMMYFUNCTION("""COMPUTED_VALUE"""),"Complex Variables and Differential Equations")</f>
        <v>Complex Variables and Differential Equations</v>
      </c>
      <c r="G9" s="2" t="str">
        <f>IFERROR(__xludf.DUMMYFUNCTION("""COMPUTED_VALUE"""),"19MA201/  19MA208")</f>
        <v>19MA201/  19MA208</v>
      </c>
      <c r="H9" s="2">
        <f>IFERROR(__xludf.DUMMYFUNCTION("""COMPUTED_VALUE"""),2)</f>
        <v>2</v>
      </c>
      <c r="I9" s="2">
        <f>IFERROR(__xludf.DUMMYFUNCTION("""COMPUTED_VALUE"""),1)</f>
        <v>1</v>
      </c>
      <c r="J9" s="2">
        <f>IFERROR(__xludf.DUMMYFUNCTION("""COMPUTED_VALUE"""),3)</f>
        <v>3</v>
      </c>
      <c r="K9" s="2" t="str">
        <f>IFERROR(__xludf.DUMMYFUNCTION("""COMPUTED_VALUE"""),"CGPA")</f>
        <v>CGPA</v>
      </c>
      <c r="L9" s="18" t="str">
        <f>IFERROR(__xludf.DUMMYFUNCTION("""COMPUTED_VALUE"""),"TIP (6 Expts)")</f>
        <v>TIP (6 Expts)</v>
      </c>
      <c r="M9" s="19" t="str">
        <f>IFERROR(__xludf.DUMMYFUNCTION("""COMPUTED_VALUE"""),"MC")</f>
        <v>MC</v>
      </c>
      <c r="N9" s="2">
        <f>IFERROR(__xludf.DUMMYFUNCTION("""COMPUTED_VALUE"""),3)</f>
        <v>3</v>
      </c>
      <c r="O9" s="20">
        <f>IFERROR(__xludf.DUMMYFUNCTION("""COMPUTED_VALUE"""),3)</f>
        <v>3</v>
      </c>
      <c r="P9" s="19" t="str">
        <f>IFERROR(__xludf.DUMMYFUNCTION("""COMPUTED_VALUE"""),"MC")</f>
        <v>MC</v>
      </c>
      <c r="Q9" s="2">
        <f>IFERROR(__xludf.DUMMYFUNCTION("""COMPUTED_VALUE"""),3)</f>
        <v>3</v>
      </c>
      <c r="R9" s="20">
        <f>IFERROR(__xludf.DUMMYFUNCTION("""COMPUTED_VALUE"""),3)</f>
        <v>3</v>
      </c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IFERROR(__xludf.DUMMYFUNCTION("""COMPUTED_VALUE"""),"BS")</f>
        <v>BS</v>
      </c>
      <c r="D10" s="2" t="str">
        <f>IFERROR(__xludf.DUMMYFUNCTION("""COMPUTED_VALUE"""),"NA")</f>
        <v>NA</v>
      </c>
      <c r="E10" s="2" t="str">
        <f>IFERROR(__xludf.DUMMYFUNCTION("""COMPUTED_VALUE"""),"19MA215")</f>
        <v>19MA215</v>
      </c>
      <c r="F10" s="7" t="str">
        <f>IFERROR(__xludf.DUMMYFUNCTION("""COMPUTED_VALUE"""),"Numerical Analysis and Laplace Transformation")</f>
        <v>Numerical Analysis and Laplace Transformation</v>
      </c>
      <c r="G10" s="2" t="str">
        <f>IFERROR(__xludf.DUMMYFUNCTION("""COMPUTED_VALUE"""),"19MA201/ 19MA208")</f>
        <v>19MA201/ 19MA208</v>
      </c>
      <c r="H10" s="2">
        <f>IFERROR(__xludf.DUMMYFUNCTION("""COMPUTED_VALUE"""),2)</f>
        <v>2</v>
      </c>
      <c r="I10" s="2">
        <f>IFERROR(__xludf.DUMMYFUNCTION("""COMPUTED_VALUE"""),1)</f>
        <v>1</v>
      </c>
      <c r="J10" s="2">
        <f>IFERROR(__xludf.DUMMYFUNCTION("""COMPUTED_VALUE"""),3)</f>
        <v>3</v>
      </c>
      <c r="K10" s="2" t="str">
        <f>IFERROR(__xludf.DUMMYFUNCTION("""COMPUTED_VALUE"""),"CGPA")</f>
        <v>CGPA</v>
      </c>
      <c r="L10" s="18" t="str">
        <f>IFERROR(__xludf.DUMMYFUNCTION("""COMPUTED_VALUE"""),"TIP (6 Expts)")</f>
        <v>TIP (6 Expts)</v>
      </c>
      <c r="M10" s="19" t="str">
        <f>IFERROR(__xludf.DUMMYFUNCTION("""COMPUTED_VALUE"""),"BS")</f>
        <v>BS</v>
      </c>
      <c r="N10" s="2">
        <f>IFERROR(__xludf.DUMMYFUNCTION("""COMPUTED_VALUE"""),23)</f>
        <v>23</v>
      </c>
      <c r="O10" s="20">
        <f>IFERROR(__xludf.DUMMYFUNCTION("""COMPUTED_VALUE"""),3)</f>
        <v>3</v>
      </c>
      <c r="P10" s="19" t="str">
        <f>IFERROR(__xludf.DUMMYFUNCTION("""COMPUTED_VALUE"""),"BS")</f>
        <v>BS</v>
      </c>
      <c r="Q10" s="2">
        <f>IFERROR(__xludf.DUMMYFUNCTION("""COMPUTED_VALUE"""),29)</f>
        <v>29</v>
      </c>
      <c r="R10" s="20">
        <f>IFERROR(__xludf.DUMMYFUNCTION("""COMPUTED_VALUE"""),5)</f>
        <v>5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IFERROR(__xludf.DUMMYFUNCTION("""COMPUTED_VALUE"""),"ES")</f>
        <v>ES</v>
      </c>
      <c r="D11" s="2" t="str">
        <f>IFERROR(__xludf.DUMMYFUNCTION("""COMPUTED_VALUE"""),"CS3301")</f>
        <v>CS3301</v>
      </c>
      <c r="E11" s="2" t="str">
        <f>IFERROR(__xludf.DUMMYFUNCTION("""COMPUTED_VALUE"""),"19AI301")</f>
        <v>19AI301</v>
      </c>
      <c r="F11" s="7" t="str">
        <f>IFERROR(__xludf.DUMMYFUNCTION("""COMPUTED_VALUE"""),"Python Programming")</f>
        <v>Python Programming</v>
      </c>
      <c r="G11" s="2" t="str">
        <f>IFERROR(__xludf.DUMMYFUNCTION("""COMPUTED_VALUE"""),"-")</f>
        <v>-</v>
      </c>
      <c r="H11" s="2">
        <f>IFERROR(__xludf.DUMMYFUNCTION("""COMPUTED_VALUE"""),2)</f>
        <v>2</v>
      </c>
      <c r="I11" s="2">
        <f>IFERROR(__xludf.DUMMYFUNCTION("""COMPUTED_VALUE"""),1)</f>
        <v>1</v>
      </c>
      <c r="J11" s="2">
        <f>IFERROR(__xludf.DUMMYFUNCTION("""COMPUTED_VALUE"""),3)</f>
        <v>3</v>
      </c>
      <c r="K11" s="2" t="str">
        <f>IFERROR(__xludf.DUMMYFUNCTION("""COMPUTED_VALUE"""),"CGPA")</f>
        <v>CGPA</v>
      </c>
      <c r="L11" s="18" t="str">
        <f>IFERROR(__xludf.DUMMYFUNCTION("""COMPUTED_VALUE"""),"TIP (6 Expts)")</f>
        <v>TIP (6 Expts)</v>
      </c>
      <c r="M11" s="21"/>
      <c r="N11" s="22"/>
      <c r="O11" s="23"/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IFERROR(__xludf.DUMMYFUNCTION("""COMPUTED_VALUE"""),"ES")</f>
        <v>ES</v>
      </c>
      <c r="D12" s="2" t="str">
        <f>IFERROR(__xludf.DUMMYFUNCTION("""COMPUTED_VALUE"""),"CS3801")</f>
        <v>CS3801</v>
      </c>
      <c r="E12" s="2" t="str">
        <f>IFERROR(__xludf.DUMMYFUNCTION("""COMPUTED_VALUE"""),"NA")</f>
        <v>NA</v>
      </c>
      <c r="F12" s="7" t="str">
        <f>IFERROR(__xludf.DUMMYFUNCTION("""COMPUTED_VALUE"""),"Artificial Intelligence and Applications")</f>
        <v>Artificial Intelligence and Applications</v>
      </c>
      <c r="G12" s="2" t="str">
        <f>IFERROR(__xludf.DUMMYFUNCTION("""COMPUTED_VALUE"""),"-")</f>
        <v>-</v>
      </c>
      <c r="H12" s="2">
        <f>IFERROR(__xludf.DUMMYFUNCTION("""COMPUTED_VALUE"""),1)</f>
        <v>1</v>
      </c>
      <c r="I12" s="2">
        <f>IFERROR(__xludf.DUMMYFUNCTION("""COMPUTED_VALUE"""),2)</f>
        <v>2</v>
      </c>
      <c r="J12" s="2">
        <f>IFERROR(__xludf.DUMMYFUNCTION("""COMPUTED_VALUE"""),3)</f>
        <v>3</v>
      </c>
      <c r="K12" s="2" t="str">
        <f>IFERROR(__xludf.DUMMYFUNCTION("""COMPUTED_VALUE"""),"CGPA")</f>
        <v>CGPA</v>
      </c>
      <c r="L12" s="2" t="str">
        <f>IFERROR(__xludf.DUMMYFUNCTION("""COMPUTED_VALUE"""),"Theory (Int Only) and Practical (10 Expts)")</f>
        <v>Theory (Int Only) and Practical (10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 , Any 1 for Regular")</f>
        <v>Exempted for LE , Any 1 for Regular</v>
      </c>
      <c r="C13" s="2" t="str">
        <f>IFERROR(__xludf.DUMMYFUNCTION("""COMPUTED_VALUE"""),"ES")</f>
        <v>ES</v>
      </c>
      <c r="D13" s="2" t="str">
        <f>IFERROR(__xludf.DUMMYFUNCTION("""COMPUTED_VALUE"""),"ME0309")</f>
        <v>ME0309</v>
      </c>
      <c r="E13" s="2" t="str">
        <f>IFERROR(__xludf.DUMMYFUNCTION("""COMPUTED_VALUE"""),"19ME309")</f>
        <v>19ME309</v>
      </c>
      <c r="F13" s="7" t="str">
        <f>IFERROR(__xludf.DUMMYFUNCTION("""COMPUTED_VALUE"""),"Engineering Drawing and Visualisation")</f>
        <v>Engineering Drawing and Visualisation</v>
      </c>
      <c r="G13" s="2" t="str">
        <f>IFERROR(__xludf.DUMMYFUNCTION("""COMPUTED_VALUE"""),"-")</f>
        <v>-</v>
      </c>
      <c r="H13" s="2">
        <f>IFERROR(__xludf.DUMMYFUNCTION("""COMPUTED_VALUE"""),3)</f>
        <v>3</v>
      </c>
      <c r="I13" s="2">
        <f>IFERROR(__xludf.DUMMYFUNCTION("""COMPUTED_VALUE"""),1)</f>
        <v>1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 , Any 1 for Regular")</f>
        <v>Exempted for LE , Any 1 for Regular</v>
      </c>
      <c r="C14" s="2" t="str">
        <f>IFERROR(__xludf.DUMMYFUNCTION("""COMPUTED_VALUE"""),"ES")</f>
        <v>ES</v>
      </c>
      <c r="D14" s="2" t="str">
        <f>IFERROR(__xludf.DUMMYFUNCTION("""COMPUTED_VALUE"""),"NA")</f>
        <v>NA</v>
      </c>
      <c r="E14" s="2" t="str">
        <f>IFERROR(__xludf.DUMMYFUNCTION("""COMPUTED_VALUE"""),"19CE301")</f>
        <v>19CE301</v>
      </c>
      <c r="F14" s="7" t="str">
        <f>IFERROR(__xludf.DUMMYFUNCTION("""COMPUTED_VALUE"""),"Engineering Drawing and Modeling")</f>
        <v>Engineering Drawing and Modeling</v>
      </c>
      <c r="G14" s="2" t="str">
        <f>IFERROR(__xludf.DUMMYFUNCTION("""COMPUTED_VALUE"""),"-")</f>
        <v>-</v>
      </c>
      <c r="H14" s="2">
        <f>IFERROR(__xludf.DUMMYFUNCTION("""COMPUTED_VALUE"""),2)</f>
        <v>2</v>
      </c>
      <c r="I14" s="2">
        <f>IFERROR(__xludf.DUMMYFUNCTION("""COMPUTED_VALUE"""),2)</f>
        <v>2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(10 Expts)")</f>
        <v>TIP (10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IFERROR(__xludf.DUMMYFUNCTION("""COMPUTED_VALUE"""),"ES")</f>
        <v>ES</v>
      </c>
      <c r="D15" s="2" t="str">
        <f>IFERROR(__xludf.DUMMYFUNCTION("""COMPUTED_VALUE"""),"EC2306")</f>
        <v>EC2306</v>
      </c>
      <c r="E15" s="2" t="str">
        <f>IFERROR(__xludf.DUMMYFUNCTION("""COMPUTED_VALUE"""),"19EE306  ")</f>
        <v>19EE306  </v>
      </c>
      <c r="F15" s="7" t="str">
        <f>IFERROR(__xludf.DUMMYFUNCTION("""COMPUTED_VALUE"""),"Basic Electrical, Electronics and Instrumentation Engineering")</f>
        <v>Basic Electrical, Electronics and Instrumentation Engineering</v>
      </c>
      <c r="G15" s="2" t="str">
        <f>IFERROR(__xludf.DUMMYFUNCTION("""COMPUTED_VALUE"""),"-")</f>
        <v>-</v>
      </c>
      <c r="H15" s="2">
        <f>IFERROR(__xludf.DUMMYFUNCTION("""COMPUTED_VALUE"""),2)</f>
        <v>2</v>
      </c>
      <c r="I15" s="2">
        <f>IFERROR(__xludf.DUMMYFUNCTION("""COMPUTED_VALUE"""),1)</f>
        <v>1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IFERROR(__xludf.DUMMYFUNCTION("""COMPUTED_VALUE"""),"NA")</f>
        <v>NA</v>
      </c>
      <c r="E16" s="2" t="str">
        <f>IFERROR(__xludf.DUMMYFUNCTION("""COMPUTED_VALUE"""),"19AG201")</f>
        <v>19AG201</v>
      </c>
      <c r="F16" s="7" t="str">
        <f>IFERROR(__xludf.DUMMYFUNCTION("""COMPUTED_VALUE"""),"Principles of Agronomy")</f>
        <v>Principles of Agronomy</v>
      </c>
      <c r="G16" s="2" t="str">
        <f>IFERROR(__xludf.DUMMYFUNCTION("""COMPUTED_VALUE"""),"-")</f>
        <v>-</v>
      </c>
      <c r="H16" s="2">
        <f>IFERROR(__xludf.DUMMYFUNCTION("""COMPUTED_VALUE"""),2)</f>
        <v>2</v>
      </c>
      <c r="I16" s="2">
        <f>IFERROR(__xludf.DUMMYFUNCTION("""COMPUTED_VALUE"""),1)</f>
        <v>1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IFERROR(__xludf.DUMMYFUNCTION("""COMPUTED_VALUE"""),"NA")</f>
        <v>NA</v>
      </c>
      <c r="E17" s="2" t="str">
        <f>IFERROR(__xludf.DUMMYFUNCTION("""COMPUTED_VALUE"""),"19AG202")</f>
        <v>19AG202</v>
      </c>
      <c r="F17" s="7" t="str">
        <f>IFERROR(__xludf.DUMMYFUNCTION("""COMPUTED_VALUE"""),"Principles of Soil Science")</f>
        <v>Principles of Soil Science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IFERROR(__xludf.DUMMYFUNCTION("""COMPUTED_VALUE"""),"BS")</f>
        <v>BS</v>
      </c>
      <c r="D18" s="2" t="str">
        <f>IFERROR(__xludf.DUMMYFUNCTION("""COMPUTED_VALUE"""),"NA")</f>
        <v>NA</v>
      </c>
      <c r="E18" s="2" t="str">
        <f>IFERROR(__xludf.DUMMYFUNCTION("""COMPUTED_VALUE"""),"19AG203")</f>
        <v>19AG203</v>
      </c>
      <c r="F18" s="7" t="str">
        <f>IFERROR(__xludf.DUMMYFUNCTION("""COMPUTED_VALUE"""),"Principles of Horticultural Crops and Plant Protection")</f>
        <v>Principles of Horticultural Crops and Plant Protection</v>
      </c>
      <c r="G18" s="2" t="str">
        <f>IFERROR(__xludf.DUMMYFUNCTION("""COMPUTED_VALUE"""),"-")</f>
        <v>-</v>
      </c>
      <c r="H18" s="2">
        <f>IFERROR(__xludf.DUMMYFUNCTION("""COMPUTED_VALUE"""),1)</f>
        <v>1</v>
      </c>
      <c r="I18" s="2">
        <f>IFERROR(__xludf.DUMMYFUNCTION("""COMPUTED_VALUE"""),1)</f>
        <v>1</v>
      </c>
      <c r="J18" s="2">
        <f>IFERROR(__xludf.DUMMYFUNCTION("""COMPUTED_VALUE"""),2)</f>
        <v>2</v>
      </c>
      <c r="K18" s="2" t="str">
        <f>IFERROR(__xludf.DUMMYFUNCTION("""COMPUTED_VALUE"""),"CGPA")</f>
        <v>CGPA</v>
      </c>
      <c r="L18" s="2" t="str">
        <f>IFERROR(__xludf.DUMMYFUNCTION("""COMPUTED_VALUE"""),"Theory (Int Only) and Practical (6 Expts)")</f>
        <v>Theory (Int Only) and Practical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IFERROR(__xludf.DUMMYFUNCTION("""COMPUTED_VALUE"""),"HS")</f>
        <v>HS</v>
      </c>
      <c r="D19" s="2" t="str">
        <f>IFERROR(__xludf.DUMMYFUNCTION("""COMPUTED_VALUE"""),"NA")</f>
        <v>NA</v>
      </c>
      <c r="E19" s="2" t="str">
        <f>IFERROR(__xludf.DUMMYFUNCTION("""COMPUTED_VALUE"""),"19AG101")</f>
        <v>19AG101</v>
      </c>
      <c r="F19" s="7" t="str">
        <f>IFERROR(__xludf.DUMMYFUNCTION("""COMPUTED_VALUE"""),"Entrepreneurship Development and Business Management")</f>
        <v>Entrepreneurship Development and Business Management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IFERROR(__xludf.DUMMYFUNCTION("""COMPUTED_VALUE"""),"NA")</f>
        <v>NA</v>
      </c>
      <c r="E20" s="2" t="str">
        <f>IFERROR(__xludf.DUMMYFUNCTION("""COMPUTED_VALUE"""),"19AG301")</f>
        <v>19AG301</v>
      </c>
      <c r="F20" s="7" t="str">
        <f>IFERROR(__xludf.DUMMYFUNCTION("""COMPUTED_VALUE"""),"Fluid Mechanics and Open Channel Hydraulics")</f>
        <v>Fluid Mechanics and Open Channel Hydraulics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 , Any 1 for Regular")</f>
        <v>Exempted for LE , Any 1 for Regular</v>
      </c>
      <c r="C21" s="2" t="str">
        <f>IFERROR(__xludf.DUMMYFUNCTION("""COMPUTED_VALUE"""),"ES")</f>
        <v>ES</v>
      </c>
      <c r="D21" s="2" t="str">
        <f>IFERROR(__xludf.DUMMYFUNCTION("""COMPUTED_VALUE"""),"NA")</f>
        <v>NA</v>
      </c>
      <c r="E21" s="2" t="str">
        <f>IFERROR(__xludf.DUMMYFUNCTION("""COMPUTED_VALUE"""),"19AG302")</f>
        <v>19AG302</v>
      </c>
      <c r="F21" s="7" t="str">
        <f>IFERROR(__xludf.DUMMYFUNCTION("""COMPUTED_VALUE"""),"Strength of Materials")</f>
        <v>Strength of Materials</v>
      </c>
      <c r="G21" s="2" t="str">
        <f>IFERROR(__xludf.DUMMYFUNCTION("""COMPUTED_VALUE"""),"19AG310")</f>
        <v>19AG310</v>
      </c>
      <c r="H21" s="2">
        <f>IFERROR(__xludf.DUMMYFUNCTION("""COMPUTED_VALUE"""),1)</f>
        <v>1</v>
      </c>
      <c r="I21" s="2">
        <f>IFERROR(__xludf.DUMMYFUNCTION("""COMPUTED_VALUE"""),1)</f>
        <v>1</v>
      </c>
      <c r="J21" s="2">
        <f>IFERROR(__xludf.DUMMYFUNCTION("""COMPUTED_VALUE"""),2)</f>
        <v>2</v>
      </c>
      <c r="K21" s="2" t="str">
        <f>IFERROR(__xludf.DUMMYFUNCTION("""COMPUTED_VALUE"""),"CGPA")</f>
        <v>CGPA</v>
      </c>
      <c r="L21" s="2" t="str">
        <f>IFERROR(__xludf.DUMMYFUNCTION("""COMPUTED_VALUE"""),"Theory (Int Only) and Practical (6 Expts)")</f>
        <v>Theory (Int Only) and Practical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 , Any 1 for Regular")</f>
        <v>Exempted for LE , Any 1 for Regular</v>
      </c>
      <c r="C22" s="2" t="str">
        <f>IFERROR(__xludf.DUMMYFUNCTION("""COMPUTED_VALUE"""),"ES")</f>
        <v>ES</v>
      </c>
      <c r="D22" s="2" t="str">
        <f>IFERROR(__xludf.DUMMYFUNCTION("""COMPUTED_VALUE"""),"ME0312")</f>
        <v>ME0312</v>
      </c>
      <c r="E22" s="2" t="str">
        <f>IFERROR(__xludf.DUMMYFUNCTION("""COMPUTED_VALUE"""),"19ME312")</f>
        <v>19ME312</v>
      </c>
      <c r="F22" s="7" t="str">
        <f>IFERROR(__xludf.DUMMYFUNCTION("""COMPUTED_VALUE"""),"Mechanics of Solids")</f>
        <v>Mechanics of Solids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IFERROR(__xludf.DUMMYFUNCTION("""COMPUTED_VALUE"""),1)</f>
        <v>1</v>
      </c>
      <c r="J22" s="2">
        <f>IFERROR(__xludf.DUMMYFUNCTION("""COMPUTED_VALUE"""),4)</f>
        <v>4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IFERROR(__xludf.DUMMYFUNCTION("""COMPUTED_VALUE"""),"NA")</f>
        <v>NA</v>
      </c>
      <c r="E23" s="2" t="str">
        <f>IFERROR(__xludf.DUMMYFUNCTION("""COMPUTED_VALUE"""),"19AG303")</f>
        <v>19AG303</v>
      </c>
      <c r="F23" s="7" t="str">
        <f>IFERROR(__xludf.DUMMYFUNCTION("""COMPUTED_VALUE"""),"Heat and Mass Transfer for Agricultural Engineers")</f>
        <v>Heat and Mass Transfer for Agricultural Engineers</v>
      </c>
      <c r="G23" s="2" t="str">
        <f>IFERROR(__xludf.DUMMYFUNCTION("""COMPUTED_VALUE"""),"19AG305")</f>
        <v>19AG305</v>
      </c>
      <c r="H23" s="2">
        <f>IFERROR(__xludf.DUMMYFUNCTION("""COMPUTED_VALUE"""),2)</f>
        <v>2</v>
      </c>
      <c r="I23" s="2">
        <f>IFERROR(__xludf.DUMMYFUNCTION("""COMPUTED_VALUE"""),0)</f>
        <v>0</v>
      </c>
      <c r="J23" s="2">
        <f>IFERROR(__xludf.DUMMYFUNCTION("""COMPUTED_VALUE"""),2)</f>
        <v>2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 t="str">
        <f>IFERROR(__xludf.DUMMYFUNCTION("""COMPUTED_VALUE"""),"Exempted for LE")</f>
        <v>Exempted for LE</v>
      </c>
      <c r="C24" s="2" t="str">
        <f>IFERROR(__xludf.DUMMYFUNCTION("""COMPUTED_VALUE"""),"ES")</f>
        <v>ES</v>
      </c>
      <c r="D24" s="2" t="str">
        <f>IFERROR(__xludf.DUMMYFUNCTION("""COMPUTED_VALUE"""),"NA")</f>
        <v>NA</v>
      </c>
      <c r="E24" s="2" t="str">
        <f>IFERROR(__xludf.DUMMYFUNCTION("""COMPUTED_VALUE"""),"19AG304")</f>
        <v>19AG304</v>
      </c>
      <c r="F24" s="7" t="str">
        <f>IFERROR(__xludf.DUMMYFUNCTION("""COMPUTED_VALUE"""),"Theory of Machines")</f>
        <v>Theory of Machines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IFERROR(__xludf.DUMMYFUNCTION("""COMPUTED_VALUE"""),0)</f>
        <v>0</v>
      </c>
      <c r="J24" s="2">
        <f>IFERROR(__xludf.DUMMYFUNCTION("""COMPUTED_VALUE"""),2)</f>
        <v>2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IFERROR(__xludf.DUMMYFUNCTION("""COMPUTED_VALUE"""),"NA")</f>
        <v>NA</v>
      </c>
      <c r="E25" s="2" t="str">
        <f>IFERROR(__xludf.DUMMYFUNCTION("""COMPUTED_VALUE"""),"19AG305")</f>
        <v>19AG305</v>
      </c>
      <c r="F25" s="7" t="str">
        <f>IFERROR(__xludf.DUMMYFUNCTION("""COMPUTED_VALUE"""),"Thermodynamics, Refrigeration and Air Conditioning")</f>
        <v>Thermodynamics, Refrigeration and Air Conditioning</v>
      </c>
      <c r="G25" s="2" t="str">
        <f>IFERROR(__xludf.DUMMYFUNCTION("""COMPUTED_VALUE"""),"-")</f>
        <v>-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 t="str">
        <f>IFERROR(__xludf.DUMMYFUNCTION("""COMPUTED_VALUE"""),"Exempted for LE")</f>
        <v>Exempted for LE</v>
      </c>
      <c r="C26" s="2" t="str">
        <f>IFERROR(__xludf.DUMMYFUNCTION("""COMPUTED_VALUE"""),"ES")</f>
        <v>ES</v>
      </c>
      <c r="D26" s="2" t="str">
        <f>IFERROR(__xludf.DUMMYFUNCTION("""COMPUTED_VALUE"""),"NA")</f>
        <v>NA</v>
      </c>
      <c r="E26" s="2" t="str">
        <f>IFERROR(__xludf.DUMMYFUNCTION("""COMPUTED_VALUE"""),"19AG306")</f>
        <v>19AG306</v>
      </c>
      <c r="F26" s="7" t="str">
        <f>IFERROR(__xludf.DUMMYFUNCTION("""COMPUTED_VALUE"""),"Surveying and Levelling")</f>
        <v>Surveying and Levelling</v>
      </c>
      <c r="G26" s="2" t="str">
        <f>IFERROR(__xludf.DUMMYFUNCTION("""COMPUTED_VALUE"""),"-")</f>
        <v>-</v>
      </c>
      <c r="H26" s="2">
        <f>IFERROR(__xludf.DUMMYFUNCTION("""COMPUTED_VALUE"""),1)</f>
        <v>1</v>
      </c>
      <c r="I26" s="2">
        <f>IFERROR(__xludf.DUMMYFUNCTION("""COMPUTED_VALUE"""),2)</f>
        <v>2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IFERROR(__xludf.DUMMYFUNCTION("""COMPUTED_VALUE"""),"Theory (Int Only) and Practical (10 Expts)")</f>
        <v>Theory (Int Only) and Practical (10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IFERROR(__xludf.DUMMYFUNCTION("""COMPUTED_VALUE"""),"ES")</f>
        <v>ES</v>
      </c>
      <c r="D27" s="2" t="str">
        <f>IFERROR(__xludf.DUMMYFUNCTION("""COMPUTED_VALUE"""),"NA")</f>
        <v>NA</v>
      </c>
      <c r="E27" s="2" t="str">
        <f>IFERROR(__xludf.DUMMYFUNCTION("""COMPUTED_VALUE"""),"19AG307")</f>
        <v>19AG307</v>
      </c>
      <c r="F27" s="7" t="str">
        <f>IFERROR(__xludf.DUMMYFUNCTION("""COMPUTED_VALUE"""),"Applied Electronics and Instrumentation")</f>
        <v>Applied Electronics and Instrumentation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IFERROR(__xludf.DUMMYFUNCTION("""COMPUTED_VALUE"""),"ES")</f>
        <v>ES</v>
      </c>
      <c r="D28" s="2" t="str">
        <f>IFERROR(__xludf.DUMMYFUNCTION("""COMPUTED_VALUE"""),"NA")</f>
        <v>NA</v>
      </c>
      <c r="E28" s="2" t="str">
        <f>IFERROR(__xludf.DUMMYFUNCTION("""COMPUTED_VALUE"""),"19AG308")</f>
        <v>19AG308</v>
      </c>
      <c r="F28" s="7" t="str">
        <f>IFERROR(__xludf.DUMMYFUNCTION("""COMPUTED_VALUE"""),"Machine Design")</f>
        <v>Machine Design</v>
      </c>
      <c r="G28" s="2" t="str">
        <f>IFERROR(__xludf.DUMMYFUNCTION("""COMPUTED_VALUE"""),"-")</f>
        <v>-</v>
      </c>
      <c r="H28" s="2">
        <f>IFERROR(__xludf.DUMMYFUNCTION("""COMPUTED_VALUE"""),2)</f>
        <v>2</v>
      </c>
      <c r="I28" s="2">
        <f>IFERROR(__xludf.DUMMYFUNCTION("""COMPUTED_VALUE"""),0)</f>
        <v>0</v>
      </c>
      <c r="J28" s="2">
        <f>IFERROR(__xludf.DUMMYFUNCTION("""COMPUTED_VALUE"""),2)</f>
        <v>2</v>
      </c>
      <c r="K28" s="2" t="str">
        <f>IFERROR(__xludf.DUMMYFUNCTION("""COMPUTED_VALUE"""),"CGPA")</f>
        <v>CGPA</v>
      </c>
      <c r="L28" s="2" t="str">
        <f>IFERROR(__xludf.DUMMYFUNCTION("""COMPUTED_VALUE"""),"Theory")</f>
        <v>Theory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IFERROR(__xludf.DUMMYFUNCTION("""COMPUTED_VALUE"""),"ES")</f>
        <v>ES</v>
      </c>
      <c r="D29" s="2" t="str">
        <f>IFERROR(__xludf.DUMMYFUNCTION("""COMPUTED_VALUE"""),"NA")</f>
        <v>NA</v>
      </c>
      <c r="E29" s="2" t="str">
        <f>IFERROR(__xludf.DUMMYFUNCTION("""COMPUTED_VALUE"""),"19AG309")</f>
        <v>19AG309</v>
      </c>
      <c r="F29" s="7" t="str">
        <f>IFERROR(__xludf.DUMMYFUNCTION("""COMPUTED_VALUE"""),"Soil Mechanics for Agricultural Engineering")</f>
        <v>Soil Mechanics for Agricultural Engineering</v>
      </c>
      <c r="G29" s="2" t="str">
        <f>IFERROR(__xludf.DUMMYFUNCTION("""COMPUTED_VALUE"""),"-")</f>
        <v>-</v>
      </c>
      <c r="H29" s="2">
        <f>IFERROR(__xludf.DUMMYFUNCTION("""COMPUTED_VALUE"""),1)</f>
        <v>1</v>
      </c>
      <c r="I29" s="2">
        <f>IFERROR(__xludf.DUMMYFUNCTION("""COMPUTED_VALUE"""),1)</f>
        <v>1</v>
      </c>
      <c r="J29" s="2">
        <f>IFERROR(__xludf.DUMMYFUNCTION("""COMPUTED_VALUE"""),2)</f>
        <v>2</v>
      </c>
      <c r="K29" s="2" t="str">
        <f>IFERROR(__xludf.DUMMYFUNCTION("""COMPUTED_VALUE"""),"CGPA")</f>
        <v>CGPA</v>
      </c>
      <c r="L29" s="2" t="str">
        <f>IFERROR(__xludf.DUMMYFUNCTION("""COMPUTED_VALUE"""),"Theory (Int Only) and Practical (6 Expts)")</f>
        <v>Theory (Int Only) and Practical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IFERROR(__xludf.DUMMYFUNCTION("""COMPUTED_VALUE"""),"ES")</f>
        <v>ES</v>
      </c>
      <c r="D30" s="2" t="str">
        <f>IFERROR(__xludf.DUMMYFUNCTION("""COMPUTED_VALUE"""),"NA")</f>
        <v>NA</v>
      </c>
      <c r="E30" s="2" t="str">
        <f>IFERROR(__xludf.DUMMYFUNCTION("""COMPUTED_VALUE"""),"19AG310")</f>
        <v>19AG310</v>
      </c>
      <c r="F30" s="7" t="str">
        <f>IFERROR(__xludf.DUMMYFUNCTION("""COMPUTED_VALUE"""),"Engineering Mechanics")</f>
        <v>Engineering Mechanics</v>
      </c>
      <c r="G30" s="2" t="str">
        <f>IFERROR(__xludf.DUMMYFUNCTION("""COMPUTED_VALUE"""),"-")</f>
        <v>-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IFERROR(__xludf.DUMMYFUNCTION("""COMPUTED_VALUE"""),"NA")</f>
        <v>NA</v>
      </c>
      <c r="E31" s="2" t="str">
        <f>IFERROR(__xludf.DUMMYFUNCTION("""COMPUTED_VALUE"""),"19AG401")</f>
        <v>19AG401</v>
      </c>
      <c r="F31" s="7" t="str">
        <f>IFERROR(__xludf.DUMMYFUNCTION("""COMPUTED_VALUE"""),"Watershed Hydrology")</f>
        <v>Watershed Hydrology</v>
      </c>
      <c r="G31" s="2" t="str">
        <f>IFERROR(__xludf.DUMMYFUNCTION("""COMPUTED_VALUE"""),"-")</f>
        <v>-</v>
      </c>
      <c r="H31" s="2">
        <f>IFERROR(__xludf.DUMMYFUNCTION("""COMPUTED_VALUE"""),1)</f>
        <v>1</v>
      </c>
      <c r="I31" s="2">
        <f>IFERROR(__xludf.DUMMYFUNCTION("""COMPUTED_VALUE"""),1)</f>
        <v>1</v>
      </c>
      <c r="J31" s="2">
        <f>IFERROR(__xludf.DUMMYFUNCTION("""COMPUTED_VALUE"""),2)</f>
        <v>2</v>
      </c>
      <c r="K31" s="2" t="str">
        <f>IFERROR(__xludf.DUMMYFUNCTION("""COMPUTED_VALUE"""),"CGPA")</f>
        <v>CGPA</v>
      </c>
      <c r="L31" s="2" t="str">
        <f>IFERROR(__xludf.DUMMYFUNCTION("""COMPUTED_VALUE"""),"Theory (Int Only) and Practical (6 Expts)")</f>
        <v>Theory (Int Only) and Practical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IFERROR(__xludf.DUMMYFUNCTION("""COMPUTED_VALUE"""),"NA")</f>
        <v>NA</v>
      </c>
      <c r="E32" s="2" t="str">
        <f>IFERROR(__xludf.DUMMYFUNCTION("""COMPUTED_VALUE"""),"19AG402")</f>
        <v>19AG402</v>
      </c>
      <c r="F32" s="7" t="str">
        <f>IFERROR(__xludf.DUMMYFUNCTION("""COMPUTED_VALUE"""),"Electrical Machines and Power Utilization")</f>
        <v>Electrical Machines and Power Utilization</v>
      </c>
      <c r="G32" s="2" t="str">
        <f>IFERROR(__xludf.DUMMYFUNCTION("""COMPUTED_VALUE"""),"-")</f>
        <v>-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IFERROR(__xludf.DUMMYFUNCTION("""COMPUTED_VALUE"""),"NA")</f>
        <v>NA</v>
      </c>
      <c r="E33" s="2" t="str">
        <f>IFERROR(__xludf.DUMMYFUNCTION("""COMPUTED_VALUE"""),"19AG403")</f>
        <v>19AG403</v>
      </c>
      <c r="F33" s="7" t="str">
        <f>IFERROR(__xludf.DUMMYFUNCTION("""COMPUTED_VALUE"""),"Fundamentals of Renewable Energy Sources")</f>
        <v>Fundamentals of Renewable Energy Sources</v>
      </c>
      <c r="G33" s="2" t="str">
        <f>IFERROR(__xludf.DUMMYFUNCTION("""COMPUTED_VALUE"""),"-")</f>
        <v>-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IFERROR(__xludf.DUMMYFUNCTION("""COMPUTED_VALUE"""),"NA")</f>
        <v>NA</v>
      </c>
      <c r="E34" s="2" t="str">
        <f>IFERROR(__xludf.DUMMYFUNCTION("""COMPUTED_VALUE"""),"19AG404")</f>
        <v>19AG404</v>
      </c>
      <c r="F34" s="7" t="str">
        <f>IFERROR(__xludf.DUMMYFUNCTION("""COMPUTED_VALUE"""),"Irrigation and Drainage Engineering")</f>
        <v>Irrigation and Drainage Engineering</v>
      </c>
      <c r="G34" s="2" t="str">
        <f>IFERROR(__xludf.DUMMYFUNCTION("""COMPUTED_VALUE"""),"-")</f>
        <v>-</v>
      </c>
      <c r="H34" s="2">
        <f>IFERROR(__xludf.DUMMYFUNCTION("""COMPUTED_VALUE"""),2)</f>
        <v>2</v>
      </c>
      <c r="I34" s="2">
        <f>IFERROR(__xludf.DUMMYFUNCTION("""COMPUTED_VALUE"""),1)</f>
        <v>1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IFERROR(__xludf.DUMMYFUNCTION("""COMPUTED_VALUE"""),"NA")</f>
        <v>NA</v>
      </c>
      <c r="E35" s="2" t="str">
        <f>IFERROR(__xludf.DUMMYFUNCTION("""COMPUTED_VALUE"""),"19AG405")</f>
        <v>19AG405</v>
      </c>
      <c r="F35" s="7" t="str">
        <f>IFERROR(__xludf.DUMMYFUNCTION("""COMPUTED_VALUE"""),"Tractors and Automotive Engines")</f>
        <v>Tractors and Automotive Engines</v>
      </c>
      <c r="G35" s="2" t="str">
        <f>IFERROR(__xludf.DUMMYFUNCTION("""COMPUTED_VALUE"""),"-")</f>
        <v>-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IFERROR(__xludf.DUMMYFUNCTION("""COMPUTED_VALUE"""),"NA")</f>
        <v>NA</v>
      </c>
      <c r="E36" s="2" t="str">
        <f>IFERROR(__xludf.DUMMYFUNCTION("""COMPUTED_VALUE"""),"19AG406")</f>
        <v>19AG406</v>
      </c>
      <c r="F36" s="7" t="str">
        <f>IFERROR(__xludf.DUMMYFUNCTION("""COMPUTED_VALUE"""),"Engineering Properties of Agricultural Produce")</f>
        <v>Engineering Properties of Agricultural Produce</v>
      </c>
      <c r="G36" s="2" t="str">
        <f>IFERROR(__xludf.DUMMYFUNCTION("""COMPUTED_VALUE"""),"-")</f>
        <v>-</v>
      </c>
      <c r="H36" s="2">
        <f>IFERROR(__xludf.DUMMYFUNCTION("""COMPUTED_VALUE"""),1)</f>
        <v>1</v>
      </c>
      <c r="I36" s="2">
        <f>IFERROR(__xludf.DUMMYFUNCTION("""COMPUTED_VALUE"""),1)</f>
        <v>1</v>
      </c>
      <c r="J36" s="2">
        <f>IFERROR(__xludf.DUMMYFUNCTION("""COMPUTED_VALUE"""),2)</f>
        <v>2</v>
      </c>
      <c r="K36" s="2" t="str">
        <f>IFERROR(__xludf.DUMMYFUNCTION("""COMPUTED_VALUE"""),"CGPA")</f>
        <v>CGPA</v>
      </c>
      <c r="L36" s="2" t="str">
        <f>IFERROR(__xludf.DUMMYFUNCTION("""COMPUTED_VALUE"""),"Theory (Int Only) and Practical (6 Expts)")</f>
        <v>Theory (Int Only) and Practical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IFERROR(__xludf.DUMMYFUNCTION("""COMPUTED_VALUE"""),"NA")</f>
        <v>NA</v>
      </c>
      <c r="E37" s="2" t="str">
        <f>IFERROR(__xludf.DUMMYFUNCTION("""COMPUTED_VALUE"""),"19AG407")</f>
        <v>19AG407</v>
      </c>
      <c r="F37" s="7" t="str">
        <f>IFERROR(__xludf.DUMMYFUNCTION("""COMPUTED_VALUE"""),"Farm Building Construction and Cost Estimation")</f>
        <v>Farm Building Construction and Cost Estimation</v>
      </c>
      <c r="G37" s="2" t="str">
        <f>IFERROR(__xludf.DUMMYFUNCTION("""COMPUTED_VALUE"""),"-")</f>
        <v>-</v>
      </c>
      <c r="H37" s="2">
        <f>IFERROR(__xludf.DUMMYFUNCTION("""COMPUTED_VALUE"""),2)</f>
        <v>2</v>
      </c>
      <c r="I37" s="2">
        <f>IFERROR(__xludf.DUMMYFUNCTION("""COMPUTED_VALUE"""),0)</f>
        <v>0</v>
      </c>
      <c r="J37" s="2">
        <f>IFERROR(__xludf.DUMMYFUNCTION("""COMPUTED_VALUE"""),2)</f>
        <v>2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IFERROR(__xludf.DUMMYFUNCTION("""COMPUTED_VALUE"""),"19AG408")</f>
        <v>19AG408</v>
      </c>
      <c r="F38" s="7" t="str">
        <f>IFERROR(__xludf.DUMMYFUNCTION("""COMPUTED_VALUE"""),"Waste and By-Products Utilization")</f>
        <v>Waste and By-Products Utilization</v>
      </c>
      <c r="G38" s="2" t="str">
        <f>IFERROR(__xludf.DUMMYFUNCTION("""COMPUTED_VALUE"""),"-")</f>
        <v>-</v>
      </c>
      <c r="H38" s="2">
        <f>IFERROR(__xludf.DUMMYFUNCTION("""COMPUTED_VALUE"""),2)</f>
        <v>2</v>
      </c>
      <c r="I38" s="2">
        <f>IFERROR(__xludf.DUMMYFUNCTION("""COMPUTED_VALUE"""),1)</f>
        <v>1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IFERROR(__xludf.DUMMYFUNCTION("""COMPUTED_VALUE"""),"NA")</f>
        <v>NA</v>
      </c>
      <c r="E39" s="2" t="str">
        <f>IFERROR(__xludf.DUMMYFUNCTION("""COMPUTED_VALUE"""),"19AG409")</f>
        <v>19AG409</v>
      </c>
      <c r="F39" s="7" t="str">
        <f>IFERROR(__xludf.DUMMYFUNCTION("""COMPUTED_VALUE"""),"Soil and Water Conservation Engineering")</f>
        <v>Soil and Water Conservation Engineering</v>
      </c>
      <c r="G39" s="2" t="str">
        <f>IFERROR(__xludf.DUMMYFUNCTION("""COMPUTED_VALUE"""),"-")</f>
        <v>-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IFERROR(__xludf.DUMMYFUNCTION("""COMPUTED_VALUE"""),"NA")</f>
        <v>NA</v>
      </c>
      <c r="E40" s="2" t="str">
        <f>IFERROR(__xludf.DUMMYFUNCTION("""COMPUTED_VALUE"""),"19AG410")</f>
        <v>19AG410</v>
      </c>
      <c r="F40" s="7" t="str">
        <f>IFERROR(__xludf.DUMMYFUNCTION("""COMPUTED_VALUE"""),"Watershed Planning and Management")</f>
        <v>Watershed Planning and Management</v>
      </c>
      <c r="G40" s="2" t="str">
        <f>IFERROR(__xludf.DUMMYFUNCTION("""COMPUTED_VALUE"""),"19AG401")</f>
        <v>19AG401</v>
      </c>
      <c r="H40" s="2">
        <f>IFERROR(__xludf.DUMMYFUNCTION("""COMPUTED_VALUE"""),1)</f>
        <v>1</v>
      </c>
      <c r="I40" s="2">
        <f>IFERROR(__xludf.DUMMYFUNCTION("""COMPUTED_VALUE"""),1)</f>
        <v>1</v>
      </c>
      <c r="J40" s="2">
        <f>IFERROR(__xludf.DUMMYFUNCTION("""COMPUTED_VALUE"""),2)</f>
        <v>2</v>
      </c>
      <c r="K40" s="2" t="str">
        <f>IFERROR(__xludf.DUMMYFUNCTION("""COMPUTED_VALUE"""),"CGPA")</f>
        <v>CGPA</v>
      </c>
      <c r="L40" s="2" t="str">
        <f>IFERROR(__xludf.DUMMYFUNCTION("""COMPUTED_VALUE"""),"Theory (Int Only) and Practical (6 Expts)")</f>
        <v>Theory (Int Only) and Practical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IFERROR(__xludf.DUMMYFUNCTION("""COMPUTED_VALUE"""),"NA")</f>
        <v>NA</v>
      </c>
      <c r="E41" s="2" t="str">
        <f>IFERROR(__xludf.DUMMYFUNCTION("""COMPUTED_VALUE"""),"19AG411")</f>
        <v>19AG411</v>
      </c>
      <c r="F41" s="7" t="str">
        <f>IFERROR(__xludf.DUMMYFUNCTION("""COMPUTED_VALUE"""),"Sprinkler and Micro Irrigation Systems")</f>
        <v>Sprinkler and Micro Irrigation Systems</v>
      </c>
      <c r="G41" s="2" t="str">
        <f>IFERROR(__xludf.DUMMYFUNCTION("""COMPUTED_VALUE"""),"19AG404")</f>
        <v>19AG404</v>
      </c>
      <c r="H41" s="2">
        <f>IFERROR(__xludf.DUMMYFUNCTION("""COMPUTED_VALUE"""),1)</f>
        <v>1</v>
      </c>
      <c r="I41" s="2">
        <f>IFERROR(__xludf.DUMMYFUNCTION("""COMPUTED_VALUE"""),1)</f>
        <v>1</v>
      </c>
      <c r="J41" s="2">
        <f>IFERROR(__xludf.DUMMYFUNCTION("""COMPUTED_VALUE"""),2)</f>
        <v>2</v>
      </c>
      <c r="K41" s="2" t="str">
        <f>IFERROR(__xludf.DUMMYFUNCTION("""COMPUTED_VALUE"""),"CGPA")</f>
        <v>CGPA</v>
      </c>
      <c r="L41" s="2" t="str">
        <f>IFERROR(__xludf.DUMMYFUNCTION("""COMPUTED_VALUE"""),"Theory (Int Only) and Practical (6 Expts)")</f>
        <v>Theory (Int Only) and Practical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IFERROR(__xludf.DUMMYFUNCTION("""COMPUTED_VALUE"""),"NA")</f>
        <v>NA</v>
      </c>
      <c r="E42" s="2" t="str">
        <f>IFERROR(__xludf.DUMMYFUNCTION("""COMPUTED_VALUE"""),"19AG412")</f>
        <v>19AG412</v>
      </c>
      <c r="F42" s="7" t="str">
        <f>IFERROR(__xludf.DUMMYFUNCTION("""COMPUTED_VALUE"""),"Farm Machinery and Equipment I")</f>
        <v>Farm Machinery and Equipment I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IFERROR(__xludf.DUMMYFUNCTION("""COMPUTED_VALUE"""),"NA")</f>
        <v>NA</v>
      </c>
      <c r="E43" s="2" t="str">
        <f>IFERROR(__xludf.DUMMYFUNCTION("""COMPUTED_VALUE"""),"19AG413")</f>
        <v>19AG413</v>
      </c>
      <c r="F43" s="7" t="str">
        <f>IFERROR(__xludf.DUMMYFUNCTION("""COMPUTED_VALUE"""),"Tractor Systems and Controls")</f>
        <v>Tractor Systems and Controls</v>
      </c>
      <c r="G43" s="2" t="str">
        <f>IFERROR(__xludf.DUMMYFUNCTION("""COMPUTED_VALUE"""),"19AG405")</f>
        <v>19AG405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IFERROR(__xludf.DUMMYFUNCTION("""COMPUTED_VALUE"""),"NA")</f>
        <v>NA</v>
      </c>
      <c r="E44" s="2" t="str">
        <f>IFERROR(__xludf.DUMMYFUNCTION("""COMPUTED_VALUE"""),"19AG414")</f>
        <v>19AG414</v>
      </c>
      <c r="F44" s="7" t="str">
        <f>IFERROR(__xludf.DUMMYFUNCTION("""COMPUTED_VALUE"""),"Agricultural Structures and Environmental Control")</f>
        <v>Agricultural Structures and Environmental Control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IFERROR(__xludf.DUMMYFUNCTION("""COMPUTED_VALUE"""),"NA")</f>
        <v>NA</v>
      </c>
      <c r="E45" s="2" t="str">
        <f>IFERROR(__xludf.DUMMYFUNCTION("""COMPUTED_VALUE"""),"19AG415")</f>
        <v>19AG415</v>
      </c>
      <c r="F45" s="7" t="str">
        <f>IFERROR(__xludf.DUMMYFUNCTION("""COMPUTED_VALUE"""),"Post Harvest Engineering of Cereals, Pulses and Oil Seeds")</f>
        <v>Post Harvest Engineering of Cereals, Pulses and Oil Seeds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IFERROR(__xludf.DUMMYFUNCTION("""COMPUTED_VALUE"""),"PC")</f>
        <v>PC</v>
      </c>
      <c r="D46" s="2" t="str">
        <f>IFERROR(__xludf.DUMMYFUNCTION("""COMPUTED_VALUE"""),"NA")</f>
        <v>NA</v>
      </c>
      <c r="E46" s="2" t="str">
        <f>IFERROR(__xludf.DUMMYFUNCTION("""COMPUTED_VALUE"""),"19AG416")</f>
        <v>19AG416</v>
      </c>
      <c r="F46" s="7" t="str">
        <f>IFERROR(__xludf.DUMMYFUNCTION("""COMPUTED_VALUE"""),"Water Harvesting and Soil Conservation Structures")</f>
        <v>Water Harvesting and Soil Conservation Structures</v>
      </c>
      <c r="G46" s="2" t="str">
        <f>IFERROR(__xludf.DUMMYFUNCTION("""COMPUTED_VALUE"""),"19AG409")</f>
        <v>19AG409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IFERROR(__xludf.DUMMYFUNCTION("""COMPUTED_VALUE"""),"PC")</f>
        <v>PC</v>
      </c>
      <c r="D47" s="2" t="str">
        <f>IFERROR(__xludf.DUMMYFUNCTION("""COMPUTED_VALUE"""),"NA")</f>
        <v>NA</v>
      </c>
      <c r="E47" s="2" t="str">
        <f>IFERROR(__xludf.DUMMYFUNCTION("""COMPUTED_VALUE"""),"19AG417")</f>
        <v>19AG417</v>
      </c>
      <c r="F47" s="7" t="str">
        <f>IFERROR(__xludf.DUMMYFUNCTION("""COMPUTED_VALUE"""),"Groundwater, Wells and Pumps")</f>
        <v>Groundwater, Wells and Pumps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IFERROR(__xludf.DUMMYFUNCTION("""COMPUTED_VALUE"""),"PC")</f>
        <v>PC</v>
      </c>
      <c r="D48" s="2" t="str">
        <f>IFERROR(__xludf.DUMMYFUNCTION("""COMPUTED_VALUE"""),"NA")</f>
        <v>NA</v>
      </c>
      <c r="E48" s="2" t="str">
        <f>IFERROR(__xludf.DUMMYFUNCTION("""COMPUTED_VALUE"""),"19AG418")</f>
        <v>19AG418</v>
      </c>
      <c r="F48" s="7" t="str">
        <f>IFERROR(__xludf.DUMMYFUNCTION("""COMPUTED_VALUE"""),"Farm Machinery and Equipment II")</f>
        <v>Farm Machinery and Equipment II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IFERROR(__xludf.DUMMYFUNCTION("""COMPUTED_VALUE"""),"PC")</f>
        <v>PC</v>
      </c>
      <c r="D49" s="2" t="str">
        <f>IFERROR(__xludf.DUMMYFUNCTION("""COMPUTED_VALUE"""),"AG0835")</f>
        <v>AG0835</v>
      </c>
      <c r="E49" s="2" t="str">
        <f>IFERROR(__xludf.DUMMYFUNCTION("""COMPUTED_VALUE"""),"19AG419")</f>
        <v>19AG419</v>
      </c>
      <c r="F49" s="7" t="str">
        <f>IFERROR(__xludf.DUMMYFUNCTION("""COMPUTED_VALUE"""),"Tractors and Farm Machinery Operation and Maintenance")</f>
        <v>Tractors and Farm Machinery Operation and Maintenance</v>
      </c>
      <c r="G49" s="2" t="str">
        <f>IFERROR(__xludf.DUMMYFUNCTION("""COMPUTED_VALUE"""),"19AG412/19AG418")</f>
        <v>19AG412/19AG418</v>
      </c>
      <c r="H49" s="2">
        <f>IFERROR(__xludf.DUMMYFUNCTION("""COMPUTED_VALUE"""),0)</f>
        <v>0</v>
      </c>
      <c r="I49" s="2">
        <f>IFERROR(__xludf.DUMMYFUNCTION("""COMPUTED_VALUE"""),2)</f>
        <v>2</v>
      </c>
      <c r="J49" s="2">
        <f>IFERROR(__xludf.DUMMYFUNCTION("""COMPUTED_VALUE"""),2)</f>
        <v>2</v>
      </c>
      <c r="K49" s="2" t="str">
        <f>IFERROR(__xludf.DUMMYFUNCTION("""COMPUTED_VALUE"""),"CGPA")</f>
        <v>CGPA</v>
      </c>
      <c r="L49" s="2" t="str">
        <f>IFERROR(__xludf.DUMMYFUNCTION("""COMPUTED_VALUE"""),"Practical (10 Expts)")</f>
        <v>Practical (10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IFERROR(__xludf.DUMMYFUNCTION("""COMPUTED_VALUE"""),"PC")</f>
        <v>PC</v>
      </c>
      <c r="D50" s="2" t="str">
        <f>IFERROR(__xludf.DUMMYFUNCTION("""COMPUTED_VALUE"""),"NA")</f>
        <v>NA</v>
      </c>
      <c r="E50" s="2" t="str">
        <f>IFERROR(__xludf.DUMMYFUNCTION("""COMPUTED_VALUE"""),"19AG420")</f>
        <v>19AG420</v>
      </c>
      <c r="F50" s="7" t="str">
        <f>IFERROR(__xludf.DUMMYFUNCTION("""COMPUTED_VALUE"""),"Post Harvest Engineering of Horticultural Crops")</f>
        <v>Post Harvest Engineering of Horticultural Crops</v>
      </c>
      <c r="G50" s="2" t="str">
        <f>IFERROR(__xludf.DUMMYFUNCTION("""COMPUTED_VALUE"""),"-")</f>
        <v>-</v>
      </c>
      <c r="H50" s="2">
        <f>IFERROR(__xludf.DUMMYFUNCTION("""COMPUTED_VALUE"""),1)</f>
        <v>1</v>
      </c>
      <c r="I50" s="2">
        <f>IFERROR(__xludf.DUMMYFUNCTION("""COMPUTED_VALUE"""),1)</f>
        <v>1</v>
      </c>
      <c r="J50" s="2">
        <f>IFERROR(__xludf.DUMMYFUNCTION("""COMPUTED_VALUE"""),2)</f>
        <v>2</v>
      </c>
      <c r="K50" s="2" t="str">
        <f>IFERROR(__xludf.DUMMYFUNCTION("""COMPUTED_VALUE"""),"CGPA")</f>
        <v>CGPA</v>
      </c>
      <c r="L50" s="2" t="str">
        <f>IFERROR(__xludf.DUMMYFUNCTION("""COMPUTED_VALUE"""),"Theory (Int Only) and Practical (6 Expts)")</f>
        <v>Theory (Int Only) and Practical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IFERROR(__xludf.DUMMYFUNCTION("""COMPUTED_VALUE"""),"PC")</f>
        <v>PC</v>
      </c>
      <c r="D51" s="2" t="str">
        <f>IFERROR(__xludf.DUMMYFUNCTION("""COMPUTED_VALUE"""),"NA")</f>
        <v>NA</v>
      </c>
      <c r="E51" s="2" t="str">
        <f>IFERROR(__xludf.DUMMYFUNCTION("""COMPUTED_VALUE"""),"19AG421")</f>
        <v>19AG421</v>
      </c>
      <c r="F51" s="7" t="str">
        <f>IFERROR(__xludf.DUMMYFUNCTION("""COMPUTED_VALUE"""),"Dairy and Food Engineering")</f>
        <v>Dairy and Food Engineering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IFERROR(__xludf.DUMMYFUNCTION("""COMPUTED_VALUE"""),"PC")</f>
        <v>PC</v>
      </c>
      <c r="D52" s="2" t="str">
        <f>IFERROR(__xludf.DUMMYFUNCTION("""COMPUTED_VALUE"""),"NA")</f>
        <v>NA</v>
      </c>
      <c r="E52" s="2" t="str">
        <f>IFERROR(__xludf.DUMMYFUNCTION("""COMPUTED_VALUE"""),"19AG422")</f>
        <v>19AG422</v>
      </c>
      <c r="F52" s="7" t="str">
        <f>IFERROR(__xludf.DUMMYFUNCTION("""COMPUTED_VALUE"""),"Precision Farming Techniques for Protected Cultivation")</f>
        <v>Precision Farming Techniques for Protected Cultivation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IFERROR(__xludf.DUMMYFUNCTION("""COMPUTED_VALUE"""),"PC")</f>
        <v>PC</v>
      </c>
      <c r="D53" s="2" t="str">
        <f>IFERROR(__xludf.DUMMYFUNCTION("""COMPUTED_VALUE"""),"NA")</f>
        <v>NA</v>
      </c>
      <c r="E53" s="2" t="str">
        <f>IFERROR(__xludf.DUMMYFUNCTION("""COMPUTED_VALUE"""),"19AG423")</f>
        <v>19AG423</v>
      </c>
      <c r="F53" s="7" t="str">
        <f>IFERROR(__xludf.DUMMYFUNCTION("""COMPUTED_VALUE"""),"Bio-Energy Systems: Design and Applications")</f>
        <v>Bio-Energy Systems: Design and Applications</v>
      </c>
      <c r="G53" s="2" t="str">
        <f>IFERROR(__xludf.DUMMYFUNCTION("""COMPUTED_VALUE"""),"19AG403")</f>
        <v>19AG403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IFERROR(__xludf.DUMMYFUNCTION("""COMPUTED_VALUE"""),"PC")</f>
        <v>PC</v>
      </c>
      <c r="D54" s="2" t="str">
        <f>IFERROR(__xludf.DUMMYFUNCTION("""COMPUTED_VALUE"""),"NA")</f>
        <v>NA</v>
      </c>
      <c r="E54" s="2" t="str">
        <f>IFERROR(__xludf.DUMMYFUNCTION("""COMPUTED_VALUE"""),"19AG424")</f>
        <v>19AG424</v>
      </c>
      <c r="F54" s="7" t="str">
        <f>IFERROR(__xludf.DUMMYFUNCTION("""COMPUTED_VALUE"""),"Remote Sensing and GIS Applications")</f>
        <v>Remote Sensing and GIS Applications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IFERROR(__xludf.DUMMYFUNCTION("""COMPUTED_VALUE"""),"NA")</f>
        <v>NA</v>
      </c>
      <c r="E55" s="2" t="str">
        <f>IFERROR(__xludf.DUMMYFUNCTION("""COMPUTED_VALUE"""),"19AG508")</f>
        <v>19AG508</v>
      </c>
      <c r="F55" s="7" t="str">
        <f>IFERROR(__xludf.DUMMYFUNCTION("""COMPUTED_VALUE"""),"Farm Machinery Design and Production")</f>
        <v>Farm Machinery Design and Production</v>
      </c>
      <c r="G55" s="2" t="str">
        <f>IFERROR(__xludf.DUMMYFUNCTION("""COMPUTED_VALUE"""),"19AG419")</f>
        <v>19AG419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IFERROR(__xludf.DUMMYFUNCTION("""COMPUTED_VALUE"""),"NA")</f>
        <v>NA</v>
      </c>
      <c r="E56" s="2" t="str">
        <f>IFERROR(__xludf.DUMMYFUNCTION("""COMPUTED_VALUE"""),"19AG509")</f>
        <v>19AG509</v>
      </c>
      <c r="F56" s="7" t="str">
        <f>IFERROR(__xludf.DUMMYFUNCTION("""COMPUTED_VALUE"""),"Human Engineering and Safety")</f>
        <v>Human Engineering and Safety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 t="str">
        <f>IFERROR(__xludf.DUMMYFUNCTION("""COMPUTED_VALUE"""),"Exempted for LE")</f>
        <v>Exempted for LE</v>
      </c>
      <c r="C57" s="2" t="str">
        <f>IFERROR(__xludf.DUMMYFUNCTION("""COMPUTED_VALUE"""),"BS")</f>
        <v>BS</v>
      </c>
      <c r="D57" s="2" t="str">
        <f>IFERROR(__xludf.DUMMYFUNCTION("""COMPUTED_VALUE"""),"SH3203")</f>
        <v>SH3203</v>
      </c>
      <c r="E57" s="2" t="str">
        <f>IFERROR(__xludf.DUMMYFUNCTION("""COMPUTED_VALUE"""),"19PH203")</f>
        <v>19PH203</v>
      </c>
      <c r="F57" s="7" t="str">
        <f>IFERROR(__xludf.DUMMYFUNCTION("""COMPUTED_VALUE"""),"Engineering Physics")</f>
        <v>Engineering Physics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 t="str">
        <f>IFERROR(__xludf.DUMMYFUNCTION("""COMPUTED_VALUE"""),"Exempted for LE")</f>
        <v>Exempted for LE</v>
      </c>
      <c r="C58" s="2" t="str">
        <f>IFERROR(__xludf.DUMMYFUNCTION("""COMPUTED_VALUE"""),"BS")</f>
        <v>BS</v>
      </c>
      <c r="D58" s="2" t="str">
        <f>IFERROR(__xludf.DUMMYFUNCTION("""COMPUTED_VALUE"""),"SH4201")</f>
        <v>SH4201</v>
      </c>
      <c r="E58" s="2" t="str">
        <f>IFERROR(__xludf.DUMMYFUNCTION("""COMPUTED_VALUE"""),"19CY201")</f>
        <v>19CY201</v>
      </c>
      <c r="F58" s="7" t="str">
        <f>IFERROR(__xludf.DUMMYFUNCTION("""COMPUTED_VALUE"""),"Engineering Chemistry")</f>
        <v>Engineering Chemistry</v>
      </c>
      <c r="G58" s="2" t="str">
        <f>IFERROR(__xludf.DUMMYFUNCTION("""COMPUTED_VALUE"""),"-")</f>
        <v>-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IFERROR(__xludf.DUMMYFUNCTION("""COMPUTED_VALUE"""),"EEC")</f>
        <v>EEC</v>
      </c>
      <c r="D59" s="2" t="str">
        <f>IFERROR(__xludf.DUMMYFUNCTION("""COMPUTED_VALUE"""),"AG0851")</f>
        <v>AG0851</v>
      </c>
      <c r="E59" s="2" t="str">
        <f>IFERROR(__xludf.DUMMYFUNCTION("""COMPUTED_VALUE"""),"19AG701")</f>
        <v>19AG701</v>
      </c>
      <c r="F59" s="7" t="str">
        <f>IFERROR(__xludf.DUMMYFUNCTION("""COMPUTED_VALUE"""),"Project Work Phase I")</f>
        <v>Project Work Phase I</v>
      </c>
      <c r="G59" s="2" t="str">
        <f>IFERROR(__xludf.DUMMYFUNCTION("""COMPUTED_VALUE"""),"-")</f>
        <v>-</v>
      </c>
      <c r="H59" s="2">
        <f>IFERROR(__xludf.DUMMYFUNCTION("""COMPUTED_VALUE"""),0)</f>
        <v>0</v>
      </c>
      <c r="I59" s="2">
        <f>IFERROR(__xludf.DUMMYFUNCTION("""COMPUTED_VALUE"""),2)</f>
        <v>2</v>
      </c>
      <c r="J59" s="2">
        <f>IFERROR(__xludf.DUMMYFUNCTION("""COMPUTED_VALUE"""),2)</f>
        <v>2</v>
      </c>
      <c r="K59" s="2" t="str">
        <f>IFERROR(__xludf.DUMMYFUNCTION("""COMPUTED_VALUE"""),"CGPA")</f>
        <v>CGPA</v>
      </c>
      <c r="L59" s="2" t="str">
        <f>IFERROR(__xludf.DUMMYFUNCTION("""COMPUTED_VALUE"""),"Project (Int Only)")</f>
        <v>Project (Int Only)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IFERROR(__xludf.DUMMYFUNCTION("""COMPUTED_VALUE"""),"EEC")</f>
        <v>EEC</v>
      </c>
      <c r="D60" s="2" t="str">
        <f>IFERROR(__xludf.DUMMYFUNCTION("""COMPUTED_VALUE"""),"NA")</f>
        <v>NA</v>
      </c>
      <c r="E60" s="2" t="str">
        <f>IFERROR(__xludf.DUMMYFUNCTION("""COMPUTED_VALUE"""),"19AG702")</f>
        <v>19AG702</v>
      </c>
      <c r="F60" s="7" t="str">
        <f>IFERROR(__xludf.DUMMYFUNCTION("""COMPUTED_VALUE"""),"Project Work Phase II")</f>
        <v>Project Work Phase II</v>
      </c>
      <c r="G60" s="2" t="str">
        <f>IFERROR(__xludf.DUMMYFUNCTION("""COMPUTED_VALUE"""),"19AG701")</f>
        <v>19AG701</v>
      </c>
      <c r="H60" s="2">
        <f>IFERROR(__xludf.DUMMYFUNCTION("""COMPUTED_VALUE"""),0)</f>
        <v>0</v>
      </c>
      <c r="I60" s="2">
        <f>IFERROR(__xludf.DUMMYFUNCTION("""COMPUTED_VALUE"""),8)</f>
        <v>8</v>
      </c>
      <c r="J60" s="2">
        <f>IFERROR(__xludf.DUMMYFUNCTION("""COMPUTED_VALUE"""),8)</f>
        <v>8</v>
      </c>
      <c r="K60" s="2" t="str">
        <f>IFERROR(__xludf.DUMMYFUNCTION("""COMPUTED_VALUE"""),"CGPA")</f>
        <v>CGPA</v>
      </c>
      <c r="L60" s="2" t="str">
        <f>IFERROR(__xludf.DUMMYFUNCTION("""COMPUTED_VALUE"""),"Project")</f>
        <v>Project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IFERROR(__xludf.DUMMYFUNCTION("""COMPUTED_VALUE"""),"EEC")</f>
        <v>EEC</v>
      </c>
      <c r="D61" s="2" t="str">
        <f>IFERROR(__xludf.DUMMYFUNCTION("""COMPUTED_VALUE"""),"NA")</f>
        <v>NA</v>
      </c>
      <c r="E61" s="2" t="str">
        <f>IFERROR(__xludf.DUMMYFUNCTION("""COMPUTED_VALUE"""),"19AG703")</f>
        <v>19AG703</v>
      </c>
      <c r="F61" s="7" t="str">
        <f>IFERROR(__xludf.DUMMYFUNCTION("""COMPUTED_VALUE"""),"Industrial Training")</f>
        <v>Industrial Training</v>
      </c>
      <c r="G61" s="2" t="str">
        <f>IFERROR(__xludf.DUMMYFUNCTION("""COMPUTED_VALUE"""),"-")</f>
        <v>-</v>
      </c>
      <c r="H61" s="2">
        <f>IFERROR(__xludf.DUMMYFUNCTION("""COMPUTED_VALUE"""),0)</f>
        <v>0</v>
      </c>
      <c r="I61" s="2">
        <f>IFERROR(__xludf.DUMMYFUNCTION("""COMPUTED_VALUE"""),0)</f>
        <v>0</v>
      </c>
      <c r="J61" s="2">
        <f>IFERROR(__xludf.DUMMYFUNCTION("""COMPUTED_VALUE"""),0)</f>
        <v>0</v>
      </c>
      <c r="K61" s="2" t="str">
        <f>IFERROR(__xludf.DUMMYFUNCTION("""COMPUTED_VALUE"""),"Non - CGPA")</f>
        <v>Non - CGPA</v>
      </c>
      <c r="L61" s="2" t="str">
        <f>IFERROR(__xludf.DUMMYFUNCTION("""COMPUTED_VALUE"""),"Experiential Learning (Int Only)")</f>
        <v>Experiential Learning (Int Only)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IFERROR(__xludf.DUMMYFUNCTION("""COMPUTED_VALUE"""),"EEC")</f>
        <v>EEC</v>
      </c>
      <c r="D62" s="2" t="str">
        <f>IFERROR(__xludf.DUMMYFUNCTION("""COMPUTED_VALUE"""),"NA")</f>
        <v>NA</v>
      </c>
      <c r="E62" s="2" t="str">
        <f>IFERROR(__xludf.DUMMYFUNCTION("""COMPUTED_VALUE"""),"19AG704")</f>
        <v>19AG704</v>
      </c>
      <c r="F62" s="7" t="str">
        <f>IFERROR(__xludf.DUMMYFUNCTION("""COMPUTED_VALUE"""),"Experiential Learning on Campus")</f>
        <v>Experiential Learning on Campus</v>
      </c>
      <c r="G62" s="2" t="str">
        <f>IFERROR(__xludf.DUMMYFUNCTION("""COMPUTED_VALUE"""),"-")</f>
        <v>-</v>
      </c>
      <c r="H62" s="2">
        <f>IFERROR(__xludf.DUMMYFUNCTION("""COMPUTED_VALUE"""),0)</f>
        <v>0</v>
      </c>
      <c r="I62" s="2">
        <f>IFERROR(__xludf.DUMMYFUNCTION("""COMPUTED_VALUE"""),0)</f>
        <v>0</v>
      </c>
      <c r="J62" s="2">
        <f>IFERROR(__xludf.DUMMYFUNCTION("""COMPUTED_VALUE"""),0)</f>
        <v>0</v>
      </c>
      <c r="K62" s="2" t="str">
        <f>IFERROR(__xludf.DUMMYFUNCTION("""COMPUTED_VALUE"""),"Non - CGPA")</f>
        <v>Non - CGPA</v>
      </c>
      <c r="L62" s="2" t="str">
        <f>IFERROR(__xludf.DUMMYFUNCTION("""COMPUTED_VALUE"""),"Experiential Learning (Int Only)")</f>
        <v>Experiential Learning (Int Only)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IFERROR(__xludf.DUMMYFUNCTION("""COMPUTED_VALUE"""),"EEC")</f>
        <v>EEC</v>
      </c>
      <c r="D63" s="2" t="str">
        <f>IFERROR(__xludf.DUMMYFUNCTION("""COMPUTED_VALUE"""),"NA")</f>
        <v>NA</v>
      </c>
      <c r="E63" s="2" t="str">
        <f>IFERROR(__xludf.DUMMYFUNCTION("""COMPUTED_VALUE"""),"19AG705")</f>
        <v>19AG705</v>
      </c>
      <c r="F63" s="7" t="str">
        <f>IFERROR(__xludf.DUMMYFUNCTION("""COMPUTED_VALUE"""),"Skill Development Training I")</f>
        <v>Skill Development Training I</v>
      </c>
      <c r="G63" s="2" t="str">
        <f>IFERROR(__xludf.DUMMYFUNCTION("""COMPUTED_VALUE"""),"-")</f>
        <v>-</v>
      </c>
      <c r="H63" s="2">
        <f>IFERROR(__xludf.DUMMYFUNCTION("""COMPUTED_VALUE"""),0)</f>
        <v>0</v>
      </c>
      <c r="I63" s="2">
        <f>IFERROR(__xludf.DUMMYFUNCTION("""COMPUTED_VALUE"""),0)</f>
        <v>0</v>
      </c>
      <c r="J63" s="2">
        <f>IFERROR(__xludf.DUMMYFUNCTION("""COMPUTED_VALUE"""),0)</f>
        <v>0</v>
      </c>
      <c r="K63" s="2" t="str">
        <f>IFERROR(__xludf.DUMMYFUNCTION("""COMPUTED_VALUE"""),"Non - CGPA")</f>
        <v>Non - CGPA</v>
      </c>
      <c r="L63" s="2" t="str">
        <f>IFERROR(__xludf.DUMMYFUNCTION("""COMPUTED_VALUE"""),"Experiential Learning (Int Only)")</f>
        <v>Experiential Learning (Int Only)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IFERROR(__xludf.DUMMYFUNCTION("""COMPUTED_VALUE"""),"EEC")</f>
        <v>EEC</v>
      </c>
      <c r="D64" s="2" t="str">
        <f>IFERROR(__xludf.DUMMYFUNCTION("""COMPUTED_VALUE"""),"NA")</f>
        <v>NA</v>
      </c>
      <c r="E64" s="2" t="str">
        <f>IFERROR(__xludf.DUMMYFUNCTION("""COMPUTED_VALUE"""),"19AG706")</f>
        <v>19AG706</v>
      </c>
      <c r="F64" s="7" t="str">
        <f>IFERROR(__xludf.DUMMYFUNCTION("""COMPUTED_VALUE"""),"Skill Development Training II")</f>
        <v>Skill Development Training II</v>
      </c>
      <c r="G64" s="2" t="str">
        <f>IFERROR(__xludf.DUMMYFUNCTION("""COMPUTED_VALUE"""),"-")</f>
        <v>-</v>
      </c>
      <c r="H64" s="2">
        <f>IFERROR(__xludf.DUMMYFUNCTION("""COMPUTED_VALUE"""),0)</f>
        <v>0</v>
      </c>
      <c r="I64" s="2">
        <f>IFERROR(__xludf.DUMMYFUNCTION("""COMPUTED_VALUE"""),0)</f>
        <v>0</v>
      </c>
      <c r="J64" s="2">
        <f>IFERROR(__xludf.DUMMYFUNCTION("""COMPUTED_VALUE"""),0)</f>
        <v>0</v>
      </c>
      <c r="K64" s="2" t="str">
        <f>IFERROR(__xludf.DUMMYFUNCTION("""COMPUTED_VALUE"""),"Non - CGPA")</f>
        <v>Non - CGPA</v>
      </c>
      <c r="L64" s="2" t="str">
        <f>IFERROR(__xludf.DUMMYFUNCTION("""COMPUTED_VALUE"""),"Experiential Learning (Int Only)")</f>
        <v>Experiential Learning (Int Only)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IFERROR(__xludf.DUMMYFUNCTION("""COMPUTED_VALUE"""),"EEC")</f>
        <v>EEC</v>
      </c>
      <c r="D65" s="2" t="str">
        <f>IFERROR(__xludf.DUMMYFUNCTION("""COMPUTED_VALUE"""),"AG0707")</f>
        <v>AG0707</v>
      </c>
      <c r="E65" s="2" t="str">
        <f>IFERROR(__xludf.DUMMYFUNCTION("""COMPUTED_VALUE"""),"19AG707")</f>
        <v>19AG707</v>
      </c>
      <c r="F65" s="7" t="str">
        <f>IFERROR(__xludf.DUMMYFUNCTION("""COMPUTED_VALUE"""),"Educational Tour")</f>
        <v>Educational Tour</v>
      </c>
      <c r="G65" s="2" t="str">
        <f>IFERROR(__xludf.DUMMYFUNCTION("""COMPUTED_VALUE"""),"-")</f>
        <v>-</v>
      </c>
      <c r="H65" s="2">
        <f>IFERROR(__xludf.DUMMYFUNCTION("""COMPUTED_VALUE"""),0)</f>
        <v>0</v>
      </c>
      <c r="I65" s="2">
        <f>IFERROR(__xludf.DUMMYFUNCTION("""COMPUTED_VALUE"""),2)</f>
        <v>2</v>
      </c>
      <c r="J65" s="2">
        <f>IFERROR(__xludf.DUMMYFUNCTION("""COMPUTED_VALUE"""),2)</f>
        <v>2</v>
      </c>
      <c r="K65" s="2" t="str">
        <f>IFERROR(__xludf.DUMMYFUNCTION("""COMPUTED_VALUE"""),"Non - CGPA")</f>
        <v>Non - CGPA</v>
      </c>
      <c r="L65" s="2" t="str">
        <f>IFERROR(__xludf.DUMMYFUNCTION("""COMPUTED_VALUE"""),"Practical (10 Expts)")</f>
        <v>Practical (10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 t="str">
        <f>IFERROR(__xludf.DUMMYFUNCTION("""COMPUTED_VALUE"""),"Any 1")</f>
        <v>Any 1</v>
      </c>
      <c r="C66" s="2" t="str">
        <f>IFERROR(__xludf.DUMMYFUNCTION("""COMPUTED_VALUE"""),"EEC")</f>
        <v>EEC</v>
      </c>
      <c r="D66" s="2" t="str">
        <f>IFERROR(__xludf.DUMMYFUNCTION("""COMPUTED_VALUE"""),"SH6708")</f>
        <v>SH6708</v>
      </c>
      <c r="E66" s="2" t="str">
        <f>IFERROR(__xludf.DUMMYFUNCTION("""COMPUTED_VALUE"""),"19EY708")</f>
        <v>19EY708</v>
      </c>
      <c r="F66" s="7" t="str">
        <f>IFERROR(__xludf.DUMMYFUNCTION("""COMPUTED_VALUE"""),"Career Development Skills")</f>
        <v>Career Development Skills</v>
      </c>
      <c r="G66" s="2" t="str">
        <f>IFERROR(__xludf.DUMMYFUNCTION("""COMPUTED_VALUE"""),"NIL")</f>
        <v>NIL</v>
      </c>
      <c r="H66" s="2">
        <f>IFERROR(__xludf.DUMMYFUNCTION("""COMPUTED_VALUE"""),1)</f>
        <v>1</v>
      </c>
      <c r="I66" s="2">
        <f>IFERROR(__xludf.DUMMYFUNCTION("""COMPUTED_VALUE"""),0)</f>
        <v>0</v>
      </c>
      <c r="J66" s="2">
        <f>IFERROR(__xludf.DUMMYFUNCTION("""COMPUTED_VALUE"""),1)</f>
        <v>1</v>
      </c>
      <c r="K66" s="2" t="str">
        <f>IFERROR(__xludf.DUMMYFUNCTION("""COMPUTED_VALUE"""),"CGPA")</f>
        <v>CGPA</v>
      </c>
      <c r="L66" s="2" t="str">
        <f>IFERROR(__xludf.DUMMYFUNCTION("""COMPUTED_VALUE"""),"Theory (Int Only)")</f>
        <v>Theory (Int Only)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 t="str">
        <f>IFERROR(__xludf.DUMMYFUNCTION("""COMPUTED_VALUE"""),"Any 1")</f>
        <v>Any 1</v>
      </c>
      <c r="C67" s="2" t="str">
        <f>IFERROR(__xludf.DUMMYFUNCTION("""COMPUTED_VALUE"""),"EEC")</f>
        <v>EEC</v>
      </c>
      <c r="D67" s="2" t="str">
        <f>IFERROR(__xludf.DUMMYFUNCTION("""COMPUTED_VALUE"""),"NA")</f>
        <v>NA</v>
      </c>
      <c r="E67" s="2" t="str">
        <f>IFERROR(__xludf.DUMMYFUNCTION("""COMPUTED_VALUE"""),"19EY701")</f>
        <v>19EY701</v>
      </c>
      <c r="F67" s="7" t="str">
        <f>IFERROR(__xludf.DUMMYFUNCTION("""COMPUTED_VALUE"""),"Softskills")</f>
        <v>Softskills</v>
      </c>
      <c r="G67" s="2" t="str">
        <f>IFERROR(__xludf.DUMMYFUNCTION("""COMPUTED_VALUE"""),"-")</f>
        <v>-</v>
      </c>
      <c r="H67" s="2">
        <f>IFERROR(__xludf.DUMMYFUNCTION("""COMPUTED_VALUE"""),0)</f>
        <v>0</v>
      </c>
      <c r="I67" s="2">
        <f>IFERROR(__xludf.DUMMYFUNCTION("""COMPUTED_VALUE"""),1)</f>
        <v>1</v>
      </c>
      <c r="J67" s="2">
        <f>IFERROR(__xludf.DUMMYFUNCTION("""COMPUTED_VALUE"""),1)</f>
        <v>1</v>
      </c>
      <c r="K67" s="2" t="str">
        <f>IFERROR(__xludf.DUMMYFUNCTION("""COMPUTED_VALUE"""),"CGPA")</f>
        <v>CGPA</v>
      </c>
      <c r="L67" s="2" t="str">
        <f>IFERROR(__xludf.DUMMYFUNCTION("""COMPUTED_VALUE"""),"Practical (6 Expts)")</f>
        <v>Practical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 t="str">
        <f>IFERROR(__xludf.DUMMYFUNCTION("""COMPUTED_VALUE"""),"Any 1")</f>
        <v>Any 1</v>
      </c>
      <c r="C68" s="2" t="str">
        <f>IFERROR(__xludf.DUMMYFUNCTION("""COMPUTED_VALUE"""),"EEC")</f>
        <v>EEC</v>
      </c>
      <c r="D68" s="2" t="str">
        <f>IFERROR(__xludf.DUMMYFUNCTION("""COMPUTED_VALUE"""),"NA")</f>
        <v>NA</v>
      </c>
      <c r="E68" s="2" t="str">
        <f>IFERROR(__xludf.DUMMYFUNCTION("""COMPUTED_VALUE"""),"19EY702")</f>
        <v>19EY702</v>
      </c>
      <c r="F68" s="7" t="str">
        <f>IFERROR(__xludf.DUMMYFUNCTION("""COMPUTED_VALUE"""),"Creative Skills for Communication")</f>
        <v>Creative Skills for Communication</v>
      </c>
      <c r="G68" s="2" t="str">
        <f>IFERROR(__xludf.DUMMYFUNCTION("""COMPUTED_VALUE"""),"-")</f>
        <v>-</v>
      </c>
      <c r="H68" s="2">
        <f>IFERROR(__xludf.DUMMYFUNCTION("""COMPUTED_VALUE"""),0)</f>
        <v>0</v>
      </c>
      <c r="I68" s="2">
        <f>IFERROR(__xludf.DUMMYFUNCTION("""COMPUTED_VALUE"""),1)</f>
        <v>1</v>
      </c>
      <c r="J68" s="2">
        <f>IFERROR(__xludf.DUMMYFUNCTION("""COMPUTED_VALUE"""),1)</f>
        <v>1</v>
      </c>
      <c r="K68" s="2" t="str">
        <f>IFERROR(__xludf.DUMMYFUNCTION("""COMPUTED_VALUE"""),"CGPA")</f>
        <v>CGPA</v>
      </c>
      <c r="L68" s="2" t="str">
        <f>IFERROR(__xludf.DUMMYFUNCTION("""COMPUTED_VALUE"""),"Practical (6 Expts)")</f>
        <v>Practical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 t="str">
        <f>IFERROR(__xludf.DUMMYFUNCTION("""COMPUTED_VALUE"""),"Any 1")</f>
        <v>Any 1</v>
      </c>
      <c r="C69" s="2" t="str">
        <f>IFERROR(__xludf.DUMMYFUNCTION("""COMPUTED_VALUE"""),"EEC")</f>
        <v>EEC</v>
      </c>
      <c r="D69" s="2" t="str">
        <f>IFERROR(__xludf.DUMMYFUNCTION("""COMPUTED_VALUE"""),"SH6709")</f>
        <v>SH6709</v>
      </c>
      <c r="E69" s="2" t="str">
        <f>IFERROR(__xludf.DUMMYFUNCTION("""COMPUTED_VALUE"""),"19EY709")</f>
        <v>19EY709</v>
      </c>
      <c r="F69" s="7" t="str">
        <f>IFERROR(__xludf.DUMMYFUNCTION("""COMPUTED_VALUE"""),"Reasoning Ability")</f>
        <v>Reasoning Ability</v>
      </c>
      <c r="G69" s="2" t="str">
        <f>IFERROR(__xludf.DUMMYFUNCTION("""COMPUTED_VALUE"""),"NIL")</f>
        <v>NIL</v>
      </c>
      <c r="H69" s="2">
        <f>IFERROR(__xludf.DUMMYFUNCTION("""COMPUTED_VALUE"""),1)</f>
        <v>1</v>
      </c>
      <c r="I69" s="2">
        <f>IFERROR(__xludf.DUMMYFUNCTION("""COMPUTED_VALUE"""),0)</f>
        <v>0</v>
      </c>
      <c r="J69" s="2">
        <f>IFERROR(__xludf.DUMMYFUNCTION("""COMPUTED_VALUE"""),1)</f>
        <v>1</v>
      </c>
      <c r="K69" s="2" t="str">
        <f>IFERROR(__xludf.DUMMYFUNCTION("""COMPUTED_VALUE"""),"CGPA")</f>
        <v>CGPA</v>
      </c>
      <c r="L69" s="2" t="str">
        <f>IFERROR(__xludf.DUMMYFUNCTION("""COMPUTED_VALUE"""),"Theory (Int Only)")</f>
        <v>Theory (Int Only)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 t="str">
        <f>IFERROR(__xludf.DUMMYFUNCTION("""COMPUTED_VALUE"""),"Option 1")</f>
        <v>Option 1</v>
      </c>
      <c r="C70" s="2" t="str">
        <f>IFERROR(__xludf.DUMMYFUNCTION("""COMPUTED_VALUE"""),"EEC")</f>
        <v>EEC</v>
      </c>
      <c r="D70" s="2" t="str">
        <f>IFERROR(__xludf.DUMMYFUNCTION("""COMPUTED_VALUE"""),"NA")</f>
        <v>NA</v>
      </c>
      <c r="E70" s="2" t="str">
        <f>IFERROR(__xludf.DUMMYFUNCTION("""COMPUTED_VALUE"""),"19EY703")</f>
        <v>19EY703</v>
      </c>
      <c r="F70" s="7" t="str">
        <f>IFERROR(__xludf.DUMMYFUNCTION("""COMPUTED_VALUE"""),"System of Numerical and Logical Terminologies")</f>
        <v>System of Numerical and Logical Terminologies</v>
      </c>
      <c r="G70" s="2" t="str">
        <f>IFERROR(__xludf.DUMMYFUNCTION("""COMPUTED_VALUE"""),"-")</f>
        <v>-</v>
      </c>
      <c r="H70" s="2">
        <f>IFERROR(__xludf.DUMMYFUNCTION("""COMPUTED_VALUE"""),0)</f>
        <v>0</v>
      </c>
      <c r="I70" s="2">
        <f>IFERROR(__xludf.DUMMYFUNCTION("""COMPUTED_VALUE"""),1)</f>
        <v>1</v>
      </c>
      <c r="J70" s="2">
        <f>IFERROR(__xludf.DUMMYFUNCTION("""COMPUTED_VALUE"""),1)</f>
        <v>1</v>
      </c>
      <c r="K70" s="2" t="str">
        <f>IFERROR(__xludf.DUMMYFUNCTION("""COMPUTED_VALUE"""),"CGPA")</f>
        <v>CGPA</v>
      </c>
      <c r="L70" s="2" t="str">
        <f>IFERROR(__xludf.DUMMYFUNCTION("""COMPUTED_VALUE"""),"Practical (6 Expts)")</f>
        <v>Practical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 t="str">
        <f>IFERROR(__xludf.DUMMYFUNCTION("""COMPUTED_VALUE"""),"Option 1")</f>
        <v>Option 1</v>
      </c>
      <c r="C71" s="2" t="str">
        <f>IFERROR(__xludf.DUMMYFUNCTION("""COMPUTED_VALUE"""),"EEC")</f>
        <v>EEC</v>
      </c>
      <c r="D71" s="2" t="str">
        <f>IFERROR(__xludf.DUMMYFUNCTION("""COMPUTED_VALUE"""),"NA")</f>
        <v>NA</v>
      </c>
      <c r="E71" s="2" t="str">
        <f>IFERROR(__xludf.DUMMYFUNCTION("""COMPUTED_VALUE"""),"19EY704")</f>
        <v>19EY704</v>
      </c>
      <c r="F71" s="7" t="str">
        <f>IFERROR(__xludf.DUMMYFUNCTION("""COMPUTED_VALUE"""),"Advanced Quantitative and Logical Reasoning")</f>
        <v>Advanced Quantitative and Logical Reasoning</v>
      </c>
      <c r="G71" s="2" t="str">
        <f>IFERROR(__xludf.DUMMYFUNCTION("""COMPUTED_VALUE"""),"-")</f>
        <v>-</v>
      </c>
      <c r="H71" s="2">
        <f>IFERROR(__xludf.DUMMYFUNCTION("""COMPUTED_VALUE"""),0)</f>
        <v>0</v>
      </c>
      <c r="I71" s="2">
        <f>IFERROR(__xludf.DUMMYFUNCTION("""COMPUTED_VALUE"""),1)</f>
        <v>1</v>
      </c>
      <c r="J71" s="2">
        <f>IFERROR(__xludf.DUMMYFUNCTION("""COMPUTED_VALUE"""),1)</f>
        <v>1</v>
      </c>
      <c r="K71" s="2" t="str">
        <f>IFERROR(__xludf.DUMMYFUNCTION("""COMPUTED_VALUE"""),"CGPA")</f>
        <v>CGPA</v>
      </c>
      <c r="L71" s="2" t="str">
        <f>IFERROR(__xludf.DUMMYFUNCTION("""COMPUTED_VALUE"""),"Practical (6 Expts)")</f>
        <v>Practical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 t="str">
        <f>IFERROR(__xludf.DUMMYFUNCTION("""COMPUTED_VALUE"""),"Option 2")</f>
        <v>Option 2</v>
      </c>
      <c r="C72" s="2" t="str">
        <f>IFERROR(__xludf.DUMMYFUNCTION("""COMPUTED_VALUE"""),"EEC")</f>
        <v>EEC</v>
      </c>
      <c r="D72" s="2" t="str">
        <f>IFERROR(__xludf.DUMMYFUNCTION("""COMPUTED_VALUE"""),"SH6710")</f>
        <v>SH6710</v>
      </c>
      <c r="E72" s="2" t="str">
        <f>IFERROR(__xludf.DUMMYFUNCTION("""COMPUTED_VALUE"""),"19EY710")</f>
        <v>19EY710</v>
      </c>
      <c r="F72" s="7" t="str">
        <f>IFERROR(__xludf.DUMMYFUNCTION("""COMPUTED_VALUE"""),"Quantitative Ability I")</f>
        <v>Quantitative Ability I</v>
      </c>
      <c r="G72" s="2" t="str">
        <f>IFERROR(__xludf.DUMMYFUNCTION("""COMPUTED_VALUE"""),"NIL")</f>
        <v>NIL</v>
      </c>
      <c r="H72" s="2">
        <f>IFERROR(__xludf.DUMMYFUNCTION("""COMPUTED_VALUE"""),1)</f>
        <v>1</v>
      </c>
      <c r="I72" s="2">
        <f>IFERROR(__xludf.DUMMYFUNCTION("""COMPUTED_VALUE"""),0)</f>
        <v>0</v>
      </c>
      <c r="J72" s="2">
        <f>IFERROR(__xludf.DUMMYFUNCTION("""COMPUTED_VALUE"""),1)</f>
        <v>1</v>
      </c>
      <c r="K72" s="2" t="str">
        <f>IFERROR(__xludf.DUMMYFUNCTION("""COMPUTED_VALUE"""),"CGPA")</f>
        <v>CGPA</v>
      </c>
      <c r="L72" s="2" t="str">
        <f>IFERROR(__xludf.DUMMYFUNCTION("""COMPUTED_VALUE"""),"Theory (Int Only)")</f>
        <v>Theory (Int Only)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 t="str">
        <f>IFERROR(__xludf.DUMMYFUNCTION("""COMPUTED_VALUE"""),"Option 2")</f>
        <v>Option 2</v>
      </c>
      <c r="C73" s="2" t="str">
        <f>IFERROR(__xludf.DUMMYFUNCTION("""COMPUTED_VALUE"""),"EEC")</f>
        <v>EEC</v>
      </c>
      <c r="D73" s="2" t="str">
        <f>IFERROR(__xludf.DUMMYFUNCTION("""COMPUTED_VALUE"""),"SH6711")</f>
        <v>SH6711</v>
      </c>
      <c r="E73" s="2" t="str">
        <f>IFERROR(__xludf.DUMMYFUNCTION("""COMPUTED_VALUE"""),"19EY711")</f>
        <v>19EY711</v>
      </c>
      <c r="F73" s="7" t="str">
        <f>IFERROR(__xludf.DUMMYFUNCTION("""COMPUTED_VALUE"""),"Quantitative Ability II")</f>
        <v>Quantitative Ability II</v>
      </c>
      <c r="G73" s="2" t="str">
        <f>IFERROR(__xludf.DUMMYFUNCTION("""COMPUTED_VALUE"""),"SH6710 /19EY710")</f>
        <v>SH6710 /19EY710</v>
      </c>
      <c r="H73" s="2">
        <f>IFERROR(__xludf.DUMMYFUNCTION("""COMPUTED_VALUE"""),1)</f>
        <v>1</v>
      </c>
      <c r="I73" s="2">
        <f>IFERROR(__xludf.DUMMYFUNCTION("""COMPUTED_VALUE"""),0)</f>
        <v>0</v>
      </c>
      <c r="J73" s="2">
        <f>IFERROR(__xludf.DUMMYFUNCTION("""COMPUTED_VALUE"""),1)</f>
        <v>1</v>
      </c>
      <c r="K73" s="2" t="str">
        <f>IFERROR(__xludf.DUMMYFUNCTION("""COMPUTED_VALUE"""),"CGPA")</f>
        <v>CGPA</v>
      </c>
      <c r="L73" s="2" t="str">
        <f>IFERROR(__xludf.DUMMYFUNCTION("""COMPUTED_VALUE"""),"Theory (Int Only)")</f>
        <v>Theory (Int Only)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 t="str">
        <f>IFERROR(__xludf.DUMMYFUNCTION("""COMPUTED_VALUE"""),"Any 1")</f>
        <v>Any 1</v>
      </c>
      <c r="C74" s="2" t="str">
        <f>IFERROR(__xludf.DUMMYFUNCTION("""COMPUTED_VALUE"""),"EEC")</f>
        <v>EEC</v>
      </c>
      <c r="D74" s="2" t="str">
        <f>IFERROR(__xludf.DUMMYFUNCTION("""COMPUTED_VALUE"""),"NA")</f>
        <v>NA</v>
      </c>
      <c r="E74" s="2" t="str">
        <f>IFERROR(__xludf.DUMMYFUNCTION("""COMPUTED_VALUE"""),"19EY705")</f>
        <v>19EY705</v>
      </c>
      <c r="F74" s="7" t="str">
        <f>IFERROR(__xludf.DUMMYFUNCTION("""COMPUTED_VALUE"""),"Employment Enhancement Skills")</f>
        <v>Employment Enhancement Skills</v>
      </c>
      <c r="G74" s="2" t="str">
        <f>IFERROR(__xludf.DUMMYFUNCTION("""COMPUTED_VALUE"""),"-")</f>
        <v>-</v>
      </c>
      <c r="H74" s="2">
        <f>IFERROR(__xludf.DUMMYFUNCTION("""COMPUTED_VALUE"""),0)</f>
        <v>0</v>
      </c>
      <c r="I74" s="2">
        <f>IFERROR(__xludf.DUMMYFUNCTION("""COMPUTED_VALUE"""),1)</f>
        <v>1</v>
      </c>
      <c r="J74" s="2">
        <f>IFERROR(__xludf.DUMMYFUNCTION("""COMPUTED_VALUE"""),1)</f>
        <v>1</v>
      </c>
      <c r="K74" s="2" t="str">
        <f>IFERROR(__xludf.DUMMYFUNCTION("""COMPUTED_VALUE"""),"CGPA")</f>
        <v>CGPA</v>
      </c>
      <c r="L74" s="2" t="str">
        <f>IFERROR(__xludf.DUMMYFUNCTION("""COMPUTED_VALUE"""),"Practical (6 Expts)")</f>
        <v>Practical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 t="str">
        <f>IFERROR(__xludf.DUMMYFUNCTION("""COMPUTED_VALUE"""),"Any 1")</f>
        <v>Any 1</v>
      </c>
      <c r="C75" s="2" t="str">
        <f>IFERROR(__xludf.DUMMYFUNCTION("""COMPUTED_VALUE"""),"EEC")</f>
        <v>EEC</v>
      </c>
      <c r="D75" s="2" t="str">
        <f>IFERROR(__xludf.DUMMYFUNCTION("""COMPUTED_VALUE"""),"SH6712")</f>
        <v>SH6712</v>
      </c>
      <c r="E75" s="2" t="str">
        <f>IFERROR(__xludf.DUMMYFUNCTION("""COMPUTED_VALUE"""),"19EY712")</f>
        <v>19EY712</v>
      </c>
      <c r="F75" s="7" t="str">
        <f>IFERROR(__xludf.DUMMYFUNCTION("""COMPUTED_VALUE"""),"Employment Enrichment Skills")</f>
        <v>Employment Enrichment Skills</v>
      </c>
      <c r="G75" s="2" t="str">
        <f>IFERROR(__xludf.DUMMYFUNCTION("""COMPUTED_VALUE"""),"19EY702 / 19EY709 / SH6709")</f>
        <v>19EY702 / 19EY709 / SH6709</v>
      </c>
      <c r="H75" s="2">
        <f>IFERROR(__xludf.DUMMYFUNCTION("""COMPUTED_VALUE"""),1)</f>
        <v>1</v>
      </c>
      <c r="I75" s="2">
        <f>IFERROR(__xludf.DUMMYFUNCTION("""COMPUTED_VALUE"""),0)</f>
        <v>0</v>
      </c>
      <c r="J75" s="2">
        <f>IFERROR(__xludf.DUMMYFUNCTION("""COMPUTED_VALUE"""),1)</f>
        <v>1</v>
      </c>
      <c r="K75" s="2" t="str">
        <f>IFERROR(__xludf.DUMMYFUNCTION("""COMPUTED_VALUE"""),"CGPA")</f>
        <v>CGPA</v>
      </c>
      <c r="L75" s="2" t="str">
        <f>IFERROR(__xludf.DUMMYFUNCTION("""COMPUTED_VALUE"""),"Theory (Int Only)")</f>
        <v>Theory (Int Only)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 t="str">
        <f>IFERROR(__xludf.DUMMYFUNCTION("""COMPUTED_VALUE"""),"Any 1")</f>
        <v>Any 1</v>
      </c>
      <c r="C76" s="2" t="str">
        <f>IFERROR(__xludf.DUMMYFUNCTION("""COMPUTED_VALUE"""),"EEC")</f>
        <v>EEC</v>
      </c>
      <c r="D76" s="2" t="str">
        <f>IFERROR(__xludf.DUMMYFUNCTION("""COMPUTED_VALUE"""),"NA")</f>
        <v>NA</v>
      </c>
      <c r="E76" s="2" t="str">
        <f>IFERROR(__xludf.DUMMYFUNCTION("""COMPUTED_VALUE"""),"19EY706")</f>
        <v>19EY706</v>
      </c>
      <c r="F76" s="7" t="str">
        <f>IFERROR(__xludf.DUMMYFUNCTION("""COMPUTED_VALUE"""),"Company Specific Assessments For Employability")</f>
        <v>Company Specific Assessments For Employability</v>
      </c>
      <c r="G76" s="2" t="str">
        <f>IFERROR(__xludf.DUMMYFUNCTION("""COMPUTED_VALUE"""),"-")</f>
        <v>-</v>
      </c>
      <c r="H76" s="2">
        <f>IFERROR(__xludf.DUMMYFUNCTION("""COMPUTED_VALUE"""),0)</f>
        <v>0</v>
      </c>
      <c r="I76" s="2">
        <f>IFERROR(__xludf.DUMMYFUNCTION("""COMPUTED_VALUE"""),1)</f>
        <v>1</v>
      </c>
      <c r="J76" s="2">
        <f>IFERROR(__xludf.DUMMYFUNCTION("""COMPUTED_VALUE"""),1)</f>
        <v>1</v>
      </c>
      <c r="K76" s="2" t="str">
        <f>IFERROR(__xludf.DUMMYFUNCTION("""COMPUTED_VALUE"""),"CGPA")</f>
        <v>CGPA</v>
      </c>
      <c r="L76" s="2" t="str">
        <f>IFERROR(__xludf.DUMMYFUNCTION("""COMPUTED_VALUE"""),"Practical (6 Expts)")</f>
        <v>Practical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IFERROR(__xludf.DUMMYFUNCTION("""COMPUTED_VALUE"""),"MC")</f>
        <v>MC</v>
      </c>
      <c r="D77" s="2" t="str">
        <f>IFERROR(__xludf.DUMMYFUNCTION("""COMPUTED_VALUE"""),"SH6707")</f>
        <v>SH6707</v>
      </c>
      <c r="E77" s="2" t="str">
        <f>IFERROR(__xludf.DUMMYFUNCTION("""COMPUTED_VALUE"""),"19EY707")</f>
        <v>19EY707</v>
      </c>
      <c r="F77" s="7" t="str">
        <f>IFERROR(__xludf.DUMMYFUNCTION("""COMPUTED_VALUE"""),"Paper Publication")</f>
        <v>Paper Publication</v>
      </c>
      <c r="G77" s="2" t="str">
        <f>IFERROR(__xludf.DUMMYFUNCTION("""COMPUTED_VALUE"""),"-")</f>
        <v>-</v>
      </c>
      <c r="H77" s="2">
        <f>IFERROR(__xludf.DUMMYFUNCTION("""COMPUTED_VALUE"""),0)</f>
        <v>0</v>
      </c>
      <c r="I77" s="2">
        <f>IFERROR(__xludf.DUMMYFUNCTION("""COMPUTED_VALUE"""),0)</f>
        <v>0</v>
      </c>
      <c r="J77" s="2">
        <f>IFERROR(__xludf.DUMMYFUNCTION("""COMPUTED_VALUE"""),1)</f>
        <v>1</v>
      </c>
      <c r="K77" s="2" t="str">
        <f>IFERROR(__xludf.DUMMYFUNCTION("""COMPUTED_VALUE"""),"NON-CGPA")</f>
        <v>NON-CGPA</v>
      </c>
      <c r="L77" s="2" t="str">
        <f>IFERROR(__xludf.DUMMYFUNCTION("""COMPUTED_VALUE"""),"Experiential Learning (Int Only)")</f>
        <v>Experiential Learning (Int Only)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 t="str">
        <f>IFERROR(__xludf.DUMMYFUNCTION("""COMPUTED_VALUE"""),"Any 1")</f>
        <v>Any 1</v>
      </c>
      <c r="C78" s="2" t="str">
        <f>IFERROR(__xludf.DUMMYFUNCTION("""COMPUTED_VALUE"""),"MC")</f>
        <v>MC</v>
      </c>
      <c r="D78" s="2" t="str">
        <f>IFERROR(__xludf.DUMMYFUNCTION("""COMPUTED_VALUE"""),"SH6803")</f>
        <v>SH6803</v>
      </c>
      <c r="E78" s="2" t="str">
        <f>IFERROR(__xludf.DUMMYFUNCTION("""COMPUTED_VALUE"""),"19MC807")</f>
        <v>19MC807</v>
      </c>
      <c r="F78" s="3" t="str">
        <f>IFERROR(__xludf.DUMMYFUNCTION("""COMPUTED_VALUE"""),"National Service Scheme")</f>
        <v>National Service Scheme</v>
      </c>
      <c r="G78" s="2" t="str">
        <f>IFERROR(__xludf.DUMMYFUNCTION("""COMPUTED_VALUE"""),"-")</f>
        <v>-</v>
      </c>
      <c r="H78" s="2">
        <f>IFERROR(__xludf.DUMMYFUNCTION("""COMPUTED_VALUE"""),0)</f>
        <v>0</v>
      </c>
      <c r="I78" s="2">
        <f>IFERROR(__xludf.DUMMYFUNCTION("""COMPUTED_VALUE"""),0)</f>
        <v>0</v>
      </c>
      <c r="J78" s="2">
        <f>IFERROR(__xludf.DUMMYFUNCTION("""COMPUTED_VALUE"""),0)</f>
        <v>0</v>
      </c>
      <c r="K78" s="2" t="str">
        <f>IFERROR(__xludf.DUMMYFUNCTION("""COMPUTED_VALUE"""),"NON-CGPA")</f>
        <v>NON-CGPA</v>
      </c>
      <c r="L78" s="2" t="str">
        <f>IFERROR(__xludf.DUMMYFUNCTION("""COMPUTED_VALUE"""),"Experiential Learning (Int Only)")</f>
        <v>Experiential Learning (Int Only)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 t="str">
        <f>IFERROR(__xludf.DUMMYFUNCTION("""COMPUTED_VALUE"""),"Any 1")</f>
        <v>Any 1</v>
      </c>
      <c r="C79" s="2" t="str">
        <f>IFERROR(__xludf.DUMMYFUNCTION("""COMPUTED_VALUE"""),"MC")</f>
        <v>MC</v>
      </c>
      <c r="D79" s="2" t="str">
        <f>IFERROR(__xludf.DUMMYFUNCTION("""COMPUTED_VALUE"""),"SH8807")</f>
        <v>SH8807</v>
      </c>
      <c r="E79" s="2" t="str">
        <f>IFERROR(__xludf.DUMMYFUNCTION("""COMPUTED_VALUE"""),"19MC808")</f>
        <v>19MC808</v>
      </c>
      <c r="F79" s="3" t="str">
        <f>IFERROR(__xludf.DUMMYFUNCTION("""COMPUTED_VALUE"""),"National Sports Organization ")</f>
        <v>National Sports Organization </v>
      </c>
      <c r="G79" s="2" t="str">
        <f>IFERROR(__xludf.DUMMYFUNCTION("""COMPUTED_VALUE"""),"-")</f>
        <v>-</v>
      </c>
      <c r="H79" s="2">
        <f>IFERROR(__xludf.DUMMYFUNCTION("""COMPUTED_VALUE"""),0)</f>
        <v>0</v>
      </c>
      <c r="I79" s="2">
        <f>IFERROR(__xludf.DUMMYFUNCTION("""COMPUTED_VALUE"""),0)</f>
        <v>0</v>
      </c>
      <c r="J79" s="2">
        <f>IFERROR(__xludf.DUMMYFUNCTION("""COMPUTED_VALUE"""),0)</f>
        <v>0</v>
      </c>
      <c r="K79" s="2" t="str">
        <f>IFERROR(__xludf.DUMMYFUNCTION("""COMPUTED_VALUE"""),"NON-CGPA")</f>
        <v>NON-CGPA</v>
      </c>
      <c r="L79" s="2" t="str">
        <f>IFERROR(__xludf.DUMMYFUNCTION("""COMPUTED_VALUE"""),"Experiential Learning (Int Only)")</f>
        <v>Experiential Learning (Int Only)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 t="str">
        <f>IFERROR(__xludf.DUMMYFUNCTION("""COMPUTED_VALUE"""),"Any 1")</f>
        <v>Any 1</v>
      </c>
      <c r="C80" s="2" t="str">
        <f>IFERROR(__xludf.DUMMYFUNCTION("""COMPUTED_VALUE"""),"MC")</f>
        <v>MC</v>
      </c>
      <c r="D80" s="2" t="str">
        <f>IFERROR(__xludf.DUMMYFUNCTION("""COMPUTED_VALUE"""),"SH8808")</f>
        <v>SH8808</v>
      </c>
      <c r="E80" s="2" t="str">
        <f>IFERROR(__xludf.DUMMYFUNCTION("""COMPUTED_VALUE"""),"19MC809")</f>
        <v>19MC809</v>
      </c>
      <c r="F80" s="3" t="str">
        <f>IFERROR(__xludf.DUMMYFUNCTION("""COMPUTED_VALUE"""),"Youth Red Cross")</f>
        <v>Youth Red Cross</v>
      </c>
      <c r="G80" s="2" t="str">
        <f>IFERROR(__xludf.DUMMYFUNCTION("""COMPUTED_VALUE"""),"-")</f>
        <v>-</v>
      </c>
      <c r="H80" s="2">
        <f>IFERROR(__xludf.DUMMYFUNCTION("""COMPUTED_VALUE"""),0)</f>
        <v>0</v>
      </c>
      <c r="I80" s="2">
        <f>IFERROR(__xludf.DUMMYFUNCTION("""COMPUTED_VALUE"""),0)</f>
        <v>0</v>
      </c>
      <c r="J80" s="2">
        <f>IFERROR(__xludf.DUMMYFUNCTION("""COMPUTED_VALUE"""),0)</f>
        <v>0</v>
      </c>
      <c r="K80" s="2" t="str">
        <f>IFERROR(__xludf.DUMMYFUNCTION("""COMPUTED_VALUE"""),"NON-CGPA")</f>
        <v>NON-CGPA</v>
      </c>
      <c r="L80" s="2" t="str">
        <f>IFERROR(__xludf.DUMMYFUNCTION("""COMPUTED_VALUE"""),"Experiential Learning (Int Only)")</f>
        <v>Experiential Learning (Int Only)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IFERROR(__xludf.DUMMYFUNCTION("""COMPUTED_VALUE"""),"MC")</f>
        <v>MC</v>
      </c>
      <c r="D81" s="2" t="str">
        <f>IFERROR(__xludf.DUMMYFUNCTION("""COMPUTED_VALUE"""),"NA")</f>
        <v>NA</v>
      </c>
      <c r="E81" s="2" t="str">
        <f>IFERROR(__xludf.DUMMYFUNCTION("""COMPUTED_VALUE"""),"19MC803")</f>
        <v>19MC803</v>
      </c>
      <c r="F81" s="7" t="str">
        <f>IFERROR(__xludf.DUMMYFUNCTION("""COMPUTED_VALUE"""),"Constitution of India")</f>
        <v>Constitution of India</v>
      </c>
      <c r="G81" s="2" t="str">
        <f>IFERROR(__xludf.DUMMYFUNCTION("""COMPUTED_VALUE"""),"-")</f>
        <v>-</v>
      </c>
      <c r="H81" s="2">
        <f>IFERROR(__xludf.DUMMYFUNCTION("""COMPUTED_VALUE"""),0)</f>
        <v>0</v>
      </c>
      <c r="I81" s="2">
        <f>IFERROR(__xludf.DUMMYFUNCTION("""COMPUTED_VALUE"""),0)</f>
        <v>0</v>
      </c>
      <c r="J81" s="2">
        <f>IFERROR(__xludf.DUMMYFUNCTION("""COMPUTED_VALUE"""),0)</f>
        <v>0</v>
      </c>
      <c r="K81" s="2" t="str">
        <f>IFERROR(__xludf.DUMMYFUNCTION("""COMPUTED_VALUE"""),"CGPA")</f>
        <v>CGPA</v>
      </c>
      <c r="L81" s="2" t="str">
        <f>IFERROR(__xludf.DUMMYFUNCTION("""COMPUTED_VALUE"""),"Theory (Int Only)")</f>
        <v>Theory (Int Only)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IFERROR(__xludf.DUMMYFUNCTION("""COMPUTED_VALUE"""),"MC")</f>
        <v>MC</v>
      </c>
      <c r="D82" s="2" t="str">
        <f>IFERROR(__xludf.DUMMYFUNCTION("""COMPUTED_VALUE"""),"NA")</f>
        <v>NA</v>
      </c>
      <c r="E82" s="2" t="str">
        <f>IFERROR(__xludf.DUMMYFUNCTION("""COMPUTED_VALUE"""),"19MC802")</f>
        <v>19MC802</v>
      </c>
      <c r="F82" s="7" t="str">
        <f>IFERROR(__xludf.DUMMYFUNCTION("""COMPUTED_VALUE"""),"Environmental Science")</f>
        <v>Environmental Science</v>
      </c>
      <c r="G82" s="2" t="str">
        <f>IFERROR(__xludf.DUMMYFUNCTION("""COMPUTED_VALUE"""),"-")</f>
        <v>-</v>
      </c>
      <c r="H82" s="2">
        <f>IFERROR(__xludf.DUMMYFUNCTION("""COMPUTED_VALUE"""),0)</f>
        <v>0</v>
      </c>
      <c r="I82" s="2">
        <f>IFERROR(__xludf.DUMMYFUNCTION("""COMPUTED_VALUE"""),0)</f>
        <v>0</v>
      </c>
      <c r="J82" s="2">
        <f>IFERROR(__xludf.DUMMYFUNCTION("""COMPUTED_VALUE"""),0)</f>
        <v>0</v>
      </c>
      <c r="K82" s="2" t="str">
        <f>IFERROR(__xludf.DUMMYFUNCTION("""COMPUTED_VALUE"""),"CGPA")</f>
        <v>CGPA</v>
      </c>
      <c r="L82" s="2" t="str">
        <f>IFERROR(__xludf.DUMMYFUNCTION("""COMPUTED_VALUE"""),"Theory (Int Only)")</f>
        <v>Theory (Int Only)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IFERROR(__xludf.DUMMYFUNCTION("""COMPUTED_VALUE"""),"MC")</f>
        <v>MC</v>
      </c>
      <c r="D83" s="2" t="str">
        <f>IFERROR(__xludf.DUMMYFUNCTION("""COMPUTED_VALUE"""),"NA")</f>
        <v>NA</v>
      </c>
      <c r="E83" s="2" t="str">
        <f>IFERROR(__xludf.DUMMYFUNCTION("""COMPUTED_VALUE"""),"19MC801")</f>
        <v>19MC801</v>
      </c>
      <c r="F83" s="7" t="str">
        <f>IFERROR(__xludf.DUMMYFUNCTION("""COMPUTED_VALUE"""),"Professional Ethics")</f>
        <v>Professional Ethics</v>
      </c>
      <c r="G83" s="2" t="str">
        <f>IFERROR(__xludf.DUMMYFUNCTION("""COMPUTED_VALUE"""),"-")</f>
        <v>-</v>
      </c>
      <c r="H83" s="2">
        <f>IFERROR(__xludf.DUMMYFUNCTION("""COMPUTED_VALUE"""),0)</f>
        <v>0</v>
      </c>
      <c r="I83" s="2">
        <f>IFERROR(__xludf.DUMMYFUNCTION("""COMPUTED_VALUE"""),0)</f>
        <v>0</v>
      </c>
      <c r="J83" s="2">
        <f>IFERROR(__xludf.DUMMYFUNCTION("""COMPUTED_VALUE"""),0)</f>
        <v>0</v>
      </c>
      <c r="K83" s="2" t="str">
        <f>IFERROR(__xludf.DUMMYFUNCTION("""COMPUTED_VALUE"""),"NON - CGPA")</f>
        <v>NON - CGPA</v>
      </c>
      <c r="L83" s="2" t="str">
        <f>IFERROR(__xludf.DUMMYFUNCTION("""COMPUTED_VALUE"""),"Theory (Int Only)")</f>
        <v>Theory (Int Only)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 t="str">
        <f>IFERROR(__xludf.DUMMYFUNCTION("""COMPUTED_VALUE"""),"Any 1")</f>
        <v>Any 1</v>
      </c>
      <c r="C84" s="2" t="str">
        <f>IFERROR(__xludf.DUMMYFUNCTION("""COMPUTED_VALUE"""),"EEC")</f>
        <v>EEC</v>
      </c>
      <c r="D84" s="2" t="str">
        <f>IFERROR(__xludf.DUMMYFUNCTION("""COMPUTED_VALUE"""),"SH6713")</f>
        <v>SH6713</v>
      </c>
      <c r="E84" s="2" t="str">
        <f>IFERROR(__xludf.DUMMYFUNCTION("""COMPUTED_VALUE"""),"19EY713")</f>
        <v>19EY713</v>
      </c>
      <c r="F84" s="7" t="str">
        <f>IFERROR(__xludf.DUMMYFUNCTION("""COMPUTED_VALUE"""),"Placement Readiness Assessment")</f>
        <v>Placement Readiness Assessment</v>
      </c>
      <c r="G84" s="2" t="str">
        <f>IFERROR(__xludf.DUMMYFUNCTION("""COMPUTED_VALUE"""),"19EY704 / 19EY711/SH6711")</f>
        <v>19EY704 / 19EY711/SH6711</v>
      </c>
      <c r="H84" s="2">
        <f>IFERROR(__xludf.DUMMYFUNCTION("""COMPUTED_VALUE"""),1)</f>
        <v>1</v>
      </c>
      <c r="I84" s="2">
        <f>IFERROR(__xludf.DUMMYFUNCTION("""COMPUTED_VALUE"""),0)</f>
        <v>0</v>
      </c>
      <c r="J84" s="2">
        <f>IFERROR(__xludf.DUMMYFUNCTION("""COMPUTED_VALUE"""),1)</f>
        <v>1</v>
      </c>
      <c r="K84" s="2" t="str">
        <f>IFERROR(__xludf.DUMMYFUNCTION("""COMPUTED_VALUE"""),"CGPA")</f>
        <v>CGPA</v>
      </c>
      <c r="L84" s="2" t="str">
        <f>IFERROR(__xludf.DUMMYFUNCTION("""COMPUTED_VALUE"""),"Theory (Int Only)")</f>
        <v>Theory (Int Only)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IFERROR(__xludf.DUMMYFUNCTION("""COMPUTED_VALUE"""),"PE(Honours)")</f>
        <v>PE(Honours)</v>
      </c>
      <c r="D85" s="2" t="str">
        <f>IFERROR(__xludf.DUMMYFUNCTION("""COMPUTED_VALUE"""),"NA")</f>
        <v>NA</v>
      </c>
      <c r="E85" s="2" t="str">
        <f>IFERROR(__xludf.DUMMYFUNCTION("""COMPUTED_VALUE"""),"19AG501")</f>
        <v>19AG501</v>
      </c>
      <c r="F85" s="7" t="str">
        <f>IFERROR(__xludf.DUMMYFUNCTION("""COMPUTED_VALUE"""),"Wasteland Development")</f>
        <v>Wasteland Development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/>
      <c r="B86" s="2"/>
      <c r="C86" s="2" t="str">
        <f>IFERROR(__xludf.DUMMYFUNCTION("""COMPUTED_VALUE"""),"PE(Honours)")</f>
        <v>PE(Honours)</v>
      </c>
      <c r="D86" s="2" t="str">
        <f>IFERROR(__xludf.DUMMYFUNCTION("""COMPUTED_VALUE"""),"NA")</f>
        <v>NA</v>
      </c>
      <c r="E86" s="2" t="str">
        <f>IFERROR(__xludf.DUMMYFUNCTION("""COMPUTED_VALUE"""),"19AG502")</f>
        <v>19AG502</v>
      </c>
      <c r="F86" s="7" t="str">
        <f>IFERROR(__xludf.DUMMYFUNCTION("""COMPUTED_VALUE"""),"Information Technology for Land and Water Management")</f>
        <v>Information Technology for Land and Water Management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/>
      <c r="B87" s="2"/>
      <c r="C87" s="2" t="str">
        <f>IFERROR(__xludf.DUMMYFUNCTION("""COMPUTED_VALUE"""),"PE(Honours)")</f>
        <v>PE(Honours)</v>
      </c>
      <c r="D87" s="2" t="str">
        <f>IFERROR(__xludf.DUMMYFUNCTION("""COMPUTED_VALUE"""),"NA")</f>
        <v>NA</v>
      </c>
      <c r="E87" s="2" t="str">
        <f>IFERROR(__xludf.DUMMYFUNCTION("""COMPUTED_VALUE"""),"19AG503")</f>
        <v>19AG503</v>
      </c>
      <c r="F87" s="7" t="str">
        <f>IFERROR(__xludf.DUMMYFUNCTION("""COMPUTED_VALUE"""),"Minor Irrigation and Command Area Development")</f>
        <v>Minor Irrigation and Command Area Development</v>
      </c>
      <c r="G87" s="2" t="str">
        <f>IFERROR(__xludf.DUMMYFUNCTION("""COMPUTED_VALUE"""),"19AG404")</f>
        <v>19AG404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IFERROR(__xludf.DUMMYFUNCTION("""COMPUTED_VALUE"""),84)</f>
        <v>84</v>
      </c>
      <c r="B88" s="2"/>
      <c r="C88" s="2" t="str">
        <f>IFERROR(__xludf.DUMMYFUNCTION("""COMPUTED_VALUE"""),"PE(Honours)")</f>
        <v>PE(Honours)</v>
      </c>
      <c r="D88" s="2" t="str">
        <f>IFERROR(__xludf.DUMMYFUNCTION("""COMPUTED_VALUE"""),"NA")</f>
        <v>NA</v>
      </c>
      <c r="E88" s="2" t="str">
        <f>IFERROR(__xludf.DUMMYFUNCTION("""COMPUTED_VALUE"""),"19AG502")</f>
        <v>19AG502</v>
      </c>
      <c r="F88" s="7" t="str">
        <f>IFERROR(__xludf.DUMMYFUNCTION("""COMPUTED_VALUE"""),"Information Technology for Land and Water Management")</f>
        <v>Information Technology for Land and Water Management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IFERROR(__xludf.DUMMYFUNCTION("""COMPUTED_VALUE"""),85)</f>
        <v>85</v>
      </c>
      <c r="B89" s="2"/>
      <c r="C89" s="2" t="str">
        <f>IFERROR(__xludf.DUMMYFUNCTION("""COMPUTED_VALUE"""),"PE(Honours)")</f>
        <v>PE(Honours)</v>
      </c>
      <c r="D89" s="2" t="str">
        <f>IFERROR(__xludf.DUMMYFUNCTION("""COMPUTED_VALUE"""),"NA")</f>
        <v>NA</v>
      </c>
      <c r="E89" s="2" t="str">
        <f>IFERROR(__xludf.DUMMYFUNCTION("""COMPUTED_VALUE"""),"19AG505")</f>
        <v>19AG505</v>
      </c>
      <c r="F89" s="7" t="str">
        <f>IFERROR(__xludf.DUMMYFUNCTION("""COMPUTED_VALUE"""),"Water Quality and Management Measures")</f>
        <v>Water Quality and Management Measures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IFERROR(__xludf.DUMMYFUNCTION("""COMPUTED_VALUE"""),86)</f>
        <v>86</v>
      </c>
      <c r="B90" s="2"/>
      <c r="C90" s="2" t="str">
        <f>IFERROR(__xludf.DUMMYFUNCTION("""COMPUTED_VALUE"""),"PE(Honours)")</f>
        <v>PE(Honours)</v>
      </c>
      <c r="D90" s="2" t="str">
        <f>IFERROR(__xludf.DUMMYFUNCTION("""COMPUTED_VALUE"""),"NA")</f>
        <v>NA</v>
      </c>
      <c r="E90" s="2" t="str">
        <f>IFERROR(__xludf.DUMMYFUNCTION("""COMPUTED_VALUE"""),"19AG506")</f>
        <v>19AG506</v>
      </c>
      <c r="F90" s="7" t="str">
        <f>IFERROR(__xludf.DUMMYFUNCTION("""COMPUTED_VALUE"""),"Landscape Irrigation Design and Management")</f>
        <v>Landscape Irrigation Design and Management</v>
      </c>
      <c r="G90" s="2" t="str">
        <f>IFERROR(__xludf.DUMMYFUNCTION("""COMPUTED_VALUE"""),"19AG411")</f>
        <v>19AG411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IFERROR(__xludf.DUMMYFUNCTION("""COMPUTED_VALUE"""),87)</f>
        <v>87</v>
      </c>
      <c r="B91" s="2"/>
      <c r="C91" s="2" t="str">
        <f>IFERROR(__xludf.DUMMYFUNCTION("""COMPUTED_VALUE"""),"PE(Honours)")</f>
        <v>PE(Honours)</v>
      </c>
      <c r="D91" s="2" t="str">
        <f>IFERROR(__xludf.DUMMYFUNCTION("""COMPUTED_VALUE"""),"NA")</f>
        <v>NA</v>
      </c>
      <c r="E91" s="2" t="str">
        <f>IFERROR(__xludf.DUMMYFUNCTION("""COMPUTED_VALUE"""),"19AG507")</f>
        <v>19AG507</v>
      </c>
      <c r="F91" s="7" t="str">
        <f>IFERROR(__xludf.DUMMYFUNCTION("""COMPUTED_VALUE"""),"Mechanics of Tillage and Traction")</f>
        <v>Mechanics of Tillage and Traction</v>
      </c>
      <c r="G91" s="2" t="str">
        <f>IFERROR(__xludf.DUMMYFUNCTION("""COMPUTED_VALUE"""),"19AG412")</f>
        <v>19AG412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IFERROR(__xludf.DUMMYFUNCTION("""COMPUTED_VALUE"""),88)</f>
        <v>88</v>
      </c>
      <c r="B92" s="2"/>
      <c r="C92" s="2" t="str">
        <f>IFERROR(__xludf.DUMMYFUNCTION("""COMPUTED_VALUE"""),"PE(Honours)")</f>
        <v>PE(Honours)</v>
      </c>
      <c r="D92" s="2" t="str">
        <f>IFERROR(__xludf.DUMMYFUNCTION("""COMPUTED_VALUE"""),"NA")</f>
        <v>NA</v>
      </c>
      <c r="E92" s="2" t="str">
        <f>IFERROR(__xludf.DUMMYFUNCTION("""COMPUTED_VALUE"""),"19AG510")</f>
        <v>19AG510</v>
      </c>
      <c r="F92" s="7" t="str">
        <f>IFERROR(__xludf.DUMMYFUNCTION("""COMPUTED_VALUE"""),"Tractor Design and Testing")</f>
        <v>Tractor Design and Testing</v>
      </c>
      <c r="G92" s="2" t="str">
        <f>IFERROR(__xludf.DUMMYFUNCTION("""COMPUTED_VALUE"""),"19AG413")</f>
        <v>19AG413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IFERROR(__xludf.DUMMYFUNCTION("""COMPUTED_VALUE"""),89)</f>
        <v>89</v>
      </c>
      <c r="B93" s="2"/>
      <c r="C93" s="2" t="str">
        <f>IFERROR(__xludf.DUMMYFUNCTION("""COMPUTED_VALUE"""),"PE(Honours)")</f>
        <v>PE(Honours)</v>
      </c>
      <c r="D93" s="2" t="str">
        <f>IFERROR(__xludf.DUMMYFUNCTION("""COMPUTED_VALUE"""),"NA")</f>
        <v>NA</v>
      </c>
      <c r="E93" s="2" t="str">
        <f>IFERROR(__xludf.DUMMYFUNCTION("""COMPUTED_VALUE"""),"19AG511")</f>
        <v>19AG511</v>
      </c>
      <c r="F93" s="7" t="str">
        <f>IFERROR(__xludf.DUMMYFUNCTION("""COMPUTED_VALUE"""),"Precision Agriculture and System Management")</f>
        <v>Precision Agriculture and System Management</v>
      </c>
      <c r="G93" s="2" t="str">
        <f>IFERROR(__xludf.DUMMYFUNCTION("""COMPUTED_VALUE"""),"19AG422")</f>
        <v>19AG422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IFERROR(__xludf.DUMMYFUNCTION("""COMPUTED_VALUE"""),90)</f>
        <v>90</v>
      </c>
      <c r="B94" s="2"/>
      <c r="C94" s="2" t="str">
        <f>IFERROR(__xludf.DUMMYFUNCTION("""COMPUTED_VALUE"""),"PE(Honours)")</f>
        <v>PE(Honours)</v>
      </c>
      <c r="D94" s="2" t="str">
        <f>IFERROR(__xludf.DUMMYFUNCTION("""COMPUTED_VALUE"""),"NA")</f>
        <v>NA</v>
      </c>
      <c r="E94" s="2" t="str">
        <f>IFERROR(__xludf.DUMMYFUNCTION("""COMPUTED_VALUE"""),"19AG512")</f>
        <v>19AG512</v>
      </c>
      <c r="F94" s="7" t="str">
        <f>IFERROR(__xludf.DUMMYFUNCTION("""COMPUTED_VALUE"""),"Food Quality and Control")</f>
        <v>Food Quality and Control</v>
      </c>
      <c r="G94" s="2" t="str">
        <f>IFERROR(__xludf.DUMMYFUNCTION("""COMPUTED_VALUE"""),"-")</f>
        <v>-</v>
      </c>
      <c r="H94" s="2">
        <f>IFERROR(__xludf.DUMMYFUNCTION("""COMPUTED_VALUE"""),2)</f>
        <v>2</v>
      </c>
      <c r="I94" s="2">
        <f>IFERROR(__xludf.DUMMYFUNCTION("""COMPUTED_VALUE"""),1)</f>
        <v>1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IFERROR(__xludf.DUMMYFUNCTION("""COMPUTED_VALUE"""),91)</f>
        <v>91</v>
      </c>
      <c r="B95" s="2"/>
      <c r="C95" s="2" t="str">
        <f>IFERROR(__xludf.DUMMYFUNCTION("""COMPUTED_VALUE"""),"PE(Honours)")</f>
        <v>PE(Honours)</v>
      </c>
      <c r="D95" s="2" t="str">
        <f>IFERROR(__xludf.DUMMYFUNCTION("""COMPUTED_VALUE"""),"NA")</f>
        <v>NA</v>
      </c>
      <c r="E95" s="2" t="str">
        <f>IFERROR(__xludf.DUMMYFUNCTION("""COMPUTED_VALUE"""),"19AG513")</f>
        <v>19AG513</v>
      </c>
      <c r="F95" s="7" t="str">
        <f>IFERROR(__xludf.DUMMYFUNCTION("""COMPUTED_VALUE"""),"Food Plant Design and Management")</f>
        <v>Food Plant Design and Management</v>
      </c>
      <c r="G95" s="2" t="str">
        <f>IFERROR(__xludf.DUMMYFUNCTION("""COMPUTED_VALUE"""),"-")</f>
        <v>-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IFERROR(__xludf.DUMMYFUNCTION("""COMPUTED_VALUE"""),92)</f>
        <v>92</v>
      </c>
      <c r="B96" s="2"/>
      <c r="C96" s="2" t="str">
        <f>IFERROR(__xludf.DUMMYFUNCTION("""COMPUTED_VALUE"""),"PE(Honours)")</f>
        <v>PE(Honours)</v>
      </c>
      <c r="D96" s="2" t="str">
        <f>IFERROR(__xludf.DUMMYFUNCTION("""COMPUTED_VALUE"""),"NA")</f>
        <v>NA</v>
      </c>
      <c r="E96" s="2" t="str">
        <f>IFERROR(__xludf.DUMMYFUNCTION("""COMPUTED_VALUE"""),"19AG514")</f>
        <v>19AG514</v>
      </c>
      <c r="F96" s="7" t="str">
        <f>IFERROR(__xludf.DUMMYFUNCTION("""COMPUTED_VALUE"""),"Food Packaging Technology")</f>
        <v>Food Packaging Technology</v>
      </c>
      <c r="G96" s="2" t="str">
        <f>IFERROR(__xludf.DUMMYFUNCTION("""COMPUTED_VALUE"""),"-")</f>
        <v>-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IFERROR(__xludf.DUMMYFUNCTION("""COMPUTED_VALUE"""),93)</f>
        <v>93</v>
      </c>
      <c r="B97" s="2"/>
      <c r="C97" s="2" t="str">
        <f>IFERROR(__xludf.DUMMYFUNCTION("""COMPUTED_VALUE"""),"PE(Honours)")</f>
        <v>PE(Honours)</v>
      </c>
      <c r="D97" s="2" t="str">
        <f>IFERROR(__xludf.DUMMYFUNCTION("""COMPUTED_VALUE"""),"NA")</f>
        <v>NA</v>
      </c>
      <c r="E97" s="2" t="str">
        <f>IFERROR(__xludf.DUMMYFUNCTION("""COMPUTED_VALUE"""),"19AG515")</f>
        <v>19AG515</v>
      </c>
      <c r="F97" s="7" t="str">
        <f>IFERROR(__xludf.DUMMYFUNCTION("""COMPUTED_VALUE"""),"Development of Processed Products")</f>
        <v>Development of Processed Products</v>
      </c>
      <c r="G97" s="2" t="str">
        <f>IFERROR(__xludf.DUMMYFUNCTION("""COMPUTED_VALUE"""),"-")</f>
        <v>-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IFERROR(__xludf.DUMMYFUNCTION("""COMPUTED_VALUE"""),94)</f>
        <v>94</v>
      </c>
      <c r="B98" s="2"/>
      <c r="C98" s="2" t="str">
        <f>IFERROR(__xludf.DUMMYFUNCTION("""COMPUTED_VALUE"""),"PE(Honours)")</f>
        <v>PE(Honours)</v>
      </c>
      <c r="D98" s="2" t="str">
        <f>IFERROR(__xludf.DUMMYFUNCTION("""COMPUTED_VALUE"""),"NA")</f>
        <v>NA</v>
      </c>
      <c r="E98" s="2" t="str">
        <f>IFERROR(__xludf.DUMMYFUNCTION("""COMPUTED_VALUE"""),"19AG516")</f>
        <v>19AG516</v>
      </c>
      <c r="F98" s="7" t="str">
        <f>IFERROR(__xludf.DUMMYFUNCTION("""COMPUTED_VALUE"""),"Process Equipment and Design")</f>
        <v>Process Equipment and Design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IFERROR(__xludf.DUMMYFUNCTION("""COMPUTED_VALUE"""),95)</f>
        <v>95</v>
      </c>
      <c r="B99" s="2"/>
      <c r="C99" s="2" t="str">
        <f>IFERROR(__xludf.DUMMYFUNCTION("""COMPUTED_VALUE"""),"PE(Honours)")</f>
        <v>PE(Honours)</v>
      </c>
      <c r="D99" s="2" t="str">
        <f>IFERROR(__xludf.DUMMYFUNCTION("""COMPUTED_VALUE"""),"NA")</f>
        <v>NA</v>
      </c>
      <c r="E99" s="2" t="str">
        <f>IFERROR(__xludf.DUMMYFUNCTION("""COMPUTED_VALUE"""),"19AG517")</f>
        <v>19AG517</v>
      </c>
      <c r="F99" s="7" t="str">
        <f>IFERROR(__xludf.DUMMYFUNCTION("""COMPUTED_VALUE"""),"Floods and Control Measures")</f>
        <v>Floods and Control Measures</v>
      </c>
      <c r="G99" s="2" t="str">
        <f>IFERROR(__xludf.DUMMYFUNCTION("""COMPUTED_VALUE"""),"19AG401")</f>
        <v>19AG401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IFERROR(__xludf.DUMMYFUNCTION("""COMPUTED_VALUE"""),96)</f>
        <v>96</v>
      </c>
      <c r="B100" s="2"/>
      <c r="C100" s="2" t="str">
        <f>IFERROR(__xludf.DUMMYFUNCTION("""COMPUTED_VALUE"""),"PE(Honours)")</f>
        <v>PE(Honours)</v>
      </c>
      <c r="D100" s="2" t="str">
        <f>IFERROR(__xludf.DUMMYFUNCTION("""COMPUTED_VALUE"""),"AG0518")</f>
        <v>AG0518</v>
      </c>
      <c r="E100" s="2" t="str">
        <f>IFERROR(__xludf.DUMMYFUNCTION("""COMPUTED_VALUE"""),"19AG518")</f>
        <v>19AG518</v>
      </c>
      <c r="F100" s="7" t="str">
        <f>IFERROR(__xludf.DUMMYFUNCTION("""COMPUTED_VALUE"""),"Testing and Evaluation of Tractors and Farm Machinery")</f>
        <v>Testing and Evaluation of Tractors and Farm Machinery</v>
      </c>
      <c r="G100" s="2" t="str">
        <f>IFERROR(__xludf.DUMMYFUNCTION("""COMPUTED_VALUE"""),"-")</f>
        <v>-</v>
      </c>
      <c r="H100" s="2">
        <f>IFERROR(__xludf.DUMMYFUNCTION("""COMPUTED_VALUE"""),3)</f>
        <v>3</v>
      </c>
      <c r="I100" s="2">
        <f>IFERROR(__xludf.DUMMYFUNCTION("""COMPUTED_VALUE"""),0)</f>
        <v>0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IFERROR(__xludf.DUMMYFUNCTION("""COMPUTED_VALUE"""),"Theory")</f>
        <v>Theory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IFERROR(__xludf.DUMMYFUNCTION("""COMPUTED_VALUE"""),97)</f>
        <v>97</v>
      </c>
      <c r="B101" s="2"/>
      <c r="C101" s="2" t="str">
        <f>IFERROR(__xludf.DUMMYFUNCTION("""COMPUTED_VALUE"""),"PE(Honours)")</f>
        <v>PE(Honours)</v>
      </c>
      <c r="D101" s="2" t="str">
        <f>IFERROR(__xludf.DUMMYFUNCTION("""COMPUTED_VALUE"""),"AG0519")</f>
        <v>AG0519</v>
      </c>
      <c r="E101" s="2" t="str">
        <f>IFERROR(__xludf.DUMMYFUNCTION("""COMPUTED_VALUE"""),"19AG519")</f>
        <v>19AG519</v>
      </c>
      <c r="F101" s="7" t="str">
        <f>IFERROR(__xludf.DUMMYFUNCTION("""COMPUTED_VALUE"""),"Solar Energy in Agricultural Systems")</f>
        <v>Solar Energy in Agricultural Systems</v>
      </c>
      <c r="G101" s="2" t="str">
        <f>IFERROR(__xludf.DUMMYFUNCTION("""COMPUTED_VALUE"""),"-")</f>
        <v>-</v>
      </c>
      <c r="H101" s="2">
        <f>IFERROR(__xludf.DUMMYFUNCTION("""COMPUTED_VALUE"""),3)</f>
        <v>3</v>
      </c>
      <c r="I101" s="2">
        <f>IFERROR(__xludf.DUMMYFUNCTION("""COMPUTED_VALUE"""),0)</f>
        <v>0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IFERROR(__xludf.DUMMYFUNCTION("""COMPUTED_VALUE"""),"Theory")</f>
        <v>Theory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IFERROR(__xludf.DUMMYFUNCTION("""COMPUTED_VALUE"""),98)</f>
        <v>98</v>
      </c>
      <c r="B102" s="2"/>
      <c r="C102" s="2" t="str">
        <f>IFERROR(__xludf.DUMMYFUNCTION("""COMPUTED_VALUE"""),"PE(Honours)")</f>
        <v>PE(Honours)</v>
      </c>
      <c r="D102" s="2" t="str">
        <f>IFERROR(__xludf.DUMMYFUNCTION("""COMPUTED_VALUE"""),"AG0520")</f>
        <v>AG0520</v>
      </c>
      <c r="E102" s="2" t="str">
        <f>IFERROR(__xludf.DUMMYFUNCTION("""COMPUTED_VALUE"""),"19AG520")</f>
        <v>19AG520</v>
      </c>
      <c r="F102" s="7" t="str">
        <f>IFERROR(__xludf.DUMMYFUNCTION("""COMPUTED_VALUE"""),"Agricultural Waste Management")</f>
        <v>Agricultural Waste Management</v>
      </c>
      <c r="G102" s="2" t="str">
        <f>IFERROR(__xludf.DUMMYFUNCTION("""COMPUTED_VALUE"""),"-")</f>
        <v>-</v>
      </c>
      <c r="H102" s="2">
        <f>IFERROR(__xludf.DUMMYFUNCTION("""COMPUTED_VALUE"""),3)</f>
        <v>3</v>
      </c>
      <c r="I102" s="2">
        <f>IFERROR(__xludf.DUMMYFUNCTION("""COMPUTED_VALUE"""),0)</f>
        <v>0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IFERROR(__xludf.DUMMYFUNCTION("""COMPUTED_VALUE"""),"Theory")</f>
        <v>Theory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IFERROR(__xludf.DUMMYFUNCTION("""COMPUTED_VALUE"""),99)</f>
        <v>99</v>
      </c>
      <c r="B103" s="2"/>
      <c r="C103" s="2" t="str">
        <f>IFERROR(__xludf.DUMMYFUNCTION("""COMPUTED_VALUE"""),"PE(Honours)")</f>
        <v>PE(Honours)</v>
      </c>
      <c r="D103" s="2" t="str">
        <f>IFERROR(__xludf.DUMMYFUNCTION("""COMPUTED_VALUE"""),"AG0521")</f>
        <v>AG0521</v>
      </c>
      <c r="E103" s="2" t="str">
        <f>IFERROR(__xludf.DUMMYFUNCTION("""COMPUTED_VALUE"""),"19AG521")</f>
        <v>19AG521</v>
      </c>
      <c r="F103" s="7" t="str">
        <f>IFERROR(__xludf.DUMMYFUNCTION("""COMPUTED_VALUE"""),"Climate Change and Adaptation")</f>
        <v>Climate Change and Adaptation</v>
      </c>
      <c r="G103" s="2" t="str">
        <f>IFERROR(__xludf.DUMMYFUNCTION("""COMPUTED_VALUE"""),"-")</f>
        <v>-</v>
      </c>
      <c r="H103" s="2">
        <f>IFERROR(__xludf.DUMMYFUNCTION("""COMPUTED_VALUE"""),3)</f>
        <v>3</v>
      </c>
      <c r="I103" s="2">
        <f>IFERROR(__xludf.DUMMYFUNCTION("""COMPUTED_VALUE"""),0)</f>
        <v>0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IFERROR(__xludf.DUMMYFUNCTION("""COMPUTED_VALUE"""),"Theory")</f>
        <v>Theory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IFERROR(__xludf.DUMMYFUNCTION("""COMPUTED_VALUE"""),100)</f>
        <v>100</v>
      </c>
      <c r="B104" s="2"/>
      <c r="C104" s="2" t="str">
        <f>IFERROR(__xludf.DUMMYFUNCTION("""COMPUTED_VALUE"""),"PE(Honours)")</f>
        <v>PE(Honours)</v>
      </c>
      <c r="D104" s="2" t="str">
        <f>IFERROR(__xludf.DUMMYFUNCTION("""COMPUTED_VALUE"""),"AG0522")</f>
        <v>AG0522</v>
      </c>
      <c r="E104" s="2" t="str">
        <f>IFERROR(__xludf.DUMMYFUNCTION("""COMPUTED_VALUE"""),"19AG522")</f>
        <v>19AG522</v>
      </c>
      <c r="F104" s="7" t="str">
        <f>IFERROR(__xludf.DUMMYFUNCTION("""COMPUTED_VALUE"""),"Data Science for Soil and Water Management")</f>
        <v>Data Science for Soil and Water Management</v>
      </c>
      <c r="G104" s="2" t="str">
        <f>IFERROR(__xludf.DUMMYFUNCTION("""COMPUTED_VALUE"""),"-")</f>
        <v>-</v>
      </c>
      <c r="H104" s="2">
        <f>IFERROR(__xludf.DUMMYFUNCTION("""COMPUTED_VALUE"""),3)</f>
        <v>3</v>
      </c>
      <c r="I104" s="2">
        <f>IFERROR(__xludf.DUMMYFUNCTION("""COMPUTED_VALUE"""),0)</f>
        <v>0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IFERROR(__xludf.DUMMYFUNCTION("""COMPUTED_VALUE"""),"Theory")</f>
        <v>Theory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IFERROR(__xludf.DUMMYFUNCTION("""COMPUTED_VALUE"""),101)</f>
        <v>101</v>
      </c>
      <c r="B105" s="2"/>
      <c r="C105" s="2" t="str">
        <f>IFERROR(__xludf.DUMMYFUNCTION("""COMPUTED_VALUE"""),"PE(Honours)")</f>
        <v>PE(Honours)</v>
      </c>
      <c r="D105" s="2" t="str">
        <f>IFERROR(__xludf.DUMMYFUNCTION("""COMPUTED_VALUE"""),"AG0523")</f>
        <v>AG0523</v>
      </c>
      <c r="E105" s="2" t="str">
        <f>IFERROR(__xludf.DUMMYFUNCTION("""COMPUTED_VALUE"""),"19AG523")</f>
        <v>19AG523</v>
      </c>
      <c r="F105" s="7" t="str">
        <f>IFERROR(__xludf.DUMMYFUNCTION("""COMPUTED_VALUE"""),"Computational Software for Crop Growth Modeling")</f>
        <v>Computational Software for Crop Growth Modeling</v>
      </c>
      <c r="G105" s="2" t="str">
        <f>IFERROR(__xludf.DUMMYFUNCTION("""COMPUTED_VALUE"""),"-")</f>
        <v>-</v>
      </c>
      <c r="H105" s="2">
        <f>IFERROR(__xludf.DUMMYFUNCTION("""COMPUTED_VALUE"""),3)</f>
        <v>3</v>
      </c>
      <c r="I105" s="2">
        <f>IFERROR(__xludf.DUMMYFUNCTION("""COMPUTED_VALUE"""),0)</f>
        <v>0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IFERROR(__xludf.DUMMYFUNCTION("""COMPUTED_VALUE"""),"Theory")</f>
        <v>Theory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IFERROR(__xludf.DUMMYFUNCTION("""COMPUTED_VALUE"""),102)</f>
        <v>102</v>
      </c>
      <c r="B106" s="2"/>
      <c r="C106" s="2" t="str">
        <f>IFERROR(__xludf.DUMMYFUNCTION("""COMPUTED_VALUE"""),"PE(Honours)")</f>
        <v>PE(Honours)</v>
      </c>
      <c r="D106" s="2" t="str">
        <f>IFERROR(__xludf.DUMMYFUNCTION("""COMPUTED_VALUE"""),"AG0524")</f>
        <v>AG0524</v>
      </c>
      <c r="E106" s="2" t="str">
        <f>IFERROR(__xludf.DUMMYFUNCTION("""COMPUTED_VALUE"""),"19AG524")</f>
        <v>19AG524</v>
      </c>
      <c r="F106" s="7" t="str">
        <f>IFERROR(__xludf.DUMMYFUNCTION("""COMPUTED_VALUE"""),"Emerging Technologies in Food Processing")</f>
        <v>Emerging Technologies in Food Processing</v>
      </c>
      <c r="G106" s="2" t="str">
        <f>IFERROR(__xludf.DUMMYFUNCTION("""COMPUTED_VALUE"""),"-")</f>
        <v>-</v>
      </c>
      <c r="H106" s="2">
        <f>IFERROR(__xludf.DUMMYFUNCTION("""COMPUTED_VALUE"""),3)</f>
        <v>3</v>
      </c>
      <c r="I106" s="2">
        <f>IFERROR(__xludf.DUMMYFUNCTION("""COMPUTED_VALUE"""),0)</f>
        <v>0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IFERROR(__xludf.DUMMYFUNCTION("""COMPUTED_VALUE"""),"Theory")</f>
        <v>Theory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IFERROR(__xludf.DUMMYFUNCTION("""COMPUTED_VALUE"""),103)</f>
        <v>103</v>
      </c>
      <c r="B107" s="2"/>
      <c r="C107" s="2" t="str">
        <f>IFERROR(__xludf.DUMMYFUNCTION("""COMPUTED_VALUE"""),"PE(Honours)")</f>
        <v>PE(Honours)</v>
      </c>
      <c r="D107" s="2" t="str">
        <f>IFERROR(__xludf.DUMMYFUNCTION("""COMPUTED_VALUE"""),"AG0525")</f>
        <v>AG0525</v>
      </c>
      <c r="E107" s="2" t="str">
        <f>IFERROR(__xludf.DUMMYFUNCTION("""COMPUTED_VALUE"""),"19AG525")</f>
        <v>19AG525</v>
      </c>
      <c r="F107" s="7" t="str">
        <f>IFERROR(__xludf.DUMMYFUNCTION("""COMPUTED_VALUE"""),"3D Printing Technology for Food Industry")</f>
        <v>3D Printing Technology for Food Industry</v>
      </c>
      <c r="G107" s="2" t="str">
        <f>IFERROR(__xludf.DUMMYFUNCTION("""COMPUTED_VALUE"""),"-")</f>
        <v>-</v>
      </c>
      <c r="H107" s="2">
        <f>IFERROR(__xludf.DUMMYFUNCTION("""COMPUTED_VALUE"""),3)</f>
        <v>3</v>
      </c>
      <c r="I107" s="2">
        <f>IFERROR(__xludf.DUMMYFUNCTION("""COMPUTED_VALUE"""),0)</f>
        <v>0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IFERROR(__xludf.DUMMYFUNCTION("""COMPUTED_VALUE"""),"Theory")</f>
        <v>Theory</v>
      </c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8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</row>
    <row r="124" ht="13.2" spans="1:18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</row>
    <row r="125" ht="13.2" spans="1:18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</row>
    <row r="126" ht="13.2" spans="1:18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</row>
    <row r="127" ht="13.2" spans="1:18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</row>
    <row r="128" ht="13.2" spans="1:18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</row>
    <row r="129" ht="13.2" spans="1:18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</row>
    <row r="130" ht="13.2" spans="1:18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</row>
    <row r="131" ht="13.2" spans="1:18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</row>
    <row r="132" ht="13.2" spans="1:18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</row>
    <row r="133" ht="13.2" spans="1:18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</row>
    <row r="134" ht="13.2" spans="1:18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</row>
    <row r="135" ht="13.2" spans="1:18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</row>
    <row r="136" ht="13.2" spans="1:18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</row>
    <row r="137" ht="13.2" spans="1:18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</row>
    <row r="138" ht="13.2" spans="1:18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</row>
    <row r="139" ht="13.2" spans="1:18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</row>
    <row r="140" ht="13.2" spans="1:18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</row>
    <row r="141" ht="13.2" spans="1:18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on Skills and Personality Development&quot;)"/>
    <hyperlink ref="F4" r:id="rId3" display="=IFERROR(@__xludf.DUMMYFUNCTION(&quot;&quot;&quot;COMPUTED_VALUE&quot;&quot;&quot;),&quot;Human Values and Professional Ethics&quot;)"/>
    <hyperlink ref="F5" r:id="rId4" display="=IFERROR(@__xludf.DUMMYFUNCTION(&quot;&quot;&quot;COMPUTED_VALUE&quot;&quot;&quot;),&quot;தமிழர் மரபு/ Heritage of Tamils&quot;)"/>
    <hyperlink ref="F6" r:id="rId5" display="=IFERROR(@__xludf.DUMMYFUNCTION(&quot;&quot;&quot;COMPUTED_VALUE&quot;&quot;&quot;),&quot;தமிழரும் தொழில்நுட்பமும்/ Tamils and Technology&quot;)"/>
    <hyperlink ref="F7" r:id="rId6" display="=IFERROR(@__xludf.DUMMYFUNCTION(&quot;&quot;&quot;COMPUTED_VALUE&quot;&quot;&quot;),&quot;Calculus and Matrix Algebra&quot;)"/>
    <hyperlink ref="F8" r:id="rId7" display="=IFERROR(@__xludf.DUMMYFUNCTION(&quot;&quot;&quot;COMPUTED_VALUE&quot;&quot;&quot;),&quot;Calculus and Matrices&quot;)"/>
    <hyperlink ref="F9" r:id="rId8" display="=IFERROR(@__xludf.DUMMYFUNCTION(&quot;&quot;&quot;COMPUTED_VALUE&quot;&quot;&quot;),&quot;Complex Variables and Differential Equations&quot;)"/>
    <hyperlink ref="F10" r:id="rId9" display="=IFERROR(@__xludf.DUMMYFUNCTION(&quot;&quot;&quot;COMPUTED_VALUE&quot;&quot;&quot;),&quot;Numerical Analysis and Laplace Transformation&quot;)"/>
    <hyperlink ref="F11" r:id="rId10" display="=IFERROR(@__xludf.DUMMYFUNCTION(&quot;&quot;&quot;COMPUTED_VALUE&quot;&quot;&quot;),&quot;Python Programming&quot;)"/>
    <hyperlink ref="F12" r:id="rId11" display="=IFERROR(@__xludf.DUMMYFUNCTION(&quot;&quot;&quot;COMPUTED_VALUE&quot;&quot;&quot;),&quot;Artificial Intelligence and Applications&quot;)"/>
    <hyperlink ref="F13" r:id="rId12" display="=IFERROR(@__xludf.DUMMYFUNCTION(&quot;&quot;&quot;COMPUTED_VALUE&quot;&quot;&quot;),&quot;Engineering Drawing and Visualisation&quot;)"/>
    <hyperlink ref="F14" r:id="rId13" display="=IFERROR(@__xludf.DUMMYFUNCTION(&quot;&quot;&quot;COMPUTED_VALUE&quot;&quot;&quot;),&quot;Engineering Drawing and Modeling&quot;)"/>
    <hyperlink ref="F15" r:id="rId14" display="=IFERROR(@__xludf.DUMMYFUNCTION(&quot;&quot;&quot;COMPUTED_VALUE&quot;&quot;&quot;),&quot;Basic Electrical, Electronics and Instrumentation Engineering&quot;)"/>
    <hyperlink ref="F16" r:id="rId15" display="=IFERROR(@__xludf.DUMMYFUNCTION(&quot;&quot;&quot;COMPUTED_VALUE&quot;&quot;&quot;),&quot;Principles of Agronomy&quot;)"/>
    <hyperlink ref="F17" r:id="rId16" display="=IFERROR(@__xludf.DUMMYFUNCTION(&quot;&quot;&quot;COMPUTED_VALUE&quot;&quot;&quot;),&quot;Principles of Soil Science&quot;)"/>
    <hyperlink ref="F18" r:id="rId17" display="=IFERROR(@__xludf.DUMMYFUNCTION(&quot;&quot;&quot;COMPUTED_VALUE&quot;&quot;&quot;),&quot;Principles of Horticultural Crops and Plant Protection&quot;)"/>
    <hyperlink ref="F19" r:id="rId18" display="=IFERROR(@__xludf.DUMMYFUNCTION(&quot;&quot;&quot;COMPUTED_VALUE&quot;&quot;&quot;),&quot;Entrepreneurship Development and Business Management&quot;)"/>
    <hyperlink ref="F20" r:id="rId19" display="=IFERROR(@__xludf.DUMMYFUNCTION(&quot;&quot;&quot;COMPUTED_VALUE&quot;&quot;&quot;),&quot;Fluid Mechanics and Open Channel Hydraulics&quot;)"/>
    <hyperlink ref="F21" r:id="rId20" display="=IFERROR(@__xludf.DUMMYFUNCTION(&quot;&quot;&quot;COMPUTED_VALUE&quot;&quot;&quot;),&quot;Strength of Materials&quot;)"/>
    <hyperlink ref="F22" r:id="rId21" display="=IFERROR(@__xludf.DUMMYFUNCTION(&quot;&quot;&quot;COMPUTED_VALUE&quot;&quot;&quot;),&quot;Mechanics of Solids&quot;)"/>
    <hyperlink ref="F23" r:id="rId22" display="=IFERROR(@__xludf.DUMMYFUNCTION(&quot;&quot;&quot;COMPUTED_VALUE&quot;&quot;&quot;),&quot;Heat and Mass Transfer for Agricultural Engineers&quot;)"/>
    <hyperlink ref="F24" r:id="rId23" display="=IFERROR(@__xludf.DUMMYFUNCTION(&quot;&quot;&quot;COMPUTED_VALUE&quot;&quot;&quot;),&quot;Theory of Machines&quot;)"/>
    <hyperlink ref="F25" r:id="rId24" display="=IFERROR(@__xludf.DUMMYFUNCTION(&quot;&quot;&quot;COMPUTED_VALUE&quot;&quot;&quot;),&quot;Thermodynamics, Refrigeration and Air Conditioning&quot;)"/>
    <hyperlink ref="F26" r:id="rId25" display="=IFERROR(@__xludf.DUMMYFUNCTION(&quot;&quot;&quot;COMPUTED_VALUE&quot;&quot;&quot;),&quot;Surveying and Levelling&quot;)"/>
    <hyperlink ref="F27" r:id="rId26" display="=IFERROR(@__xludf.DUMMYFUNCTION(&quot;&quot;&quot;COMPUTED_VALUE&quot;&quot;&quot;),&quot;Applied Electronics and Instrumentation&quot;)"/>
    <hyperlink ref="F28" r:id="rId27" display="=IFERROR(@__xludf.DUMMYFUNCTION(&quot;&quot;&quot;COMPUTED_VALUE&quot;&quot;&quot;),&quot;Machine Design&quot;)"/>
    <hyperlink ref="F29" r:id="rId28" display="=IFERROR(@__xludf.DUMMYFUNCTION(&quot;&quot;&quot;COMPUTED_VALUE&quot;&quot;&quot;),&quot;Soil Mechanics for Agricultural Engineering&quot;)"/>
    <hyperlink ref="F30" r:id="rId29" display="=IFERROR(@__xludf.DUMMYFUNCTION(&quot;&quot;&quot;COMPUTED_VALUE&quot;&quot;&quot;),&quot;Engineering Mechanics&quot;)"/>
    <hyperlink ref="F31" r:id="rId30" display="=IFERROR(@__xludf.DUMMYFUNCTION(&quot;&quot;&quot;COMPUTED_VALUE&quot;&quot;&quot;),&quot;Watershed Hydrology&quot;)"/>
    <hyperlink ref="F32" r:id="rId31" display="=IFERROR(@__xludf.DUMMYFUNCTION(&quot;&quot;&quot;COMPUTED_VALUE&quot;&quot;&quot;),&quot;Electrical Machines and Power Utilization&quot;)"/>
    <hyperlink ref="F33" r:id="rId32" display="=IFERROR(@__xludf.DUMMYFUNCTION(&quot;&quot;&quot;COMPUTED_VALUE&quot;&quot;&quot;),&quot;Fundamentals of Renewable Energy Sources&quot;)"/>
    <hyperlink ref="F34" r:id="rId33" display="=IFERROR(@__xludf.DUMMYFUNCTION(&quot;&quot;&quot;COMPUTED_VALUE&quot;&quot;&quot;),&quot;Irrigation and Drainage Engineering&quot;)"/>
    <hyperlink ref="F35" r:id="rId34" display="=IFERROR(@__xludf.DUMMYFUNCTION(&quot;&quot;&quot;COMPUTED_VALUE&quot;&quot;&quot;),&quot;Tractors and Automotive Engines&quot;)"/>
    <hyperlink ref="F36" r:id="rId35" display="=IFERROR(@__xludf.DUMMYFUNCTION(&quot;&quot;&quot;COMPUTED_VALUE&quot;&quot;&quot;),&quot;Engineering Properties of Agricultural Produce&quot;)"/>
    <hyperlink ref="F37" r:id="rId36" display="=IFERROR(@__xludf.DUMMYFUNCTION(&quot;&quot;&quot;COMPUTED_VALUE&quot;&quot;&quot;),&quot;Farm Building Construction and Cost Estimation&quot;)"/>
    <hyperlink ref="F38" r:id="rId37" display="=IFERROR(@__xludf.DUMMYFUNCTION(&quot;&quot;&quot;COMPUTED_VALUE&quot;&quot;&quot;),&quot;Waste and By-Products Utilization&quot;)"/>
    <hyperlink ref="F39" r:id="rId38" display="=IFERROR(@__xludf.DUMMYFUNCTION(&quot;&quot;&quot;COMPUTED_VALUE&quot;&quot;&quot;),&quot;Soil and Water Conservation Engineering&quot;)"/>
    <hyperlink ref="F40" r:id="rId39" display="=IFERROR(@__xludf.DUMMYFUNCTION(&quot;&quot;&quot;COMPUTED_VALUE&quot;&quot;&quot;),&quot;Watershed Planning and Management&quot;)"/>
    <hyperlink ref="F41" r:id="rId40" display="=IFERROR(@__xludf.DUMMYFUNCTION(&quot;&quot;&quot;COMPUTED_VALUE&quot;&quot;&quot;),&quot;Sprinkler and Micro Irrigation Systems&quot;)"/>
    <hyperlink ref="F42" r:id="rId41" display="=IFERROR(@__xludf.DUMMYFUNCTION(&quot;&quot;&quot;COMPUTED_VALUE&quot;&quot;&quot;),&quot;Farm Machinery and Equipment I&quot;)"/>
    <hyperlink ref="F43" r:id="rId42" display="=IFERROR(@__xludf.DUMMYFUNCTION(&quot;&quot;&quot;COMPUTED_VALUE&quot;&quot;&quot;),&quot;Tractor Systems and Controls&quot;)"/>
    <hyperlink ref="F44" r:id="rId43" display="=IFERROR(@__xludf.DUMMYFUNCTION(&quot;&quot;&quot;COMPUTED_VALUE&quot;&quot;&quot;),&quot;Agricultural Structures and Environmental Control&quot;)"/>
    <hyperlink ref="F45" r:id="rId44" display="=IFERROR(@__xludf.DUMMYFUNCTION(&quot;&quot;&quot;COMPUTED_VALUE&quot;&quot;&quot;),&quot;Post Harvest Engineering of Cereals, Pulses and Oil Seeds&quot;)"/>
    <hyperlink ref="F46" r:id="rId45" display="=IFERROR(@__xludf.DUMMYFUNCTION(&quot;&quot;&quot;COMPUTED_VALUE&quot;&quot;&quot;),&quot;Water Harvesting and Soil Conservation Structures&quot;)"/>
    <hyperlink ref="F47" r:id="rId46" display="=IFERROR(@__xludf.DUMMYFUNCTION(&quot;&quot;&quot;COMPUTED_VALUE&quot;&quot;&quot;),&quot;Groundwater, Wells and Pumps&quot;)"/>
    <hyperlink ref="F48" r:id="rId47" display="=IFERROR(@__xludf.DUMMYFUNCTION(&quot;&quot;&quot;COMPUTED_VALUE&quot;&quot;&quot;),&quot;Farm Machinery and Equipment II&quot;)"/>
    <hyperlink ref="F49" r:id="rId48" display="=IFERROR(@__xludf.DUMMYFUNCTION(&quot;&quot;&quot;COMPUTED_VALUE&quot;&quot;&quot;),&quot;Tractors and Farm Machinery Operation and Maintenance&quot;)"/>
    <hyperlink ref="F50" r:id="rId49" display="=IFERROR(@__xludf.DUMMYFUNCTION(&quot;&quot;&quot;COMPUTED_VALUE&quot;&quot;&quot;),&quot;Post Harvest Engineering of Horticultural Crops&quot;)"/>
    <hyperlink ref="F51" r:id="rId50" display="=IFERROR(@__xludf.DUMMYFUNCTION(&quot;&quot;&quot;COMPUTED_VALUE&quot;&quot;&quot;),&quot;Dairy and Food Engineering&quot;)"/>
    <hyperlink ref="F52" r:id="rId51" display="=IFERROR(@__xludf.DUMMYFUNCTION(&quot;&quot;&quot;COMPUTED_VALUE&quot;&quot;&quot;),&quot;Precision Farming Techniques for Protected Cultivation&quot;)"/>
    <hyperlink ref="F53" r:id="rId52" display="=IFERROR(@__xludf.DUMMYFUNCTION(&quot;&quot;&quot;COMPUTED_VALUE&quot;&quot;&quot;),&quot;Bio-Energy Systems: Design and Applications&quot;)"/>
    <hyperlink ref="F54" r:id="rId53" display="=IFERROR(@__xludf.DUMMYFUNCTION(&quot;&quot;&quot;COMPUTED_VALUE&quot;&quot;&quot;),&quot;Remote Sensing and GIS Applications&quot;)"/>
    <hyperlink ref="F55" r:id="rId54" display="=IFERROR(@__xludf.DUMMYFUNCTION(&quot;&quot;&quot;COMPUTED_VALUE&quot;&quot;&quot;),&quot;Farm Machinery Design and Production&quot;)"/>
    <hyperlink ref="F56" r:id="rId55" display="=IFERROR(@__xludf.DUMMYFUNCTION(&quot;&quot;&quot;COMPUTED_VALUE&quot;&quot;&quot;),&quot;Human Engineering and Safety&quot;)"/>
    <hyperlink ref="F57" r:id="rId56" display="=IFERROR(@__xludf.DUMMYFUNCTION(&quot;&quot;&quot;COMPUTED_VALUE&quot;&quot;&quot;),&quot;Engineering Physics&quot;)"/>
    <hyperlink ref="F58" r:id="rId57" display="=IFERROR(@__xludf.DUMMYFUNCTION(&quot;&quot;&quot;COMPUTED_VALUE&quot;&quot;&quot;),&quot;Engineering Chemistry&quot;)"/>
    <hyperlink ref="F59" r:id="rId58" display="=IFERROR(@__xludf.DUMMYFUNCTION(&quot;&quot;&quot;COMPUTED_VALUE&quot;&quot;&quot;),&quot;Project Work Phase I&quot;)"/>
    <hyperlink ref="F60" r:id="rId59" display="=IFERROR(@__xludf.DUMMYFUNCTION(&quot;&quot;&quot;COMPUTED_VALUE&quot;&quot;&quot;),&quot;Project Work Phase II&quot;)"/>
    <hyperlink ref="F61" r:id="rId60" display="=IFERROR(@__xludf.DUMMYFUNCTION(&quot;&quot;&quot;COMPUTED_VALUE&quot;&quot;&quot;),&quot;Industrial Training&quot;)"/>
    <hyperlink ref="F62" r:id="rId61" display="=IFERROR(@__xludf.DUMMYFUNCTION(&quot;&quot;&quot;COMPUTED_VALUE&quot;&quot;&quot;),&quot;Experiential Learning on Campus&quot;)"/>
    <hyperlink ref="F63" r:id="rId62" display="=IFERROR(@__xludf.DUMMYFUNCTION(&quot;&quot;&quot;COMPUTED_VALUE&quot;&quot;&quot;),&quot;Skill Development Training I&quot;)"/>
    <hyperlink ref="F64" r:id="rId63" display="=IFERROR(@__xludf.DUMMYFUNCTION(&quot;&quot;&quot;COMPUTED_VALUE&quot;&quot;&quot;),&quot;Skill Development Training II&quot;)"/>
    <hyperlink ref="F65" r:id="rId64" display="=IFERROR(@__xludf.DUMMYFUNCTION(&quot;&quot;&quot;COMPUTED_VALUE&quot;&quot;&quot;),&quot;Educational Tour&quot;)"/>
    <hyperlink ref="F66" r:id="rId65" display="=IFERROR(@__xludf.DUMMYFUNCTION(&quot;&quot;&quot;COMPUTED_VALUE&quot;&quot;&quot;),&quot;Career Development Skills&quot;)"/>
    <hyperlink ref="F67" r:id="rId66" display="=IFERROR(@__xludf.DUMMYFUNCTION(&quot;&quot;&quot;COMPUTED_VALUE&quot;&quot;&quot;),&quot;Softskills&quot;)"/>
    <hyperlink ref="F68" r:id="rId67" display="=IFERROR(@__xludf.DUMMYFUNCTION(&quot;&quot;&quot;COMPUTED_VALUE&quot;&quot;&quot;),&quot;Creative Skills for Communication&quot;)"/>
    <hyperlink ref="F69" r:id="rId68" display="=IFERROR(@__xludf.DUMMYFUNCTION(&quot;&quot;&quot;COMPUTED_VALUE&quot;&quot;&quot;),&quot;Reasoning Ability&quot;)"/>
    <hyperlink ref="F70" r:id="rId69" display="=IFERROR(@__xludf.DUMMYFUNCTION(&quot;&quot;&quot;COMPUTED_VALUE&quot;&quot;&quot;),&quot;System of Numerical and Logical Terminologies&quot;)"/>
    <hyperlink ref="F71" r:id="rId70" display="=IFERROR(@__xludf.DUMMYFUNCTION(&quot;&quot;&quot;COMPUTED_VALUE&quot;&quot;&quot;),&quot;Advanced Quantitative and Logical Reasoning&quot;)"/>
    <hyperlink ref="F72" r:id="rId71" display="=IFERROR(@__xludf.DUMMYFUNCTION(&quot;&quot;&quot;COMPUTED_VALUE&quot;&quot;&quot;),&quot;Quantitative Ability I&quot;)"/>
    <hyperlink ref="F73" r:id="rId72" display="=IFERROR(@__xludf.DUMMYFUNCTION(&quot;&quot;&quot;COMPUTED_VALUE&quot;&quot;&quot;),&quot;Quantitative Ability II&quot;)"/>
    <hyperlink ref="F74" r:id="rId73" display="=IFERROR(@__xludf.DUMMYFUNCTION(&quot;&quot;&quot;COMPUTED_VALUE&quot;&quot;&quot;),&quot;Employment Enhancement Skills&quot;)"/>
    <hyperlink ref="F75" r:id="rId74" display="=IFERROR(@__xludf.DUMMYFUNCTION(&quot;&quot;&quot;COMPUTED_VALUE&quot;&quot;&quot;),&quot;Employment Enrichment Skills&quot;)"/>
    <hyperlink ref="F76" r:id="rId75" display="=IFERROR(@__xludf.DUMMYFUNCTION(&quot;&quot;&quot;COMPUTED_VALUE&quot;&quot;&quot;),&quot;Company Specific Assessments For Employability&quot;)"/>
    <hyperlink ref="F77" r:id="rId76" display="=IFERROR(@__xludf.DUMMYFUNCTION(&quot;&quot;&quot;COMPUTED_VALUE&quot;&quot;&quot;),&quot;Paper Publication&quot;)"/>
    <hyperlink ref="F81" r:id="rId77" display="=IFERROR(@__xludf.DUMMYFUNCTION(&quot;&quot;&quot;COMPUTED_VALUE&quot;&quot;&quot;),&quot;Constitution of India&quot;)"/>
    <hyperlink ref="F82" r:id="rId78" display="=IFERROR(@__xludf.DUMMYFUNCTION(&quot;&quot;&quot;COMPUTED_VALUE&quot;&quot;&quot;),&quot;Environmental Science&quot;)"/>
    <hyperlink ref="F83" r:id="rId79" display="=IFERROR(@__xludf.DUMMYFUNCTION(&quot;&quot;&quot;COMPUTED_VALUE&quot;&quot;&quot;),&quot;Professional Ethics&quot;)"/>
    <hyperlink ref="F84" r:id="rId80" display="=IFERROR(@__xludf.DUMMYFUNCTION(&quot;&quot;&quot;COMPUTED_VALUE&quot;&quot;&quot;),&quot;Placement Readiness Assessment&quot;)"/>
    <hyperlink ref="F85" r:id="rId81" display="=IFERROR(@__xludf.DUMMYFUNCTION(&quot;&quot;&quot;COMPUTED_VALUE&quot;&quot;&quot;),&quot;Wasteland Development&quot;)"/>
    <hyperlink ref="F86" r:id="rId82" display="=IFERROR(@__xludf.DUMMYFUNCTION(&quot;&quot;&quot;COMPUTED_VALUE&quot;&quot;&quot;),&quot;Information Technology for Land and Water Management&quot;)"/>
    <hyperlink ref="F87" r:id="rId83" display="=IFERROR(@__xludf.DUMMYFUNCTION(&quot;&quot;&quot;COMPUTED_VALUE&quot;&quot;&quot;),&quot;Minor Irrigation and Command Area Development&quot;)"/>
    <hyperlink ref="F88" r:id="rId82" display="=IFERROR(@__xludf.DUMMYFUNCTION(&quot;&quot;&quot;COMPUTED_VALUE&quot;&quot;&quot;),&quot;Information Technology for Land and Water Management&quot;)"/>
    <hyperlink ref="F89" r:id="rId84" display="=IFERROR(@__xludf.DUMMYFUNCTION(&quot;&quot;&quot;COMPUTED_VALUE&quot;&quot;&quot;),&quot;Water Quality and Management Measures&quot;)"/>
    <hyperlink ref="F90" r:id="rId85" display="=IFERROR(@__xludf.DUMMYFUNCTION(&quot;&quot;&quot;COMPUTED_VALUE&quot;&quot;&quot;),&quot;Landscape Irrigation Design and Management&quot;)"/>
    <hyperlink ref="F91" r:id="rId86" display="=IFERROR(@__xludf.DUMMYFUNCTION(&quot;&quot;&quot;COMPUTED_VALUE&quot;&quot;&quot;),&quot;Mechanics of Tillage and Traction&quot;)"/>
    <hyperlink ref="F92" r:id="rId87" display="=IFERROR(@__xludf.DUMMYFUNCTION(&quot;&quot;&quot;COMPUTED_VALUE&quot;&quot;&quot;),&quot;Tractor Design and Testing&quot;)"/>
    <hyperlink ref="F93" r:id="rId88" display="=IFERROR(@__xludf.DUMMYFUNCTION(&quot;&quot;&quot;COMPUTED_VALUE&quot;&quot;&quot;),&quot;Precision Agriculture and System Management&quot;)"/>
    <hyperlink ref="F94" r:id="rId89" display="=IFERROR(@__xludf.DUMMYFUNCTION(&quot;&quot;&quot;COMPUTED_VALUE&quot;&quot;&quot;),&quot;Food Quality and Control&quot;)"/>
    <hyperlink ref="F95" r:id="rId90" display="=IFERROR(@__xludf.DUMMYFUNCTION(&quot;&quot;&quot;COMPUTED_VALUE&quot;&quot;&quot;),&quot;Food Plant Design and Management&quot;)"/>
    <hyperlink ref="F96" r:id="rId91" display="=IFERROR(@__xludf.DUMMYFUNCTION(&quot;&quot;&quot;COMPUTED_VALUE&quot;&quot;&quot;),&quot;Food Packaging Technology&quot;)"/>
    <hyperlink ref="F97" r:id="rId92" display="=IFERROR(@__xludf.DUMMYFUNCTION(&quot;&quot;&quot;COMPUTED_VALUE&quot;&quot;&quot;),&quot;Development of Processed Products&quot;)"/>
    <hyperlink ref="F98" r:id="rId93" display="=IFERROR(@__xludf.DUMMYFUNCTION(&quot;&quot;&quot;COMPUTED_VALUE&quot;&quot;&quot;),&quot;Process Equipment and Design&quot;)"/>
    <hyperlink ref="F99" r:id="rId94" display="=IFERROR(@__xludf.DUMMYFUNCTION(&quot;&quot;&quot;COMPUTED_VALUE&quot;&quot;&quot;),&quot;Floods and Control Measures&quot;)"/>
    <hyperlink ref="F100" r:id="rId95" display="=IFERROR(@__xludf.DUMMYFUNCTION(&quot;&quot;&quot;COMPUTED_VALUE&quot;&quot;&quot;),&quot;Testing and Evaluation of Tractors and Farm Machinery&quot;)"/>
    <hyperlink ref="F101" r:id="rId96" display="=IFERROR(@__xludf.DUMMYFUNCTION(&quot;&quot;&quot;COMPUTED_VALUE&quot;&quot;&quot;),&quot;Solar Energy in Agricultural Systems&quot;)"/>
    <hyperlink ref="F102" r:id="rId97" display="=IFERROR(@__xludf.DUMMYFUNCTION(&quot;&quot;&quot;COMPUTED_VALUE&quot;&quot;&quot;),&quot;Agricultural Waste Management&quot;)"/>
    <hyperlink ref="F103" r:id="rId98" display="=IFERROR(@__xludf.DUMMYFUNCTION(&quot;&quot;&quot;COMPUTED_VALUE&quot;&quot;&quot;),&quot;Climate Change and Adaptation&quot;)"/>
    <hyperlink ref="F104" r:id="rId99" display="=IFERROR(@__xludf.DUMMYFUNCTION(&quot;&quot;&quot;COMPUTED_VALUE&quot;&quot;&quot;),&quot;Data Science for Soil and Water Management&quot;)"/>
    <hyperlink ref="F105" r:id="rId100" display="=IFERROR(@__xludf.DUMMYFUNCTION(&quot;&quot;&quot;COMPUTED_VALUE&quot;&quot;&quot;),&quot;Computational Software for Crop Growth Modeling&quot;)"/>
    <hyperlink ref="F106" r:id="rId101" display="=IFERROR(@__xludf.DUMMYFUNCTION(&quot;&quot;&quot;COMPUTED_VALUE&quot;&quot;&quot;),&quot;Emerging Technologies in Food Processing&quot;)"/>
    <hyperlink ref="F107" r:id="rId102" display="=IFERROR(@__xludf.DUMMYFUNCTION(&quot;&quot;&quot;COMPUTED_VALUE&quot;&quot;&quot;),&quot;3D Printing Technology for Food Industry&quot;)"/>
  </hyperlink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73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""R2024-AGRI!A:A""),
IMPORTRANGE(""https://docs.google.com/spreadsheets/d/1UvPg-G_Bj-UNhLC2uL8tntfYsnld_PABqE3impzOchM/edit"", ""R2024"&amp;"-AGRI!D:D""),
IMPORTRANGE(""https://docs.google.com/spreadsheets/d/1UvPg-G_Bj-UNhLC2uL8tntfYsnld_PABqE3impzOchM/edit"", ""R2024-AGRI!E:E""),
IMPORTRANGE(""https://docs.google.com/spreadsheets/d/1UvPg-G_Bj-UNhLC2uL8tntfYsnld_PABqE3impzOchM/edit"", ""R2024-"&amp;"AGRI!F:F""),
IMPORTRANGE(""https://docs.google.com/spreadsheets/d/1UvPg-G_Bj-UNhLC2uL8tntfYsnld_PABqE3impzOchM/edit"", ""R2024-AGRI!G:G""),
IMPORTRANGE(""https://docs.google.com/spreadsheets/d/1UvPg-G_Bj-UNhLC2uL8tntfYsnld_PABqE3impzOchM/edit"", ""R2024-A"&amp;"GRI!I:I""),
IMPORTRANGE(""https://docs.google.com/spreadsheets/d/1UvPg-G_Bj-UNhLC2uL8tntfYsnld_PABqE3impzOchM/edit"", ""R2024-AGRI!N:N""),
IMPORTRANGE(""https://docs.google.com/spreadsheets/d/1UvPg-G_Bj-UNhLC2uL8tntfYsnld_PABqE3impzOchM/edit"", ""R2024-AG"&amp;"RI!O:O""),
IMPORTRANGE(""https://docs.google.com/spreadsheets/d/1UvPg-G_Bj-UNhLC2uL8tntfYsnld_PABqE3impzOchM/edit"", ""R2024-AGRI!P:P""),
IMPORTRANGE(""https://docs.google.com/spreadsheets/d/1UvPg-G_Bj-UNhLC2uL8tntfYsnld_PABqE3impzOchM/edit"", ""R2024-AGR"&amp;"I!Q:Q""),
IMPORTRANGE(""https://docs.google.com/spreadsheets/d/1UvPg-G_Bj-UNhLC2uL8tntfYsnld_PABqE3impzOchM/edit"", ""R2024-AGRI!R:R""),
IMPORTRANGE(""https://docs.google.com/spreadsheets/d/1UvPg-G_Bj-UNhLC2uL8tntfYsnld_PABqE3impzOchM/edit"", ""R2024-AGRI"&amp;"!S:S""),
IMPORTRANGE(""https://docs.google.com/spreadsheets/d/1UvPg-G_Bj-UNhLC2uL8tntfYsnld_PABqE3impzOchM/edit"", ""R2024-AGRI!V:V""),
IMPORTRANGE(""https://docs.google.com/spreadsheets/d/1UvPg-G_Bj-UNhLC2uL8tntfYsnld_PABqE3impzOchM/edit"", ""R2024-AGRI!"&amp;"X:X""),
IMPORTRANGE(""https://docs.google.com/spreadsheets/d/1UvPg-G_Bj-UNhLC2uL8tntfYsnld_PABqE3impzOchM/edit"", ""R2024-AGRI!Y:Y"")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IFERROR(__xludf.DUMMYFUNCTION("""COMPUTED_VALUE"""),"SH1106")</f>
        <v>SH1106</v>
      </c>
      <c r="E3" s="2" t="str">
        <f>IFERROR(__xludf.DUMMYFUNCTION("""COMPUTED_VALUE"""),"19EN106")</f>
        <v>19EN106</v>
      </c>
      <c r="F3" s="7" t="str">
        <f>IFERROR(__xludf.DUMMYFUNCTION("""COMPUTED_VALUE"""),"English for Engineers")</f>
        <v>English for Engineers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IFERROR(__xludf.DUMMYFUNCTION("""COMPUTED_VALUE"""),12)</f>
        <v>12</v>
      </c>
      <c r="O3" s="20">
        <f>IFERROR(__xludf.DUMMYFUNCTION("""COMPUTED_VALUE"""),2)</f>
        <v>2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LE")</f>
        <v>Exempted for LE</v>
      </c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IFERROR(__xludf.DUMMYFUNCTION("""COMPUTED_VALUE"""),23)</f>
        <v>23</v>
      </c>
      <c r="O4" s="20">
        <f>IFERROR(__xludf.DUMMYFUNCTION("""COMPUTED_VALUE"""),4)</f>
        <v>4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LE")</f>
        <v>Exempted for LE</v>
      </c>
      <c r="C5" s="2" t="str">
        <f>IFERROR(__xludf.DUMMYFUNCTION("""COMPUTED_VALUE"""),"HS")</f>
        <v>HS</v>
      </c>
      <c r="D5" s="2" t="str">
        <f>IFERROR(__xludf.DUMMYFUNCTION("""COMPUTED_VALUE"""),"SH7801")</f>
        <v>SH7801</v>
      </c>
      <c r="E5" s="2" t="str">
        <f>IFERROR(__xludf.DUMMYFUNCTION("""COMPUTED_VALUE"""),"NA")</f>
        <v>NA</v>
      </c>
      <c r="F5" s="7" t="str">
        <f>IFERROR(__xludf.DUMMYFUNCTION("""COMPUTED_VALUE"""),"Human Values and Professional Ethics")</f>
        <v>Human Values and Professional Ethics</v>
      </c>
      <c r="G5" s="2" t="str">
        <f>IFERROR(__xludf.DUMMYFUNCTION("""COMPUTED_VALUE"""),"-")</f>
        <v>-</v>
      </c>
      <c r="H5" s="2">
        <f>IFERROR(__xludf.DUMMYFUNCTION("""COMPUTED_VALUE"""),2)</f>
        <v>2</v>
      </c>
      <c r="I5" s="2">
        <f>IFERROR(__xludf.DUMMYFUNCTION("""COMPUTED_VALUE"""),0)</f>
        <v>0</v>
      </c>
      <c r="J5" s="2">
        <f>IFERROR(__xludf.DUMMYFUNCTION("""COMPUTED_VALUE"""),2)</f>
        <v>2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IFERROR(__xludf.DUMMYFUNCTION("""COMPUTED_VALUE"""),45)</f>
        <v>45</v>
      </c>
      <c r="O5" s="20">
        <f>IFERROR(__xludf.DUMMYFUNCTION("""COMPUTED_VALUE"""),27)</f>
        <v>27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IFERROR(__xludf.DUMMYFUNCTION("""COMPUTED_VALUE"""),"SH7101")</f>
        <v>SH7101</v>
      </c>
      <c r="E6" s="2" t="str">
        <f>IFERROR(__xludf.DUMMYFUNCTION("""COMPUTED_VALUE"""),"22HS101")</f>
        <v>22HS101</v>
      </c>
      <c r="F6" s="7" t="str">
        <f>IFERROR(__xludf.DUMMYFUNCTION("""COMPUTED_VALUE"""),"தமிழர் மரபு/ Heritage of Tamils")</f>
        <v>தமிழர் மரபு/ Heritage of Tamils</v>
      </c>
      <c r="G6" s="2" t="str">
        <f>IFERROR(__xludf.DUMMYFUNCTION("""COMPUTED_VALUE"""),"-")</f>
        <v>-</v>
      </c>
      <c r="H6" s="2">
        <f>IFERROR(__xludf.DUMMYFUNCTION("""COMPUTED_VALUE"""),1)</f>
        <v>1</v>
      </c>
      <c r="I6" s="2">
        <f>IFERROR(__xludf.DUMMYFUNCTION("""COMPUTED_VALUE"""),0)</f>
        <v>0</v>
      </c>
      <c r="J6" s="2">
        <f>IFERROR(__xludf.DUMMYFUNCTION("""COMPUTED_VALUE"""),1)</f>
        <v>1</v>
      </c>
      <c r="K6" s="2" t="str">
        <f>IFERROR(__xludf.DUMMYFUNCTION("""COMPUTED_VALUE"""),"CGPA")</f>
        <v>CGPA</v>
      </c>
      <c r="L6" s="18" t="str">
        <f>IFERROR(__xludf.DUMMYFUNCTION("""COMPUTED_VALUE"""),"Theory (Int Only)")</f>
        <v>Theory (Int Only)</v>
      </c>
      <c r="M6" s="19" t="str">
        <f>IFERROR(__xludf.DUMMYFUNCTION("""COMPUTED_VALUE"""),"PC")</f>
        <v>PC</v>
      </c>
      <c r="N6" s="2">
        <f>IFERROR(__xludf.DUMMYFUNCTION("""COMPUTED_VALUE"""),54)</f>
        <v>54</v>
      </c>
      <c r="O6" s="20">
        <f>IFERROR(__xludf.DUMMYFUNCTION("""COMPUTED_VALUE"""),54)</f>
        <v>54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IFERROR(__xludf.DUMMYFUNCTION("""COMPUTED_VALUE"""),"SH7102")</f>
        <v>SH7102</v>
      </c>
      <c r="E7" s="2" t="str">
        <f>IFERROR(__xludf.DUMMYFUNCTION("""COMPUTED_VALUE"""),"22HS102")</f>
        <v>22HS102</v>
      </c>
      <c r="F7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7" s="2" t="str">
        <f>IFERROR(__xludf.DUMMYFUNCTION("""COMPUTED_VALUE"""),"-")</f>
        <v>-</v>
      </c>
      <c r="H7" s="2">
        <f>IFERROR(__xludf.DUMMYFUNCTION("""COMPUTED_VALUE"""),1)</f>
        <v>1</v>
      </c>
      <c r="I7" s="2">
        <f>IFERROR(__xludf.DUMMYFUNCTION("""COMPUTED_VALUE"""),0)</f>
        <v>0</v>
      </c>
      <c r="J7" s="2">
        <f>IFERROR(__xludf.DUMMYFUNCTION("""COMPUTED_VALUE"""),1)</f>
        <v>1</v>
      </c>
      <c r="K7" s="2" t="str">
        <f>IFERROR(__xludf.DUMMYFUNCTION("""COMPUTED_VALUE"""),"CGPA")</f>
        <v>CGPA</v>
      </c>
      <c r="L7" s="18" t="str">
        <f>IFERROR(__xludf.DUMMYFUNCTION("""COMPUTED_VALUE"""),"Theory (Int Only)")</f>
        <v>Theory (Int Only)</v>
      </c>
      <c r="M7" s="19" t="str">
        <f>IFERROR(__xludf.DUMMYFUNCTION("""COMPUTED_VALUE"""),"PE")</f>
        <v>PE</v>
      </c>
      <c r="N7" s="2">
        <f>IFERROR(__xludf.DUMMYFUNCTION("""COMPUTED_VALUE"""),9)</f>
        <v>9</v>
      </c>
      <c r="O7" s="20">
        <f>IFERROR(__xludf.DUMMYFUNCTION("""COMPUTED_VALUE"""),9)</f>
        <v>9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IFERROR(__xludf.DUMMYFUNCTION("""COMPUTED_VALUE"""),"BS")</f>
        <v>BS</v>
      </c>
      <c r="D8" s="2" t="str">
        <f>IFERROR(__xludf.DUMMYFUNCTION("""COMPUTED_VALUE"""),"SH2201")</f>
        <v>SH2201</v>
      </c>
      <c r="E8" s="2" t="str">
        <f>IFERROR(__xludf.DUMMYFUNCTION("""COMPUTED_VALUE"""),"19MA201")</f>
        <v>19MA201</v>
      </c>
      <c r="F8" s="7" t="str">
        <f>IFERROR(__xludf.DUMMYFUNCTION("""COMPUTED_VALUE"""),"Calculus and Matrix Algebra")</f>
        <v>Calculus and Matrix Algebra</v>
      </c>
      <c r="G8" s="2" t="str">
        <f>IFERROR(__xludf.DUMMYFUNCTION("""COMPUTED_VALUE"""),"-")</f>
        <v>-</v>
      </c>
      <c r="H8" s="2">
        <f>IFERROR(__xludf.DUMMYFUNCTION("""COMPUTED_VALUE"""),4)</f>
        <v>4</v>
      </c>
      <c r="I8" s="2">
        <f>IFERROR(__xludf.DUMMYFUNCTION("""COMPUTED_VALUE"""),0)</f>
        <v>0</v>
      </c>
      <c r="J8" s="2">
        <f>IFERROR(__xludf.DUMMYFUNCTION("""COMPUTED_VALUE"""),4)</f>
        <v>4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IFERROR(__xludf.DUMMYFUNCTION("""COMPUTED_VALUE"""),6)</f>
        <v>6</v>
      </c>
      <c r="O8" s="20">
        <f>IFERROR(__xludf.DUMMYFUNCTION("""COMPUTED_VALUE"""),6)</f>
        <v>6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IFERROR(__xludf.DUMMYFUNCTION("""COMPUTED_VALUE"""),"BS")</f>
        <v>BS</v>
      </c>
      <c r="D9" s="2" t="str">
        <f>IFERROR(__xludf.DUMMYFUNCTION("""COMPUTED_VALUE"""),"SH2211")</f>
        <v>SH2211</v>
      </c>
      <c r="E9" s="2" t="str">
        <f>IFERROR(__xludf.DUMMYFUNCTION("""COMPUTED_VALUE"""),"19MA211")</f>
        <v>19MA211</v>
      </c>
      <c r="F9" s="7" t="str">
        <f>IFERROR(__xludf.DUMMYFUNCTION("""COMPUTED_VALUE"""),"Statistics and Numerical Methods")</f>
        <v>Statistics and Numerical Methods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IFERROR(__xludf.DUMMYFUNCTION("""COMPUTED_VALUE"""),1)</f>
        <v>1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IFERROR(__xludf.DUMMYFUNCTION("""COMPUTED_VALUE"""),"TIP (6 Expts)")</f>
        <v>TIP (6 Expts)</v>
      </c>
      <c r="M9" s="19" t="str">
        <f>IFERROR(__xludf.DUMMYFUNCTION("""COMPUTED_VALUE"""),"EEC")</f>
        <v>EEC</v>
      </c>
      <c r="N9" s="2">
        <f>IFERROR(__xludf.DUMMYFUNCTION("""COMPUTED_VALUE"""),33)</f>
        <v>33</v>
      </c>
      <c r="O9" s="20">
        <f>IFERROR(__xludf.DUMMYFUNCTION("""COMPUTED_VALUE"""),33)</f>
        <v>33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IFERROR(__xludf.DUMMYFUNCTION("""COMPUTED_VALUE"""),"BS")</f>
        <v>BS</v>
      </c>
      <c r="D10" s="2" t="str">
        <f>IFERROR(__xludf.DUMMYFUNCTION("""COMPUTED_VALUE"""),"SH2224")</f>
        <v>SH2224</v>
      </c>
      <c r="E10" s="2" t="str">
        <f>IFERROR(__xludf.DUMMYFUNCTION("""COMPUTED_VALUE"""),"19MA224")</f>
        <v>19MA224</v>
      </c>
      <c r="F10" s="7" t="str">
        <f>IFERROR(__xludf.DUMMYFUNCTION("""COMPUTED_VALUE"""),"Transforms and Differential Equations")</f>
        <v>Transforms and Differential Equations</v>
      </c>
      <c r="G10" s="2" t="str">
        <f>IFERROR(__xludf.DUMMYFUNCTION("""COMPUTED_VALUE"""),"-")</f>
        <v>-</v>
      </c>
      <c r="H10" s="2">
        <f>IFERROR(__xludf.DUMMYFUNCTION("""COMPUTED_VALUE"""),4)</f>
        <v>4</v>
      </c>
      <c r="I10" s="2">
        <f>IFERROR(__xludf.DUMMYFUNCTION("""COMPUTED_VALUE"""),0)</f>
        <v>0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IFERROR(__xludf.DUMMYFUNCTION("""COMPUTED_VALUE"""),"Theory")</f>
        <v>Theory</v>
      </c>
      <c r="M10" s="19" t="str">
        <f>IFERROR(__xludf.DUMMYFUNCTION("""COMPUTED_VALUE"""),"MC")</f>
        <v>MC</v>
      </c>
      <c r="N10" s="2">
        <f>IFERROR(__xludf.DUMMYFUNCTION("""COMPUTED_VALUE"""),2)</f>
        <v>2</v>
      </c>
      <c r="O10" s="20">
        <f>IFERROR(__xludf.DUMMYFUNCTION("""COMPUTED_VALUE"""),2)</f>
        <v>2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IFERROR(__xludf.DUMMYFUNCTION("""COMPUTED_VALUE"""),"SH4801")</f>
        <v>SH4801</v>
      </c>
      <c r="E11" s="2" t="str">
        <f>IFERROR(__xludf.DUMMYFUNCTION("""COMPUTED_VALUE"""),"NA")</f>
        <v>NA</v>
      </c>
      <c r="F11" s="7" t="str">
        <f>IFERROR(__xludf.DUMMYFUNCTION("""COMPUTED_VALUE"""),"Environmental Sciences and Sustainability")</f>
        <v>Environmental Sciences and Sustainability</v>
      </c>
      <c r="G11" s="2" t="str">
        <f>IFERROR(__xludf.DUMMYFUNCTION("""COMPUTED_VALUE"""),"-")</f>
        <v>-</v>
      </c>
      <c r="H11" s="2">
        <f>IFERROR(__xludf.DUMMYFUNCTION("""COMPUTED_VALUE"""),2)</f>
        <v>2</v>
      </c>
      <c r="I11" s="2">
        <f>IFERROR(__xludf.DUMMYFUNCTION("""COMPUTED_VALUE"""),0)</f>
        <v>0</v>
      </c>
      <c r="J11" s="2">
        <f>IFERROR(__xludf.DUMMYFUNCTION("""COMPUTED_VALUE"""),2)</f>
        <v>2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/>
      <c r="N11" s="22"/>
      <c r="O11" s="23">
        <f>IFERROR(__xludf.DUMMYFUNCTION("""COMPUTED_VALUE"""),137)</f>
        <v>137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IFERROR(__xludf.DUMMYFUNCTION("""COMPUTED_VALUE"""),"SH3203")</f>
        <v>SH3203</v>
      </c>
      <c r="E12" s="2" t="str">
        <f>IFERROR(__xludf.DUMMYFUNCTION("""COMPUTED_VALUE"""),"19PH203")</f>
        <v>19PH203</v>
      </c>
      <c r="F12" s="7" t="str">
        <f>IFERROR(__xludf.DUMMYFUNCTION("""COMPUTED_VALUE"""),"Engineering Physics")</f>
        <v>Engineering Physics</v>
      </c>
      <c r="G12" s="2" t="str">
        <f>IFERROR(__xludf.DUMMYFUNCTION("""COMPUTED_VALUE"""),"-")</f>
        <v>-</v>
      </c>
      <c r="H12" s="2">
        <f>IFERROR(__xludf.DUMMYFUNCTION("""COMPUTED_VALUE"""),2)</f>
        <v>2</v>
      </c>
      <c r="I12" s="2">
        <f>IFERROR(__xludf.DUMMYFUNCTION("""COMPUTED_VALUE"""),1)</f>
        <v>1</v>
      </c>
      <c r="J12" s="2">
        <f>IFERROR(__xludf.DUMMYFUNCTION("""COMPUTED_VALUE"""),3)</f>
        <v>3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IFERROR(__xludf.DUMMYFUNCTION("""COMPUTED_VALUE"""),"SH4201")</f>
        <v>SH4201</v>
      </c>
      <c r="E13" s="2" t="str">
        <f>IFERROR(__xludf.DUMMYFUNCTION("""COMPUTED_VALUE"""),"19CY201")</f>
        <v>19CY201</v>
      </c>
      <c r="F13" s="7" t="str">
        <f>IFERROR(__xludf.DUMMYFUNCTION("""COMPUTED_VALUE"""),"Engineering Chemistry")</f>
        <v>Engineering Chemistry</v>
      </c>
      <c r="G13" s="2" t="str">
        <f>IFERROR(__xludf.DUMMYFUNCTION("""COMPUTED_VALUE"""),"-")</f>
        <v>-</v>
      </c>
      <c r="H13" s="2">
        <f>IFERROR(__xludf.DUMMYFUNCTION("""COMPUTED_VALUE"""),2)</f>
        <v>2</v>
      </c>
      <c r="I13" s="2">
        <f>IFERROR(__xludf.DUMMYFUNCTION("""COMPUTED_VALUE"""),1)</f>
        <v>1</v>
      </c>
      <c r="J13" s="2">
        <f>IFERROR(__xludf.DUMMYFUNCTION("""COMPUTED_VALUE"""),3)</f>
        <v>3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IFERROR(__xludf.DUMMYFUNCTION("""COMPUTED_VALUE"""),"ES")</f>
        <v>ES</v>
      </c>
      <c r="D14" s="2" t="str">
        <f>IFERROR(__xludf.DUMMYFUNCTION("""COMPUTED_VALUE"""),"CS3301")</f>
        <v>CS3301</v>
      </c>
      <c r="E14" s="2" t="str">
        <f>IFERROR(__xludf.DUMMYFUNCTION("""COMPUTED_VALUE"""),"19AI301")</f>
        <v>19AI301</v>
      </c>
      <c r="F14" s="7" t="str">
        <f>IFERROR(__xludf.DUMMYFUNCTION("""COMPUTED_VALUE"""),"Python Programming")</f>
        <v>Python Programming</v>
      </c>
      <c r="G14" s="2" t="str">
        <f>IFERROR(__xludf.DUMMYFUNCTION("""COMPUTED_VALUE"""),"-")</f>
        <v>-</v>
      </c>
      <c r="H14" s="2">
        <f>IFERROR(__xludf.DUMMYFUNCTION("""COMPUTED_VALUE"""),2)</f>
        <v>2</v>
      </c>
      <c r="I14" s="2">
        <f>IFERROR(__xludf.DUMMYFUNCTION("""COMPUTED_VALUE"""),1)</f>
        <v>1</v>
      </c>
      <c r="J14" s="2">
        <f>IFERROR(__xludf.DUMMYFUNCTION("""COMPUTED_VALUE"""),3)</f>
        <v>3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IFERROR(__xludf.DUMMYFUNCTION("""COMPUTED_VALUE"""),"ES")</f>
        <v>ES</v>
      </c>
      <c r="D15" s="2" t="str">
        <f>IFERROR(__xludf.DUMMYFUNCTION("""COMPUTED_VALUE"""),"CS3801")</f>
        <v>CS3801</v>
      </c>
      <c r="E15" s="2" t="str">
        <f>IFERROR(__xludf.DUMMYFUNCTION("""COMPUTED_VALUE"""),"NA")</f>
        <v>NA</v>
      </c>
      <c r="F15" s="7" t="str">
        <f>IFERROR(__xludf.DUMMYFUNCTION("""COMPUTED_VALUE"""),"Artificial Intelligence and Applications")</f>
        <v>Artificial Intelligence and Applications</v>
      </c>
      <c r="G15" s="2" t="str">
        <f>IFERROR(__xludf.DUMMYFUNCTION("""COMPUTED_VALUE"""),"-")</f>
        <v>-</v>
      </c>
      <c r="H15" s="2">
        <f>IFERROR(__xludf.DUMMYFUNCTION("""COMPUTED_VALUE"""),1)</f>
        <v>1</v>
      </c>
      <c r="I15" s="2">
        <f>IFERROR(__xludf.DUMMYFUNCTION("""COMPUTED_VALUE"""),2)</f>
        <v>2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IFERROR(__xludf.DUMMYFUNCTION("""COMPUTED_VALUE"""),"Theory (Int Only) and Practical (10 Expts)")</f>
        <v>Theory (Int Only) and Practical (10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IFERROR(__xludf.DUMMYFUNCTION("""COMPUTED_VALUE"""),"ES")</f>
        <v>ES</v>
      </c>
      <c r="D16" s="2" t="str">
        <f>IFERROR(__xludf.DUMMYFUNCTION("""COMPUTED_VALUE"""),"ME0309")</f>
        <v>ME0309</v>
      </c>
      <c r="E16" s="2" t="str">
        <f>IFERROR(__xludf.DUMMYFUNCTION("""COMPUTED_VALUE"""),"19ME309")</f>
        <v>19ME309</v>
      </c>
      <c r="F16" s="7" t="str">
        <f>IFERROR(__xludf.DUMMYFUNCTION("""COMPUTED_VALUE"""),"Engineering Drawing and Visualisation")</f>
        <v>Engineering Drawing and Visualisation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IFERROR(__xludf.DUMMYFUNCTION("""COMPUTED_VALUE"""),"ES")</f>
        <v>ES</v>
      </c>
      <c r="D17" s="2" t="str">
        <f>IFERROR(__xludf.DUMMYFUNCTION("""COMPUTED_VALUE"""),"ME0310")</f>
        <v>ME0310</v>
      </c>
      <c r="E17" s="2" t="str">
        <f>IFERROR(__xludf.DUMMYFUNCTION("""COMPUTED_VALUE"""),"19ME310")</f>
        <v>19ME310</v>
      </c>
      <c r="F17" s="7" t="str">
        <f>IFERROR(__xludf.DUMMYFUNCTION("""COMPUTED_VALUE"""),"Engineering Practices Lab")</f>
        <v>Engineering Practices Lab</v>
      </c>
      <c r="G17" s="2" t="str">
        <f>IFERROR(__xludf.DUMMYFUNCTION("""COMPUTED_VALUE"""),"-")</f>
        <v>-</v>
      </c>
      <c r="H17" s="2">
        <f>IFERROR(__xludf.DUMMYFUNCTION("""COMPUTED_VALUE"""),0)</f>
        <v>0</v>
      </c>
      <c r="I17" s="2">
        <f>IFERROR(__xludf.DUMMYFUNCTION("""COMPUTED_VALUE"""),1)</f>
        <v>1</v>
      </c>
      <c r="J17" s="2">
        <f>IFERROR(__xludf.DUMMYFUNCTION("""COMPUTED_VALUE"""),1)</f>
        <v>1</v>
      </c>
      <c r="K17" s="2" t="str">
        <f>IFERROR(__xludf.DUMMYFUNCTION("""COMPUTED_VALUE"""),"CGPA")</f>
        <v>CGPA</v>
      </c>
      <c r="L17" s="2" t="str">
        <f>IFERROR(__xludf.DUMMYFUNCTION("""COMPUTED_VALUE"""),"Practical (6 Expts)")</f>
        <v>Practical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IFERROR(__xludf.DUMMYFUNCTION("""COMPUTED_VALUE"""),"ME0801")</f>
        <v>ME0801</v>
      </c>
      <c r="E18" s="2" t="str">
        <f>IFERROR(__xludf.DUMMYFUNCTION("""COMPUTED_VALUE"""),"NA")</f>
        <v>NA</v>
      </c>
      <c r="F18" s="7" t="str">
        <f>IFERROR(__xludf.DUMMYFUNCTION("""COMPUTED_VALUE"""),"Theory of Machines")</f>
        <v>Theory of Machines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IFERROR(__xludf.DUMMYFUNCTION("""COMPUTED_VALUE"""),"EC2306")</f>
        <v>EC2306</v>
      </c>
      <c r="E19" s="2" t="str">
        <f>IFERROR(__xludf.DUMMYFUNCTION("""COMPUTED_VALUE"""),"19EE306  ")</f>
        <v>19EE306  </v>
      </c>
      <c r="F19" s="7" t="str">
        <f>IFERROR(__xludf.DUMMYFUNCTION("""COMPUTED_VALUE"""),"Basic Electrical, Electronics and Instrumentation Engineering")</f>
        <v>Basic Electrical, Electronics and Instrumentation Engineering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IFERROR(__xludf.DUMMYFUNCTION("""COMPUTED_VALUE"""),"HS")</f>
        <v>HS</v>
      </c>
      <c r="D20" s="2" t="str">
        <f>IFERROR(__xludf.DUMMYFUNCTION("""COMPUTED_VALUE"""),"AG0801")</f>
        <v>AG0801</v>
      </c>
      <c r="E20" s="2" t="str">
        <f>IFERROR(__xludf.DUMMYFUNCTION("""COMPUTED_VALUE"""),"NA")</f>
        <v>NA</v>
      </c>
      <c r="F20" s="7" t="str">
        <f>IFERROR(__xludf.DUMMYFUNCTION("""COMPUTED_VALUE"""),"Entrepreneurship Development and Business Management")</f>
        <v>Entrepreneurship Development and Business Management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IFERROR(__xludf.DUMMYFUNCTION("""COMPUTED_VALUE"""),0)</f>
        <v>0</v>
      </c>
      <c r="J20" s="2">
        <f>IFERROR(__xludf.DUMMYFUNCTION("""COMPUTED_VALUE"""),2)</f>
        <v>2</v>
      </c>
      <c r="K20" s="2" t="str">
        <f>IFERROR(__xludf.DUMMYFUNCTION("""COMPUTED_VALUE"""),"CGPA")</f>
        <v>CGPA</v>
      </c>
      <c r="L20" s="2" t="str">
        <f>IFERROR(__xludf.DUMMYFUNCTION("""COMPUTED_VALUE"""),"Theory")</f>
        <v>Theory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IFERROR(__xludf.DUMMYFUNCTION("""COMPUTED_VALUE"""),"BS")</f>
        <v>BS</v>
      </c>
      <c r="D21" s="2" t="str">
        <f>IFERROR(__xludf.DUMMYFUNCTION("""COMPUTED_VALUE"""),"AG0802")</f>
        <v>AG0802</v>
      </c>
      <c r="E21" s="2" t="str">
        <f>IFERROR(__xludf.DUMMYFUNCTION("""COMPUTED_VALUE"""),"NA")</f>
        <v>NA</v>
      </c>
      <c r="F21" s="7" t="str">
        <f>IFERROR(__xludf.DUMMYFUNCTION("""COMPUTED_VALUE"""),"Principles of Soil Science")</f>
        <v>Principles of Soil Science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IFERROR(__xludf.DUMMYFUNCTION("""COMPUTED_VALUE"""),0)</f>
        <v>0</v>
      </c>
      <c r="J21" s="2">
        <f>IFERROR(__xludf.DUMMYFUNCTION("""COMPUTED_VALUE"""),2)</f>
        <v>2</v>
      </c>
      <c r="K21" s="2" t="str">
        <f>IFERROR(__xludf.DUMMYFUNCTION("""COMPUTED_VALUE"""),"CGPA")</f>
        <v>CGPA</v>
      </c>
      <c r="L21" s="2" t="str">
        <f>IFERROR(__xludf.DUMMYFUNCTION("""COMPUTED_VALUE"""),"Theory")</f>
        <v>Theory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IFERROR(__xludf.DUMMYFUNCTION("""COMPUTED_VALUE"""),"BS")</f>
        <v>BS</v>
      </c>
      <c r="D22" s="2" t="str">
        <f>IFERROR(__xludf.DUMMYFUNCTION("""COMPUTED_VALUE"""),"AG0803")</f>
        <v>AG0803</v>
      </c>
      <c r="E22" s="2" t="str">
        <f>IFERROR(__xludf.DUMMYFUNCTION("""COMPUTED_VALUE"""),"NA")</f>
        <v>NA</v>
      </c>
      <c r="F22" s="7" t="str">
        <f>IFERROR(__xludf.DUMMYFUNCTION("""COMPUTED_VALUE"""),"Soil Science Laboratory")</f>
        <v>Soil Science Laboratory</v>
      </c>
      <c r="G22" s="2" t="str">
        <f>IFERROR(__xludf.DUMMYFUNCTION("""COMPUTED_VALUE"""),"-")</f>
        <v>-</v>
      </c>
      <c r="H22" s="2">
        <f>IFERROR(__xludf.DUMMYFUNCTION("""COMPUTED_VALUE"""),0)</f>
        <v>0</v>
      </c>
      <c r="I22" s="2">
        <f>IFERROR(__xludf.DUMMYFUNCTION("""COMPUTED_VALUE"""),1)</f>
        <v>1</v>
      </c>
      <c r="J22" s="2">
        <f>IFERROR(__xludf.DUMMYFUNCTION("""COMPUTED_VALUE"""),1)</f>
        <v>1</v>
      </c>
      <c r="K22" s="2" t="str">
        <f>IFERROR(__xludf.DUMMYFUNCTION("""COMPUTED_VALUE"""),"CGPA")</f>
        <v>CGPA</v>
      </c>
      <c r="L22" s="2" t="str">
        <f>IFERROR(__xludf.DUMMYFUNCTION("""COMPUTED_VALUE"""),"Practical (6 Expts)")</f>
        <v>Practical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IFERROR(__xludf.DUMMYFUNCTION("""COMPUTED_VALUE"""),"AG0807")</f>
        <v>AG0807</v>
      </c>
      <c r="E23" s="2" t="str">
        <f>IFERROR(__xludf.DUMMYFUNCTION("""COMPUTED_VALUE"""),"NA")</f>
        <v>NA</v>
      </c>
      <c r="F23" s="7" t="str">
        <f>IFERROR(__xludf.DUMMYFUNCTION("""COMPUTED_VALUE"""),"Fluid Mechanics and Open Channel Hydraulics")</f>
        <v>Fluid Mechanics and Open Channel Hydraulics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IFERROR(__xludf.DUMMYFUNCTION("""COMPUTED_VALUE"""),0)</f>
        <v>0</v>
      </c>
      <c r="J23" s="2">
        <f>IFERROR(__xludf.DUMMYFUNCTION("""COMPUTED_VALUE"""),2)</f>
        <v>2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IFERROR(__xludf.DUMMYFUNCTION("""COMPUTED_VALUE"""),"AG0808")</f>
        <v>AG0808</v>
      </c>
      <c r="E24" s="2" t="str">
        <f>IFERROR(__xludf.DUMMYFUNCTION("""COMPUTED_VALUE"""),"NA")</f>
        <v>NA</v>
      </c>
      <c r="F24" s="7" t="str">
        <f>IFERROR(__xludf.DUMMYFUNCTION("""COMPUTED_VALUE"""),"Fluid Mechanics Laboratory")</f>
        <v>Fluid Mechanics Laboratory</v>
      </c>
      <c r="G24" s="2" t="str">
        <f>IFERROR(__xludf.DUMMYFUNCTION("""COMPUTED_VALUE"""),"-")</f>
        <v>-</v>
      </c>
      <c r="H24" s="2">
        <f>IFERROR(__xludf.DUMMYFUNCTION("""COMPUTED_VALUE"""),0)</f>
        <v>0</v>
      </c>
      <c r="I24" s="2">
        <f>IFERROR(__xludf.DUMMYFUNCTION("""COMPUTED_VALUE"""),1)</f>
        <v>1</v>
      </c>
      <c r="J24" s="2">
        <f>IFERROR(__xludf.DUMMYFUNCTION("""COMPUTED_VALUE"""),1)</f>
        <v>1</v>
      </c>
      <c r="K24" s="2" t="str">
        <f>IFERROR(__xludf.DUMMYFUNCTION("""COMPUTED_VALUE"""),"CGPA")</f>
        <v>CGPA</v>
      </c>
      <c r="L24" s="2" t="str">
        <f>IFERROR(__xludf.DUMMYFUNCTION("""COMPUTED_VALUE"""),"Practical (6 Expts)")</f>
        <v>Practical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IFERROR(__xludf.DUMMYFUNCTION("""COMPUTED_VALUE"""),"AG0806")</f>
        <v>AG0806</v>
      </c>
      <c r="E25" s="2" t="str">
        <f>IFERROR(__xludf.DUMMYFUNCTION("""COMPUTED_VALUE"""),"NA")</f>
        <v>NA</v>
      </c>
      <c r="F25" s="7" t="str">
        <f>IFERROR(__xludf.DUMMYFUNCTION("""COMPUTED_VALUE"""),"Soil Mechanics")</f>
        <v>Soil Mechanics</v>
      </c>
      <c r="G25" s="2" t="str">
        <f>IFERROR(__xludf.DUMMYFUNCTION("""COMPUTED_VALUE"""),"-")</f>
        <v>-</v>
      </c>
      <c r="H25" s="2">
        <f>IFERROR(__xludf.DUMMYFUNCTION("""COMPUTED_VALUE"""),1)</f>
        <v>1</v>
      </c>
      <c r="I25" s="2">
        <f>IFERROR(__xludf.DUMMYFUNCTION("""COMPUTED_VALUE"""),1)</f>
        <v>1</v>
      </c>
      <c r="J25" s="2">
        <f>IFERROR(__xludf.DUMMYFUNCTION("""COMPUTED_VALUE"""),2)</f>
        <v>2</v>
      </c>
      <c r="K25" s="2" t="str">
        <f>IFERROR(__xludf.DUMMYFUNCTION("""COMPUTED_VALUE"""),"CGPA")</f>
        <v>CGPA</v>
      </c>
      <c r="L25" s="2" t="str">
        <f>IFERROR(__xludf.DUMMYFUNCTION("""COMPUTED_VALUE"""),"Theory (Int Only) and Practical (6 Expts)")</f>
        <v>Theory (Int Only) and Practical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IFERROR(__xludf.DUMMYFUNCTION("""COMPUTED_VALUE"""),"AG0809")</f>
        <v>AG0809</v>
      </c>
      <c r="E26" s="2" t="str">
        <f>IFERROR(__xludf.DUMMYFUNCTION("""COMPUTED_VALUE"""),"NA")</f>
        <v>NA</v>
      </c>
      <c r="F26" s="7" t="str">
        <f>IFERROR(__xludf.DUMMYFUNCTION("""COMPUTED_VALUE"""),"Thermodynamics, Refrigeration and Air Conditioning")</f>
        <v>Thermodynamics, Refrigeration and Air Conditioning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IFERROR(__xludf.DUMMYFUNCTION("""COMPUTED_VALUE"""),0)</f>
        <v>0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IFERROR(__xludf.DUMMYFUNCTION("""COMPUTED_VALUE"""),"Theory")</f>
        <v>Theory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IFERROR(__xludf.DUMMYFUNCTION("""COMPUTED_VALUE"""),"AG0804")</f>
        <v>AG0804</v>
      </c>
      <c r="E27" s="2" t="str">
        <f>IFERROR(__xludf.DUMMYFUNCTION("""COMPUTED_VALUE"""),"NA")</f>
        <v>NA</v>
      </c>
      <c r="F27" s="7" t="str">
        <f>IFERROR(__xludf.DUMMYFUNCTION("""COMPUTED_VALUE"""),"Surveying and Levelling")</f>
        <v>Surveying and Levelling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IFERROR(__xludf.DUMMYFUNCTION("""COMPUTED_VALUE"""),0)</f>
        <v>0</v>
      </c>
      <c r="J27" s="2">
        <f>IFERROR(__xludf.DUMMYFUNCTION("""COMPUTED_VALUE"""),2)</f>
        <v>2</v>
      </c>
      <c r="K27" s="2" t="str">
        <f>IFERROR(__xludf.DUMMYFUNCTION("""COMPUTED_VALUE"""),"CGPA")</f>
        <v>CGPA</v>
      </c>
      <c r="L27" s="2" t="str">
        <f>IFERROR(__xludf.DUMMYFUNCTION("""COMPUTED_VALUE"""),"Theory")</f>
        <v>Theory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 t="str">
        <f>IFERROR(__xludf.DUMMYFUNCTION("""COMPUTED_VALUE"""),"Exempted for LE")</f>
        <v>Exempted for LE</v>
      </c>
      <c r="C28" s="2" t="str">
        <f>IFERROR(__xludf.DUMMYFUNCTION("""COMPUTED_VALUE"""),"ES")</f>
        <v>ES</v>
      </c>
      <c r="D28" s="2" t="str">
        <f>IFERROR(__xludf.DUMMYFUNCTION("""COMPUTED_VALUE"""),"AG0805")</f>
        <v>AG0805</v>
      </c>
      <c r="E28" s="2" t="str">
        <f>IFERROR(__xludf.DUMMYFUNCTION("""COMPUTED_VALUE"""),"NA")</f>
        <v>NA</v>
      </c>
      <c r="F28" s="7" t="str">
        <f>IFERROR(__xludf.DUMMYFUNCTION("""COMPUTED_VALUE"""),"Surveying Laboratory")</f>
        <v>Surveying Laboratory</v>
      </c>
      <c r="G28" s="2" t="str">
        <f>IFERROR(__xludf.DUMMYFUNCTION("""COMPUTED_VALUE"""),"-")</f>
        <v>-</v>
      </c>
      <c r="H28" s="2">
        <f>IFERROR(__xludf.DUMMYFUNCTION("""COMPUTED_VALUE"""),0)</f>
        <v>0</v>
      </c>
      <c r="I28" s="2">
        <f>IFERROR(__xludf.DUMMYFUNCTION("""COMPUTED_VALUE"""),2)</f>
        <v>2</v>
      </c>
      <c r="J28" s="2">
        <f>IFERROR(__xludf.DUMMYFUNCTION("""COMPUTED_VALUE"""),2)</f>
        <v>2</v>
      </c>
      <c r="K28" s="2" t="str">
        <f>IFERROR(__xludf.DUMMYFUNCTION("""COMPUTED_VALUE"""),"CGPA")</f>
        <v>CGPA</v>
      </c>
      <c r="L28" s="2" t="str">
        <f>IFERROR(__xludf.DUMMYFUNCTION("""COMPUTED_VALUE"""),"Practical (10 Expts)")</f>
        <v>Practical (10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IFERROR(__xludf.DUMMYFUNCTION("""COMPUTED_VALUE"""),"ES")</f>
        <v>ES</v>
      </c>
      <c r="D29" s="2" t="str">
        <f>IFERROR(__xludf.DUMMYFUNCTION("""COMPUTED_VALUE"""),"ME0311")</f>
        <v>ME0311</v>
      </c>
      <c r="E29" s="2" t="str">
        <f>IFERROR(__xludf.DUMMYFUNCTION("""COMPUTED_VALUE"""),"19ME311")</f>
        <v>19ME311</v>
      </c>
      <c r="F29" s="7" t="str">
        <f>IFERROR(__xludf.DUMMYFUNCTION("""COMPUTED_VALUE"""),"Engineering Mechanics")</f>
        <v>Engineering Mechanics</v>
      </c>
      <c r="G29" s="2" t="str">
        <f>IFERROR(__xludf.DUMMYFUNCTION("""COMPUTED_VALUE"""),"-")</f>
        <v>-</v>
      </c>
      <c r="H29" s="2">
        <f>IFERROR(__xludf.DUMMYFUNCTION("""COMPUTED_VALUE"""),4)</f>
        <v>4</v>
      </c>
      <c r="I29" s="2">
        <f>IFERROR(__xludf.DUMMYFUNCTION("""COMPUTED_VALUE"""),0)</f>
        <v>0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IFERROR(__xludf.DUMMYFUNCTION("""COMPUTED_VALUE"""),"Theory")</f>
        <v>Theory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IFERROR(__xludf.DUMMYFUNCTION("""COMPUTED_VALUE"""),"ES")</f>
        <v>ES</v>
      </c>
      <c r="D30" s="2" t="str">
        <f>IFERROR(__xludf.DUMMYFUNCTION("""COMPUTED_VALUE"""),"ME0312")</f>
        <v>ME0312</v>
      </c>
      <c r="E30" s="2" t="str">
        <f>IFERROR(__xludf.DUMMYFUNCTION("""COMPUTED_VALUE"""),"19ME312")</f>
        <v>19ME312</v>
      </c>
      <c r="F30" s="7" t="str">
        <f>IFERROR(__xludf.DUMMYFUNCTION("""COMPUTED_VALUE"""),"Mechanics of Solids")</f>
        <v>Mechanics of Solids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IFERROR(__xludf.DUMMYFUNCTION("""COMPUTED_VALUE"""),"ES")</f>
        <v>ES</v>
      </c>
      <c r="D31" s="2" t="str">
        <f>IFERROR(__xludf.DUMMYFUNCTION("""COMPUTED_VALUE"""),"ME0407")</f>
        <v>ME0407</v>
      </c>
      <c r="E31" s="2" t="str">
        <f>IFERROR(__xludf.DUMMYFUNCTION("""COMPUTED_VALUE"""),"19ME407")</f>
        <v>19ME407</v>
      </c>
      <c r="F31" s="7" t="str">
        <f>IFERROR(__xludf.DUMMYFUNCTION("""COMPUTED_VALUE"""),"Design of Machine Elements")</f>
        <v>Design of Machine Elements</v>
      </c>
      <c r="G31" s="2" t="str">
        <f>IFERROR(__xludf.DUMMYFUNCTION("""COMPUTED_VALUE"""),"19ME312 / ME0312 / 19ME304")</f>
        <v>19ME312 / ME0312 / 19ME304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IFERROR(__xludf.DUMMYFUNCTION("""COMPUTED_VALUE"""),"ES")</f>
        <v>ES</v>
      </c>
      <c r="D32" s="2" t="str">
        <f>IFERROR(__xludf.DUMMYFUNCTION("""COMPUTED_VALUE"""),"CS3410")</f>
        <v>CS3410</v>
      </c>
      <c r="E32" s="2" t="str">
        <f>IFERROR(__xludf.DUMMYFUNCTION("""COMPUTED_VALUE"""),"19AI410")</f>
        <v>19AI410</v>
      </c>
      <c r="F32" s="7" t="str">
        <f>IFERROR(__xludf.DUMMYFUNCTION("""COMPUTED_VALUE"""),"Introduction to Machine Learning")</f>
        <v>Introduction to Machine Learning</v>
      </c>
      <c r="G32" s="2" t="str">
        <f>IFERROR(__xludf.DUMMYFUNCTION("""COMPUTED_VALUE"""),"-")</f>
        <v>-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IFERROR(__xludf.DUMMYFUNCTION("""COMPUTED_VALUE"""),"Exempted for LE")</f>
        <v>Exempted for LE</v>
      </c>
      <c r="C33" s="2" t="str">
        <f>IFERROR(__xludf.DUMMYFUNCTION("""COMPUTED_VALUE"""),"PC")</f>
        <v>PC</v>
      </c>
      <c r="D33" s="2" t="str">
        <f>IFERROR(__xludf.DUMMYFUNCTION("""COMPUTED_VALUE"""),"AG0810")</f>
        <v>AG0810</v>
      </c>
      <c r="E33" s="2" t="str">
        <f>IFERROR(__xludf.DUMMYFUNCTION("""COMPUTED_VALUE"""),"NA")</f>
        <v>NA</v>
      </c>
      <c r="F33" s="7" t="str">
        <f>IFERROR(__xludf.DUMMYFUNCTION("""COMPUTED_VALUE"""),"Principles and Practices of Crop Production")</f>
        <v>Principles and Practices of Crop Production</v>
      </c>
      <c r="G33" s="2" t="str">
        <f>IFERROR(__xludf.DUMMYFUNCTION("""COMPUTED_VALUE"""),"-")</f>
        <v>-</v>
      </c>
      <c r="H33" s="2">
        <f>IFERROR(__xludf.DUMMYFUNCTION("""COMPUTED_VALUE"""),2)</f>
        <v>2</v>
      </c>
      <c r="I33" s="2">
        <f>IFERROR(__xludf.DUMMYFUNCTION("""COMPUTED_VALUE"""),0)</f>
        <v>0</v>
      </c>
      <c r="J33" s="2">
        <f>IFERROR(__xludf.DUMMYFUNCTION("""COMPUTED_VALUE"""),2)</f>
        <v>2</v>
      </c>
      <c r="K33" s="2" t="str">
        <f>IFERROR(__xludf.DUMMYFUNCTION("""COMPUTED_VALUE"""),"CGPA")</f>
        <v>CGPA</v>
      </c>
      <c r="L33" s="2" t="str">
        <f>IFERROR(__xludf.DUMMYFUNCTION("""COMPUTED_VALUE"""),"Theory")</f>
        <v>Theory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IFERROR(__xludf.DUMMYFUNCTION("""COMPUTED_VALUE"""),"Exempted for LE")</f>
        <v>Exempted for LE</v>
      </c>
      <c r="C34" s="2" t="str">
        <f>IFERROR(__xludf.DUMMYFUNCTION("""COMPUTED_VALUE"""),"PC")</f>
        <v>PC</v>
      </c>
      <c r="D34" s="2" t="str">
        <f>IFERROR(__xludf.DUMMYFUNCTION("""COMPUTED_VALUE"""),"AG0811")</f>
        <v>AG0811</v>
      </c>
      <c r="E34" s="2" t="str">
        <f>IFERROR(__xludf.DUMMYFUNCTION("""COMPUTED_VALUE"""),"NA")</f>
        <v>NA</v>
      </c>
      <c r="F34" s="7" t="str">
        <f>IFERROR(__xludf.DUMMYFUNCTION("""COMPUTED_VALUE"""),"Crop Production Laboratory")</f>
        <v>Crop Production Laboratory</v>
      </c>
      <c r="G34" s="2" t="str">
        <f>IFERROR(__xludf.DUMMYFUNCTION("""COMPUTED_VALUE"""),"-")</f>
        <v>-</v>
      </c>
      <c r="H34" s="2">
        <f>IFERROR(__xludf.DUMMYFUNCTION("""COMPUTED_VALUE"""),0)</f>
        <v>0</v>
      </c>
      <c r="I34" s="2">
        <f>IFERROR(__xludf.DUMMYFUNCTION("""COMPUTED_VALUE"""),1)</f>
        <v>1</v>
      </c>
      <c r="J34" s="2">
        <f>IFERROR(__xludf.DUMMYFUNCTION("""COMPUTED_VALUE"""),1)</f>
        <v>1</v>
      </c>
      <c r="K34" s="2" t="str">
        <f>IFERROR(__xludf.DUMMYFUNCTION("""COMPUTED_VALUE"""),"CGPA")</f>
        <v>CGPA</v>
      </c>
      <c r="L34" s="2" t="str">
        <f>IFERROR(__xludf.DUMMYFUNCTION("""COMPUTED_VALUE"""),"Practical (6 Expts)")</f>
        <v>Practical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IFERROR(__xludf.DUMMYFUNCTION("""COMPUTED_VALUE"""),"AG0812")</f>
        <v>AG0812</v>
      </c>
      <c r="E35" s="2" t="str">
        <f>IFERROR(__xludf.DUMMYFUNCTION("""COMPUTED_VALUE"""),"NA")</f>
        <v>NA</v>
      </c>
      <c r="F35" s="7" t="str">
        <f>IFERROR(__xludf.DUMMYFUNCTION("""COMPUTED_VALUE"""),"Watershed Hydrology")</f>
        <v>Watershed Hydrology</v>
      </c>
      <c r="G35" s="2" t="str">
        <f>IFERROR(__xludf.DUMMYFUNCTION("""COMPUTED_VALUE"""),"-")</f>
        <v>-</v>
      </c>
      <c r="H35" s="2">
        <f>IFERROR(__xludf.DUMMYFUNCTION("""COMPUTED_VALUE"""),2)</f>
        <v>2</v>
      </c>
      <c r="I35" s="2">
        <f>IFERROR(__xludf.DUMMYFUNCTION("""COMPUTED_VALUE"""),0)</f>
        <v>0</v>
      </c>
      <c r="J35" s="2">
        <f>IFERROR(__xludf.DUMMYFUNCTION("""COMPUTED_VALUE"""),2)</f>
        <v>2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IFERROR(__xludf.DUMMYFUNCTION("""COMPUTED_VALUE"""),"AG0813")</f>
        <v>AG0813</v>
      </c>
      <c r="E36" s="2" t="str">
        <f>IFERROR(__xludf.DUMMYFUNCTION("""COMPUTED_VALUE"""),"NA")</f>
        <v>NA</v>
      </c>
      <c r="F36" s="7" t="str">
        <f>IFERROR(__xludf.DUMMYFUNCTION("""COMPUTED_VALUE"""),"Watershed Hydrology Laboratory")</f>
        <v>Watershed Hydrology Laboratory</v>
      </c>
      <c r="G36" s="2" t="str">
        <f>IFERROR(__xludf.DUMMYFUNCTION("""COMPUTED_VALUE"""),"-")</f>
        <v>-</v>
      </c>
      <c r="H36" s="2">
        <f>IFERROR(__xludf.DUMMYFUNCTION("""COMPUTED_VALUE"""),0)</f>
        <v>0</v>
      </c>
      <c r="I36" s="2">
        <f>IFERROR(__xludf.DUMMYFUNCTION("""COMPUTED_VALUE"""),1)</f>
        <v>1</v>
      </c>
      <c r="J36" s="2">
        <f>IFERROR(__xludf.DUMMYFUNCTION("""COMPUTED_VALUE"""),1)</f>
        <v>1</v>
      </c>
      <c r="K36" s="2" t="str">
        <f>IFERROR(__xludf.DUMMYFUNCTION("""COMPUTED_VALUE"""),"CGPA")</f>
        <v>CGPA</v>
      </c>
      <c r="L36" s="2" t="str">
        <f>IFERROR(__xludf.DUMMYFUNCTION("""COMPUTED_VALUE"""),"Practical (6 Expts)")</f>
        <v>Practical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IFERROR(__xludf.DUMMYFUNCTION("""COMPUTED_VALUE"""),"AG0814")</f>
        <v>AG0814</v>
      </c>
      <c r="E37" s="2" t="str">
        <f>IFERROR(__xludf.DUMMYFUNCTION("""COMPUTED_VALUE"""),"NA")</f>
        <v>NA</v>
      </c>
      <c r="F37" s="7" t="str">
        <f>IFERROR(__xludf.DUMMYFUNCTION("""COMPUTED_VALUE"""),"Unit Operations in Agricultural Processing")</f>
        <v>Unit Operations in Agricultural Processing</v>
      </c>
      <c r="G37" s="2" t="str">
        <f>IFERROR(__xludf.DUMMYFUNCTION("""COMPUTED_VALUE"""),"-")</f>
        <v>-</v>
      </c>
      <c r="H37" s="2">
        <f>IFERROR(__xludf.DUMMYFUNCTION("""COMPUTED_VALUE"""),2)</f>
        <v>2</v>
      </c>
      <c r="I37" s="2">
        <f>IFERROR(__xludf.DUMMYFUNCTION("""COMPUTED_VALUE"""),0)</f>
        <v>0</v>
      </c>
      <c r="J37" s="2">
        <f>IFERROR(__xludf.DUMMYFUNCTION("""COMPUTED_VALUE"""),2)</f>
        <v>2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IFERROR(__xludf.DUMMYFUNCTION("""COMPUTED_VALUE"""),"AG0815")</f>
        <v>AG0815</v>
      </c>
      <c r="E38" s="2" t="str">
        <f>IFERROR(__xludf.DUMMYFUNCTION("""COMPUTED_VALUE"""),"NA")</f>
        <v>NA</v>
      </c>
      <c r="F38" s="7" t="str">
        <f>IFERROR(__xludf.DUMMYFUNCTION("""COMPUTED_VALUE"""),"Unit Operations Laboratory")</f>
        <v>Unit Operations Laboratory</v>
      </c>
      <c r="G38" s="2" t="str">
        <f>IFERROR(__xludf.DUMMYFUNCTION("""COMPUTED_VALUE"""),"-")</f>
        <v>-</v>
      </c>
      <c r="H38" s="2">
        <f>IFERROR(__xludf.DUMMYFUNCTION("""COMPUTED_VALUE"""),0)</f>
        <v>0</v>
      </c>
      <c r="I38" s="2">
        <f>IFERROR(__xludf.DUMMYFUNCTION("""COMPUTED_VALUE"""),1)</f>
        <v>1</v>
      </c>
      <c r="J38" s="2">
        <f>IFERROR(__xludf.DUMMYFUNCTION("""COMPUTED_VALUE"""),1)</f>
        <v>1</v>
      </c>
      <c r="K38" s="2" t="str">
        <f>IFERROR(__xludf.DUMMYFUNCTION("""COMPUTED_VALUE"""),"CGPA")</f>
        <v>CGPA</v>
      </c>
      <c r="L38" s="2" t="str">
        <f>IFERROR(__xludf.DUMMYFUNCTION("""COMPUTED_VALUE"""),"Practical (6 Expts)")</f>
        <v>Practical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IFERROR(__xludf.DUMMYFUNCTION("""COMPUTED_VALUE"""),"AG0816")</f>
        <v>AG0816</v>
      </c>
      <c r="E39" s="2" t="str">
        <f>IFERROR(__xludf.DUMMYFUNCTION("""COMPUTED_VALUE"""),"NA")</f>
        <v>NA</v>
      </c>
      <c r="F39" s="7" t="str">
        <f>IFERROR(__xludf.DUMMYFUNCTION("""COMPUTED_VALUE"""),"Irrigation and Drainage Engineering")</f>
        <v>Irrigation and Drainage Engineering</v>
      </c>
      <c r="G39" s="2" t="str">
        <f>IFERROR(__xludf.DUMMYFUNCTION("""COMPUTED_VALUE"""),"-")</f>
        <v>-</v>
      </c>
      <c r="H39" s="2">
        <f>IFERROR(__xludf.DUMMYFUNCTION("""COMPUTED_VALUE"""),3)</f>
        <v>3</v>
      </c>
      <c r="I39" s="2">
        <f>IFERROR(__xludf.DUMMYFUNCTION("""COMPUTED_VALUE"""),0)</f>
        <v>0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IFERROR(__xludf.DUMMYFUNCTION("""COMPUTED_VALUE"""),"Theory")</f>
        <v>Theory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IFERROR(__xludf.DUMMYFUNCTION("""COMPUTED_VALUE"""),"AG0817")</f>
        <v>AG0817</v>
      </c>
      <c r="E40" s="2" t="str">
        <f>IFERROR(__xludf.DUMMYFUNCTION("""COMPUTED_VALUE"""),"NA")</f>
        <v>NA</v>
      </c>
      <c r="F40" s="7" t="str">
        <f>IFERROR(__xludf.DUMMYFUNCTION("""COMPUTED_VALUE"""),"Irrigation Field Laboratory")</f>
        <v>Irrigation Field Laboratory</v>
      </c>
      <c r="G40" s="2" t="str">
        <f>IFERROR(__xludf.DUMMYFUNCTION("""COMPUTED_VALUE"""),"-")</f>
        <v>-</v>
      </c>
      <c r="H40" s="2">
        <f>IFERROR(__xludf.DUMMYFUNCTION("""COMPUTED_VALUE"""),0)</f>
        <v>0</v>
      </c>
      <c r="I40" s="2">
        <f>IFERROR(__xludf.DUMMYFUNCTION("""COMPUTED_VALUE"""),1)</f>
        <v>1</v>
      </c>
      <c r="J40" s="2">
        <f>IFERROR(__xludf.DUMMYFUNCTION("""COMPUTED_VALUE"""),1)</f>
        <v>1</v>
      </c>
      <c r="K40" s="2" t="str">
        <f>IFERROR(__xludf.DUMMYFUNCTION("""COMPUTED_VALUE"""),"CGPA")</f>
        <v>CGPA</v>
      </c>
      <c r="L40" s="2" t="str">
        <f>IFERROR(__xludf.DUMMYFUNCTION("""COMPUTED_VALUE"""),"Practical (6 Expts)")</f>
        <v>Practical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IFERROR(__xludf.DUMMYFUNCTION("""COMPUTED_VALUE"""),"AG0818")</f>
        <v>AG0818</v>
      </c>
      <c r="E41" s="2" t="str">
        <f>IFERROR(__xludf.DUMMYFUNCTION("""COMPUTED_VALUE"""),"NA")</f>
        <v>NA</v>
      </c>
      <c r="F41" s="7" t="str">
        <f>IFERROR(__xludf.DUMMYFUNCTION("""COMPUTED_VALUE"""),"Tractor and Farm Engines")</f>
        <v>Tractor and Farm Engines</v>
      </c>
      <c r="G41" s="2" t="str">
        <f>IFERROR(__xludf.DUMMYFUNCTION("""COMPUTED_VALUE"""),"-")</f>
        <v>-</v>
      </c>
      <c r="H41" s="2">
        <f>IFERROR(__xludf.DUMMYFUNCTION("""COMPUTED_VALUE"""),2)</f>
        <v>2</v>
      </c>
      <c r="I41" s="2">
        <f>IFERROR(__xludf.DUMMYFUNCTION("""COMPUTED_VALUE"""),0)</f>
        <v>0</v>
      </c>
      <c r="J41" s="2">
        <f>IFERROR(__xludf.DUMMYFUNCTION("""COMPUTED_VALUE"""),2)</f>
        <v>2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IFERROR(__xludf.DUMMYFUNCTION("""COMPUTED_VALUE"""),"AG0819")</f>
        <v>AG0819</v>
      </c>
      <c r="E42" s="2" t="str">
        <f>IFERROR(__xludf.DUMMYFUNCTION("""COMPUTED_VALUE"""),"NA")</f>
        <v>NA</v>
      </c>
      <c r="F42" s="7" t="str">
        <f>IFERROR(__xludf.DUMMYFUNCTION("""COMPUTED_VALUE"""),"Agricultural Structures and Cost Estimation")</f>
        <v>Agricultural Structures and Cost Estimation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IFERROR(__xludf.DUMMYFUNCTION("""COMPUTED_VALUE"""),"AG0820")</f>
        <v>AG0820</v>
      </c>
      <c r="E43" s="2" t="str">
        <f>IFERROR(__xludf.DUMMYFUNCTION("""COMPUTED_VALUE"""),"NA")</f>
        <v>NA</v>
      </c>
      <c r="F43" s="7" t="str">
        <f>IFERROR(__xludf.DUMMYFUNCTION("""COMPUTED_VALUE"""),"Engineering Properties of Agricultural Produce")</f>
        <v>Engineering Properties of Agricultural Produce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IFERROR(__xludf.DUMMYFUNCTION("""COMPUTED_VALUE"""),0)</f>
        <v>0</v>
      </c>
      <c r="J43" s="2">
        <f>IFERROR(__xludf.DUMMYFUNCTION("""COMPUTED_VALUE"""),2)</f>
        <v>2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IFERROR(__xludf.DUMMYFUNCTION("""COMPUTED_VALUE"""),"AG0821")</f>
        <v>AG0821</v>
      </c>
      <c r="E44" s="2" t="str">
        <f>IFERROR(__xludf.DUMMYFUNCTION("""COMPUTED_VALUE"""),"NA")</f>
        <v>NA</v>
      </c>
      <c r="F44" s="7" t="str">
        <f>IFERROR(__xludf.DUMMYFUNCTION("""COMPUTED_VALUE"""),"Renewable Energy Sources for Agricultural Engineering")</f>
        <v>Renewable Energy Sources for Agricultural Engineering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IFERROR(__xludf.DUMMYFUNCTION("""COMPUTED_VALUE"""),"AG0822")</f>
        <v>AG0822</v>
      </c>
      <c r="E45" s="2" t="str">
        <f>IFERROR(__xludf.DUMMYFUNCTION("""COMPUTED_VALUE"""),"NA")</f>
        <v>NA</v>
      </c>
      <c r="F45" s="7" t="str">
        <f>IFERROR(__xludf.DUMMYFUNCTION("""COMPUTED_VALUE"""),"Renewable Energy Laboratory")</f>
        <v>Renewable Energy Laboratory</v>
      </c>
      <c r="G45" s="2" t="str">
        <f>IFERROR(__xludf.DUMMYFUNCTION("""COMPUTED_VALUE"""),"-")</f>
        <v>-</v>
      </c>
      <c r="H45" s="2">
        <f>IFERROR(__xludf.DUMMYFUNCTION("""COMPUTED_VALUE"""),0)</f>
        <v>0</v>
      </c>
      <c r="I45" s="2">
        <f>IFERROR(__xludf.DUMMYFUNCTION("""COMPUTED_VALUE"""),1)</f>
        <v>1</v>
      </c>
      <c r="J45" s="2">
        <f>IFERROR(__xludf.DUMMYFUNCTION("""COMPUTED_VALUE"""),1)</f>
        <v>1</v>
      </c>
      <c r="K45" s="2" t="str">
        <f>IFERROR(__xludf.DUMMYFUNCTION("""COMPUTED_VALUE"""),"CGPA")</f>
        <v>CGPA</v>
      </c>
      <c r="L45" s="2" t="str">
        <f>IFERROR(__xludf.DUMMYFUNCTION("""COMPUTED_VALUE"""),"Practical (6 Expts)")</f>
        <v>Practical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IFERROR(__xludf.DUMMYFUNCTION("""COMPUTED_VALUE"""),"PC")</f>
        <v>PC</v>
      </c>
      <c r="D46" s="2" t="str">
        <f>IFERROR(__xludf.DUMMYFUNCTION("""COMPUTED_VALUE"""),"AG0823")</f>
        <v>AG0823</v>
      </c>
      <c r="E46" s="2" t="str">
        <f>IFERROR(__xludf.DUMMYFUNCTION("""COMPUTED_VALUE"""),"NA")</f>
        <v>NA</v>
      </c>
      <c r="F46" s="7" t="str">
        <f>IFERROR(__xludf.DUMMYFUNCTION("""COMPUTED_VALUE"""),"Micro Irrigation Systems and Automation")</f>
        <v>Micro Irrigation Systems and Automation</v>
      </c>
      <c r="G46" s="2" t="str">
        <f>IFERROR(__xludf.DUMMYFUNCTION("""COMPUTED_VALUE"""),"AG0816")</f>
        <v>AG0816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IFERROR(__xludf.DUMMYFUNCTION("""COMPUTED_VALUE"""),"PC")</f>
        <v>PC</v>
      </c>
      <c r="D47" s="2" t="str">
        <f>IFERROR(__xludf.DUMMYFUNCTION("""COMPUTED_VALUE"""),"AG0824")</f>
        <v>AG0824</v>
      </c>
      <c r="E47" s="2" t="str">
        <f>IFERROR(__xludf.DUMMYFUNCTION("""COMPUTED_VALUE"""),"NA")</f>
        <v>NA</v>
      </c>
      <c r="F47" s="7" t="str">
        <f>IFERROR(__xludf.DUMMYFUNCTION("""COMPUTED_VALUE"""),"Bioenergy Systems and Applications")</f>
        <v>Bioenergy Systems and Applications</v>
      </c>
      <c r="G47" s="2" t="str">
        <f>IFERROR(__xludf.DUMMYFUNCTION("""COMPUTED_VALUE"""),"AG0821")</f>
        <v>AG0821</v>
      </c>
      <c r="H47" s="2">
        <f>IFERROR(__xludf.DUMMYFUNCTION("""COMPUTED_VALUE"""),2)</f>
        <v>2</v>
      </c>
      <c r="I47" s="2">
        <f>IFERROR(__xludf.DUMMYFUNCTION("""COMPUTED_VALUE"""),0)</f>
        <v>0</v>
      </c>
      <c r="J47" s="2">
        <f>IFERROR(__xludf.DUMMYFUNCTION("""COMPUTED_VALUE"""),2)</f>
        <v>2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IFERROR(__xludf.DUMMYFUNCTION("""COMPUTED_VALUE"""),"PC")</f>
        <v>PC</v>
      </c>
      <c r="D48" s="2" t="str">
        <f>IFERROR(__xludf.DUMMYFUNCTION("""COMPUTED_VALUE"""),"AG0825")</f>
        <v>AG0825</v>
      </c>
      <c r="E48" s="2" t="str">
        <f>IFERROR(__xludf.DUMMYFUNCTION("""COMPUTED_VALUE"""),"NA")</f>
        <v>NA</v>
      </c>
      <c r="F48" s="7" t="str">
        <f>IFERROR(__xludf.DUMMYFUNCTION("""COMPUTED_VALUE"""),"Post Harvest Engineering of Agricultural Produce")</f>
        <v>Post Harvest Engineering of Agricultural Produce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IFERROR(__xludf.DUMMYFUNCTION("""COMPUTED_VALUE"""),"PC")</f>
        <v>PC</v>
      </c>
      <c r="D49" s="2" t="str">
        <f>IFERROR(__xludf.DUMMYFUNCTION("""COMPUTED_VALUE"""),"AG0826")</f>
        <v>AG0826</v>
      </c>
      <c r="E49" s="2" t="str">
        <f>IFERROR(__xludf.DUMMYFUNCTION("""COMPUTED_VALUE"""),"NA")</f>
        <v>NA</v>
      </c>
      <c r="F49" s="7" t="str">
        <f>IFERROR(__xludf.DUMMYFUNCTION("""COMPUTED_VALUE"""),"Post Harvest Engineering Laboratory")</f>
        <v>Post Harvest Engineering Laboratory</v>
      </c>
      <c r="G49" s="2" t="str">
        <f>IFERROR(__xludf.DUMMYFUNCTION("""COMPUTED_VALUE"""),"-")</f>
        <v>-</v>
      </c>
      <c r="H49" s="2">
        <f>IFERROR(__xludf.DUMMYFUNCTION("""COMPUTED_VALUE"""),0)</f>
        <v>0</v>
      </c>
      <c r="I49" s="2">
        <f>IFERROR(__xludf.DUMMYFUNCTION("""COMPUTED_VALUE"""),1)</f>
        <v>1</v>
      </c>
      <c r="J49" s="2">
        <f>IFERROR(__xludf.DUMMYFUNCTION("""COMPUTED_VALUE"""),1)</f>
        <v>1</v>
      </c>
      <c r="K49" s="2" t="str">
        <f>IFERROR(__xludf.DUMMYFUNCTION("""COMPUTED_VALUE"""),"CGPA")</f>
        <v>CGPA</v>
      </c>
      <c r="L49" s="2" t="str">
        <f>IFERROR(__xludf.DUMMYFUNCTION("""COMPUTED_VALUE"""),"Practical (6 Expts)")</f>
        <v>Practical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IFERROR(__xludf.DUMMYFUNCTION("""COMPUTED_VALUE"""),"PC")</f>
        <v>PC</v>
      </c>
      <c r="D50" s="2" t="str">
        <f>IFERROR(__xludf.DUMMYFUNCTION("""COMPUTED_VALUE"""),"AG0827")</f>
        <v>AG0827</v>
      </c>
      <c r="E50" s="2" t="str">
        <f>IFERROR(__xludf.DUMMYFUNCTION("""COMPUTED_VALUE"""),"NA")</f>
        <v>NA</v>
      </c>
      <c r="F50" s="7" t="str">
        <f>IFERROR(__xludf.DUMMYFUNCTION("""COMPUTED_VALUE"""),"Tractor Systems and Controls")</f>
        <v>Tractor Systems and Controls</v>
      </c>
      <c r="G50" s="2" t="str">
        <f>IFERROR(__xludf.DUMMYFUNCTION("""COMPUTED_VALUE"""),"AG0818")</f>
        <v>AG0818</v>
      </c>
      <c r="H50" s="2">
        <f>IFERROR(__xludf.DUMMYFUNCTION("""COMPUTED_VALUE"""),2)</f>
        <v>2</v>
      </c>
      <c r="I50" s="2">
        <f>IFERROR(__xludf.DUMMYFUNCTION("""COMPUTED_VALUE"""),0)</f>
        <v>0</v>
      </c>
      <c r="J50" s="2">
        <f>IFERROR(__xludf.DUMMYFUNCTION("""COMPUTED_VALUE"""),2)</f>
        <v>2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IFERROR(__xludf.DUMMYFUNCTION("""COMPUTED_VALUE"""),"PC")</f>
        <v>PC</v>
      </c>
      <c r="D51" s="2" t="str">
        <f>IFERROR(__xludf.DUMMYFUNCTION("""COMPUTED_VALUE"""),"AG0828")</f>
        <v>AG0828</v>
      </c>
      <c r="E51" s="2" t="str">
        <f>IFERROR(__xludf.DUMMYFUNCTION("""COMPUTED_VALUE"""),"NA")</f>
        <v>NA</v>
      </c>
      <c r="F51" s="7" t="str">
        <f>IFERROR(__xludf.DUMMYFUNCTION("""COMPUTED_VALUE"""),"Tractor and Farm Engines Laboratory")</f>
        <v>Tractor and Farm Engines Laboratory</v>
      </c>
      <c r="G51" s="2" t="str">
        <f>IFERROR(__xludf.DUMMYFUNCTION("""COMPUTED_VALUE"""),"-")</f>
        <v>-</v>
      </c>
      <c r="H51" s="2">
        <f>IFERROR(__xludf.DUMMYFUNCTION("""COMPUTED_VALUE"""),0)</f>
        <v>0</v>
      </c>
      <c r="I51" s="2">
        <f>IFERROR(__xludf.DUMMYFUNCTION("""COMPUTED_VALUE"""),1)</f>
        <v>1</v>
      </c>
      <c r="J51" s="2">
        <f>IFERROR(__xludf.DUMMYFUNCTION("""COMPUTED_VALUE"""),1)</f>
        <v>1</v>
      </c>
      <c r="K51" s="2" t="str">
        <f>IFERROR(__xludf.DUMMYFUNCTION("""COMPUTED_VALUE"""),"CGPA")</f>
        <v>CGPA</v>
      </c>
      <c r="L51" s="2" t="str">
        <f>IFERROR(__xludf.DUMMYFUNCTION("""COMPUTED_VALUE"""),"Practical (6 Expts)")</f>
        <v>Practical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IFERROR(__xludf.DUMMYFUNCTION("""COMPUTED_VALUE"""),"PC")</f>
        <v>PC</v>
      </c>
      <c r="D52" s="2" t="str">
        <f>IFERROR(__xludf.DUMMYFUNCTION("""COMPUTED_VALUE"""),"AG0829")</f>
        <v>AG0829</v>
      </c>
      <c r="E52" s="2" t="str">
        <f>IFERROR(__xludf.DUMMYFUNCTION("""COMPUTED_VALUE"""),"NA")</f>
        <v>NA</v>
      </c>
      <c r="F52" s="7" t="str">
        <f>IFERROR(__xludf.DUMMYFUNCTION("""COMPUTED_VALUE"""),"Farm Machinery and Equipment I")</f>
        <v>Farm Machinery and Equipment I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IFERROR(__xludf.DUMMYFUNCTION("""COMPUTED_VALUE"""),0)</f>
        <v>0</v>
      </c>
      <c r="J52" s="2">
        <f>IFERROR(__xludf.DUMMYFUNCTION("""COMPUTED_VALUE"""),2)</f>
        <v>2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IFERROR(__xludf.DUMMYFUNCTION("""COMPUTED_VALUE"""),"PC")</f>
        <v>PC</v>
      </c>
      <c r="D53" s="2" t="str">
        <f>IFERROR(__xludf.DUMMYFUNCTION("""COMPUTED_VALUE"""),"AG0830")</f>
        <v>AG0830</v>
      </c>
      <c r="E53" s="2" t="str">
        <f>IFERROR(__xludf.DUMMYFUNCTION("""COMPUTED_VALUE"""),"NA")</f>
        <v>NA</v>
      </c>
      <c r="F53" s="7" t="str">
        <f>IFERROR(__xludf.DUMMYFUNCTION("""COMPUTED_VALUE"""),"Soil and Water Conservation Engineering")</f>
        <v>Soil and Water Conservation Engineering</v>
      </c>
      <c r="G53" s="2" t="str">
        <f>IFERROR(__xludf.DUMMYFUNCTION("""COMPUTED_VALUE"""),"AG0812")</f>
        <v>AG0812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IFERROR(__xludf.DUMMYFUNCTION("""COMPUTED_VALUE"""),"PC")</f>
        <v>PC</v>
      </c>
      <c r="D54" s="2" t="str">
        <f>IFERROR(__xludf.DUMMYFUNCTION("""COMPUTED_VALUE"""),"AG0831")</f>
        <v>AG0831</v>
      </c>
      <c r="E54" s="2" t="str">
        <f>IFERROR(__xludf.DUMMYFUNCTION("""COMPUTED_VALUE"""),"NA")</f>
        <v>NA</v>
      </c>
      <c r="F54" s="7" t="str">
        <f>IFERROR(__xludf.DUMMYFUNCTION("""COMPUTED_VALUE"""),"Groundwater Hydrology and Well Hydraulics")</f>
        <v>Groundwater Hydrology and Well Hydraulics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IFERROR(__xludf.DUMMYFUNCTION("""COMPUTED_VALUE"""),"PC")</f>
        <v>PC</v>
      </c>
      <c r="D55" s="2" t="str">
        <f>IFERROR(__xludf.DUMMYFUNCTION("""COMPUTED_VALUE"""),"AG0832")</f>
        <v>AG0832</v>
      </c>
      <c r="E55" s="2" t="str">
        <f>IFERROR(__xludf.DUMMYFUNCTION("""COMPUTED_VALUE"""),"NA")</f>
        <v>NA</v>
      </c>
      <c r="F55" s="7" t="str">
        <f>IFERROR(__xludf.DUMMYFUNCTION("""COMPUTED_VALUE"""),"Remote Sensing and GIS Applications")</f>
        <v>Remote Sensing and GIS Applications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IFERROR(__xludf.DUMMYFUNCTION("""COMPUTED_VALUE"""),0)</f>
        <v>0</v>
      </c>
      <c r="J55" s="2">
        <f>IFERROR(__xludf.DUMMYFUNCTION("""COMPUTED_VALUE"""),2)</f>
        <v>2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IFERROR(__xludf.DUMMYFUNCTION("""COMPUTED_VALUE"""),"PC")</f>
        <v>PC</v>
      </c>
      <c r="D56" s="2" t="str">
        <f>IFERROR(__xludf.DUMMYFUNCTION("""COMPUTED_VALUE"""),"AG0833")</f>
        <v>AG0833</v>
      </c>
      <c r="E56" s="2" t="str">
        <f>IFERROR(__xludf.DUMMYFUNCTION("""COMPUTED_VALUE"""),"NA")</f>
        <v>NA</v>
      </c>
      <c r="F56" s="7" t="str">
        <f>IFERROR(__xludf.DUMMYFUNCTION("""COMPUTED_VALUE"""),"Remote Sensing and GIS Applications Laboratory")</f>
        <v>Remote Sensing and GIS Applications Laboratory</v>
      </c>
      <c r="G56" s="2" t="str">
        <f>IFERROR(__xludf.DUMMYFUNCTION("""COMPUTED_VALUE"""),"-")</f>
        <v>-</v>
      </c>
      <c r="H56" s="2">
        <f>IFERROR(__xludf.DUMMYFUNCTION("""COMPUTED_VALUE"""),0)</f>
        <v>0</v>
      </c>
      <c r="I56" s="2">
        <f>IFERROR(__xludf.DUMMYFUNCTION("""COMPUTED_VALUE"""),1)</f>
        <v>1</v>
      </c>
      <c r="J56" s="2">
        <f>IFERROR(__xludf.DUMMYFUNCTION("""COMPUTED_VALUE"""),1)</f>
        <v>1</v>
      </c>
      <c r="K56" s="2" t="str">
        <f>IFERROR(__xludf.DUMMYFUNCTION("""COMPUTED_VALUE"""),"CGPA")</f>
        <v>CGPA</v>
      </c>
      <c r="L56" s="2" t="str">
        <f>IFERROR(__xludf.DUMMYFUNCTION("""COMPUTED_VALUE"""),"Practical (6 Expts)")</f>
        <v>Practical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IFERROR(__xludf.DUMMYFUNCTION("""COMPUTED_VALUE"""),"PC")</f>
        <v>PC</v>
      </c>
      <c r="D57" s="2" t="str">
        <f>IFERROR(__xludf.DUMMYFUNCTION("""COMPUTED_VALUE"""),"AG0834")</f>
        <v>AG0834</v>
      </c>
      <c r="E57" s="2" t="str">
        <f>IFERROR(__xludf.DUMMYFUNCTION("""COMPUTED_VALUE"""),"NA")</f>
        <v>NA</v>
      </c>
      <c r="F57" s="7" t="str">
        <f>IFERROR(__xludf.DUMMYFUNCTION("""COMPUTED_VALUE"""),"Farm Machinery and Equipment II")</f>
        <v>Farm Machinery and Equipment II</v>
      </c>
      <c r="G57" s="2" t="str">
        <f>IFERROR(__xludf.DUMMYFUNCTION("""COMPUTED_VALUE"""),"AG0829")</f>
        <v>AG0829</v>
      </c>
      <c r="H57" s="2">
        <f>IFERROR(__xludf.DUMMYFUNCTION("""COMPUTED_VALUE"""),2)</f>
        <v>2</v>
      </c>
      <c r="I57" s="2">
        <f>IFERROR(__xludf.DUMMYFUNCTION("""COMPUTED_VALUE"""),0)</f>
        <v>0</v>
      </c>
      <c r="J57" s="2">
        <f>IFERROR(__xludf.DUMMYFUNCTION("""COMPUTED_VALUE"""),2)</f>
        <v>2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IFERROR(__xludf.DUMMYFUNCTION("""COMPUTED_VALUE"""),"PC")</f>
        <v>PC</v>
      </c>
      <c r="D58" s="2" t="str">
        <f>IFERROR(__xludf.DUMMYFUNCTION("""COMPUTED_VALUE"""),"AG0835")</f>
        <v>AG0835</v>
      </c>
      <c r="E58" s="2" t="str">
        <f>IFERROR(__xludf.DUMMYFUNCTION("""COMPUTED_VALUE"""),"19AG419")</f>
        <v>19AG419</v>
      </c>
      <c r="F58" s="7" t="str">
        <f>IFERROR(__xludf.DUMMYFUNCTION("""COMPUTED_VALUE"""),"Tractors and Farm Machinery Operation and Maintenance")</f>
        <v>Tractors and Farm Machinery Operation and Maintenance</v>
      </c>
      <c r="G58" s="2" t="str">
        <f>IFERROR(__xludf.DUMMYFUNCTION("""COMPUTED_VALUE"""),"19AG412/19AG418")</f>
        <v>19AG412/19AG418</v>
      </c>
      <c r="H58" s="2">
        <f>IFERROR(__xludf.DUMMYFUNCTION("""COMPUTED_VALUE"""),0)</f>
        <v>0</v>
      </c>
      <c r="I58" s="2">
        <f>IFERROR(__xludf.DUMMYFUNCTION("""COMPUTED_VALUE"""),2)</f>
        <v>2</v>
      </c>
      <c r="J58" s="2">
        <f>IFERROR(__xludf.DUMMYFUNCTION("""COMPUTED_VALUE"""),2)</f>
        <v>2</v>
      </c>
      <c r="K58" s="2" t="str">
        <f>IFERROR(__xludf.DUMMYFUNCTION("""COMPUTED_VALUE"""),"CGPA")</f>
        <v>CGPA</v>
      </c>
      <c r="L58" s="2" t="str">
        <f>IFERROR(__xludf.DUMMYFUNCTION("""COMPUTED_VALUE"""),"Practical (10 Expts)")</f>
        <v>Practical (10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IFERROR(__xludf.DUMMYFUNCTION("""COMPUTED_VALUE"""),"PC")</f>
        <v>PC</v>
      </c>
      <c r="D59" s="2" t="str">
        <f>IFERROR(__xludf.DUMMYFUNCTION("""COMPUTED_VALUE"""),"AG0836")</f>
        <v>AG0836</v>
      </c>
      <c r="E59" s="2" t="str">
        <f>IFERROR(__xludf.DUMMYFUNCTION("""COMPUTED_VALUE"""),"NA")</f>
        <v>NA</v>
      </c>
      <c r="F59" s="7" t="str">
        <f>IFERROR(__xludf.DUMMYFUNCTION("""COMPUTED_VALUE"""),"Dairy and Food Engineering")</f>
        <v>Dairy and Food Engineering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IFERROR(__xludf.DUMMYFUNCTION("""COMPUTED_VALUE"""),"PE(Honours 1)")</f>
        <v>PE(Honours 1)</v>
      </c>
      <c r="D60" s="2" t="str">
        <f>IFERROR(__xludf.DUMMYFUNCTION("""COMPUTED_VALUE"""),"AG0837")</f>
        <v>AG0837</v>
      </c>
      <c r="E60" s="2" t="str">
        <f>IFERROR(__xludf.DUMMYFUNCTION("""COMPUTED_VALUE"""),"NA")</f>
        <v>NA</v>
      </c>
      <c r="F60" s="7" t="str">
        <f>IFERROR(__xludf.DUMMYFUNCTION("""COMPUTED_VALUE"""),"Farm Power and Machinery Management")</f>
        <v>Farm Power and Machinery Management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IFERROR(__xludf.DUMMYFUNCTION("""COMPUTED_VALUE"""),"PE(Honours 1)")</f>
        <v>PE(Honours 1)</v>
      </c>
      <c r="D61" s="2" t="str">
        <f>IFERROR(__xludf.DUMMYFUNCTION("""COMPUTED_VALUE"""),"AG0838")</f>
        <v>AG0838</v>
      </c>
      <c r="E61" s="2" t="str">
        <f>IFERROR(__xludf.DUMMYFUNCTION("""COMPUTED_VALUE"""),"NA")</f>
        <v>NA</v>
      </c>
      <c r="F61" s="7" t="str">
        <f>IFERROR(__xludf.DUMMYFUNCTION("""COMPUTED_VALUE"""),"Automation and Robotics in Farm Machinery")</f>
        <v>Automation and Robotics in Farm Machinery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IFERROR(__xludf.DUMMYFUNCTION("""COMPUTED_VALUE"""),"PE(Honours 1)")</f>
        <v>PE(Honours 1)</v>
      </c>
      <c r="D62" s="2" t="str">
        <f>IFERROR(__xludf.DUMMYFUNCTION("""COMPUTED_VALUE"""),"AG0839")</f>
        <v>AG0839</v>
      </c>
      <c r="E62" s="2" t="str">
        <f>IFERROR(__xludf.DUMMYFUNCTION("""COMPUTED_VALUE"""),"NA")</f>
        <v>NA</v>
      </c>
      <c r="F62" s="7" t="str">
        <f>IFERROR(__xludf.DUMMYFUNCTION("""COMPUTED_VALUE"""),"Human Engineering and Safety in Farm Machinery Operations")</f>
        <v>Human Engineering and Safety in Farm Machinery Operations</v>
      </c>
      <c r="G62" s="2" t="str">
        <f>IFERROR(__xludf.DUMMYFUNCTION("""COMPUTED_VALUE"""),"-")</f>
        <v>-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IFERROR(__xludf.DUMMYFUNCTION("""COMPUTED_VALUE"""),"PE(Honours 2)")</f>
        <v>PE(Honours 2)</v>
      </c>
      <c r="D63" s="2" t="str">
        <f>IFERROR(__xludf.DUMMYFUNCTION("""COMPUTED_VALUE"""),"AG0840")</f>
        <v>AG0840</v>
      </c>
      <c r="E63" s="2" t="str">
        <f>IFERROR(__xludf.DUMMYFUNCTION("""COMPUTED_VALUE"""),"NA")</f>
        <v>NA</v>
      </c>
      <c r="F63" s="7" t="str">
        <f>IFERROR(__xludf.DUMMYFUNCTION("""COMPUTED_VALUE"""),"Watershed Planning and Management")</f>
        <v>Watershed Planning and Management</v>
      </c>
      <c r="G63" s="2" t="str">
        <f>IFERROR(__xludf.DUMMYFUNCTION("""COMPUTED_VALUE"""),"-")</f>
        <v>-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IFERROR(__xludf.DUMMYFUNCTION("""COMPUTED_VALUE"""),"PE(Honours 2)")</f>
        <v>PE(Honours 2)</v>
      </c>
      <c r="D64" s="2" t="str">
        <f>IFERROR(__xludf.DUMMYFUNCTION("""COMPUTED_VALUE"""),"AG0841")</f>
        <v>AG0841</v>
      </c>
      <c r="E64" s="2" t="str">
        <f>IFERROR(__xludf.DUMMYFUNCTION("""COMPUTED_VALUE"""),"NA")</f>
        <v>NA</v>
      </c>
      <c r="F64" s="7" t="str">
        <f>IFERROR(__xludf.DUMMYFUNCTION("""COMPUTED_VALUE"""),"Irrigation Water Quality and Waste Water Management")</f>
        <v>Irrigation Water Quality and Waste Water Management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IFERROR(__xludf.DUMMYFUNCTION("""COMPUTED_VALUE"""),"PE(Honours 2)")</f>
        <v>PE(Honours 2)</v>
      </c>
      <c r="D65" s="2" t="str">
        <f>IFERROR(__xludf.DUMMYFUNCTION("""COMPUTED_VALUE"""),"AG0842")</f>
        <v>AG0842</v>
      </c>
      <c r="E65" s="2" t="str">
        <f>IFERROR(__xludf.DUMMYFUNCTION("""COMPUTED_VALUE"""),"NA")</f>
        <v>NA</v>
      </c>
      <c r="F65" s="7" t="str">
        <f>IFERROR(__xludf.DUMMYFUNCTION("""COMPUTED_VALUE"""),"Precision Farming Technologies")</f>
        <v>Precision Farming Technologies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IFERROR(__xludf.DUMMYFUNCTION("""COMPUTED_VALUE"""),"PE(Honours 3)")</f>
        <v>PE(Honours 3)</v>
      </c>
      <c r="D66" s="2" t="str">
        <f>IFERROR(__xludf.DUMMYFUNCTION("""COMPUTED_VALUE"""),"AG0843")</f>
        <v>AG0843</v>
      </c>
      <c r="E66" s="2" t="str">
        <f>IFERROR(__xludf.DUMMYFUNCTION("""COMPUTED_VALUE"""),"NA")</f>
        <v>NA</v>
      </c>
      <c r="F66" s="7" t="str">
        <f>IFERROR(__xludf.DUMMYFUNCTION("""COMPUTED_VALUE"""),"Development of Processed Food Products")</f>
        <v>Development of Processed Food Products</v>
      </c>
      <c r="G66" s="2" t="str">
        <f>IFERROR(__xludf.DUMMYFUNCTION("""COMPUTED_VALUE"""),"-")</f>
        <v>-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IFERROR(__xludf.DUMMYFUNCTION("""COMPUTED_VALUE"""),"PE(Honours 3)")</f>
        <v>PE(Honours 3)</v>
      </c>
      <c r="D67" s="2" t="str">
        <f>IFERROR(__xludf.DUMMYFUNCTION("""COMPUTED_VALUE"""),"AG0844")</f>
        <v>AG0844</v>
      </c>
      <c r="E67" s="2" t="str">
        <f>IFERROR(__xludf.DUMMYFUNCTION("""COMPUTED_VALUE"""),"NA")</f>
        <v>NA</v>
      </c>
      <c r="F67" s="7" t="str">
        <f>IFERROR(__xludf.DUMMYFUNCTION("""COMPUTED_VALUE"""),"Storage and Food Packaging Technology")</f>
        <v>Storage and Food Packaging Technology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IFERROR(__xludf.DUMMYFUNCTION("""COMPUTED_VALUE"""),"PE(Honours 3)")</f>
        <v>PE(Honours 3)</v>
      </c>
      <c r="D68" s="2" t="str">
        <f>IFERROR(__xludf.DUMMYFUNCTION("""COMPUTED_VALUE"""),"AG0845")</f>
        <v>AG0845</v>
      </c>
      <c r="E68" s="2" t="str">
        <f>IFERROR(__xludf.DUMMYFUNCTION("""COMPUTED_VALUE"""),"NA")</f>
        <v>NA</v>
      </c>
      <c r="F68" s="7" t="str">
        <f>IFERROR(__xludf.DUMMYFUNCTION("""COMPUTED_VALUE"""),"Food Quality Assurance and Management")</f>
        <v>Food Quality Assurance and Management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IFERROR(__xludf.DUMMYFUNCTION("""COMPUTED_VALUE"""),"PE(Honours 3)")</f>
        <v>PE(Honours 3)</v>
      </c>
      <c r="D69" s="2" t="str">
        <f>IFERROR(__xludf.DUMMYFUNCTION("""COMPUTED_VALUE"""),"AG0846")</f>
        <v>AG0846</v>
      </c>
      <c r="E69" s="2" t="str">
        <f>IFERROR(__xludf.DUMMYFUNCTION("""COMPUTED_VALUE"""),"NA")</f>
        <v>NA</v>
      </c>
      <c r="F69" s="7" t="str">
        <f>IFERROR(__xludf.DUMMYFUNCTION("""COMPUTED_VALUE"""),"Food Plant Design")</f>
        <v>Food Plant Design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IFERROR(__xludf.DUMMYFUNCTION("""COMPUTED_VALUE"""),"PE(Honours 1)")</f>
        <v>PE(Honours 1)</v>
      </c>
      <c r="D70" s="2" t="str">
        <f>IFERROR(__xludf.DUMMYFUNCTION("""COMPUTED_VALUE"""),"AG0520")</f>
        <v>AG0520</v>
      </c>
      <c r="E70" s="2" t="str">
        <f>IFERROR(__xludf.DUMMYFUNCTION("""COMPUTED_VALUE"""),"19AG520")</f>
        <v>19AG520</v>
      </c>
      <c r="F70" s="7" t="str">
        <f>IFERROR(__xludf.DUMMYFUNCTION("""COMPUTED_VALUE"""),"Agricultural Waste Management")</f>
        <v>Agricultural Waste Management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IFERROR(__xludf.DUMMYFUNCTION("""COMPUTED_VALUE"""),"PE(Honours 2)")</f>
        <v>PE(Honours 2)</v>
      </c>
      <c r="D71" s="2" t="str">
        <f>IFERROR(__xludf.DUMMYFUNCTION("""COMPUTED_VALUE"""),"AG0521")</f>
        <v>AG0521</v>
      </c>
      <c r="E71" s="2" t="str">
        <f>IFERROR(__xludf.DUMMYFUNCTION("""COMPUTED_VALUE"""),"19AG521")</f>
        <v>19AG521</v>
      </c>
      <c r="F71" s="7" t="str">
        <f>IFERROR(__xludf.DUMMYFUNCTION("""COMPUTED_VALUE"""),"Climate Change and Adaptation")</f>
        <v>Climate Change and Adaptation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IFERROR(__xludf.DUMMYFUNCTION("""COMPUTED_VALUE"""),"PE(Honours 2)")</f>
        <v>PE(Honours 2)</v>
      </c>
      <c r="D72" s="2" t="str">
        <f>IFERROR(__xludf.DUMMYFUNCTION("""COMPUTED_VALUE"""),"AG0522")</f>
        <v>AG0522</v>
      </c>
      <c r="E72" s="2" t="str">
        <f>IFERROR(__xludf.DUMMYFUNCTION("""COMPUTED_VALUE"""),"19AG522")</f>
        <v>19AG522</v>
      </c>
      <c r="F72" s="7" t="str">
        <f>IFERROR(__xludf.DUMMYFUNCTION("""COMPUTED_VALUE"""),"Data Science for Soil and Water Management")</f>
        <v>Data Science for Soil and Water Management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IFERROR(__xludf.DUMMYFUNCTION("""COMPUTED_VALUE"""),"PE(Honours 1)")</f>
        <v>PE(Honours 1)</v>
      </c>
      <c r="D73" s="2" t="str">
        <f>IFERROR(__xludf.DUMMYFUNCTION("""COMPUTED_VALUE"""),"AG0523")</f>
        <v>AG0523</v>
      </c>
      <c r="E73" s="2" t="str">
        <f>IFERROR(__xludf.DUMMYFUNCTION("""COMPUTED_VALUE"""),"19AG523")</f>
        <v>19AG523</v>
      </c>
      <c r="F73" s="7" t="str">
        <f>IFERROR(__xludf.DUMMYFUNCTION("""COMPUTED_VALUE"""),"Computational Software for Crop Growth Modeling")</f>
        <v>Computational Software for Crop Growth Modeling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IFERROR(__xludf.DUMMYFUNCTION("""COMPUTED_VALUE"""),"PE(Honours 1)")</f>
        <v>PE(Honours 1)</v>
      </c>
      <c r="D74" s="2" t="str">
        <f>IFERROR(__xludf.DUMMYFUNCTION("""COMPUTED_VALUE"""),"AG0519")</f>
        <v>AG0519</v>
      </c>
      <c r="E74" s="2" t="str">
        <f>IFERROR(__xludf.DUMMYFUNCTION("""COMPUTED_VALUE"""),"19AG519")</f>
        <v>19AG519</v>
      </c>
      <c r="F74" s="7" t="str">
        <f>IFERROR(__xludf.DUMMYFUNCTION("""COMPUTED_VALUE"""),"Solar Energy in Agricultural Systems")</f>
        <v>Solar Energy in Agricultural Systems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IFERROR(__xludf.DUMMYFUNCTION("""COMPUTED_VALUE"""),"PE(Honours 1)")</f>
        <v>PE(Honours 1)</v>
      </c>
      <c r="D75" s="2" t="str">
        <f>IFERROR(__xludf.DUMMYFUNCTION("""COMPUTED_VALUE"""),"AG0518")</f>
        <v>AG0518</v>
      </c>
      <c r="E75" s="2" t="str">
        <f>IFERROR(__xludf.DUMMYFUNCTION("""COMPUTED_VALUE"""),"19AG518")</f>
        <v>19AG518</v>
      </c>
      <c r="F75" s="7" t="str">
        <f>IFERROR(__xludf.DUMMYFUNCTION("""COMPUTED_VALUE"""),"Testing and Evaluation of Tractors and Farm Machinery")</f>
        <v>Testing and Evaluation of Tractors and Farm Machinery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IFERROR(__xludf.DUMMYFUNCTION("""COMPUTED_VALUE"""),"PE(Honours 3)")</f>
        <v>PE(Honours 3)</v>
      </c>
      <c r="D76" s="2" t="str">
        <f>IFERROR(__xludf.DUMMYFUNCTION("""COMPUTED_VALUE"""),"AG0524")</f>
        <v>AG0524</v>
      </c>
      <c r="E76" s="2" t="str">
        <f>IFERROR(__xludf.DUMMYFUNCTION("""COMPUTED_VALUE"""),"19AG524")</f>
        <v>19AG524</v>
      </c>
      <c r="F76" s="7" t="str">
        <f>IFERROR(__xludf.DUMMYFUNCTION("""COMPUTED_VALUE"""),"Emerging Technologies in Food Processing")</f>
        <v>Emerging Technologies in Food Processing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IFERROR(__xludf.DUMMYFUNCTION("""COMPUTED_VALUE"""),"PE(Honours 3)")</f>
        <v>PE(Honours 3)</v>
      </c>
      <c r="D77" s="2" t="str">
        <f>IFERROR(__xludf.DUMMYFUNCTION("""COMPUTED_VALUE"""),"AG0525")</f>
        <v>AG0525</v>
      </c>
      <c r="E77" s="2" t="str">
        <f>IFERROR(__xludf.DUMMYFUNCTION("""COMPUTED_VALUE"""),"19AG525")</f>
        <v>19AG525</v>
      </c>
      <c r="F77" s="7" t="str">
        <f>IFERROR(__xludf.DUMMYFUNCTION("""COMPUTED_VALUE"""),"3D Printing Technology for Food Industry")</f>
        <v>3D Printing Technology for Food Industry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IFERROR(__xludf.DUMMYFUNCTION("""COMPUTED_VALUE"""),"EEC")</f>
        <v>EEC</v>
      </c>
      <c r="D78" s="2" t="str">
        <f>IFERROR(__xludf.DUMMYFUNCTION("""COMPUTED_VALUE"""),"AG0849")</f>
        <v>AG0849</v>
      </c>
      <c r="E78" s="2" t="str">
        <f>IFERROR(__xludf.DUMMYFUNCTION("""COMPUTED_VALUE"""),"NA")</f>
        <v>NA</v>
      </c>
      <c r="F78" s="7" t="str">
        <f>IFERROR(__xludf.DUMMYFUNCTION("""COMPUTED_VALUE"""),"Directed Studies")</f>
        <v>Directed Studies</v>
      </c>
      <c r="G78" s="2" t="str">
        <f>IFERROR(__xludf.DUMMYFUNCTION("""COMPUTED_VALUE"""),"-")</f>
        <v>-</v>
      </c>
      <c r="H78" s="2">
        <f>IFERROR(__xludf.DUMMYFUNCTION("""COMPUTED_VALUE"""),0)</f>
        <v>0</v>
      </c>
      <c r="I78" s="2">
        <f>IFERROR(__xludf.DUMMYFUNCTION("""COMPUTED_VALUE"""),2)</f>
        <v>2</v>
      </c>
      <c r="J78" s="2">
        <f>IFERROR(__xludf.DUMMYFUNCTION("""COMPUTED_VALUE"""),2)</f>
        <v>2</v>
      </c>
      <c r="K78" s="2" t="str">
        <f>IFERROR(__xludf.DUMMYFUNCTION("""COMPUTED_VALUE"""),"CGPA")</f>
        <v>CGPA</v>
      </c>
      <c r="L78" s="2" t="str">
        <f>IFERROR(__xludf.DUMMYFUNCTION("""COMPUTED_VALUE"""),"Practical (10 Expts)")</f>
        <v>Practical (10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IFERROR(__xludf.DUMMYFUNCTION("""COMPUTED_VALUE"""),"EEC")</f>
        <v>EEC</v>
      </c>
      <c r="D79" s="2" t="str">
        <f>IFERROR(__xludf.DUMMYFUNCTION("""COMPUTED_VALUE"""),"AG0707")</f>
        <v>AG0707</v>
      </c>
      <c r="E79" s="2" t="str">
        <f>IFERROR(__xludf.DUMMYFUNCTION("""COMPUTED_VALUE"""),"19AG707")</f>
        <v>19AG707</v>
      </c>
      <c r="F79" s="7" t="str">
        <f>IFERROR(__xludf.DUMMYFUNCTION("""COMPUTED_VALUE"""),"Educational Tour")</f>
        <v>Educational Tour</v>
      </c>
      <c r="G79" s="2" t="str">
        <f>IFERROR(__xludf.DUMMYFUNCTION("""COMPUTED_VALUE"""),"-")</f>
        <v>-</v>
      </c>
      <c r="H79" s="2">
        <f>IFERROR(__xludf.DUMMYFUNCTION("""COMPUTED_VALUE"""),0)</f>
        <v>0</v>
      </c>
      <c r="I79" s="2">
        <f>IFERROR(__xludf.DUMMYFUNCTION("""COMPUTED_VALUE"""),2)</f>
        <v>2</v>
      </c>
      <c r="J79" s="2">
        <f>IFERROR(__xludf.DUMMYFUNCTION("""COMPUTED_VALUE"""),2)</f>
        <v>2</v>
      </c>
      <c r="K79" s="2" t="str">
        <f>IFERROR(__xludf.DUMMYFUNCTION("""COMPUTED_VALUE"""),"Non - CGPA")</f>
        <v>Non - CGPA</v>
      </c>
      <c r="L79" s="2" t="str">
        <f>IFERROR(__xludf.DUMMYFUNCTION("""COMPUTED_VALUE"""),"Practical (10 Expts)")</f>
        <v>Practical (10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IFERROR(__xludf.DUMMYFUNCTION("""COMPUTED_VALUE"""),"EEC")</f>
        <v>EEC</v>
      </c>
      <c r="D80" s="2" t="str">
        <f>IFERROR(__xludf.DUMMYFUNCTION("""COMPUTED_VALUE"""),"AG0850")</f>
        <v>AG0850</v>
      </c>
      <c r="E80" s="2" t="str">
        <f>IFERROR(__xludf.DUMMYFUNCTION("""COMPUTED_VALUE"""),"NA")</f>
        <v>NA</v>
      </c>
      <c r="F80" s="7" t="str">
        <f>IFERROR(__xludf.DUMMYFUNCTION("""COMPUTED_VALUE"""),"Experiential Learning on Campus")</f>
        <v>Experiential Learning on Campus</v>
      </c>
      <c r="G80" s="2" t="str">
        <f>IFERROR(__xludf.DUMMYFUNCTION("""COMPUTED_VALUE"""),"-")</f>
        <v>-</v>
      </c>
      <c r="H80" s="2">
        <f>IFERROR(__xludf.DUMMYFUNCTION("""COMPUTED_VALUE"""),0)</f>
        <v>0</v>
      </c>
      <c r="I80" s="2">
        <f>IFERROR(__xludf.DUMMYFUNCTION("""COMPUTED_VALUE"""),3)</f>
        <v>3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IFERROR(__xludf.DUMMYFUNCTION("""COMPUTED_VALUE"""),"Practical (10 Expts)")</f>
        <v>Practical (10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IFERROR(__xludf.DUMMYFUNCTION("""COMPUTED_VALUE"""),"EEC")</f>
        <v>EEC</v>
      </c>
      <c r="D81" s="2" t="str">
        <f>IFERROR(__xludf.DUMMYFUNCTION("""COMPUTED_VALUE"""),"AG0852")</f>
        <v>AG0852</v>
      </c>
      <c r="E81" s="2" t="str">
        <f>IFERROR(__xludf.DUMMYFUNCTION("""COMPUTED_VALUE"""),"NA")</f>
        <v>NA</v>
      </c>
      <c r="F81" s="7" t="str">
        <f>IFERROR(__xludf.DUMMYFUNCTION("""COMPUTED_VALUE"""),"Industrial Training")</f>
        <v>Industrial Training</v>
      </c>
      <c r="G81" s="2" t="str">
        <f>IFERROR(__xludf.DUMMYFUNCTION("""COMPUTED_VALUE"""),"-")</f>
        <v>-</v>
      </c>
      <c r="H81" s="2">
        <f>IFERROR(__xludf.DUMMYFUNCTION("""COMPUTED_VALUE"""),0)</f>
        <v>0</v>
      </c>
      <c r="I81" s="2">
        <f>IFERROR(__xludf.DUMMYFUNCTION("""COMPUTED_VALUE"""),6)</f>
        <v>6</v>
      </c>
      <c r="J81" s="2">
        <f>IFERROR(__xludf.DUMMYFUNCTION("""COMPUTED_VALUE"""),6)</f>
        <v>6</v>
      </c>
      <c r="K81" s="2" t="str">
        <f>IFERROR(__xludf.DUMMYFUNCTION("""COMPUTED_VALUE"""),"CGPA")</f>
        <v>CGPA</v>
      </c>
      <c r="L81" s="2" t="str">
        <f>IFERROR(__xludf.DUMMYFUNCTION("""COMPUTED_VALUE"""),"Project")</f>
        <v>Project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 t="str">
        <f>IFERROR(__xludf.DUMMYFUNCTION("""COMPUTED_VALUE"""),"Option 1")</f>
        <v>Option 1</v>
      </c>
      <c r="C82" s="2" t="str">
        <f>IFERROR(__xludf.DUMMYFUNCTION("""COMPUTED_VALUE"""),"EEC")</f>
        <v>EEC</v>
      </c>
      <c r="D82" s="2" t="str">
        <f>IFERROR(__xludf.DUMMYFUNCTION("""COMPUTED_VALUE"""),"AG0851")</f>
        <v>AG0851</v>
      </c>
      <c r="E82" s="2" t="str">
        <f>IFERROR(__xludf.DUMMYFUNCTION("""COMPUTED_VALUE"""),"19AG701")</f>
        <v>19AG701</v>
      </c>
      <c r="F82" s="7" t="str">
        <f>IFERROR(__xludf.DUMMYFUNCTION("""COMPUTED_VALUE"""),"Project Work Phase I")</f>
        <v>Project Work Phase I</v>
      </c>
      <c r="G82" s="2" t="str">
        <f>IFERROR(__xludf.DUMMYFUNCTION("""COMPUTED_VALUE"""),"-")</f>
        <v>-</v>
      </c>
      <c r="H82" s="2">
        <f>IFERROR(__xludf.DUMMYFUNCTION("""COMPUTED_VALUE"""),0)</f>
        <v>0</v>
      </c>
      <c r="I82" s="2">
        <f>IFERROR(__xludf.DUMMYFUNCTION("""COMPUTED_VALUE"""),2)</f>
        <v>2</v>
      </c>
      <c r="J82" s="2">
        <f>IFERROR(__xludf.DUMMYFUNCTION("""COMPUTED_VALUE"""),2)</f>
        <v>2</v>
      </c>
      <c r="K82" s="2" t="str">
        <f>IFERROR(__xludf.DUMMYFUNCTION("""COMPUTED_VALUE"""),"CGPA")</f>
        <v>CGPA</v>
      </c>
      <c r="L82" s="2" t="str">
        <f>IFERROR(__xludf.DUMMYFUNCTION("""COMPUTED_VALUE"""),"Project (Int Only)")</f>
        <v>Project (Int Only)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 t="str">
        <f>IFERROR(__xludf.DUMMYFUNCTION("""COMPUTED_VALUE"""),"Option 1")</f>
        <v>Option 1</v>
      </c>
      <c r="C83" s="2" t="str">
        <f>IFERROR(__xludf.DUMMYFUNCTION("""COMPUTED_VALUE"""),"EEC")</f>
        <v>EEC</v>
      </c>
      <c r="D83" s="2" t="str">
        <f>IFERROR(__xludf.DUMMYFUNCTION("""COMPUTED_VALUE"""),"AG0853")</f>
        <v>AG0853</v>
      </c>
      <c r="E83" s="2" t="str">
        <f>IFERROR(__xludf.DUMMYFUNCTION("""COMPUTED_VALUE"""),"NA")</f>
        <v>NA</v>
      </c>
      <c r="F83" s="7" t="str">
        <f>IFERROR(__xludf.DUMMYFUNCTION("""COMPUTED_VALUE"""),"Project Work Phase II")</f>
        <v>Project Work Phase II</v>
      </c>
      <c r="G83" s="2" t="str">
        <f>IFERROR(__xludf.DUMMYFUNCTION("""COMPUTED_VALUE"""),"-")</f>
        <v>-</v>
      </c>
      <c r="H83" s="2">
        <f>IFERROR(__xludf.DUMMYFUNCTION("""COMPUTED_VALUE"""),0)</f>
        <v>0</v>
      </c>
      <c r="I83" s="2">
        <f>IFERROR(__xludf.DUMMYFUNCTION("""COMPUTED_VALUE"""),6)</f>
        <v>6</v>
      </c>
      <c r="J83" s="2">
        <f>IFERROR(__xludf.DUMMYFUNCTION("""COMPUTED_VALUE"""),6)</f>
        <v>6</v>
      </c>
      <c r="K83" s="2" t="str">
        <f>IFERROR(__xludf.DUMMYFUNCTION("""COMPUTED_VALUE"""),"CGPA")</f>
        <v>CGPA</v>
      </c>
      <c r="L83" s="2" t="str">
        <f>IFERROR(__xludf.DUMMYFUNCTION("""COMPUTED_VALUE"""),"Project")</f>
        <v>Project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 t="str">
        <f>IFERROR(__xludf.DUMMYFUNCTION("""COMPUTED_VALUE"""),"Option 2")</f>
        <v>Option 2</v>
      </c>
      <c r="C84" s="2"/>
      <c r="D84" s="2" t="str">
        <f>IFERROR(__xludf.DUMMYFUNCTION("""COMPUTED_VALUE"""),"SH6802")</f>
        <v>SH6802</v>
      </c>
      <c r="E84" s="2" t="str">
        <f>IFERROR(__xludf.DUMMYFUNCTION("""COMPUTED_VALUE"""),"NA")</f>
        <v>NA</v>
      </c>
      <c r="F84" s="3" t="str">
        <f>IFERROR(__xludf.DUMMYFUNCTION("""COMPUTED_VALUE"""),"Start Up")</f>
        <v>Start Up</v>
      </c>
      <c r="G84" s="2" t="str">
        <f>IFERROR(__xludf.DUMMYFUNCTION("""COMPUTED_VALUE"""),"-")</f>
        <v>-</v>
      </c>
      <c r="H84" s="2">
        <f>IFERROR(__xludf.DUMMYFUNCTION("""COMPUTED_VALUE"""),0)</f>
        <v>0</v>
      </c>
      <c r="I84" s="2">
        <f>IFERROR(__xludf.DUMMYFUNCTION("""COMPUTED_VALUE"""),8)</f>
        <v>8</v>
      </c>
      <c r="J84" s="2">
        <f>IFERROR(__xludf.DUMMYFUNCTION("""COMPUTED_VALUE"""),8)</f>
        <v>8</v>
      </c>
      <c r="K84" s="2" t="str">
        <f>IFERROR(__xludf.DUMMYFUNCTION("""COMPUTED_VALUE"""),"CGPA")</f>
        <v>CGPA</v>
      </c>
      <c r="L84" s="2" t="str">
        <f>IFERROR(__xludf.DUMMYFUNCTION("""COMPUTED_VALUE"""),"Project")</f>
        <v>Project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IFERROR(__xludf.DUMMYFUNCTION("""COMPUTED_VALUE"""),"EEC")</f>
        <v>EEC</v>
      </c>
      <c r="D85" s="2" t="str">
        <f>IFERROR(__xludf.DUMMYFUNCTION("""COMPUTED_VALUE"""),"AG0848")</f>
        <v>AG0848</v>
      </c>
      <c r="E85" s="2" t="str">
        <f>IFERROR(__xludf.DUMMYFUNCTION("""COMPUTED_VALUE"""),"NA")</f>
        <v>NA</v>
      </c>
      <c r="F85" s="7" t="str">
        <f>IFERROR(__xludf.DUMMYFUNCTION("""COMPUTED_VALUE"""),"Skill Development Training")</f>
        <v>Skill Development Training</v>
      </c>
      <c r="G85" s="2" t="str">
        <f>IFERROR(__xludf.DUMMYFUNCTION("""COMPUTED_VALUE"""),"-")</f>
        <v>-</v>
      </c>
      <c r="H85" s="2">
        <f>IFERROR(__xludf.DUMMYFUNCTION("""COMPUTED_VALUE"""),0)</f>
        <v>0</v>
      </c>
      <c r="I85" s="2">
        <f>IFERROR(__xludf.DUMMYFUNCTION("""COMPUTED_VALUE"""),6)</f>
        <v>6</v>
      </c>
      <c r="J85" s="2">
        <f>IFERROR(__xludf.DUMMYFUNCTION("""COMPUTED_VALUE"""),6)</f>
        <v>6</v>
      </c>
      <c r="K85" s="2" t="str">
        <f>IFERROR(__xludf.DUMMYFUNCTION("""COMPUTED_VALUE"""),"CGPA")</f>
        <v>CGPA</v>
      </c>
      <c r="L85" s="2" t="str">
        <f>IFERROR(__xludf.DUMMYFUNCTION("""COMPUTED_VALUE"""),"Project")</f>
        <v>Project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IFERROR(__xludf.DUMMYFUNCTION("""COMPUTED_VALUE"""),"OE")</f>
        <v>OE</v>
      </c>
      <c r="D86" s="2" t="str">
        <f>IFERROR(__xludf.DUMMYFUNCTION("""COMPUTED_VALUE"""),"AG0854")</f>
        <v>AG0854</v>
      </c>
      <c r="E86" s="2" t="str">
        <f>IFERROR(__xludf.DUMMYFUNCTION("""COMPUTED_VALUE"""),"NA")</f>
        <v>NA</v>
      </c>
      <c r="F86" s="7" t="str">
        <f>IFERROR(__xludf.DUMMYFUNCTION("""COMPUTED_VALUE"""),"Principles of Agricultural Engineering")</f>
        <v>Principles of Agricultural Engineering</v>
      </c>
      <c r="G86" s="2" t="str">
        <f>IFERROR(__xludf.DUMMYFUNCTION("""COMPUTED_VALUE"""),"-")</f>
        <v>-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IFERROR(__xludf.DUMMYFUNCTION("""COMPUTED_VALUE"""),"OE")</f>
        <v>OE</v>
      </c>
      <c r="D87" s="2" t="str">
        <f>IFERROR(__xludf.DUMMYFUNCTION("""COMPUTED_VALUE"""),"AG0855")</f>
        <v>AG0855</v>
      </c>
      <c r="E87" s="2" t="str">
        <f>IFERROR(__xludf.DUMMYFUNCTION("""COMPUTED_VALUE"""),"NA")</f>
        <v>NA</v>
      </c>
      <c r="F87" s="7" t="str">
        <f>IFERROR(__xludf.DUMMYFUNCTION("""COMPUTED_VALUE"""),"Urban Agriculture")</f>
        <v>Urban Agriculture</v>
      </c>
      <c r="G87" s="2" t="str">
        <f>IFERROR(__xludf.DUMMYFUNCTION("""COMPUTED_VALUE"""),"-")</f>
        <v>-</v>
      </c>
      <c r="H87" s="2">
        <f>IFERROR(__xludf.DUMMYFUNCTION("""COMPUTED_VALUE"""),3)</f>
        <v>3</v>
      </c>
      <c r="I87" s="2">
        <f>IFERROR(__xludf.DUMMYFUNCTION("""COMPUTED_VALUE"""),0)</f>
        <v>0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IFERROR(__xludf.DUMMYFUNCTION("""COMPUTED_VALUE"""),"Theory")</f>
        <v>Theory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IFERROR(__xludf.DUMMYFUNCTION("""COMPUTED_VALUE"""),"OE")</f>
        <v>OE</v>
      </c>
      <c r="D88" s="2" t="str">
        <f>IFERROR(__xludf.DUMMYFUNCTION("""COMPUTED_VALUE"""),"AG0856")</f>
        <v>AG0856</v>
      </c>
      <c r="E88" s="2" t="str">
        <f>IFERROR(__xludf.DUMMYFUNCTION("""COMPUTED_VALUE"""),"NA")</f>
        <v>NA</v>
      </c>
      <c r="F88" s="7" t="str">
        <f>IFERROR(__xludf.DUMMYFUNCTION("""COMPUTED_VALUE"""),"Process Engineering of Fruits and Vegetables")</f>
        <v>Process Engineering of Fruits and Vegetables</v>
      </c>
      <c r="G88" s="2" t="str">
        <f>IFERROR(__xludf.DUMMYFUNCTION("""COMPUTED_VALUE"""),"-")</f>
        <v>-</v>
      </c>
      <c r="H88" s="2">
        <f>IFERROR(__xludf.DUMMYFUNCTION("""COMPUTED_VALUE"""),3)</f>
        <v>3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IFERROR(__xludf.DUMMYFUNCTION("""COMPUTED_VALUE"""),"Theory")</f>
        <v>Theory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 t="str">
        <f>IFERROR(__xludf.DUMMYFUNCTION("""COMPUTED_VALUE"""),"Exempted for LE")</f>
        <v>Exempted for LE</v>
      </c>
      <c r="C89" s="2" t="str">
        <f>IFERROR(__xludf.DUMMYFUNCTION("""COMPUTED_VALUE"""),"EEC")</f>
        <v>EEC</v>
      </c>
      <c r="D89" s="2" t="str">
        <f>IFERROR(__xludf.DUMMYFUNCTION("""COMPUTED_VALUE"""),"SH6708")</f>
        <v>SH6708</v>
      </c>
      <c r="E89" s="2" t="str">
        <f>IFERROR(__xludf.DUMMYFUNCTION("""COMPUTED_VALUE"""),"19EY708")</f>
        <v>19EY708</v>
      </c>
      <c r="F89" s="7" t="str">
        <f>IFERROR(__xludf.DUMMYFUNCTION("""COMPUTED_VALUE"""),"Career Development Skills")</f>
        <v>Career Development Skills</v>
      </c>
      <c r="G89" s="2" t="str">
        <f>IFERROR(__xludf.DUMMYFUNCTION("""COMPUTED_VALUE"""),"NIL")</f>
        <v>NIL</v>
      </c>
      <c r="H89" s="2">
        <f>IFERROR(__xludf.DUMMYFUNCTION("""COMPUTED_VALUE"""),1)</f>
        <v>1</v>
      </c>
      <c r="I89" s="2">
        <f>IFERROR(__xludf.DUMMYFUNCTION("""COMPUTED_VALUE"""),0)</f>
        <v>0</v>
      </c>
      <c r="J89" s="2">
        <f>IFERROR(__xludf.DUMMYFUNCTION("""COMPUTED_VALUE"""),1)</f>
        <v>1</v>
      </c>
      <c r="K89" s="2" t="str">
        <f>IFERROR(__xludf.DUMMYFUNCTION("""COMPUTED_VALUE"""),"CGPA")</f>
        <v>CGPA</v>
      </c>
      <c r="L89" s="2" t="str">
        <f>IFERROR(__xludf.DUMMYFUNCTION("""COMPUTED_VALUE"""),"Theory (Int Only)")</f>
        <v>Theory (Int Only)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 t="str">
        <f>IFERROR(__xludf.DUMMYFUNCTION("""COMPUTED_VALUE"""),"Exempted for LE")</f>
        <v>Exempted for LE</v>
      </c>
      <c r="C90" s="2" t="str">
        <f>IFERROR(__xludf.DUMMYFUNCTION("""COMPUTED_VALUE"""),"EEC")</f>
        <v>EEC</v>
      </c>
      <c r="D90" s="2" t="str">
        <f>IFERROR(__xludf.DUMMYFUNCTION("""COMPUTED_VALUE"""),"SH6709")</f>
        <v>SH6709</v>
      </c>
      <c r="E90" s="2" t="str">
        <f>IFERROR(__xludf.DUMMYFUNCTION("""COMPUTED_VALUE"""),"19EY709")</f>
        <v>19EY709</v>
      </c>
      <c r="F90" s="7" t="str">
        <f>IFERROR(__xludf.DUMMYFUNCTION("""COMPUTED_VALUE"""),"Reasoning Ability")</f>
        <v>Reasoning Ability</v>
      </c>
      <c r="G90" s="2" t="str">
        <f>IFERROR(__xludf.DUMMYFUNCTION("""COMPUTED_VALUE"""),"NIL")</f>
        <v>NIL</v>
      </c>
      <c r="H90" s="2">
        <f>IFERROR(__xludf.DUMMYFUNCTION("""COMPUTED_VALUE"""),1)</f>
        <v>1</v>
      </c>
      <c r="I90" s="2">
        <f>IFERROR(__xludf.DUMMYFUNCTION("""COMPUTED_VALUE"""),0)</f>
        <v>0</v>
      </c>
      <c r="J90" s="2">
        <f>IFERROR(__xludf.DUMMYFUNCTION("""COMPUTED_VALUE"""),1)</f>
        <v>1</v>
      </c>
      <c r="K90" s="2" t="str">
        <f>IFERROR(__xludf.DUMMYFUNCTION("""COMPUTED_VALUE"""),"CGPA")</f>
        <v>CGPA</v>
      </c>
      <c r="L90" s="2" t="str">
        <f>IFERROR(__xludf.DUMMYFUNCTION("""COMPUTED_VALUE"""),"Theory (Int Only)")</f>
        <v>Theory (Int Only)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IFERROR(__xludf.DUMMYFUNCTION("""COMPUTED_VALUE"""),"EEC")</f>
        <v>EEC</v>
      </c>
      <c r="D91" s="2" t="str">
        <f>IFERROR(__xludf.DUMMYFUNCTION("""COMPUTED_VALUE"""),"SH6710")</f>
        <v>SH6710</v>
      </c>
      <c r="E91" s="2" t="str">
        <f>IFERROR(__xludf.DUMMYFUNCTION("""COMPUTED_VALUE"""),"19EY710")</f>
        <v>19EY710</v>
      </c>
      <c r="F91" s="7" t="str">
        <f>IFERROR(__xludf.DUMMYFUNCTION("""COMPUTED_VALUE"""),"Quantitative Ability I")</f>
        <v>Quantitative Ability I</v>
      </c>
      <c r="G91" s="2" t="str">
        <f>IFERROR(__xludf.DUMMYFUNCTION("""COMPUTED_VALUE"""),"NIL")</f>
        <v>NIL</v>
      </c>
      <c r="H91" s="2">
        <f>IFERROR(__xludf.DUMMYFUNCTION("""COMPUTED_VALUE"""),1)</f>
        <v>1</v>
      </c>
      <c r="I91" s="2">
        <f>IFERROR(__xludf.DUMMYFUNCTION("""COMPUTED_VALUE"""),0)</f>
        <v>0</v>
      </c>
      <c r="J91" s="2">
        <f>IFERROR(__xludf.DUMMYFUNCTION("""COMPUTED_VALUE"""),1)</f>
        <v>1</v>
      </c>
      <c r="K91" s="2" t="str">
        <f>IFERROR(__xludf.DUMMYFUNCTION("""COMPUTED_VALUE"""),"CGPA")</f>
        <v>CGPA</v>
      </c>
      <c r="L91" s="2" t="str">
        <f>IFERROR(__xludf.DUMMYFUNCTION("""COMPUTED_VALUE"""),"Theory (Int Only)")</f>
        <v>Theory (Int Only)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IFERROR(__xludf.DUMMYFUNCTION("""COMPUTED_VALUE"""),"EEC")</f>
        <v>EEC</v>
      </c>
      <c r="D92" s="2" t="str">
        <f>IFERROR(__xludf.DUMMYFUNCTION("""COMPUTED_VALUE"""),"SH6711")</f>
        <v>SH6711</v>
      </c>
      <c r="E92" s="2" t="str">
        <f>IFERROR(__xludf.DUMMYFUNCTION("""COMPUTED_VALUE"""),"19EY711")</f>
        <v>19EY711</v>
      </c>
      <c r="F92" s="7" t="str">
        <f>IFERROR(__xludf.DUMMYFUNCTION("""COMPUTED_VALUE"""),"Quantitative Ability II")</f>
        <v>Quantitative Ability II</v>
      </c>
      <c r="G92" s="2" t="str">
        <f>IFERROR(__xludf.DUMMYFUNCTION("""COMPUTED_VALUE"""),"SH6710 /19EY710")</f>
        <v>SH6710 /19EY710</v>
      </c>
      <c r="H92" s="2">
        <f>IFERROR(__xludf.DUMMYFUNCTION("""COMPUTED_VALUE"""),1)</f>
        <v>1</v>
      </c>
      <c r="I92" s="2">
        <f>IFERROR(__xludf.DUMMYFUNCTION("""COMPUTED_VALUE"""),0)</f>
        <v>0</v>
      </c>
      <c r="J92" s="2">
        <f>IFERROR(__xludf.DUMMYFUNCTION("""COMPUTED_VALUE"""),1)</f>
        <v>1</v>
      </c>
      <c r="K92" s="2" t="str">
        <f>IFERROR(__xludf.DUMMYFUNCTION("""COMPUTED_VALUE"""),"CGPA")</f>
        <v>CGPA</v>
      </c>
      <c r="L92" s="2" t="str">
        <f>IFERROR(__xludf.DUMMYFUNCTION("""COMPUTED_VALUE"""),"Theory (Int Only)")</f>
        <v>Theory (Int Only)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IFERROR(__xludf.DUMMYFUNCTION("""COMPUTED_VALUE"""),"EEC")</f>
        <v>EEC</v>
      </c>
      <c r="D93" s="2" t="str">
        <f>IFERROR(__xludf.DUMMYFUNCTION("""COMPUTED_VALUE"""),"SH6712")</f>
        <v>SH6712</v>
      </c>
      <c r="E93" s="2" t="str">
        <f>IFERROR(__xludf.DUMMYFUNCTION("""COMPUTED_VALUE"""),"19EY712")</f>
        <v>19EY712</v>
      </c>
      <c r="F93" s="7" t="str">
        <f>IFERROR(__xludf.DUMMYFUNCTION("""COMPUTED_VALUE"""),"Employment Enrichment Skills")</f>
        <v>Employment Enrichment Skills</v>
      </c>
      <c r="G93" s="2" t="str">
        <f>IFERROR(__xludf.DUMMYFUNCTION("""COMPUTED_VALUE"""),"19EY702 / 19EY709 / SH6709")</f>
        <v>19EY702 / 19EY709 / SH6709</v>
      </c>
      <c r="H93" s="2">
        <f>IFERROR(__xludf.DUMMYFUNCTION("""COMPUTED_VALUE"""),1)</f>
        <v>1</v>
      </c>
      <c r="I93" s="2">
        <f>IFERROR(__xludf.DUMMYFUNCTION("""COMPUTED_VALUE"""),0)</f>
        <v>0</v>
      </c>
      <c r="J93" s="2">
        <f>IFERROR(__xludf.DUMMYFUNCTION("""COMPUTED_VALUE"""),1)</f>
        <v>1</v>
      </c>
      <c r="K93" s="2" t="str">
        <f>IFERROR(__xludf.DUMMYFUNCTION("""COMPUTED_VALUE"""),"CGPA")</f>
        <v>CGPA</v>
      </c>
      <c r="L93" s="2" t="str">
        <f>IFERROR(__xludf.DUMMYFUNCTION("""COMPUTED_VALUE"""),"Theory (Int Only)")</f>
        <v>Theory (Int Only)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IFERROR(__xludf.DUMMYFUNCTION("""COMPUTED_VALUE"""),"EEC")</f>
        <v>EEC</v>
      </c>
      <c r="D94" s="2" t="str">
        <f>IFERROR(__xludf.DUMMYFUNCTION("""COMPUTED_VALUE"""),"NA")</f>
        <v>NA</v>
      </c>
      <c r="E94" s="2" t="str">
        <f>IFERROR(__xludf.DUMMYFUNCTION("""COMPUTED_VALUE"""),"19EY706")</f>
        <v>19EY706</v>
      </c>
      <c r="F94" s="7" t="str">
        <f>IFERROR(__xludf.DUMMYFUNCTION("""COMPUTED_VALUE"""),"Company Specific Assessments For Employability")</f>
        <v>Company Specific Assessments For Employability</v>
      </c>
      <c r="G94" s="2" t="str">
        <f>IFERROR(__xludf.DUMMYFUNCTION("""COMPUTED_VALUE"""),"-")</f>
        <v>-</v>
      </c>
      <c r="H94" s="2">
        <f>IFERROR(__xludf.DUMMYFUNCTION("""COMPUTED_VALUE"""),0)</f>
        <v>0</v>
      </c>
      <c r="I94" s="2">
        <f>IFERROR(__xludf.DUMMYFUNCTION("""COMPUTED_VALUE"""),1)</f>
        <v>1</v>
      </c>
      <c r="J94" s="2">
        <f>IFERROR(__xludf.DUMMYFUNCTION("""COMPUTED_VALUE"""),1)</f>
        <v>1</v>
      </c>
      <c r="K94" s="2" t="str">
        <f>IFERROR(__xludf.DUMMYFUNCTION("""COMPUTED_VALUE"""),"CGPA")</f>
        <v>CGPA</v>
      </c>
      <c r="L94" s="2" t="str">
        <f>IFERROR(__xludf.DUMMYFUNCTION("""COMPUTED_VALUE"""),"Practical (6 Expts)")</f>
        <v>Practical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IFERROR(__xludf.DUMMYFUNCTION("""COMPUTED_VALUE"""),"MC")</f>
        <v>MC</v>
      </c>
      <c r="D95" s="2" t="str">
        <f>IFERROR(__xludf.DUMMYFUNCTION("""COMPUTED_VALUE"""),"SH6707")</f>
        <v>SH6707</v>
      </c>
      <c r="E95" s="2" t="str">
        <f>IFERROR(__xludf.DUMMYFUNCTION("""COMPUTED_VALUE"""),"19EY707")</f>
        <v>19EY707</v>
      </c>
      <c r="F95" s="7" t="str">
        <f>IFERROR(__xludf.DUMMYFUNCTION("""COMPUTED_VALUE"""),"Paper Publication")</f>
        <v>Paper Publication</v>
      </c>
      <c r="G95" s="2" t="str">
        <f>IFERROR(__xludf.DUMMYFUNCTION("""COMPUTED_VALUE"""),"-")</f>
        <v>-</v>
      </c>
      <c r="H95" s="2">
        <f>IFERROR(__xludf.DUMMYFUNCTION("""COMPUTED_VALUE"""),0)</f>
        <v>0</v>
      </c>
      <c r="I95" s="2">
        <f>IFERROR(__xludf.DUMMYFUNCTION("""COMPUTED_VALUE"""),0)</f>
        <v>0</v>
      </c>
      <c r="J95" s="2">
        <f>IFERROR(__xludf.DUMMYFUNCTION("""COMPUTED_VALUE"""),1)</f>
        <v>1</v>
      </c>
      <c r="K95" s="2" t="str">
        <f>IFERROR(__xludf.DUMMYFUNCTION("""COMPUTED_VALUE"""),"NON-CGPA")</f>
        <v>NON-CGPA</v>
      </c>
      <c r="L95" s="2" t="str">
        <f>IFERROR(__xludf.DUMMYFUNCTION("""COMPUTED_VALUE"""),"Experiential Learning (Int Only)")</f>
        <v>Experiential Learning (Int Only)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IFERROR(__xludf.DUMMYFUNCTION("""COMPUTED_VALUE"""),"MC")</f>
        <v>MC</v>
      </c>
      <c r="D96" s="2" t="str">
        <f>IFERROR(__xludf.DUMMYFUNCTION("""COMPUTED_VALUE"""),"SH8801")</f>
        <v>SH8801</v>
      </c>
      <c r="E96" s="2" t="str">
        <f>IFERROR(__xludf.DUMMYFUNCTION("""COMPUTED_VALUE"""),"NA")</f>
        <v>NA</v>
      </c>
      <c r="F96" s="7" t="str">
        <f>IFERROR(__xludf.DUMMYFUNCTION("""COMPUTED_VALUE"""),"Constitutionalism and Artificial Intelligence Policies in India")</f>
        <v>Constitutionalism and Artificial Intelligence Policies in India</v>
      </c>
      <c r="G96" s="2" t="str">
        <f>IFERROR(__xludf.DUMMYFUNCTION("""COMPUTED_VALUE"""),"-")</f>
        <v>-</v>
      </c>
      <c r="H96" s="2">
        <f>IFERROR(__xludf.DUMMYFUNCTION("""COMPUTED_VALUE"""),1)</f>
        <v>1</v>
      </c>
      <c r="I96" s="2">
        <f>IFERROR(__xludf.DUMMYFUNCTION("""COMPUTED_VALUE"""),0)</f>
        <v>0</v>
      </c>
      <c r="J96" s="2">
        <f>IFERROR(__xludf.DUMMYFUNCTION("""COMPUTED_VALUE"""),1)</f>
        <v>1</v>
      </c>
      <c r="K96" s="2" t="str">
        <f>IFERROR(__xludf.DUMMYFUNCTION("""COMPUTED_VALUE"""),"NON-CGPA")</f>
        <v>NON-CGPA</v>
      </c>
      <c r="L96" s="2" t="str">
        <f>IFERROR(__xludf.DUMMYFUNCTION("""COMPUTED_VALUE"""),"Theory (Int Only)")</f>
        <v>Theory (Int Only)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 t="str">
        <f>IFERROR(__xludf.DUMMYFUNCTION("""COMPUTED_VALUE"""),"Any 1")</f>
        <v>Any 1</v>
      </c>
      <c r="C97" s="2" t="str">
        <f>IFERROR(__xludf.DUMMYFUNCTION("""COMPUTED_VALUE"""),"MC")</f>
        <v>MC</v>
      </c>
      <c r="D97" s="2" t="str">
        <f>IFERROR(__xludf.DUMMYFUNCTION("""COMPUTED_VALUE"""),"SH6803")</f>
        <v>SH6803</v>
      </c>
      <c r="E97" s="2" t="str">
        <f>IFERROR(__xludf.DUMMYFUNCTION("""COMPUTED_VALUE"""),"19MC807")</f>
        <v>19MC807</v>
      </c>
      <c r="F97" s="3" t="str">
        <f>IFERROR(__xludf.DUMMYFUNCTION("""COMPUTED_VALUE"""),"National Service Scheme")</f>
        <v>National Service Scheme</v>
      </c>
      <c r="G97" s="2" t="str">
        <f>IFERROR(__xludf.DUMMYFUNCTION("""COMPUTED_VALUE"""),"-")</f>
        <v>-</v>
      </c>
      <c r="H97" s="2">
        <f>IFERROR(__xludf.DUMMYFUNCTION("""COMPUTED_VALUE"""),0)</f>
        <v>0</v>
      </c>
      <c r="I97" s="2">
        <f>IFERROR(__xludf.DUMMYFUNCTION("""COMPUTED_VALUE"""),0)</f>
        <v>0</v>
      </c>
      <c r="J97" s="2">
        <f>IFERROR(__xludf.DUMMYFUNCTION("""COMPUTED_VALUE"""),0)</f>
        <v>0</v>
      </c>
      <c r="K97" s="2" t="str">
        <f>IFERROR(__xludf.DUMMYFUNCTION("""COMPUTED_VALUE"""),"NON-CGPA")</f>
        <v>NON-CGPA</v>
      </c>
      <c r="L97" s="2" t="str">
        <f>IFERROR(__xludf.DUMMYFUNCTION("""COMPUTED_VALUE"""),"Experiential Learning (Int Only)")</f>
        <v>Experiential Learning (Int Only)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 t="str">
        <f>IFERROR(__xludf.DUMMYFUNCTION("""COMPUTED_VALUE"""),"Any 1")</f>
        <v>Any 1</v>
      </c>
      <c r="C98" s="2" t="str">
        <f>IFERROR(__xludf.DUMMYFUNCTION("""COMPUTED_VALUE"""),"MC")</f>
        <v>MC</v>
      </c>
      <c r="D98" s="2" t="str">
        <f>IFERROR(__xludf.DUMMYFUNCTION("""COMPUTED_VALUE"""),"SH8807")</f>
        <v>SH8807</v>
      </c>
      <c r="E98" s="2" t="str">
        <f>IFERROR(__xludf.DUMMYFUNCTION("""COMPUTED_VALUE"""),"19MC808")</f>
        <v>19MC808</v>
      </c>
      <c r="F98" s="3" t="str">
        <f>IFERROR(__xludf.DUMMYFUNCTION("""COMPUTED_VALUE"""),"National Sports Organization ")</f>
        <v>National Sports Organization 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 t="str">
        <f>IFERROR(__xludf.DUMMYFUNCTION("""COMPUTED_VALUE"""),"NON-CGPA")</f>
        <v>NON-CGPA</v>
      </c>
      <c r="L98" s="2" t="str">
        <f>IFERROR(__xludf.DUMMYFUNCTION("""COMPUTED_VALUE"""),"Experiential Learning (Int Only)")</f>
        <v>Experiential Learning (Int Only)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 t="str">
        <f>IFERROR(__xludf.DUMMYFUNCTION("""COMPUTED_VALUE"""),"Any 1")</f>
        <v>Any 1</v>
      </c>
      <c r="C99" s="2" t="str">
        <f>IFERROR(__xludf.DUMMYFUNCTION("""COMPUTED_VALUE"""),"MC")</f>
        <v>MC</v>
      </c>
      <c r="D99" s="2" t="str">
        <f>IFERROR(__xludf.DUMMYFUNCTION("""COMPUTED_VALUE"""),"SH8808")</f>
        <v>SH8808</v>
      </c>
      <c r="E99" s="2" t="str">
        <f>IFERROR(__xludf.DUMMYFUNCTION("""COMPUTED_VALUE"""),"19MC809")</f>
        <v>19MC809</v>
      </c>
      <c r="F99" s="3" t="str">
        <f>IFERROR(__xludf.DUMMYFUNCTION("""COMPUTED_VALUE"""),"Youth Red Cross")</f>
        <v>Youth Red Cross</v>
      </c>
      <c r="G99" s="2" t="str">
        <f>IFERROR(__xludf.DUMMYFUNCTION("""COMPUTED_VALUE"""),"-")</f>
        <v>-</v>
      </c>
      <c r="H99" s="2">
        <f>IFERROR(__xludf.DUMMYFUNCTION("""COMPUTED_VALUE"""),0)</f>
        <v>0</v>
      </c>
      <c r="I99" s="2">
        <f>IFERROR(__xludf.DUMMYFUNCTION("""COMPUTED_VALUE"""),0)</f>
        <v>0</v>
      </c>
      <c r="J99" s="2">
        <f>IFERROR(__xludf.DUMMYFUNCTION("""COMPUTED_VALUE"""),0)</f>
        <v>0</v>
      </c>
      <c r="K99" s="2" t="str">
        <f>IFERROR(__xludf.DUMMYFUNCTION("""COMPUTED_VALUE"""),"NON-CGPA")</f>
        <v>NON-CGPA</v>
      </c>
      <c r="L99" s="2" t="str">
        <f>IFERROR(__xludf.DUMMYFUNCTION("""COMPUTED_VALUE"""),"Experiential Learning (Int Only)")</f>
        <v>Experiential Learning (Int Only)</v>
      </c>
      <c r="M99" s="9"/>
      <c r="N99" s="9"/>
      <c r="O99" s="9"/>
      <c r="P99" s="9"/>
      <c r="Q99" s="9"/>
      <c r="R99" s="9"/>
    </row>
    <row r="100" ht="48" customHeight="1" spans="1:18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2"/>
      <c r="L100" s="2"/>
      <c r="M100" s="9"/>
      <c r="N100" s="9"/>
      <c r="O100" s="9"/>
      <c r="P100" s="9"/>
      <c r="Q100" s="9"/>
      <c r="R100" s="9"/>
    </row>
    <row r="101" ht="48" customHeight="1" spans="1:18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9"/>
      <c r="N101" s="9"/>
      <c r="O101" s="9"/>
      <c r="P101" s="9"/>
      <c r="Q101" s="9"/>
      <c r="R101" s="9"/>
    </row>
    <row r="102" ht="48" customHeight="1" spans="1:18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9"/>
      <c r="N102" s="9"/>
      <c r="O102" s="9"/>
      <c r="P102" s="9"/>
      <c r="Q102" s="9"/>
      <c r="R102" s="9"/>
    </row>
    <row r="103" ht="48" customHeight="1" spans="1:18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9"/>
      <c r="N103" s="9"/>
      <c r="O103" s="9"/>
      <c r="P103" s="9"/>
      <c r="Q103" s="9"/>
      <c r="R103" s="9"/>
    </row>
    <row r="104" ht="48" customHeight="1" spans="1:18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9"/>
      <c r="N104" s="9"/>
      <c r="O104" s="9"/>
      <c r="P104" s="9"/>
      <c r="Q104" s="9"/>
      <c r="R104" s="9"/>
    </row>
    <row r="105" ht="48" customHeight="1" spans="1:18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9"/>
      <c r="N105" s="9"/>
      <c r="O105" s="9"/>
      <c r="P105" s="9"/>
      <c r="Q105" s="9"/>
      <c r="R105" s="9"/>
    </row>
    <row r="106" ht="48" customHeight="1" spans="1:18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9"/>
      <c r="N106" s="9"/>
      <c r="O106" s="9"/>
      <c r="P106" s="9"/>
      <c r="Q106" s="9"/>
      <c r="R106" s="9"/>
    </row>
    <row r="107" ht="48" customHeight="1" spans="1:18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</row>
    <row r="124" ht="13.2" spans="1: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</row>
    <row r="125" ht="13.2" spans="1: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</row>
    <row r="126" ht="13.2" spans="1: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</row>
    <row r="127" ht="13.2" spans="1: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</row>
    <row r="128" ht="13.2" spans="1: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</row>
    <row r="129" ht="13.2" spans="1: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</row>
    <row r="130" ht="13.2" spans="1: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</row>
    <row r="131" ht="13.2" spans="1: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</row>
    <row r="132" ht="13.2" spans="1: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</row>
    <row r="133" ht="13.2" spans="1: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</row>
    <row r="134" ht="13.2" spans="1: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</row>
    <row r="135" ht="13.2" spans="1: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</row>
    <row r="136" ht="13.2" spans="1: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</row>
    <row r="137" ht="13.2" spans="1: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</row>
    <row r="138" ht="13.2" spans="1: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</row>
    <row r="139" ht="13.2" spans="1: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</row>
    <row r="140" ht="13.2" spans="1: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</row>
    <row r="141" ht="13.2" spans="1: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</row>
    <row r="142" ht="13.2" spans="1: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</row>
    <row r="143" ht="13.2" spans="1: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</row>
    <row r="144" ht="13.2" spans="1: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</row>
    <row r="145" ht="13.2" spans="1: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</row>
    <row r="146" ht="13.2" spans="1: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</row>
    <row r="147" ht="13.2" spans="1: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</row>
    <row r="148" ht="13.2" spans="1: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</row>
    <row r="149" ht="13.2" spans="1: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</row>
    <row r="150" ht="13.2" spans="1: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</row>
    <row r="151" ht="13.2" spans="1: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</row>
    <row r="152" ht="13.2" spans="1: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</row>
    <row r="153" ht="13.2" spans="1: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</row>
    <row r="154" ht="13.2" spans="1: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</row>
    <row r="155" ht="13.2" spans="1: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</row>
    <row r="156" ht="13.2" spans="1: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</row>
    <row r="157" ht="13.2" spans="1: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</row>
    <row r="158" ht="13.2" spans="1: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</row>
    <row r="159" ht="13.2" spans="1: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</row>
    <row r="160" ht="13.2" spans="1: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</row>
    <row r="161" ht="13.2" spans="1: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</row>
    <row r="162" ht="13.2" spans="1: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</row>
    <row r="163" ht="13.2" spans="1: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  <row r="811" ht="13.2" spans="1: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</row>
    <row r="812" ht="13.2" spans="1: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</row>
    <row r="813" ht="13.2" spans="1: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</row>
    <row r="814" ht="13.2" spans="1: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</row>
    <row r="815" ht="13.2" spans="1: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</row>
    <row r="816" ht="13.2" spans="1: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</row>
    <row r="817" ht="13.2" spans="1: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</row>
    <row r="818" ht="13.2" spans="1: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</row>
    <row r="819" ht="13.2" spans="1: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</row>
    <row r="820" ht="13.2" spans="1: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</row>
    <row r="821" ht="13.2" spans="1: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</row>
    <row r="822" ht="13.2" spans="1: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</row>
    <row r="823" ht="13.2" spans="1: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</row>
    <row r="824" ht="13.2" spans="1: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</row>
    <row r="825" ht="13.2" spans="1: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</row>
    <row r="826" ht="13.2" spans="1: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</row>
    <row r="827" ht="13.2" spans="1: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</row>
    <row r="828" ht="13.2" spans="1: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</row>
    <row r="829" ht="13.2" spans="1: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</row>
    <row r="830" ht="13.2" spans="1: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</row>
    <row r="831" ht="13.2" spans="1: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</row>
    <row r="832" ht="13.2" spans="1: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</row>
    <row r="833" ht="13.2" spans="1: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</row>
    <row r="834" ht="13.2" spans="1: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</row>
    <row r="835" ht="13.2" spans="1: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</row>
    <row r="836" ht="13.2" spans="1: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</row>
    <row r="837" ht="13.2" spans="1: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</row>
    <row r="838" ht="13.2" spans="1: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</row>
    <row r="839" ht="13.2" spans="1: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</row>
    <row r="840" ht="13.2" spans="1: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</row>
    <row r="841" ht="13.2" spans="1: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</row>
    <row r="842" ht="13.2" spans="1: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</row>
    <row r="843" ht="13.2" spans="1: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</row>
    <row r="844" ht="13.2" spans="1: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</row>
    <row r="845" ht="13.2" spans="1: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</row>
    <row r="846" ht="13.2" spans="1: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</row>
    <row r="847" ht="13.2" spans="1: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</row>
    <row r="848" ht="13.2" spans="1: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</row>
    <row r="849" ht="13.2" spans="1: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</row>
    <row r="850" ht="13.2" spans="1: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</row>
    <row r="851" ht="13.2" spans="1: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</row>
    <row r="852" ht="13.2" spans="1: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</row>
    <row r="853" ht="13.2" spans="1: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</row>
    <row r="854" ht="13.2" spans="1: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</row>
    <row r="855" ht="13.2" spans="1: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</row>
    <row r="856" ht="13.2" spans="1: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</row>
    <row r="857" ht="13.2" spans="1: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</row>
    <row r="858" ht="13.2" spans="1: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</row>
    <row r="859" ht="13.2" spans="1: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</row>
    <row r="860" ht="13.2" spans="1: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</row>
    <row r="861" ht="13.2" spans="1: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</row>
    <row r="862" ht="13.2" spans="1: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</row>
    <row r="863" ht="13.2" spans="1: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</row>
    <row r="864" ht="13.2" spans="1: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</row>
    <row r="865" ht="13.2" spans="1: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</row>
    <row r="866" ht="13.2" spans="1: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</row>
    <row r="867" ht="13.2" spans="1: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</row>
    <row r="868" ht="13.2" spans="1: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</row>
    <row r="869" ht="13.2" spans="1: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</row>
    <row r="870" ht="13.2" spans="1: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</row>
    <row r="871" ht="13.2" spans="1: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</row>
    <row r="872" ht="13.2" spans="1: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</row>
    <row r="873" ht="13.2" spans="1: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</row>
    <row r="874" ht="13.2" spans="1: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</row>
    <row r="875" ht="13.2" spans="1: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</row>
    <row r="876" ht="13.2" spans="1: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</row>
    <row r="877" ht="13.2" spans="1: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</row>
    <row r="878" ht="13.2" spans="1: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</row>
    <row r="879" ht="13.2" spans="1: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</row>
    <row r="880" ht="13.2" spans="1: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</row>
    <row r="881" ht="13.2" spans="1: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</row>
    <row r="882" ht="13.2" spans="1: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</row>
    <row r="883" ht="13.2" spans="1: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</row>
    <row r="884" ht="13.2" spans="1: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</row>
    <row r="885" ht="13.2" spans="1: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</row>
    <row r="886" ht="13.2" spans="1: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</row>
    <row r="887" ht="13.2" spans="1: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</row>
    <row r="888" ht="13.2" spans="1: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</row>
    <row r="889" ht="13.2" spans="1: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</row>
    <row r="890" ht="13.2" spans="1: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</row>
    <row r="891" ht="13.2" spans="1: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</row>
    <row r="892" ht="13.2" spans="1: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</row>
    <row r="893" ht="13.2" spans="1: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</row>
    <row r="894" ht="13.2" spans="1: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</row>
    <row r="895" ht="13.2" spans="1: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</row>
    <row r="896" ht="13.2" spans="1: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</row>
    <row r="897" ht="13.2" spans="1: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</row>
    <row r="898" ht="13.2" spans="1: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</row>
    <row r="899" ht="13.2" spans="1: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</row>
    <row r="900" ht="13.2" spans="1: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</row>
    <row r="901" ht="13.2" spans="1: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</row>
    <row r="902" ht="13.2" spans="1: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</row>
    <row r="903" ht="13.2" spans="1: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</row>
    <row r="904" ht="13.2" spans="1: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</row>
    <row r="905" ht="13.2" spans="1: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</row>
    <row r="906" ht="13.2" spans="1: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</row>
    <row r="907" ht="13.2" spans="1: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</row>
    <row r="908" ht="13.2" spans="1: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</row>
    <row r="909" ht="13.2" spans="1: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</row>
    <row r="910" ht="13.2" spans="1: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</row>
    <row r="911" ht="13.2" spans="1: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</row>
    <row r="912" ht="13.2" spans="1: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</row>
    <row r="913" ht="13.2" spans="1: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</row>
    <row r="914" ht="13.2" spans="1: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</row>
    <row r="915" ht="13.2" spans="1: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</row>
    <row r="916" ht="13.2" spans="1: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</row>
    <row r="917" ht="13.2" spans="1: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</row>
    <row r="918" ht="13.2" spans="1: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</row>
    <row r="919" ht="13.2" spans="1: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</row>
    <row r="920" ht="13.2" spans="1: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</row>
    <row r="921" ht="13.2" spans="1: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</row>
    <row r="922" ht="13.2" spans="1: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</row>
    <row r="923" ht="13.2" spans="1: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</row>
    <row r="924" ht="13.2" spans="1: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</row>
    <row r="925" ht="13.2" spans="1: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</row>
    <row r="926" ht="13.2" spans="1: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</row>
    <row r="927" ht="13.2" spans="1: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</row>
    <row r="928" ht="13.2" spans="1: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</row>
    <row r="929" ht="13.2" spans="1: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</row>
    <row r="930" ht="13.2" spans="1: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</row>
    <row r="931" ht="13.2" spans="1: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</row>
    <row r="932" ht="13.2" spans="1: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</row>
    <row r="933" ht="13.2" spans="1: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</row>
    <row r="934" ht="13.2" spans="1: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</row>
    <row r="935" ht="13.2" spans="1: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</row>
    <row r="936" ht="13.2" spans="1: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</row>
    <row r="937" ht="13.2" spans="1: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</row>
    <row r="938" ht="13.2" spans="1: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</row>
    <row r="939" ht="13.2" spans="1: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</row>
    <row r="940" ht="13.2" spans="1: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</row>
    <row r="941" ht="13.2" spans="1: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</row>
    <row r="942" ht="13.2" spans="1: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</row>
    <row r="943" ht="13.2" spans="1: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</row>
    <row r="944" ht="13.2" spans="1: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</row>
    <row r="945" ht="13.2" spans="1: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</row>
    <row r="946" ht="13.2" spans="1: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</row>
    <row r="947" ht="13.2" spans="1: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</row>
    <row r="948" ht="13.2" spans="1: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</row>
    <row r="949" ht="13.2" spans="1: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</row>
    <row r="950" ht="13.2" spans="1: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</row>
    <row r="951" ht="13.2" spans="1: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</row>
    <row r="952" ht="13.2" spans="1: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</row>
    <row r="953" ht="13.2" spans="1: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</row>
    <row r="954" ht="13.2" spans="1: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</row>
    <row r="955" ht="13.2" spans="1: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</row>
    <row r="956" ht="13.2" spans="1: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</row>
    <row r="957" ht="13.2" spans="1: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</row>
    <row r="958" ht="13.2" spans="1: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</row>
    <row r="959" ht="13.2" spans="1: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</row>
    <row r="960" ht="13.2" spans="1: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</row>
    <row r="961" ht="13.2" spans="1: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</row>
    <row r="962" ht="13.2" spans="1: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</row>
    <row r="963" ht="13.2" spans="1: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</row>
    <row r="964" ht="13.2" spans="1: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</row>
    <row r="965" ht="13.2" spans="1: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</row>
    <row r="966" ht="13.2" spans="1: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</row>
    <row r="967" ht="13.2" spans="1: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</row>
    <row r="968" ht="13.2" spans="1: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</row>
    <row r="969" ht="13.2" spans="1: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</row>
    <row r="970" ht="13.2" spans="1: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</row>
    <row r="971" ht="13.2" spans="1: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</row>
    <row r="972" ht="13.2" spans="1: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</row>
    <row r="973" ht="13.2" spans="1: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English for Engineers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Human Values and Professional Ethics&quot;)"/>
    <hyperlink ref="F6" r:id="rId5" display="=IFERROR(@__xludf.DUMMYFUNCTION(&quot;&quot;&quot;COMPUTED_VALUE&quot;&quot;&quot;),&quot;தமிழர் மரபு/ Heritage of Tamils&quot;)"/>
    <hyperlink ref="F7" r:id="rId6" display="=IFERROR(@__xludf.DUMMYFUNCTION(&quot;&quot;&quot;COMPUTED_VALUE&quot;&quot;&quot;),&quot;தமிழரும் தொழில்நுட்பமும்/ Tamils and Technology&quot;)"/>
    <hyperlink ref="F8" r:id="rId7" display="=IFERROR(@__xludf.DUMMYFUNCTION(&quot;&quot;&quot;COMPUTED_VALUE&quot;&quot;&quot;),&quot;Calculus and Matrix Algebra&quot;)"/>
    <hyperlink ref="F9" r:id="rId8" display="=IFERROR(@__xludf.DUMMYFUNCTION(&quot;&quot;&quot;COMPUTED_VALUE&quot;&quot;&quot;),&quot;Statistics and Numerical Methods&quot;)"/>
    <hyperlink ref="F10" r:id="rId9" display="=IFERROR(@__xludf.DUMMYFUNCTION(&quot;&quot;&quot;COMPUTED_VALUE&quot;&quot;&quot;),&quot;Transforms and Differential Equations&quot;)"/>
    <hyperlink ref="F11" r:id="rId10" display="=IFERROR(@__xludf.DUMMYFUNCTION(&quot;&quot;&quot;COMPUTED_VALUE&quot;&quot;&quot;),&quot;Environmental Sciences and Sustainability&quot;)"/>
    <hyperlink ref="F12" r:id="rId11" display="=IFERROR(@__xludf.DUMMYFUNCTION(&quot;&quot;&quot;COMPUTED_VALUE&quot;&quot;&quot;),&quot;Engineering Physics&quot;)"/>
    <hyperlink ref="F13" r:id="rId12" display="=IFERROR(@__xludf.DUMMYFUNCTION(&quot;&quot;&quot;COMPUTED_VALUE&quot;&quot;&quot;),&quot;Engineering Chemistry&quot;)"/>
    <hyperlink ref="F14" r:id="rId13" display="=IFERROR(@__xludf.DUMMYFUNCTION(&quot;&quot;&quot;COMPUTED_VALUE&quot;&quot;&quot;),&quot;Python Programming&quot;)"/>
    <hyperlink ref="F15" r:id="rId14" display="=IFERROR(@__xludf.DUMMYFUNCTION(&quot;&quot;&quot;COMPUTED_VALUE&quot;&quot;&quot;),&quot;Artificial Intelligence and Applications&quot;)"/>
    <hyperlink ref="F16" r:id="rId15" display="=IFERROR(@__xludf.DUMMYFUNCTION(&quot;&quot;&quot;COMPUTED_VALUE&quot;&quot;&quot;),&quot;Engineering Drawing and Visualisation&quot;)"/>
    <hyperlink ref="F17" r:id="rId16" display="=IFERROR(@__xludf.DUMMYFUNCTION(&quot;&quot;&quot;COMPUTED_VALUE&quot;&quot;&quot;),&quot;Engineering Practices Lab&quot;)"/>
    <hyperlink ref="F18" r:id="rId17" display="=IFERROR(@__xludf.DUMMYFUNCTION(&quot;&quot;&quot;COMPUTED_VALUE&quot;&quot;&quot;),&quot;Theory of Machines&quot;)"/>
    <hyperlink ref="F19" r:id="rId18" display="=IFERROR(@__xludf.DUMMYFUNCTION(&quot;&quot;&quot;COMPUTED_VALUE&quot;&quot;&quot;),&quot;Basic Electrical, Electronics and Instrumentation Engineering&quot;)"/>
    <hyperlink ref="F20" r:id="rId19" display="=IFERROR(@__xludf.DUMMYFUNCTION(&quot;&quot;&quot;COMPUTED_VALUE&quot;&quot;&quot;),&quot;Entrepreneurship Development and Business Management&quot;)"/>
    <hyperlink ref="F21" r:id="rId20" display="=IFERROR(@__xludf.DUMMYFUNCTION(&quot;&quot;&quot;COMPUTED_VALUE&quot;&quot;&quot;),&quot;Principles of Soil Science&quot;)"/>
    <hyperlink ref="F22" r:id="rId21" display="=IFERROR(@__xludf.DUMMYFUNCTION(&quot;&quot;&quot;COMPUTED_VALUE&quot;&quot;&quot;),&quot;Soil Science Laboratory&quot;)"/>
    <hyperlink ref="F23" r:id="rId22" display="=IFERROR(@__xludf.DUMMYFUNCTION(&quot;&quot;&quot;COMPUTED_VALUE&quot;&quot;&quot;),&quot;Fluid Mechanics and Open Channel Hydraulics&quot;)"/>
    <hyperlink ref="F24" r:id="rId23" display="=IFERROR(@__xludf.DUMMYFUNCTION(&quot;&quot;&quot;COMPUTED_VALUE&quot;&quot;&quot;),&quot;Fluid Mechanics Laboratory&quot;)"/>
    <hyperlink ref="F25" r:id="rId24" display="=IFERROR(@__xludf.DUMMYFUNCTION(&quot;&quot;&quot;COMPUTED_VALUE&quot;&quot;&quot;),&quot;Soil Mechanics&quot;)"/>
    <hyperlink ref="F26" r:id="rId25" display="=IFERROR(@__xludf.DUMMYFUNCTION(&quot;&quot;&quot;COMPUTED_VALUE&quot;&quot;&quot;),&quot;Thermodynamics, Refrigeration and Air Conditioning&quot;)"/>
    <hyperlink ref="F27" r:id="rId26" display="=IFERROR(@__xludf.DUMMYFUNCTION(&quot;&quot;&quot;COMPUTED_VALUE&quot;&quot;&quot;),&quot;Surveying and Levelling&quot;)"/>
    <hyperlink ref="F28" r:id="rId27" display="=IFERROR(@__xludf.DUMMYFUNCTION(&quot;&quot;&quot;COMPUTED_VALUE&quot;&quot;&quot;),&quot;Surveying Laboratory&quot;)"/>
    <hyperlink ref="F29" r:id="rId28" display="=IFERROR(@__xludf.DUMMYFUNCTION(&quot;&quot;&quot;COMPUTED_VALUE&quot;&quot;&quot;),&quot;Engineering Mechanics&quot;)"/>
    <hyperlink ref="F30" r:id="rId29" display="=IFERROR(@__xludf.DUMMYFUNCTION(&quot;&quot;&quot;COMPUTED_VALUE&quot;&quot;&quot;),&quot;Mechanics of Solids&quot;)"/>
    <hyperlink ref="F31" r:id="rId30" display="=IFERROR(@__xludf.DUMMYFUNCTION(&quot;&quot;&quot;COMPUTED_VALUE&quot;&quot;&quot;),&quot;Design of Machine Elements&quot;)"/>
    <hyperlink ref="F32" r:id="rId31" display="=IFERROR(@__xludf.DUMMYFUNCTION(&quot;&quot;&quot;COMPUTED_VALUE&quot;&quot;&quot;),&quot;Introduction to Machine Learning&quot;)"/>
    <hyperlink ref="F33" r:id="rId32" display="=IFERROR(@__xludf.DUMMYFUNCTION(&quot;&quot;&quot;COMPUTED_VALUE&quot;&quot;&quot;),&quot;Principles and Practices of Crop Production&quot;)"/>
    <hyperlink ref="F34" r:id="rId33" display="=IFERROR(@__xludf.DUMMYFUNCTION(&quot;&quot;&quot;COMPUTED_VALUE&quot;&quot;&quot;),&quot;Crop Production Laboratory&quot;)"/>
    <hyperlink ref="F35" r:id="rId34" display="=IFERROR(@__xludf.DUMMYFUNCTION(&quot;&quot;&quot;COMPUTED_VALUE&quot;&quot;&quot;),&quot;Watershed Hydrology&quot;)"/>
    <hyperlink ref="F36" r:id="rId35" display="=IFERROR(@__xludf.DUMMYFUNCTION(&quot;&quot;&quot;COMPUTED_VALUE&quot;&quot;&quot;),&quot;Watershed Hydrology Laboratory&quot;)"/>
    <hyperlink ref="F37" r:id="rId36" display="=IFERROR(@__xludf.DUMMYFUNCTION(&quot;&quot;&quot;COMPUTED_VALUE&quot;&quot;&quot;),&quot;Unit Operations in Agricultural Processing&quot;)"/>
    <hyperlink ref="F38" r:id="rId37" display="=IFERROR(@__xludf.DUMMYFUNCTION(&quot;&quot;&quot;COMPUTED_VALUE&quot;&quot;&quot;),&quot;Unit Operations Laboratory&quot;)"/>
    <hyperlink ref="F39" r:id="rId38" display="=IFERROR(@__xludf.DUMMYFUNCTION(&quot;&quot;&quot;COMPUTED_VALUE&quot;&quot;&quot;),&quot;Irrigation and Drainage Engineering&quot;)"/>
    <hyperlink ref="F40" r:id="rId39" display="=IFERROR(@__xludf.DUMMYFUNCTION(&quot;&quot;&quot;COMPUTED_VALUE&quot;&quot;&quot;),&quot;Irrigation Field Laboratory&quot;)"/>
    <hyperlink ref="F41" r:id="rId40" display="=IFERROR(@__xludf.DUMMYFUNCTION(&quot;&quot;&quot;COMPUTED_VALUE&quot;&quot;&quot;),&quot;Tractor and Farm Engines&quot;)"/>
    <hyperlink ref="F42" r:id="rId41" display="=IFERROR(@__xludf.DUMMYFUNCTION(&quot;&quot;&quot;COMPUTED_VALUE&quot;&quot;&quot;),&quot;Agricultural Structures and Cost Estimation&quot;)"/>
    <hyperlink ref="F43" r:id="rId42" display="=IFERROR(@__xludf.DUMMYFUNCTION(&quot;&quot;&quot;COMPUTED_VALUE&quot;&quot;&quot;),&quot;Engineering Properties of Agricultural Produce&quot;)"/>
    <hyperlink ref="F44" r:id="rId43" display="=IFERROR(@__xludf.DUMMYFUNCTION(&quot;&quot;&quot;COMPUTED_VALUE&quot;&quot;&quot;),&quot;Renewable Energy Sources for Agricultural Engineering&quot;)"/>
    <hyperlink ref="F45" r:id="rId44" display="=IFERROR(@__xludf.DUMMYFUNCTION(&quot;&quot;&quot;COMPUTED_VALUE&quot;&quot;&quot;),&quot;Renewable Energy Laboratory&quot;)"/>
    <hyperlink ref="F46" r:id="rId45" display="=IFERROR(@__xludf.DUMMYFUNCTION(&quot;&quot;&quot;COMPUTED_VALUE&quot;&quot;&quot;),&quot;Micro Irrigation Systems and Automation&quot;)"/>
    <hyperlink ref="F47" r:id="rId46" display="=IFERROR(@__xludf.DUMMYFUNCTION(&quot;&quot;&quot;COMPUTED_VALUE&quot;&quot;&quot;),&quot;Bioenergy Systems and Applications&quot;)"/>
    <hyperlink ref="F48" r:id="rId47" display="=IFERROR(@__xludf.DUMMYFUNCTION(&quot;&quot;&quot;COMPUTED_VALUE&quot;&quot;&quot;),&quot;Post Harvest Engineering of Agricultural Produce&quot;)"/>
    <hyperlink ref="F49" r:id="rId48" display="=IFERROR(@__xludf.DUMMYFUNCTION(&quot;&quot;&quot;COMPUTED_VALUE&quot;&quot;&quot;),&quot;Post Harvest Engineering Laboratory&quot;)"/>
    <hyperlink ref="F50" r:id="rId49" display="=IFERROR(@__xludf.DUMMYFUNCTION(&quot;&quot;&quot;COMPUTED_VALUE&quot;&quot;&quot;),&quot;Tractor Systems and Controls&quot;)"/>
    <hyperlink ref="F51" r:id="rId50" display="=IFERROR(@__xludf.DUMMYFUNCTION(&quot;&quot;&quot;COMPUTED_VALUE&quot;&quot;&quot;),&quot;Tractor and Farm Engines Laboratory&quot;)"/>
    <hyperlink ref="F52" r:id="rId51" display="=IFERROR(@__xludf.DUMMYFUNCTION(&quot;&quot;&quot;COMPUTED_VALUE&quot;&quot;&quot;),&quot;Farm Machinery and Equipment I&quot;)"/>
    <hyperlink ref="F53" r:id="rId52" display="=IFERROR(@__xludf.DUMMYFUNCTION(&quot;&quot;&quot;COMPUTED_VALUE&quot;&quot;&quot;),&quot;Soil and Water Conservation Engineering&quot;)"/>
    <hyperlink ref="F54" r:id="rId53" display="=IFERROR(@__xludf.DUMMYFUNCTION(&quot;&quot;&quot;COMPUTED_VALUE&quot;&quot;&quot;),&quot;Groundwater Hydrology and Well Hydraulics&quot;)"/>
    <hyperlink ref="F55" r:id="rId54" display="=IFERROR(@__xludf.DUMMYFUNCTION(&quot;&quot;&quot;COMPUTED_VALUE&quot;&quot;&quot;),&quot;Remote Sensing and GIS Applications&quot;)"/>
    <hyperlink ref="F56" r:id="rId55" display="=IFERROR(@__xludf.DUMMYFUNCTION(&quot;&quot;&quot;COMPUTED_VALUE&quot;&quot;&quot;),&quot;Remote Sensing and GIS Applications Laboratory&quot;)"/>
    <hyperlink ref="F57" r:id="rId56" display="=IFERROR(@__xludf.DUMMYFUNCTION(&quot;&quot;&quot;COMPUTED_VALUE&quot;&quot;&quot;),&quot;Farm Machinery and Equipment II&quot;)"/>
    <hyperlink ref="F58" r:id="rId57" display="=IFERROR(@__xludf.DUMMYFUNCTION(&quot;&quot;&quot;COMPUTED_VALUE&quot;&quot;&quot;),&quot;Tractors and Farm Machinery Operation and Maintenance&quot;)"/>
    <hyperlink ref="F59" r:id="rId58" display="=IFERROR(@__xludf.DUMMYFUNCTION(&quot;&quot;&quot;COMPUTED_VALUE&quot;&quot;&quot;),&quot;Dairy and Food Engineering&quot;)"/>
    <hyperlink ref="F60" r:id="rId59" display="=IFERROR(@__xludf.DUMMYFUNCTION(&quot;&quot;&quot;COMPUTED_VALUE&quot;&quot;&quot;),&quot;Farm Power and Machinery Management&quot;)"/>
    <hyperlink ref="F61" r:id="rId60" display="=IFERROR(@__xludf.DUMMYFUNCTION(&quot;&quot;&quot;COMPUTED_VALUE&quot;&quot;&quot;),&quot;Automation and Robotics in Farm Machinery&quot;)"/>
    <hyperlink ref="F62" r:id="rId61" display="=IFERROR(@__xludf.DUMMYFUNCTION(&quot;&quot;&quot;COMPUTED_VALUE&quot;&quot;&quot;),&quot;Human Engineering and Safety in Farm Machinery Operations&quot;)"/>
    <hyperlink ref="F63" r:id="rId62" display="=IFERROR(@__xludf.DUMMYFUNCTION(&quot;&quot;&quot;COMPUTED_VALUE&quot;&quot;&quot;),&quot;Watershed Planning and Management&quot;)"/>
    <hyperlink ref="F64" r:id="rId63" display="=IFERROR(@__xludf.DUMMYFUNCTION(&quot;&quot;&quot;COMPUTED_VALUE&quot;&quot;&quot;),&quot;Irrigation Water Quality and Waste Water Management&quot;)"/>
    <hyperlink ref="F65" r:id="rId64" display="=IFERROR(@__xludf.DUMMYFUNCTION(&quot;&quot;&quot;COMPUTED_VALUE&quot;&quot;&quot;),&quot;Precision Farming Technologies&quot;)"/>
    <hyperlink ref="F66" r:id="rId65" display="=IFERROR(@__xludf.DUMMYFUNCTION(&quot;&quot;&quot;COMPUTED_VALUE&quot;&quot;&quot;),&quot;Development of Processed Food Products&quot;)"/>
    <hyperlink ref="F67" r:id="rId66" display="=IFERROR(@__xludf.DUMMYFUNCTION(&quot;&quot;&quot;COMPUTED_VALUE&quot;&quot;&quot;),&quot;Storage and Food Packaging Technology&quot;)"/>
    <hyperlink ref="F68" r:id="rId67" display="=IFERROR(@__xludf.DUMMYFUNCTION(&quot;&quot;&quot;COMPUTED_VALUE&quot;&quot;&quot;),&quot;Food Quality Assurance and Management&quot;)"/>
    <hyperlink ref="F69" r:id="rId68" display="=IFERROR(@__xludf.DUMMYFUNCTION(&quot;&quot;&quot;COMPUTED_VALUE&quot;&quot;&quot;),&quot;Food Plant Design&quot;)"/>
    <hyperlink ref="F70" r:id="rId69" display="=IFERROR(@__xludf.DUMMYFUNCTION(&quot;&quot;&quot;COMPUTED_VALUE&quot;&quot;&quot;),&quot;Agricultural Waste Management&quot;)"/>
    <hyperlink ref="F71" r:id="rId70" display="=IFERROR(@__xludf.DUMMYFUNCTION(&quot;&quot;&quot;COMPUTED_VALUE&quot;&quot;&quot;),&quot;Climate Change and Adaptation&quot;)"/>
    <hyperlink ref="F72" r:id="rId71" display="=IFERROR(@__xludf.DUMMYFUNCTION(&quot;&quot;&quot;COMPUTED_VALUE&quot;&quot;&quot;),&quot;Data Science for Soil and Water Management&quot;)"/>
    <hyperlink ref="F73" r:id="rId72" display="=IFERROR(@__xludf.DUMMYFUNCTION(&quot;&quot;&quot;COMPUTED_VALUE&quot;&quot;&quot;),&quot;Computational Software for Crop Growth Modeling&quot;)"/>
    <hyperlink ref="F74" r:id="rId73" display="=IFERROR(@__xludf.DUMMYFUNCTION(&quot;&quot;&quot;COMPUTED_VALUE&quot;&quot;&quot;),&quot;Solar Energy in Agricultural Systems&quot;)"/>
    <hyperlink ref="F75" r:id="rId74" display="=IFERROR(@__xludf.DUMMYFUNCTION(&quot;&quot;&quot;COMPUTED_VALUE&quot;&quot;&quot;),&quot;Testing and Evaluation of Tractors and Farm Machinery&quot;)"/>
    <hyperlink ref="F76" r:id="rId75" display="=IFERROR(@__xludf.DUMMYFUNCTION(&quot;&quot;&quot;COMPUTED_VALUE&quot;&quot;&quot;),&quot;Emerging Technologies in Food Processing&quot;)"/>
    <hyperlink ref="F77" r:id="rId76" display="=IFERROR(@__xludf.DUMMYFUNCTION(&quot;&quot;&quot;COMPUTED_VALUE&quot;&quot;&quot;),&quot;3D Printing Technology for Food Industry&quot;)"/>
    <hyperlink ref="F78" r:id="rId77" display="=IFERROR(@__xludf.DUMMYFUNCTION(&quot;&quot;&quot;COMPUTED_VALUE&quot;&quot;&quot;),&quot;Directed Studies&quot;)"/>
    <hyperlink ref="F79" r:id="rId78" display="=IFERROR(@__xludf.DUMMYFUNCTION(&quot;&quot;&quot;COMPUTED_VALUE&quot;&quot;&quot;),&quot;Educational Tour&quot;)"/>
    <hyperlink ref="F80" r:id="rId79" display="=IFERROR(@__xludf.DUMMYFUNCTION(&quot;&quot;&quot;COMPUTED_VALUE&quot;&quot;&quot;),&quot;Experiential Learning on Campus&quot;)"/>
    <hyperlink ref="F81" r:id="rId80" display="=IFERROR(@__xludf.DUMMYFUNCTION(&quot;&quot;&quot;COMPUTED_VALUE&quot;&quot;&quot;),&quot;Industrial Training&quot;)"/>
    <hyperlink ref="F82" r:id="rId81" display="=IFERROR(@__xludf.DUMMYFUNCTION(&quot;&quot;&quot;COMPUTED_VALUE&quot;&quot;&quot;),&quot;Project Work Phase I&quot;)"/>
    <hyperlink ref="F83" r:id="rId82" display="=IFERROR(@__xludf.DUMMYFUNCTION(&quot;&quot;&quot;COMPUTED_VALUE&quot;&quot;&quot;),&quot;Project Work Phase II&quot;)"/>
    <hyperlink ref="F85" r:id="rId83" display="=IFERROR(@__xludf.DUMMYFUNCTION(&quot;&quot;&quot;COMPUTED_VALUE&quot;&quot;&quot;),&quot;Skill Development Training&quot;)"/>
    <hyperlink ref="F86" r:id="rId84" display="=IFERROR(@__xludf.DUMMYFUNCTION(&quot;&quot;&quot;COMPUTED_VALUE&quot;&quot;&quot;),&quot;Principles of Agricultural Engineering&quot;)"/>
    <hyperlink ref="F87" r:id="rId85" display="=IFERROR(@__xludf.DUMMYFUNCTION(&quot;&quot;&quot;COMPUTED_VALUE&quot;&quot;&quot;),&quot;Urban Agriculture&quot;)"/>
    <hyperlink ref="F88" r:id="rId86" display="=IFERROR(@__xludf.DUMMYFUNCTION(&quot;&quot;&quot;COMPUTED_VALUE&quot;&quot;&quot;),&quot;Process Engineering of Fruits and Vegetables&quot;)"/>
    <hyperlink ref="F89" r:id="rId87" display="=IFERROR(@__xludf.DUMMYFUNCTION(&quot;&quot;&quot;COMPUTED_VALUE&quot;&quot;&quot;),&quot;Career Development Skills&quot;)"/>
    <hyperlink ref="F90" r:id="rId88" display="=IFERROR(@__xludf.DUMMYFUNCTION(&quot;&quot;&quot;COMPUTED_VALUE&quot;&quot;&quot;),&quot;Reasoning Ability&quot;)"/>
    <hyperlink ref="F91" r:id="rId89" display="=IFERROR(@__xludf.DUMMYFUNCTION(&quot;&quot;&quot;COMPUTED_VALUE&quot;&quot;&quot;),&quot;Quantitative Ability I&quot;)"/>
    <hyperlink ref="F92" r:id="rId90" display="=IFERROR(@__xludf.DUMMYFUNCTION(&quot;&quot;&quot;COMPUTED_VALUE&quot;&quot;&quot;),&quot;Quantitative Ability II&quot;)"/>
    <hyperlink ref="F93" r:id="rId91" display="=IFERROR(@__xludf.DUMMYFUNCTION(&quot;&quot;&quot;COMPUTED_VALUE&quot;&quot;&quot;),&quot;Employment Enrichment Skills&quot;)"/>
    <hyperlink ref="F94" r:id="rId92" display="=IFERROR(@__xludf.DUMMYFUNCTION(&quot;&quot;&quot;COMPUTED_VALUE&quot;&quot;&quot;),&quot;Company Specific Assessments For Employability&quot;)"/>
    <hyperlink ref="F95" r:id="rId93" display="=IFERROR(@__xludf.DUMMYFUNCTION(&quot;&quot;&quot;COMPUTED_VALUE&quot;&quot;&quot;),&quot;Paper Publication&quot;)"/>
    <hyperlink ref="F96" r:id="rId94" display="=IFERROR(@__xludf.DUMMYFUNCTION(&quot;&quot;&quot;COMPUTED_VALUE&quot;&quot;&quot;),&quot;Constitutionalism and Artificial Intelligence Policies in India&quot;)"/>
  </hyperlink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577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""R2019-MECH!A:A""),
IMPORTRANGE(""https://docs.google.com/spreadsheets/d/1UvPg-G_Bj-UNhLC2uL8tntfYsnld_PABqE3impzOchM/edit"", ""R2019"&amp;"-MECH!D:D""),
IMPORTRANGE(""https://docs.google.com/spreadsheets/d/1UvPg-G_Bj-UNhLC2uL8tntfYsnld_PABqE3impzOchM/edit"", ""R2019-MECH!E:E""),
IMPORTRANGE(""https://docs.google.com/spreadsheets/d/1UvPg-G_Bj-UNhLC2uL8tntfYsnld_PABqE3impzOchM/edit"", ""R2019-"&amp;"MECH!F:F""),
IMPORTRANGE(""https://docs.google.com/spreadsheets/d/1UvPg-G_Bj-UNhLC2uL8tntfYsnld_PABqE3impzOchM/edit"", ""R2019-MECH!G:G""),
IMPORTRANGE(""https://docs.google.com/spreadsheets/d/1UvPg-G_Bj-UNhLC2uL8tntfYsnld_PABqE3impzOchM/edit"", ""R2019-M"&amp;"ECH!I:I""),
IMPORTRANGE(""https://docs.google.com/spreadsheets/d/1UvPg-G_Bj-UNhLC2uL8tntfYsnld_PABqE3impzOchM/edit"", ""R2019-MECH!N:N""),
IMPORTRANGE(""https://docs.google.com/spreadsheets/d/1UvPg-G_Bj-UNhLC2uL8tntfYsnld_PABqE3impzOchM/edit"", ""R2019-ME"&amp;"CH!O:O""),
IMPORTRANGE(""https://docs.google.com/spreadsheets/d/1UvPg-G_Bj-UNhLC2uL8tntfYsnld_PABqE3impzOchM/edit"", ""R2019-MECH!P:P""),
IMPORTRANGE(""https://docs.google.com/spreadsheets/d/1UvPg-G_Bj-UNhLC2uL8tntfYsnld_PABqE3impzOchM/edit"", ""R2019-MEC"&amp;"H!Q:Q""),
IMPORTRANGE(""https://docs.google.com/spreadsheets/d/1UvPg-G_Bj-UNhLC2uL8tntfYsnld_PABqE3impzOchM/edit"", ""R2019-MECH!R:R""),
IMPORTRANGE(""https://docs.google.com/spreadsheets/d/1UvPg-G_Bj-UNhLC2uL8tntfYsnld_PABqE3impzOchM/edit"", ""R2019-MECH"&amp;"!S:S""),
IMPORTRANGE(""https://docs.google.com/spreadsheets/d/1UvPg-G_Bj-UNhLC2uL8tntfYsnld_PABqE3impzOchM/edit"", ""R2019-MECH!V:V""),
IMPORTRANGE(""https://docs.google.com/spreadsheets/d/1UvPg-G_Bj-UNhLC2uL8tntfYsnld_PABqE3impzOchM/edit"", ""R2019-MECH!"&amp;"X:X""),
IMPORTRANGE(""https://docs.google.com/spreadsheets/d/1UvPg-G_Bj-UNhLC2uL8tntfYsnld_PABqE3impzOchM/edit"", ""R2019-MECH!Y:Y""),
IMPORTRANGE(""https://docs.google.com/spreadsheets/d/1UvPg-G_Bj-UNhLC2uL8tntfYsnld_PABqE3impzOchM/edit"", ""R2019-MECH!A"&amp;"A:AA""),
IMPORTRANGE(""https://docs.google.com/spreadsheets/d/1UvPg-G_Bj-UNhLC2uL8tntfYsnld_PABqE3impzOchM/edit"", ""R2019-MECH!AC:AC""),
IMPORTRANGE(""https://docs.google.com/spreadsheets/d/1UvPg-G_Bj-UNhLC2uL8tntfYsnld_PABqE3impzOchM/edit"", ""R2019-MEC"&amp;"H!AD:AD"")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IFERROR(__xludf.DUMMYFUNCTION("""COMPUTED_VALUE"""),"SH1101")</f>
        <v>SH1101</v>
      </c>
      <c r="E3" s="2" t="str">
        <f>IFERROR(__xludf.DUMMYFUNCTION("""COMPUTED_VALUE"""),"19EN101")</f>
        <v>19EN101</v>
      </c>
      <c r="F3" s="7" t="str">
        <f>IFERROR(__xludf.DUMMYFUNCTION("""COMPUTED_VALUE"""),"Communicative English")</f>
        <v>Communicative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IFERROR(__xludf.DUMMYFUNCTION("""COMPUTED_VALUE"""),"SH1106")</f>
        <v>SH1106</v>
      </c>
      <c r="E4" s="2" t="str">
        <f>IFERROR(__xludf.DUMMYFUNCTION("""COMPUTED_VALUE"""),"19EN106")</f>
        <v>19EN106</v>
      </c>
      <c r="F4" s="7" t="str">
        <f>IFERROR(__xludf.DUMMYFUNCTION("""COMPUTED_VALUE"""),"English for Engineers")</f>
        <v>English for Engineers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IFERROR(__xludf.DUMMYFUNCTION("""COMPUTED_VALUE"""),24)</f>
        <v>24</v>
      </c>
      <c r="O4" s="20">
        <f>IFERROR(__xludf.DUMMYFUNCTION("""COMPUTED_VALUE"""),4)</f>
        <v>4</v>
      </c>
      <c r="P4" s="19" t="str">
        <f>IFERROR(__xludf.DUMMYFUNCTION("""COMPUTED_VALUE"""),"BS")</f>
        <v>BS</v>
      </c>
      <c r="Q4" s="2">
        <f>IFERROR(__xludf.DUMMYFUNCTION("""COMPUTED_VALUE"""),24)</f>
        <v>24</v>
      </c>
      <c r="R4" s="20">
        <f>IFERROR(__xludf.DUMMYFUNCTION("""COMPUTED_VALUE"""),4)</f>
        <v>4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LE, Option 1 for Regular")</f>
        <v>Exempted for LE, Option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IFERROR(__xludf.DUMMYFUNCTION("""COMPUTED_VALUE"""),"19EN102")</f>
        <v>19EN102</v>
      </c>
      <c r="F5" s="7" t="str">
        <f>IFERROR(__xludf.DUMMYFUNCTION("""COMPUTED_VALUE"""),"Technical English")</f>
        <v>Technical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IFERROR(__xludf.DUMMYFUNCTION("""COMPUTED_VALUE"""),26)</f>
        <v>26</v>
      </c>
      <c r="O5" s="20">
        <f>IFERROR(__xludf.DUMMYFUNCTION("""COMPUTED_VALUE"""),12)</f>
        <v>12</v>
      </c>
      <c r="P5" s="19" t="str">
        <f>IFERROR(__xludf.DUMMYFUNCTION("""COMPUTED_VALUE"""),"ES")</f>
        <v>ES</v>
      </c>
      <c r="Q5" s="2">
        <f>IFERROR(__xludf.DUMMYFUNCTION("""COMPUTED_VALUE"""),26)</f>
        <v>26</v>
      </c>
      <c r="R5" s="20">
        <f>IFERROR(__xludf.DUMMYFUNCTION("""COMPUTED_VALUE"""),12)</f>
        <v>12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LE, Option 2 for Regular")</f>
        <v>Exempted for LE, Option 2 for Regular</v>
      </c>
      <c r="C6" s="2" t="str">
        <f>IFERROR(__xludf.DUMMYFUNCTION("""COMPUTED_VALUE"""),"HS")</f>
        <v>HS</v>
      </c>
      <c r="D6" s="2" t="str">
        <f>IFERROR(__xludf.DUMMYFUNCTION("""COMPUTED_VALUE"""),"SH1107")</f>
        <v>SH1107</v>
      </c>
      <c r="E6" s="2" t="str">
        <f>IFERROR(__xludf.DUMMYFUNCTION("""COMPUTED_VALUE"""),"19EN107")</f>
        <v>19EN107</v>
      </c>
      <c r="F6" s="7" t="str">
        <f>IFERROR(__xludf.DUMMYFUNCTION("""COMPUTED_VALUE"""),"Technical Writing and Presentation")</f>
        <v>Technical Writing and Presentation</v>
      </c>
      <c r="G6" s="2" t="str">
        <f>IFERROR(__xludf.DUMMYFUNCTION("""COMPUTED_VALUE"""),"-")</f>
        <v>-</v>
      </c>
      <c r="H6" s="2">
        <f>IFERROR(__xludf.DUMMYFUNCTION("""COMPUTED_VALUE"""),0)</f>
        <v>0</v>
      </c>
      <c r="I6" s="2">
        <f>IFERROR(__xludf.DUMMYFUNCTION("""COMPUTED_VALUE"""),2)</f>
        <v>2</v>
      </c>
      <c r="J6" s="2">
        <f>IFERROR(__xludf.DUMMYFUNCTION("""COMPUTED_VALUE"""),2)</f>
        <v>2</v>
      </c>
      <c r="K6" s="2" t="str">
        <f>IFERROR(__xludf.DUMMYFUNCTION("""COMPUTED_VALUE"""),"CGPA")</f>
        <v>CGPA</v>
      </c>
      <c r="L6" s="18" t="str">
        <f>IFERROR(__xludf.DUMMYFUNCTION("""COMPUTED_VALUE"""),"Practical (10 Expts)")</f>
        <v>Practical (10 Expts)</v>
      </c>
      <c r="M6" s="19" t="str">
        <f>IFERROR(__xludf.DUMMYFUNCTION("""COMPUTED_VALUE"""),"PC")</f>
        <v>PC</v>
      </c>
      <c r="N6" s="2">
        <f>IFERROR(__xludf.DUMMYFUNCTION("""COMPUTED_VALUE"""),54)</f>
        <v>54</v>
      </c>
      <c r="O6" s="20">
        <f>IFERROR(__xludf.DUMMYFUNCTION("""COMPUTED_VALUE"""),54)</f>
        <v>54</v>
      </c>
      <c r="P6" s="19" t="str">
        <f>IFERROR(__xludf.DUMMYFUNCTION("""COMPUTED_VALUE"""),"PC")</f>
        <v>PC</v>
      </c>
      <c r="Q6" s="2">
        <f>IFERROR(__xludf.DUMMYFUNCTION("""COMPUTED_VALUE"""),54)</f>
        <v>54</v>
      </c>
      <c r="R6" s="20">
        <f>IFERROR(__xludf.DUMMYFUNCTION("""COMPUTED_VALUE"""),54)</f>
        <v>54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LE, Option 2 for Regular")</f>
        <v>Exempted for LE, Option 2 for Regular</v>
      </c>
      <c r="C7" s="2" t="str">
        <f>IFERROR(__xludf.DUMMYFUNCTION("""COMPUTED_VALUE"""),"HS")</f>
        <v>HS</v>
      </c>
      <c r="D7" s="2" t="str">
        <f>IFERROR(__xludf.DUMMYFUNCTION("""COMPUTED_VALUE"""),"SH1105")</f>
        <v>SH1105</v>
      </c>
      <c r="E7" s="2" t="str">
        <f>IFERROR(__xludf.DUMMYFUNCTION("""COMPUTED_VALUE"""),"19EN105")</f>
        <v>19EN105</v>
      </c>
      <c r="F7" s="7" t="str">
        <f>IFERROR(__xludf.DUMMYFUNCTION("""COMPUTED_VALUE"""),"Public Speaking")</f>
        <v>Public Speaking</v>
      </c>
      <c r="G7" s="2" t="str">
        <f>IFERROR(__xludf.DUMMYFUNCTION("""COMPUTED_VALUE"""),"-")</f>
        <v>-</v>
      </c>
      <c r="H7" s="2">
        <f>IFERROR(__xludf.DUMMYFUNCTION("""COMPUTED_VALUE"""),0)</f>
        <v>0</v>
      </c>
      <c r="I7" s="2">
        <f>IFERROR(__xludf.DUMMYFUNCTION("""COMPUTED_VALUE"""),3)</f>
        <v>3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IFERROR(__xludf.DUMMYFUNCTION("""COMPUTED_VALUE"""),"Practical (10 Expts)")</f>
        <v>Practical (10 Expts)</v>
      </c>
      <c r="M7" s="19" t="str">
        <f>IFERROR(__xludf.DUMMYFUNCTION("""COMPUTED_VALUE"""),"PE")</f>
        <v>PE</v>
      </c>
      <c r="N7" s="2">
        <f>IFERROR(__xludf.DUMMYFUNCTION("""COMPUTED_VALUE"""),21)</f>
        <v>21</v>
      </c>
      <c r="O7" s="20">
        <f>IFERROR(__xludf.DUMMYFUNCTION("""COMPUTED_VALUE"""),21)</f>
        <v>21</v>
      </c>
      <c r="P7" s="19" t="str">
        <f>IFERROR(__xludf.DUMMYFUNCTION("""COMPUTED_VALUE"""),"PE")</f>
        <v>PE</v>
      </c>
      <c r="Q7" s="2">
        <f>IFERROR(__xludf.DUMMYFUNCTION("""COMPUTED_VALUE"""),21)</f>
        <v>21</v>
      </c>
      <c r="R7" s="20">
        <f>IFERROR(__xludf.DUMMYFUNCTION("""COMPUTED_VALUE"""),21)</f>
        <v>21</v>
      </c>
    </row>
    <row r="8" ht="48" customHeight="1" spans="1:18">
      <c r="A8" s="2">
        <f>IFERROR(__xludf.DUMMYFUNCTION("""COMPUTED_VALUE"""),6)</f>
        <v>6</v>
      </c>
      <c r="B8" s="2"/>
      <c r="C8" s="2" t="str">
        <f>IFERROR(__xludf.DUMMYFUNCTION("""COMPUTED_VALUE"""),"HS")</f>
        <v>HS</v>
      </c>
      <c r="D8" s="2" t="str">
        <f>IFERROR(__xludf.DUMMYFUNCTION("""COMPUTED_VALUE"""),"NA")</f>
        <v>NA</v>
      </c>
      <c r="E8" s="2" t="str">
        <f>IFERROR(__xludf.DUMMYFUNCTION("""COMPUTED_VALUE"""),"19MS152")</f>
        <v>19MS152</v>
      </c>
      <c r="F8" s="7" t="str">
        <f>IFERROR(__xludf.DUMMYFUNCTION("""COMPUTED_VALUE"""),"Total Quality Management")</f>
        <v>Total Quality Management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IFERROR(__xludf.DUMMYFUNCTION("""COMPUTED_VALUE"""),"SH2201")</f>
        <v>SH2201</v>
      </c>
      <c r="E11" s="2" t="str">
        <f>IFERROR(__xludf.DUMMYFUNCTION("""COMPUTED_VALUE"""),"19MA201")</f>
        <v>19MA201</v>
      </c>
      <c r="F11" s="7" t="str">
        <f>IFERROR(__xludf.DUMMYFUNCTION("""COMPUTED_VALUE"""),"Calculus and Matrix Algebra")</f>
        <v>Calculus and Matrix Algebra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IFERROR(__xludf.DUMMYFUNCTION("""COMPUTED_VALUE"""),167)</f>
        <v>167</v>
      </c>
      <c r="O11" s="23">
        <f>IFERROR(__xludf.DUMMYFUNCTION("""COMPUTED_VALUE"""),125)</f>
        <v>125</v>
      </c>
      <c r="P11" s="21" t="str">
        <f>IFERROR(__xludf.DUMMYFUNCTION("""COMPUTED_VALUE"""),"TOTAL")</f>
        <v>TOTAL</v>
      </c>
      <c r="Q11" s="22">
        <f>IFERROR(__xludf.DUMMYFUNCTION("""COMPUTED_VALUE"""),169)</f>
        <v>169</v>
      </c>
      <c r="R11" s="23">
        <f>IFERROR(__xludf.DUMMYFUNCTION("""COMPUTED_VALUE"""),125)</f>
        <v>125</v>
      </c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IFERROR(__xludf.DUMMYFUNCTION("""COMPUTED_VALUE"""),"SH2211")</f>
        <v>SH2211</v>
      </c>
      <c r="E12" s="2" t="str">
        <f>IFERROR(__xludf.DUMMYFUNCTION("""COMPUTED_VALUE"""),"19MA211")</f>
        <v>19MA211</v>
      </c>
      <c r="F12" s="7" t="str">
        <f>IFERROR(__xludf.DUMMYFUNCTION("""COMPUTED_VALUE"""),"Statistics and Numerical Methods")</f>
        <v>Statistics and Numerical Methods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 , Any 1 for Regular")</f>
        <v>Exempted for LE , Any 1 for Regular</v>
      </c>
      <c r="C13" s="2" t="str">
        <f>IFERROR(__xludf.DUMMYFUNCTION("""COMPUTED_VALUE"""),"BS")</f>
        <v>BS</v>
      </c>
      <c r="D13" s="2" t="str">
        <f>IFERROR(__xludf.DUMMYFUNCTION("""COMPUTED_VALUE"""),"NA")</f>
        <v>NA</v>
      </c>
      <c r="E13" s="2" t="str">
        <f>IFERROR(__xludf.DUMMYFUNCTION("""COMPUTED_VALUE"""),"19MA205")</f>
        <v>19MA205</v>
      </c>
      <c r="F13" s="7" t="str">
        <f>IFERROR(__xludf.DUMMYFUNCTION("""COMPUTED_VALUE"""),"Differential Equations and Laplace Transforms")</f>
        <v>Differential Equations and Laplace Transforms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 , Any 1 for Regular")</f>
        <v>Exempted for LE , Any 1 for Regular</v>
      </c>
      <c r="C14" s="2" t="str">
        <f>IFERROR(__xludf.DUMMYFUNCTION("""COMPUTED_VALUE"""),"BS")</f>
        <v>BS</v>
      </c>
      <c r="D14" s="2" t="str">
        <f>IFERROR(__xludf.DUMMYFUNCTION("""COMPUTED_VALUE"""),"SH2224")</f>
        <v>SH2224</v>
      </c>
      <c r="E14" s="2" t="str">
        <f>IFERROR(__xludf.DUMMYFUNCTION("""COMPUTED_VALUE"""),"19MA224")</f>
        <v>19MA224</v>
      </c>
      <c r="F14" s="7" t="str">
        <f>IFERROR(__xludf.DUMMYFUNCTION("""COMPUTED_VALUE"""),"Transforms and Differential Equations")</f>
        <v>Transforms and Differential Equations</v>
      </c>
      <c r="G14" s="2" t="str">
        <f>IFERROR(__xludf.DUMMYFUNCTION("""COMPUTED_VALUE"""),"-")</f>
        <v>-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IFERROR(__xludf.DUMMYFUNCTION("""COMPUTED_VALUE"""),"19PH202")</f>
        <v>19PH202</v>
      </c>
      <c r="F15" s="7" t="str">
        <f>IFERROR(__xludf.DUMMYFUNCTION("""COMPUTED_VALUE"""),"Fundamentals of Engineering Physics")</f>
        <v>Fundamentals of Engineering Physics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IFERROR(__xludf.DUMMYFUNCTION("""COMPUTED_VALUE"""),"SH3211")</f>
        <v>SH3211</v>
      </c>
      <c r="E16" s="2" t="str">
        <f>IFERROR(__xludf.DUMMYFUNCTION("""COMPUTED_VALUE"""),"19PH211")</f>
        <v>19PH211</v>
      </c>
      <c r="F16" s="7" t="str">
        <f>IFERROR(__xludf.DUMMYFUNCTION("""COMPUTED_VALUE"""),"Materials Science")</f>
        <v>Materials Science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IFERROR(__xludf.DUMMYFUNCTION("""COMPUTED_VALUE"""),"SH4208")</f>
        <v>SH4208</v>
      </c>
      <c r="E17" s="2" t="str">
        <f>IFERROR(__xludf.DUMMYFUNCTION("""COMPUTED_VALUE"""),"19CY208")</f>
        <v>19CY208</v>
      </c>
      <c r="F17" s="7" t="str">
        <f>IFERROR(__xludf.DUMMYFUNCTION("""COMPUTED_VALUE"""),"Basic Engineering Chemistry")</f>
        <v>Basic Engineering Chemistry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IFERROR(__xludf.DUMMYFUNCTION("""COMPUTED_VALUE"""),"NA")</f>
        <v>NA</v>
      </c>
      <c r="E18" s="2" t="str">
        <f>IFERROR(__xludf.DUMMYFUNCTION("""COMPUTED_VALUE"""),"19CS301")</f>
        <v>19CS301</v>
      </c>
      <c r="F18" s="7" t="str">
        <f>IFERROR(__xludf.DUMMYFUNCTION("""COMPUTED_VALUE"""),"Problem Solving and Python Programming")</f>
        <v>Problem Solving and Python Programming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IFERROR(__xludf.DUMMYFUNCTION("""COMPUTED_VALUE"""),1)</f>
        <v>1</v>
      </c>
      <c r="J18" s="2">
        <f>IFERROR(__xludf.DUMMYFUNCTION("""COMPUTED_VALUE"""),4)</f>
        <v>4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LE, Option 1 for Regular")</f>
        <v>Exempted for LE, Option 1 for Regular</v>
      </c>
      <c r="C19" s="2" t="str">
        <f>IFERROR(__xludf.DUMMYFUNCTION("""COMPUTED_VALUE"""),"ES")</f>
        <v>ES</v>
      </c>
      <c r="D19" s="2" t="str">
        <f>IFERROR(__xludf.DUMMYFUNCTION("""COMPUTED_VALUE"""),"NA")</f>
        <v>NA</v>
      </c>
      <c r="E19" s="2" t="str">
        <f>IFERROR(__xludf.DUMMYFUNCTION("""COMPUTED_VALUE"""),"19ME301")</f>
        <v>19ME301</v>
      </c>
      <c r="F19" s="7" t="str">
        <f>IFERROR(__xludf.DUMMYFUNCTION("""COMPUTED_VALUE"""),"Engineering Graphics")</f>
        <v>Engineering Graphics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IFERROR(__xludf.DUMMYFUNCTION("""COMPUTED_VALUE"""),2)</f>
        <v>2</v>
      </c>
      <c r="J19" s="2">
        <f>IFERROR(__xludf.DUMMYFUNCTION("""COMPUTED_VALUE"""),5)</f>
        <v>5</v>
      </c>
      <c r="K19" s="2" t="str">
        <f>IFERROR(__xludf.DUMMYFUNCTION("""COMPUTED_VALUE"""),"CGPA")</f>
        <v>CGPA</v>
      </c>
      <c r="L19" s="2" t="str">
        <f>IFERROR(__xludf.DUMMYFUNCTION("""COMPUTED_VALUE"""),"TIP (10 Expts)")</f>
        <v>TIP (10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LE, Option 2 for Regular")</f>
        <v>Exempted for LE, Option 2 for Regular</v>
      </c>
      <c r="C20" s="2" t="str">
        <f>IFERROR(__xludf.DUMMYFUNCTION("""COMPUTED_VALUE"""),"ES")</f>
        <v>ES</v>
      </c>
      <c r="D20" s="2" t="str">
        <f>IFERROR(__xludf.DUMMYFUNCTION("""COMPUTED_VALUE"""),"ME0309")</f>
        <v>ME0309</v>
      </c>
      <c r="E20" s="2" t="str">
        <f>IFERROR(__xludf.DUMMYFUNCTION("""COMPUTED_VALUE"""),"19ME309")</f>
        <v>19ME309</v>
      </c>
      <c r="F20" s="7" t="str">
        <f>IFERROR(__xludf.DUMMYFUNCTION("""COMPUTED_VALUE"""),"Engineering Drawing and Visualisation")</f>
        <v>Engineering Drawing and Visualisation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IFERROR(__xludf.DUMMYFUNCTION("""COMPUTED_VALUE"""),1)</f>
        <v>1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LE, Option 2 for Regular")</f>
        <v>Exempted for LE, Option 2 for Regular</v>
      </c>
      <c r="C21" s="2" t="str">
        <f>IFERROR(__xludf.DUMMYFUNCTION("""COMPUTED_VALUE"""),"ES")</f>
        <v>ES</v>
      </c>
      <c r="D21" s="2" t="str">
        <f>IFERROR(__xludf.DUMMYFUNCTION("""COMPUTED_VALUE"""),"ME0310")</f>
        <v>ME0310</v>
      </c>
      <c r="E21" s="2" t="str">
        <f>IFERROR(__xludf.DUMMYFUNCTION("""COMPUTED_VALUE"""),"19ME310")</f>
        <v>19ME310</v>
      </c>
      <c r="F21" s="7" t="str">
        <f>IFERROR(__xludf.DUMMYFUNCTION("""COMPUTED_VALUE"""),"Engineering Practices Lab")</f>
        <v>Engineering Practices Lab</v>
      </c>
      <c r="G21" s="2" t="str">
        <f>IFERROR(__xludf.DUMMYFUNCTION("""COMPUTED_VALUE"""),"-")</f>
        <v>-</v>
      </c>
      <c r="H21" s="2">
        <f>IFERROR(__xludf.DUMMYFUNCTION("""COMPUTED_VALUE"""),0)</f>
        <v>0</v>
      </c>
      <c r="I21" s="2">
        <f>IFERROR(__xludf.DUMMYFUNCTION("""COMPUTED_VALUE"""),1)</f>
        <v>1</v>
      </c>
      <c r="J21" s="2">
        <f>IFERROR(__xludf.DUMMYFUNCTION("""COMPUTED_VALUE"""),1)</f>
        <v>1</v>
      </c>
      <c r="K21" s="2" t="str">
        <f>IFERROR(__xludf.DUMMYFUNCTION("""COMPUTED_VALUE"""),"CGPA")</f>
        <v>CGPA</v>
      </c>
      <c r="L21" s="2" t="str">
        <f>IFERROR(__xludf.DUMMYFUNCTION("""COMPUTED_VALUE"""),"Practical (6 Expts)")</f>
        <v>Practical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 , Any 1 for Regular")</f>
        <v>Exempted for LE , Any 1 for Regular</v>
      </c>
      <c r="C22" s="2" t="str">
        <f>IFERROR(__xludf.DUMMYFUNCTION("""COMPUTED_VALUE"""),"ES")</f>
        <v>ES</v>
      </c>
      <c r="D22" s="2" t="str">
        <f>IFERROR(__xludf.DUMMYFUNCTION("""COMPUTED_VALUE"""),"NA")</f>
        <v>NA</v>
      </c>
      <c r="E22" s="2" t="str">
        <f>IFERROR(__xludf.DUMMYFUNCTION("""COMPUTED_VALUE"""),"19ME303")</f>
        <v>19ME303</v>
      </c>
      <c r="F22" s="7" t="str">
        <f>IFERROR(__xludf.DUMMYFUNCTION("""COMPUTED_VALUE"""),"Engineering Mechanics for Mechanical Engineers")</f>
        <v>Engineering Mechanics for Mechanical Engineers</v>
      </c>
      <c r="G22" s="2" t="str">
        <f>IFERROR(__xludf.DUMMYFUNCTION("""COMPUTED_VALUE"""),"-")</f>
        <v>-</v>
      </c>
      <c r="H22" s="2">
        <f>IFERROR(__xludf.DUMMYFUNCTION("""COMPUTED_VALUE"""),4)</f>
        <v>4</v>
      </c>
      <c r="I22" s="2">
        <f>IFERROR(__xludf.DUMMYFUNCTION("""COMPUTED_VALUE"""),1)</f>
        <v>1</v>
      </c>
      <c r="J22" s="2">
        <f>IFERROR(__xludf.DUMMYFUNCTION("""COMPUTED_VALUE"""),5)</f>
        <v>5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 t="str">
        <f>IFERROR(__xludf.DUMMYFUNCTION("""COMPUTED_VALUE"""),"Exempted for LE , Any 1 for Regular")</f>
        <v>Exempted for LE , Any 1 for Regular</v>
      </c>
      <c r="C23" s="2" t="str">
        <f>IFERROR(__xludf.DUMMYFUNCTION("""COMPUTED_VALUE"""),"ES")</f>
        <v>ES</v>
      </c>
      <c r="D23" s="2" t="str">
        <f>IFERROR(__xludf.DUMMYFUNCTION("""COMPUTED_VALUE"""),"ME0311")</f>
        <v>ME0311</v>
      </c>
      <c r="E23" s="2" t="str">
        <f>IFERROR(__xludf.DUMMYFUNCTION("""COMPUTED_VALUE"""),"19ME311")</f>
        <v>19ME311</v>
      </c>
      <c r="F23" s="7" t="str">
        <f>IFERROR(__xludf.DUMMYFUNCTION("""COMPUTED_VALUE"""),"Engineering Mechanics")</f>
        <v>Engineering Mechanics</v>
      </c>
      <c r="G23" s="2" t="str">
        <f>IFERROR(__xludf.DUMMYFUNCTION("""COMPUTED_VALUE"""),"-")</f>
        <v>-</v>
      </c>
      <c r="H23" s="2">
        <f>IFERROR(__xludf.DUMMYFUNCTION("""COMPUTED_VALUE"""),4)</f>
        <v>4</v>
      </c>
      <c r="I23" s="2">
        <f>IFERROR(__xludf.DUMMYFUNCTION("""COMPUTED_VALUE"""),0)</f>
        <v>0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 t="str">
        <f>IFERROR(__xludf.DUMMYFUNCTION("""COMPUTED_VALUE"""),"Any 1")</f>
        <v>Any 1</v>
      </c>
      <c r="C24" s="2" t="str">
        <f>IFERROR(__xludf.DUMMYFUNCTION("""COMPUTED_VALUE"""),"ES")</f>
        <v>ES</v>
      </c>
      <c r="D24" s="2" t="str">
        <f>IFERROR(__xludf.DUMMYFUNCTION("""COMPUTED_VALUE"""),"NA")</f>
        <v>NA</v>
      </c>
      <c r="E24" s="2" t="str">
        <f>IFERROR(__xludf.DUMMYFUNCTION("""COMPUTED_VALUE"""),"19ME304")</f>
        <v>19ME304</v>
      </c>
      <c r="F24" s="7" t="str">
        <f>IFERROR(__xludf.DUMMYFUNCTION("""COMPUTED_VALUE"""),"Strength of Materials for Mechanical Engineers")</f>
        <v>Strength of Materials for Mechanical Engineers</v>
      </c>
      <c r="G24" s="2" t="str">
        <f>IFERROR(__xludf.DUMMYFUNCTION("""COMPUTED_VALUE"""),"-")</f>
        <v>-</v>
      </c>
      <c r="H24" s="2">
        <f>IFERROR(__xludf.DUMMYFUNCTION("""COMPUTED_VALUE"""),4)</f>
        <v>4</v>
      </c>
      <c r="I24" s="2">
        <f>IFERROR(__xludf.DUMMYFUNCTION("""COMPUTED_VALUE"""),1)</f>
        <v>1</v>
      </c>
      <c r="J24" s="2">
        <f>IFERROR(__xludf.DUMMYFUNCTION("""COMPUTED_VALUE"""),5)</f>
        <v>5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 t="str">
        <f>IFERROR(__xludf.DUMMYFUNCTION("""COMPUTED_VALUE"""),"Any 1")</f>
        <v>Any 1</v>
      </c>
      <c r="C25" s="2" t="str">
        <f>IFERROR(__xludf.DUMMYFUNCTION("""COMPUTED_VALUE"""),"ES")</f>
        <v>ES</v>
      </c>
      <c r="D25" s="2" t="str">
        <f>IFERROR(__xludf.DUMMYFUNCTION("""COMPUTED_VALUE"""),"ME0312")</f>
        <v>ME0312</v>
      </c>
      <c r="E25" s="2" t="str">
        <f>IFERROR(__xludf.DUMMYFUNCTION("""COMPUTED_VALUE"""),"19ME312")</f>
        <v>19ME312</v>
      </c>
      <c r="F25" s="7" t="str">
        <f>IFERROR(__xludf.DUMMYFUNCTION("""COMPUTED_VALUE"""),"Mechanics of Solids")</f>
        <v>Mechanics of Solids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IFERROR(__xludf.DUMMYFUNCTION("""COMPUTED_VALUE"""),"ME0305")</f>
        <v>ME0305</v>
      </c>
      <c r="E26" s="2" t="str">
        <f>IFERROR(__xludf.DUMMYFUNCTION("""COMPUTED_VALUE"""),"19ME305")</f>
        <v>19ME305</v>
      </c>
      <c r="F26" s="7" t="str">
        <f>IFERROR(__xludf.DUMMYFUNCTION("""COMPUTED_VALUE"""),"Fluid Mechanics and Machinery")</f>
        <v>Fluid Mechanics and Machinery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IFERROR(__xludf.DUMMYFUNCTION("""COMPUTED_VALUE"""),"EC2306")</f>
        <v>EC2306</v>
      </c>
      <c r="E27" s="2" t="str">
        <f>IFERROR(__xludf.DUMMYFUNCTION("""COMPUTED_VALUE"""),"19EE306  ")</f>
        <v>19EE306  </v>
      </c>
      <c r="F27" s="7" t="str">
        <f>IFERROR(__xludf.DUMMYFUNCTION("""COMPUTED_VALUE"""),"Basic Electrical, Electronics and Instrumentation Engineering")</f>
        <v>Basic Electrical, Electronics and Instrumentation Engineering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IFERROR(__xludf.DUMMYFUNCTION("""COMPUTED_VALUE"""),"ES")</f>
        <v>ES</v>
      </c>
      <c r="D28" s="2" t="str">
        <f>IFERROR(__xludf.DUMMYFUNCTION("""COMPUTED_VALUE"""),"EC2311")</f>
        <v>EC2311</v>
      </c>
      <c r="E28" s="2" t="str">
        <f>IFERROR(__xludf.DUMMYFUNCTION("""COMPUTED_VALUE"""),"19EE311")</f>
        <v>19EE311</v>
      </c>
      <c r="F28" s="7" t="str">
        <f>IFERROR(__xludf.DUMMYFUNCTION("""COMPUTED_VALUE"""),"Electrical Drives and Control")</f>
        <v>Electrical Drives and Control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IFERROR(__xludf.DUMMYFUNCTION("""COMPUTED_VALUE"""),0)</f>
        <v>0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IFERROR(__xludf.DUMMYFUNCTION("""COMPUTED_VALUE"""),"Theory")</f>
        <v>Theory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 t="str">
        <f>IFERROR(__xludf.DUMMYFUNCTION("""COMPUTED_VALUE"""),"Any 1")</f>
        <v>Any 1</v>
      </c>
      <c r="C29" s="2" t="str">
        <f>IFERROR(__xludf.DUMMYFUNCTION("""COMPUTED_VALUE"""),"PC")</f>
        <v>PC</v>
      </c>
      <c r="D29" s="2" t="str">
        <f>IFERROR(__xludf.DUMMYFUNCTION("""COMPUTED_VALUE"""),"NA")</f>
        <v>NA</v>
      </c>
      <c r="E29" s="2" t="str">
        <f>IFERROR(__xludf.DUMMYFUNCTION("""COMPUTED_VALUE"""),"19ME401")</f>
        <v>19ME401</v>
      </c>
      <c r="F29" s="7" t="str">
        <f>IFERROR(__xludf.DUMMYFUNCTION("""COMPUTED_VALUE"""),"Engineering Thermodynamics")</f>
        <v>Engineering Thermodynamics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 t="str">
        <f>IFERROR(__xludf.DUMMYFUNCTION("""COMPUTED_VALUE"""),"Any 1")</f>
        <v>Any 1</v>
      </c>
      <c r="C30" s="2" t="str">
        <f>IFERROR(__xludf.DUMMYFUNCTION("""COMPUTED_VALUE"""),"PC")</f>
        <v>PC</v>
      </c>
      <c r="D30" s="2" t="str">
        <f>IFERROR(__xludf.DUMMYFUNCTION("""COMPUTED_VALUE"""),"ME0414")</f>
        <v>ME0414</v>
      </c>
      <c r="E30" s="2" t="str">
        <f>IFERROR(__xludf.DUMMYFUNCTION("""COMPUTED_VALUE"""),"19ME414")</f>
        <v>19ME414</v>
      </c>
      <c r="F30" s="7" t="str">
        <f>IFERROR(__xludf.DUMMYFUNCTION("""COMPUTED_VALUE"""),"Engineering Thermodynamics for Mechanical Engineers")</f>
        <v>Engineering Thermodynamics for Mechanical Engineers</v>
      </c>
      <c r="G30" s="2" t="str">
        <f>IFERROR(__xludf.DUMMYFUNCTION("""COMPUTED_VALUE"""),"-")</f>
        <v>-</v>
      </c>
      <c r="H30" s="2">
        <f>IFERROR(__xludf.DUMMYFUNCTION("""COMPUTED_VALUE"""),4)</f>
        <v>4</v>
      </c>
      <c r="I30" s="2">
        <f>IFERROR(__xludf.DUMMYFUNCTION("""COMPUTED_VALUE"""),0)</f>
        <v>0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IFERROR(__xludf.DUMMYFUNCTION("""COMPUTED_VALUE"""),"ME0405")</f>
        <v>ME0405</v>
      </c>
      <c r="E31" s="2" t="str">
        <f>IFERROR(__xludf.DUMMYFUNCTION("""COMPUTED_VALUE"""),"19ME405")</f>
        <v>19ME405</v>
      </c>
      <c r="F31" s="7" t="str">
        <f>IFERROR(__xludf.DUMMYFUNCTION("""COMPUTED_VALUE"""),"Thermal Engineering")</f>
        <v>Thermal Engineering</v>
      </c>
      <c r="G31" s="2" t="str">
        <f>IFERROR(__xludf.DUMMYFUNCTION("""COMPUTED_VALUE"""),"19ME414 / ME0414 / 19ME401")</f>
        <v>19ME414 / ME0414 / 19ME401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IFERROR(__xludf.DUMMYFUNCTION("""COMPUTED_VALUE"""),"ME0406")</f>
        <v>ME0406</v>
      </c>
      <c r="E32" s="2" t="str">
        <f>IFERROR(__xludf.DUMMYFUNCTION("""COMPUTED_VALUE"""),"19ME406")</f>
        <v>19ME406</v>
      </c>
      <c r="F32" s="7" t="str">
        <f>IFERROR(__xludf.DUMMYFUNCTION("""COMPUTED_VALUE"""),"Heat and Mass Transfer")</f>
        <v>Heat and Mass Transfer</v>
      </c>
      <c r="G32" s="2" t="str">
        <f>IFERROR(__xludf.DUMMYFUNCTION("""COMPUTED_VALUE"""),"19ME414 / ME0414 / 19ME401")</f>
        <v>19ME414 / ME0414 / 19ME401</v>
      </c>
      <c r="H32" s="2">
        <f>IFERROR(__xludf.DUMMYFUNCTION("""COMPUTED_VALUE"""),4)</f>
        <v>4</v>
      </c>
      <c r="I32" s="2">
        <f>IFERROR(__xludf.DUMMYFUNCTION("""COMPUTED_VALUE"""),1)</f>
        <v>1</v>
      </c>
      <c r="J32" s="2">
        <f>IFERROR(__xludf.DUMMYFUNCTION("""COMPUTED_VALUE"""),5)</f>
        <v>5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IFERROR(__xludf.DUMMYFUNCTION("""COMPUTED_VALUE"""),"Any 1")</f>
        <v>Any 1</v>
      </c>
      <c r="C33" s="2" t="str">
        <f>IFERROR(__xludf.DUMMYFUNCTION("""COMPUTED_VALUE"""),"PC")</f>
        <v>PC</v>
      </c>
      <c r="D33" s="2" t="str">
        <f>IFERROR(__xludf.DUMMYFUNCTION("""COMPUTED_VALUE"""),"NA")</f>
        <v>NA</v>
      </c>
      <c r="E33" s="2" t="str">
        <f>IFERROR(__xludf.DUMMYFUNCTION("""COMPUTED_VALUE"""),"19ME413")</f>
        <v>19ME413</v>
      </c>
      <c r="F33" s="7" t="str">
        <f>IFERROR(__xludf.DUMMYFUNCTION("""COMPUTED_VALUE"""),"Power Plant Engineering")</f>
        <v>Power Plant Engineering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IFERROR(__xludf.DUMMYFUNCTION("""COMPUTED_VALUE"""),"Any 1")</f>
        <v>Any 1</v>
      </c>
      <c r="C34" s="2" t="str">
        <f>IFERROR(__xludf.DUMMYFUNCTION("""COMPUTED_VALUE"""),"PC")</f>
        <v>PC</v>
      </c>
      <c r="D34" s="2" t="str">
        <f>IFERROR(__xludf.DUMMYFUNCTION("""COMPUTED_VALUE"""),"ME0415")</f>
        <v>ME0415</v>
      </c>
      <c r="E34" s="2" t="str">
        <f>IFERROR(__xludf.DUMMYFUNCTION("""COMPUTED_VALUE"""),"19ME415")</f>
        <v>19ME415</v>
      </c>
      <c r="F34" s="7" t="str">
        <f>IFERROR(__xludf.DUMMYFUNCTION("""COMPUTED_VALUE"""),"Power Generation Engineering")</f>
        <v>Power Generation Engineering</v>
      </c>
      <c r="G34" s="2" t="str">
        <f>IFERROR(__xludf.DUMMYFUNCTION("""COMPUTED_VALUE"""),"-")</f>
        <v>-</v>
      </c>
      <c r="H34" s="2">
        <f>IFERROR(__xludf.DUMMYFUNCTION("""COMPUTED_VALUE"""),4)</f>
        <v>4</v>
      </c>
      <c r="I34" s="2">
        <f>IFERROR(__xludf.DUMMYFUNCTION("""COMPUTED_VALUE"""),0)</f>
        <v>0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IFERROR(__xludf.DUMMYFUNCTION("""COMPUTED_VALUE"""),"Theory")</f>
        <v>Theory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IFERROR(__xludf.DUMMYFUNCTION("""COMPUTED_VALUE"""),"ME0402")</f>
        <v>ME0402</v>
      </c>
      <c r="E35" s="2" t="str">
        <f>IFERROR(__xludf.DUMMYFUNCTION("""COMPUTED_VALUE"""),"19ME402")</f>
        <v>19ME402</v>
      </c>
      <c r="F35" s="7" t="str">
        <f>IFERROR(__xludf.DUMMYFUNCTION("""COMPUTED_VALUE"""),"Manufacturing Technology I")</f>
        <v>Manufacturing Technology I</v>
      </c>
      <c r="G35" s="2" t="str">
        <f>IFERROR(__xludf.DUMMYFUNCTION("""COMPUTED_VALUE"""),"-")</f>
        <v>-</v>
      </c>
      <c r="H35" s="2">
        <f>IFERROR(__xludf.DUMMYFUNCTION("""COMPUTED_VALUE"""),3)</f>
        <v>3</v>
      </c>
      <c r="I35" s="2">
        <f>IFERROR(__xludf.DUMMYFUNCTION("""COMPUTED_VALUE"""),1)</f>
        <v>1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IFERROR(__xludf.DUMMYFUNCTION("""COMPUTED_VALUE"""),"ME0404")</f>
        <v>ME0404</v>
      </c>
      <c r="E36" s="2" t="str">
        <f>IFERROR(__xludf.DUMMYFUNCTION("""COMPUTED_VALUE"""),"19ME404")</f>
        <v>19ME404</v>
      </c>
      <c r="F36" s="7" t="str">
        <f>IFERROR(__xludf.DUMMYFUNCTION("""COMPUTED_VALUE"""),"Manufacturing Technology II")</f>
        <v>Manufacturing Technology II</v>
      </c>
      <c r="G36" s="2" t="str">
        <f>IFERROR(__xludf.DUMMYFUNCTION("""COMPUTED_VALUE"""),"19ME402 / ME0402")</f>
        <v>19ME402 / ME0402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IFERROR(__xludf.DUMMYFUNCTION("""COMPUTED_VALUE"""),"NA")</f>
        <v>NA</v>
      </c>
      <c r="E37" s="2" t="str">
        <f>IFERROR(__xludf.DUMMYFUNCTION("""COMPUTED_VALUE"""),"19ME403")</f>
        <v>19ME403</v>
      </c>
      <c r="F37" s="7" t="str">
        <f>IFERROR(__xludf.DUMMYFUNCTION("""COMPUTED_VALUE"""),"Kinematics of Machines")</f>
        <v>Kinematics of Machines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IFERROR(__xludf.DUMMYFUNCTION("""COMPUTED_VALUE"""),"19ME409")</f>
        <v>19ME409</v>
      </c>
      <c r="F38" s="7" t="str">
        <f>IFERROR(__xludf.DUMMYFUNCTION("""COMPUTED_VALUE"""),"Dynamics of Machines")</f>
        <v>Dynamics of Machines</v>
      </c>
      <c r="G38" s="2" t="str">
        <f>IFERROR(__xludf.DUMMYFUNCTION("""COMPUTED_VALUE"""),"19ME403")</f>
        <v>19ME403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IFERROR(__xludf.DUMMYFUNCTION("""COMPUTED_VALUE"""),"ME0407")</f>
        <v>ME0407</v>
      </c>
      <c r="E39" s="2" t="str">
        <f>IFERROR(__xludf.DUMMYFUNCTION("""COMPUTED_VALUE"""),"19ME407")</f>
        <v>19ME407</v>
      </c>
      <c r="F39" s="7" t="str">
        <f>IFERROR(__xludf.DUMMYFUNCTION("""COMPUTED_VALUE"""),"Design of Machine Elements")</f>
        <v>Design of Machine Elements</v>
      </c>
      <c r="G39" s="2" t="str">
        <f>IFERROR(__xludf.DUMMYFUNCTION("""COMPUTED_VALUE"""),"19ME312 / ME0312 / 19ME304")</f>
        <v>19ME312 / ME0312 / 19ME304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IFERROR(__xludf.DUMMYFUNCTION("""COMPUTED_VALUE"""),"ME0408")</f>
        <v>ME0408</v>
      </c>
      <c r="E40" s="2" t="str">
        <f>IFERROR(__xludf.DUMMYFUNCTION("""COMPUTED_VALUE"""),"19ME408")</f>
        <v>19ME408</v>
      </c>
      <c r="F40" s="7" t="str">
        <f>IFERROR(__xludf.DUMMYFUNCTION("""COMPUTED_VALUE"""),"Metrology and Measurements")</f>
        <v>Metrology and Measurements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IFERROR(__xludf.DUMMYFUNCTION("""COMPUTED_VALUE"""),"NA")</f>
        <v>NA</v>
      </c>
      <c r="E41" s="2" t="str">
        <f>IFERROR(__xludf.DUMMYFUNCTION("""COMPUTED_VALUE"""),"19ME410")</f>
        <v>19ME410</v>
      </c>
      <c r="F41" s="7" t="str">
        <f>IFERROR(__xludf.DUMMYFUNCTION("""COMPUTED_VALUE"""),"Design of Transmission Systems")</f>
        <v>Design of Transmission Systems</v>
      </c>
      <c r="G41" s="2" t="str">
        <f>IFERROR(__xludf.DUMMYFUNCTION("""COMPUTED_VALUE"""),"19ME407 ")</f>
        <v>19ME407 </v>
      </c>
      <c r="H41" s="2">
        <f>IFERROR(__xludf.DUMMYFUNCTION("""COMPUTED_VALUE"""),3)</f>
        <v>3</v>
      </c>
      <c r="I41" s="2">
        <f>IFERROR(__xludf.DUMMYFUNCTION("""COMPUTED_VALUE"""),1)</f>
        <v>1</v>
      </c>
      <c r="J41" s="2">
        <f>IFERROR(__xludf.DUMMYFUNCTION("""COMPUTED_VALUE"""),4)</f>
        <v>4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 t="str">
        <f>IFERROR(__xludf.DUMMYFUNCTION("""COMPUTED_VALUE"""),"Any 1")</f>
        <v>Any 1</v>
      </c>
      <c r="C42" s="2" t="str">
        <f>IFERROR(__xludf.DUMMYFUNCTION("""COMPUTED_VALUE"""),"PC")</f>
        <v>PC</v>
      </c>
      <c r="D42" s="2" t="str">
        <f>IFERROR(__xludf.DUMMYFUNCTION("""COMPUTED_VALUE"""),"NA")</f>
        <v>NA</v>
      </c>
      <c r="E42" s="2" t="str">
        <f>IFERROR(__xludf.DUMMYFUNCTION("""COMPUTED_VALUE"""),"19ME412")</f>
        <v>19ME412</v>
      </c>
      <c r="F42" s="7" t="str">
        <f>IFERROR(__xludf.DUMMYFUNCTION("""COMPUTED_VALUE"""),"Mechatronics")</f>
        <v>Mechatronics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 t="str">
        <f>IFERROR(__xludf.DUMMYFUNCTION("""COMPUTED_VALUE"""),"Any 1")</f>
        <v>Any 1</v>
      </c>
      <c r="C43" s="2" t="str">
        <f>IFERROR(__xludf.DUMMYFUNCTION("""COMPUTED_VALUE"""),"PC")</f>
        <v>PC</v>
      </c>
      <c r="D43" s="2" t="str">
        <f>IFERROR(__xludf.DUMMYFUNCTION("""COMPUTED_VALUE"""),"ME0416")</f>
        <v>ME0416</v>
      </c>
      <c r="E43" s="2" t="str">
        <f>IFERROR(__xludf.DUMMYFUNCTION("""COMPUTED_VALUE"""),"19ME416")</f>
        <v>19ME416</v>
      </c>
      <c r="F43" s="7" t="str">
        <f>IFERROR(__xludf.DUMMYFUNCTION("""COMPUTED_VALUE"""),"Mechatronics and IoT")</f>
        <v>Mechatronics and IoT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IFERROR(__xludf.DUMMYFUNCTION("""COMPUTED_VALUE"""),1)</f>
        <v>1</v>
      </c>
      <c r="J43" s="2">
        <f>IFERROR(__xludf.DUMMYFUNCTION("""COMPUTED_VALUE"""),4)</f>
        <v>4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IFERROR(__xludf.DUMMYFUNCTION("""COMPUTED_VALUE"""),"ME0411")</f>
        <v>ME0411</v>
      </c>
      <c r="E44" s="2" t="str">
        <f>IFERROR(__xludf.DUMMYFUNCTION("""COMPUTED_VALUE"""),"19ME411")</f>
        <v>19ME411</v>
      </c>
      <c r="F44" s="7" t="str">
        <f>IFERROR(__xludf.DUMMYFUNCTION("""COMPUTED_VALUE"""),"Finite Element Analysis")</f>
        <v>Finite Element Analysis</v>
      </c>
      <c r="G44" s="2" t="str">
        <f>IFERROR(__xludf.DUMMYFUNCTION("""COMPUTED_VALUE"""),"19ME312 / ME0312 / 19ME304")</f>
        <v>19ME312 / ME0312 / 19ME304</v>
      </c>
      <c r="H44" s="2">
        <f>IFERROR(__xludf.DUMMYFUNCTION("""COMPUTED_VALUE"""),4)</f>
        <v>4</v>
      </c>
      <c r="I44" s="2">
        <f>IFERROR(__xludf.DUMMYFUNCTION("""COMPUTED_VALUE"""),1)</f>
        <v>1</v>
      </c>
      <c r="J44" s="2">
        <f>IFERROR(__xludf.DUMMYFUNCTION("""COMPUTED_VALUE"""),5)</f>
        <v>5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IFERROR(__xludf.DUMMYFUNCTION("""COMPUTED_VALUE"""),"PE(Honours)")</f>
        <v>PE(Honours)</v>
      </c>
      <c r="D45" s="2" t="str">
        <f>IFERROR(__xludf.DUMMYFUNCTION("""COMPUTED_VALUE"""),"ME0534")</f>
        <v>ME0534</v>
      </c>
      <c r="E45" s="2" t="str">
        <f>IFERROR(__xludf.DUMMYFUNCTION("""COMPUTED_VALUE"""),"19ME534")</f>
        <v>19ME534</v>
      </c>
      <c r="F45" s="7" t="str">
        <f>IFERROR(__xludf.DUMMYFUNCTION("""COMPUTED_VALUE"""),"Fundamentals of 3D Printing Technologies")</f>
        <v>Fundamentals of 3D Printing Technologies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IFERROR(__xludf.DUMMYFUNCTION("""COMPUTED_VALUE"""),"PE(Honours)")</f>
        <v>PE(Honours)</v>
      </c>
      <c r="D46" s="2" t="str">
        <f>IFERROR(__xludf.DUMMYFUNCTION("""COMPUTED_VALUE"""),"ME0535")</f>
        <v>ME0535</v>
      </c>
      <c r="E46" s="2" t="str">
        <f>IFERROR(__xludf.DUMMYFUNCTION("""COMPUTED_VALUE"""),"19ME535")</f>
        <v>19ME535</v>
      </c>
      <c r="F46" s="7" t="str">
        <f>IFERROR(__xludf.DUMMYFUNCTION("""COMPUTED_VALUE"""),"Reverse Engineering and CAD Modelling")</f>
        <v>Reverse Engineering and CAD Modelling</v>
      </c>
      <c r="G46" s="2" t="str">
        <f>IFERROR(__xludf.DUMMYFUNCTION("""COMPUTED_VALUE"""),"19ME534/ ME0534")</f>
        <v>19ME534/ ME0534</v>
      </c>
      <c r="H46" s="2">
        <f>IFERROR(__xludf.DUMMYFUNCTION("""COMPUTED_VALUE"""),3)</f>
        <v>3</v>
      </c>
      <c r="I46" s="2">
        <f>IFERROR(__xludf.DUMMYFUNCTION("""COMPUTED_VALUE"""),1)</f>
        <v>1</v>
      </c>
      <c r="J46" s="2">
        <f>IFERROR(__xludf.DUMMYFUNCTION("""COMPUTED_VALUE"""),4)</f>
        <v>4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IFERROR(__xludf.DUMMYFUNCTION("""COMPUTED_VALUE"""),"PE(Honours)")</f>
        <v>PE(Honours)</v>
      </c>
      <c r="D47" s="2" t="str">
        <f>IFERROR(__xludf.DUMMYFUNCTION("""COMPUTED_VALUE"""),"ME0536")</f>
        <v>ME0536</v>
      </c>
      <c r="E47" s="2" t="str">
        <f>IFERROR(__xludf.DUMMYFUNCTION("""COMPUTED_VALUE"""),"19ME536")</f>
        <v>19ME536</v>
      </c>
      <c r="F47" s="7" t="str">
        <f>IFERROR(__xludf.DUMMYFUNCTION("""COMPUTED_VALUE"""),"Design for 3D Printing")</f>
        <v>Design for 3D Printing</v>
      </c>
      <c r="G47" s="2" t="str">
        <f>IFERROR(__xludf.DUMMYFUNCTION("""COMPUTED_VALUE"""),"19ME534, ME0534")</f>
        <v>19ME534, ME0534</v>
      </c>
      <c r="H47" s="2">
        <f>IFERROR(__xludf.DUMMYFUNCTION("""COMPUTED_VALUE"""),3)</f>
        <v>3</v>
      </c>
      <c r="I47" s="2">
        <f>IFERROR(__xludf.DUMMYFUNCTION("""COMPUTED_VALUE"""),1)</f>
        <v>1</v>
      </c>
      <c r="J47" s="2">
        <f>IFERROR(__xludf.DUMMYFUNCTION("""COMPUTED_VALUE"""),4)</f>
        <v>4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IFERROR(__xludf.DUMMYFUNCTION("""COMPUTED_VALUE"""),"PE(Honours)")</f>
        <v>PE(Honours)</v>
      </c>
      <c r="D48" s="2" t="str">
        <f>IFERROR(__xludf.DUMMYFUNCTION("""COMPUTED_VALUE"""),"ME0537")</f>
        <v>ME0537</v>
      </c>
      <c r="E48" s="2" t="str">
        <f>IFERROR(__xludf.DUMMYFUNCTION("""COMPUTED_VALUE"""),"19ME537")</f>
        <v>19ME537</v>
      </c>
      <c r="F48" s="7" t="str">
        <f>IFERROR(__xludf.DUMMYFUNCTION("""COMPUTED_VALUE"""),"3D Printing Machines and Systems")</f>
        <v>3D Printing Machines and Systems</v>
      </c>
      <c r="G48" s="2" t="str">
        <f>IFERROR(__xludf.DUMMYFUNCTION("""COMPUTED_VALUE"""),"19ME534, ME0535")</f>
        <v>19ME534, ME0535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IFERROR(__xludf.DUMMYFUNCTION("""COMPUTED_VALUE"""),"PE(Honours)")</f>
        <v>PE(Honours)</v>
      </c>
      <c r="D49" s="2" t="str">
        <f>IFERROR(__xludf.DUMMYFUNCTION("""COMPUTED_VALUE"""),"ME0538")</f>
        <v>ME0538</v>
      </c>
      <c r="E49" s="2" t="str">
        <f>IFERROR(__xludf.DUMMYFUNCTION("""COMPUTED_VALUE"""),"19ME538")</f>
        <v>19ME538</v>
      </c>
      <c r="F49" s="7" t="str">
        <f>IFERROR(__xludf.DUMMYFUNCTION("""COMPUTED_VALUE"""),"Materials for 3D Printing")</f>
        <v>Materials for 3D Printing</v>
      </c>
      <c r="G49" s="2" t="str">
        <f>IFERROR(__xludf.DUMMYFUNCTION("""COMPUTED_VALUE"""),"19ME534, ME0534")</f>
        <v>19ME534, ME0534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IFERROR(__xludf.DUMMYFUNCTION("""COMPUTED_VALUE"""),"PE(Honours)")</f>
        <v>PE(Honours)</v>
      </c>
      <c r="D50" s="2" t="str">
        <f>IFERROR(__xludf.DUMMYFUNCTION("""COMPUTED_VALUE"""),"ME0539")</f>
        <v>ME0539</v>
      </c>
      <c r="E50" s="2" t="str">
        <f>IFERROR(__xludf.DUMMYFUNCTION("""COMPUTED_VALUE"""),"19ME539")</f>
        <v>19ME539</v>
      </c>
      <c r="F50" s="7" t="str">
        <f>IFERROR(__xludf.DUMMYFUNCTION("""COMPUTED_VALUE"""),"3D Printing for Medical Applications")</f>
        <v>3D Printing for Medical Applications</v>
      </c>
      <c r="G50" s="2" t="str">
        <f>IFERROR(__xludf.DUMMYFUNCTION("""COMPUTED_VALUE"""),"19ME534, ME0534")</f>
        <v>19ME534, ME0534</v>
      </c>
      <c r="H50" s="2">
        <f>IFERROR(__xludf.DUMMYFUNCTION("""COMPUTED_VALUE"""),3)</f>
        <v>3</v>
      </c>
      <c r="I50" s="2">
        <f>IFERROR(__xludf.DUMMYFUNCTION("""COMPUTED_VALUE"""),1)</f>
        <v>1</v>
      </c>
      <c r="J50" s="2">
        <f>IFERROR(__xludf.DUMMYFUNCTION("""COMPUTED_VALUE"""),4)</f>
        <v>4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IFERROR(__xludf.DUMMYFUNCTION("""COMPUTED_VALUE"""),"ME0540")</f>
        <v>ME0540</v>
      </c>
      <c r="E51" s="2" t="str">
        <f>IFERROR(__xludf.DUMMYFUNCTION("""COMPUTED_VALUE"""),"19ME540")</f>
        <v>19ME540</v>
      </c>
      <c r="F51" s="7" t="str">
        <f>IFERROR(__xludf.DUMMYFUNCTION("""COMPUTED_VALUE"""),"Hybrid and Electric Vehicle Technology")</f>
        <v>Hybrid and Electric Vehicle Technology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IFERROR(__xludf.DUMMYFUNCTION("""COMPUTED_VALUE"""),0)</f>
        <v>0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IFERROR(__xludf.DUMMYFUNCTION("""COMPUTED_VALUE"""),"Theory")</f>
        <v>Theory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IFERROR(__xludf.DUMMYFUNCTION("""COMPUTED_VALUE"""),"ME0542")</f>
        <v>ME0542</v>
      </c>
      <c r="E52" s="2" t="str">
        <f>IFERROR(__xludf.DUMMYFUNCTION("""COMPUTED_VALUE"""),"19ME542")</f>
        <v>19ME542</v>
      </c>
      <c r="F52" s="7" t="str">
        <f>IFERROR(__xludf.DUMMYFUNCTION("""COMPUTED_VALUE"""),"Smart Mobility and Intelligent Vehicles")</f>
        <v>Smart Mobility and Intelligent Vehicles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IFERROR(__xludf.DUMMYFUNCTION("""COMPUTED_VALUE"""),"ME0541")</f>
        <v>ME0541</v>
      </c>
      <c r="E53" s="2" t="str">
        <f>IFERROR(__xludf.DUMMYFUNCTION("""COMPUTED_VALUE"""),"19ME541")</f>
        <v>19ME541</v>
      </c>
      <c r="F53" s="7" t="str">
        <f>IFERROR(__xludf.DUMMYFUNCTION("""COMPUTED_VALUE"""),"Automotive Materials, Components, Design and Testing")</f>
        <v>Automotive Materials, Components, Design and Testing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IFERROR(__xludf.DUMMYFUNCTION("""COMPUTED_VALUE"""),"ME0542")</f>
        <v>ME0542</v>
      </c>
      <c r="E54" s="2" t="str">
        <f>IFERROR(__xludf.DUMMYFUNCTION("""COMPUTED_VALUE"""),"19ME542")</f>
        <v>19ME542</v>
      </c>
      <c r="F54" s="7" t="str">
        <f>IFERROR(__xludf.DUMMYFUNCTION("""COMPUTED_VALUE"""),"Smart Mobility and Intelligent Vehicles")</f>
        <v>Smart Mobility and Intelligent Vehicles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IFERROR(__xludf.DUMMYFUNCTION("""COMPUTED_VALUE"""),"ME0543")</f>
        <v>ME0543</v>
      </c>
      <c r="E55" s="2" t="str">
        <f>IFERROR(__xludf.DUMMYFUNCTION("""COMPUTED_VALUE"""),"19ME543")</f>
        <v>19ME543</v>
      </c>
      <c r="F55" s="7" t="str">
        <f>IFERROR(__xludf.DUMMYFUNCTION("""COMPUTED_VALUE"""),"CAE and CFD Approach in Future Mobility")</f>
        <v>CAE and CFD Approach in Future Mobility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IFERROR(__xludf.DUMMYFUNCTION("""COMPUTED_VALUE"""),"ME0544")</f>
        <v>ME0544</v>
      </c>
      <c r="E56" s="2" t="str">
        <f>IFERROR(__xludf.DUMMYFUNCTION("""COMPUTED_VALUE"""),"19ME544")</f>
        <v>19ME544</v>
      </c>
      <c r="F56" s="7" t="str">
        <f>IFERROR(__xludf.DUMMYFUNCTION("""COMPUTED_VALUE"""),"Thermal Management of Batteries")</f>
        <v>Thermal Management of Batteries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IFERROR(__xludf.DUMMYFUNCTION("""COMPUTED_VALUE"""),"ME0545")</f>
        <v>ME0545</v>
      </c>
      <c r="E57" s="2" t="str">
        <f>IFERROR(__xludf.DUMMYFUNCTION("""COMPUTED_VALUE"""),"19ME545")</f>
        <v>19ME545</v>
      </c>
      <c r="F57" s="7" t="str">
        <f>IFERROR(__xludf.DUMMYFUNCTION("""COMPUTED_VALUE"""),"Vehicle Health Monitoring, Maintenance and Safety")</f>
        <v>Vehicle Health Monitoring, Maintenance and Safety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IFERROR(__xludf.DUMMYFUNCTION("""COMPUTED_VALUE"""),"ME0546")</f>
        <v>ME0546</v>
      </c>
      <c r="E58" s="2" t="str">
        <f>IFERROR(__xludf.DUMMYFUNCTION("""COMPUTED_VALUE"""),"19ME546")</f>
        <v>19ME546</v>
      </c>
      <c r="F58" s="7" t="str">
        <f>IFERROR(__xludf.DUMMYFUNCTION("""COMPUTED_VALUE"""),"Value Engineering")</f>
        <v>Value Engineering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IFERROR(__xludf.DUMMYFUNCTION("""COMPUTED_VALUE"""),"ME0521")</f>
        <v>ME0521</v>
      </c>
      <c r="E59" s="2" t="str">
        <f>IFERROR(__xludf.DUMMYFUNCTION("""COMPUTED_VALUE"""),"19ME521")</f>
        <v>19ME521</v>
      </c>
      <c r="F59" s="7" t="str">
        <f>IFERROR(__xludf.DUMMYFUNCTION("""COMPUTED_VALUE"""),"Computer Integrated Manufacturing Systems")</f>
        <v>Computer Integrated Manufacturing Systems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IFERROR(__xludf.DUMMYFUNCTION("""COMPUTED_VALUE"""),"ME0547")</f>
        <v>ME0547</v>
      </c>
      <c r="E60" s="2" t="str">
        <f>IFERROR(__xludf.DUMMYFUNCTION("""COMPUTED_VALUE"""),"19ME547")</f>
        <v>19ME547</v>
      </c>
      <c r="F60" s="7" t="str">
        <f>IFERROR(__xludf.DUMMYFUNCTION("""COMPUTED_VALUE"""),"Design For X")</f>
        <v>Design For X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IFERROR(__xludf.DUMMYFUNCTION("""COMPUTED_VALUE"""),"ME0548")</f>
        <v>ME0548</v>
      </c>
      <c r="E61" s="2" t="str">
        <f>IFERROR(__xludf.DUMMYFUNCTION("""COMPUTED_VALUE"""),"19ME548")</f>
        <v>19ME548</v>
      </c>
      <c r="F61" s="7" t="str">
        <f>IFERROR(__xludf.DUMMYFUNCTION("""COMPUTED_VALUE"""),"Product Life Cycle Management")</f>
        <v>Product Life Cycle Management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IFERROR(__xludf.DUMMYFUNCTION("""COMPUTED_VALUE"""),"ME0549")</f>
        <v>ME0549</v>
      </c>
      <c r="E62" s="2" t="str">
        <f>IFERROR(__xludf.DUMMYFUNCTION("""COMPUTED_VALUE"""),"19ME549")</f>
        <v>19ME549</v>
      </c>
      <c r="F62" s="7" t="str">
        <f>IFERROR(__xludf.DUMMYFUNCTION("""COMPUTED_VALUE"""),"Ergonomics in Design")</f>
        <v>Ergonomics in Design</v>
      </c>
      <c r="G62" s="2" t="str">
        <f>IFERROR(__xludf.DUMMYFUNCTION("""COMPUTED_VALUE"""),"-")</f>
        <v>-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IFERROR(__xludf.DUMMYFUNCTION("""COMPUTED_VALUE"""),"ME0550")</f>
        <v>ME0550</v>
      </c>
      <c r="E63" s="2" t="str">
        <f>IFERROR(__xludf.DUMMYFUNCTION("""COMPUTED_VALUE"""),"19ME550")</f>
        <v>19ME550</v>
      </c>
      <c r="F63" s="7" t="str">
        <f>IFERROR(__xludf.DUMMYFUNCTION("""COMPUTED_VALUE"""),"New Product Development")</f>
        <v>New Product Development</v>
      </c>
      <c r="G63" s="2" t="str">
        <f>IFERROR(__xludf.DUMMYFUNCTION("""COMPUTED_VALUE"""),"-")</f>
        <v>-</v>
      </c>
      <c r="H63" s="2">
        <f>IFERROR(__xludf.DUMMYFUNCTION("""COMPUTED_VALUE"""),3)</f>
        <v>3</v>
      </c>
      <c r="I63" s="2">
        <f>IFERROR(__xludf.DUMMYFUNCTION("""COMPUTED_VALUE"""),0)</f>
        <v>0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IFERROR(__xludf.DUMMYFUNCTION("""COMPUTED_VALUE"""),"ME0551")</f>
        <v>ME0551</v>
      </c>
      <c r="E64" s="2" t="str">
        <f>IFERROR(__xludf.DUMMYFUNCTION("""COMPUTED_VALUE"""),"19ME551")</f>
        <v>19ME551</v>
      </c>
      <c r="F64" s="7" t="str">
        <f>IFERROR(__xludf.DUMMYFUNCTION("""COMPUTED_VALUE"""),"Digital Manufacturing and IoT")</f>
        <v>Digital Manufacturing and IoT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IFERROR(__xludf.DUMMYFUNCTION("""COMPUTED_VALUE"""),"ME0552")</f>
        <v>ME0552</v>
      </c>
      <c r="E65" s="2" t="str">
        <f>IFERROR(__xludf.DUMMYFUNCTION("""COMPUTED_VALUE"""),"19ME552")</f>
        <v>19ME552</v>
      </c>
      <c r="F65" s="7" t="str">
        <f>IFERROR(__xludf.DUMMYFUNCTION("""COMPUTED_VALUE"""),"Lean Manufacturing")</f>
        <v>Lean Manufacturing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IFERROR(__xludf.DUMMYFUNCTION("""COMPUTED_VALUE"""),"ME0553")</f>
        <v>ME0553</v>
      </c>
      <c r="E66" s="2" t="str">
        <f>IFERROR(__xludf.DUMMYFUNCTION("""COMPUTED_VALUE"""),"19ME553")</f>
        <v>19ME553</v>
      </c>
      <c r="F66" s="7" t="str">
        <f>IFERROR(__xludf.DUMMYFUNCTION("""COMPUTED_VALUE"""),"Modern Robotics")</f>
        <v>Modern Robotics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IFERROR(__xludf.DUMMYFUNCTION("""COMPUTED_VALUE"""),"ME0554")</f>
        <v>ME0554</v>
      </c>
      <c r="E67" s="2" t="str">
        <f>IFERROR(__xludf.DUMMYFUNCTION("""COMPUTED_VALUE"""),"19ME554")</f>
        <v>19ME554</v>
      </c>
      <c r="F67" s="7" t="str">
        <f>IFERROR(__xludf.DUMMYFUNCTION("""COMPUTED_VALUE"""),"Green Manufacturing Design and Practices")</f>
        <v>Green Manufacturing Design and Practices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IFERROR(__xludf.DUMMYFUNCTION("""COMPUTED_VALUE"""),"ME0555")</f>
        <v>ME0555</v>
      </c>
      <c r="E68" s="2" t="str">
        <f>IFERROR(__xludf.DUMMYFUNCTION("""COMPUTED_VALUE"""),"19ME555")</f>
        <v>19ME555</v>
      </c>
      <c r="F68" s="7" t="str">
        <f>IFERROR(__xludf.DUMMYFUNCTION("""COMPUTED_VALUE"""),"Environment Sustainability and Impact Assessment")</f>
        <v>Environment Sustainability and Impact Assessment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IFERROR(__xludf.DUMMYFUNCTION("""COMPUTED_VALUE"""),"ME0556")</f>
        <v>ME0556</v>
      </c>
      <c r="E69" s="2" t="str">
        <f>IFERROR(__xludf.DUMMYFUNCTION("""COMPUTED_VALUE"""),"19ME556")</f>
        <v>19ME556</v>
      </c>
      <c r="F69" s="7" t="str">
        <f>IFERROR(__xludf.DUMMYFUNCTION("""COMPUTED_VALUE"""),"Energy Saving Machinery and Components")</f>
        <v>Energy Saving Machinery and Components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IFERROR(__xludf.DUMMYFUNCTION("""COMPUTED_VALUE"""),"ME0557")</f>
        <v>ME0557</v>
      </c>
      <c r="E70" s="2" t="str">
        <f>IFERROR(__xludf.DUMMYFUNCTION("""COMPUTED_VALUE"""),"19ME557")</f>
        <v>19ME557</v>
      </c>
      <c r="F70" s="7" t="str">
        <f>IFERROR(__xludf.DUMMYFUNCTION("""COMPUTED_VALUE"""),"Optimization Techniques")</f>
        <v>Optimization Techniques</v>
      </c>
      <c r="G70" s="2" t="str">
        <f>IFERROR(__xludf.DUMMYFUNCTION("""COMPUTED_VALUE"""),"-")</f>
        <v>-</v>
      </c>
      <c r="H70" s="2">
        <f>IFERROR(__xludf.DUMMYFUNCTION("""COMPUTED_VALUE"""),4)</f>
        <v>4</v>
      </c>
      <c r="I70" s="2">
        <f>IFERROR(__xludf.DUMMYFUNCTION("""COMPUTED_VALUE"""),0)</f>
        <v>0</v>
      </c>
      <c r="J70" s="2">
        <f>IFERROR(__xludf.DUMMYFUNCTION("""COMPUTED_VALUE"""),4)</f>
        <v>4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IFERROR(__xludf.DUMMYFUNCTION("""COMPUTED_VALUE"""),"ME0558")</f>
        <v>ME0558</v>
      </c>
      <c r="E71" s="2" t="str">
        <f>IFERROR(__xludf.DUMMYFUNCTION("""COMPUTED_VALUE"""),"19ME558")</f>
        <v>19ME558</v>
      </c>
      <c r="F71" s="7" t="str">
        <f>IFERROR(__xludf.DUMMYFUNCTION("""COMPUTED_VALUE"""),"Statistical Quality Control")</f>
        <v>Statistical Quality Control</v>
      </c>
      <c r="G71" s="2" t="str">
        <f>IFERROR(__xludf.DUMMYFUNCTION("""COMPUTED_VALUE"""),"-")</f>
        <v>-</v>
      </c>
      <c r="H71" s="2">
        <f>IFERROR(__xludf.DUMMYFUNCTION("""COMPUTED_VALUE"""),4)</f>
        <v>4</v>
      </c>
      <c r="I71" s="2">
        <f>IFERROR(__xludf.DUMMYFUNCTION("""COMPUTED_VALUE"""),0)</f>
        <v>0</v>
      </c>
      <c r="J71" s="2">
        <f>IFERROR(__xludf.DUMMYFUNCTION("""COMPUTED_VALUE"""),4)</f>
        <v>4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IFERROR(__xludf.DUMMYFUNCTION("""COMPUTED_VALUE"""),"ME0559")</f>
        <v>ME0559</v>
      </c>
      <c r="E72" s="2" t="str">
        <f>IFERROR(__xludf.DUMMYFUNCTION("""COMPUTED_VALUE"""),"19ME559")</f>
        <v>19ME559</v>
      </c>
      <c r="F72" s="7" t="str">
        <f>IFERROR(__xludf.DUMMYFUNCTION("""COMPUTED_VALUE"""),"Quality Audit System")</f>
        <v>Quality Audit System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IFERROR(__xludf.DUMMYFUNCTION("""COMPUTED_VALUE"""),"ME0560")</f>
        <v>ME0560</v>
      </c>
      <c r="E73" s="2" t="str">
        <f>IFERROR(__xludf.DUMMYFUNCTION("""COMPUTED_VALUE"""),"19ME560")</f>
        <v>19ME560</v>
      </c>
      <c r="F73" s="7" t="str">
        <f>IFERROR(__xludf.DUMMYFUNCTION("""COMPUTED_VALUE"""),"Operations and Inventory Management")</f>
        <v>Operations and Inventory Management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IFERROR(__xludf.DUMMYFUNCTION("""COMPUTED_VALUE"""),"ME0561")</f>
        <v>ME0561</v>
      </c>
      <c r="E74" s="2" t="str">
        <f>IFERROR(__xludf.DUMMYFUNCTION("""COMPUTED_VALUE"""),"19ME561")</f>
        <v>19ME561</v>
      </c>
      <c r="F74" s="7" t="str">
        <f>IFERROR(__xludf.DUMMYFUNCTION("""COMPUTED_VALUE"""),"Reliability Engineering")</f>
        <v>Reliability Engineering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IFERROR(__xludf.DUMMYFUNCTION("""COMPUTED_VALUE"""),"ME0562")</f>
        <v>ME0562</v>
      </c>
      <c r="E75" s="2" t="str">
        <f>IFERROR(__xludf.DUMMYFUNCTION("""COMPUTED_VALUE"""),"19ME562")</f>
        <v>19ME562</v>
      </c>
      <c r="F75" s="7" t="str">
        <f>IFERROR(__xludf.DUMMYFUNCTION("""COMPUTED_VALUE"""),"Discrete Event System Simulation")</f>
        <v>Discrete Event System Simulation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 t="str">
        <f>IFERROR(__xludf.DUMMYFUNCTION("""COMPUTED_VALUE"""),"Any 1")</f>
        <v>Any 1</v>
      </c>
      <c r="C76" s="2" t="str">
        <f>IFERROR(__xludf.DUMMYFUNCTION("""COMPUTED_VALUE"""),"PE")</f>
        <v>PE</v>
      </c>
      <c r="D76" s="2" t="str">
        <f>IFERROR(__xludf.DUMMYFUNCTION("""COMPUTED_VALUE"""),"NA")</f>
        <v>NA</v>
      </c>
      <c r="E76" s="2" t="str">
        <f>IFERROR(__xludf.DUMMYFUNCTION("""COMPUTED_VALUE"""),"19ME511")</f>
        <v>19ME511</v>
      </c>
      <c r="F76" s="7" t="str">
        <f>IFERROR(__xludf.DUMMYFUNCTION("""COMPUTED_VALUE"""),"Automobile Engineering")</f>
        <v>Automobile Engineering</v>
      </c>
      <c r="G76" s="2" t="str">
        <f>IFERROR(__xludf.DUMMYFUNCTION("""COMPUTED_VALUE"""),"-")</f>
        <v>-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 t="str">
        <f>IFERROR(__xludf.DUMMYFUNCTION("""COMPUTED_VALUE"""),"Any 1")</f>
        <v>Any 1</v>
      </c>
      <c r="C77" s="2" t="str">
        <f>IFERROR(__xludf.DUMMYFUNCTION("""COMPUTED_VALUE"""),"PE")</f>
        <v>PE</v>
      </c>
      <c r="D77" s="2" t="str">
        <f>IFERROR(__xludf.DUMMYFUNCTION("""COMPUTED_VALUE"""),"ME0563")</f>
        <v>ME0563</v>
      </c>
      <c r="E77" s="2" t="str">
        <f>IFERROR(__xludf.DUMMYFUNCTION("""COMPUTED_VALUE"""),"19ME563")</f>
        <v>19ME563</v>
      </c>
      <c r="F77" s="7" t="str">
        <f>IFERROR(__xludf.DUMMYFUNCTION("""COMPUTED_VALUE"""),"Automotive Engineering")</f>
        <v>Automotive Engineering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 t="str">
        <f>IFERROR(__xludf.DUMMYFUNCTION("""COMPUTED_VALUE"""),"Any 1")</f>
        <v>Any 1</v>
      </c>
      <c r="C78" s="2" t="str">
        <f>IFERROR(__xludf.DUMMYFUNCTION("""COMPUTED_VALUE"""),"PE")</f>
        <v>PE</v>
      </c>
      <c r="D78" s="2" t="str">
        <f>IFERROR(__xludf.DUMMYFUNCTION("""COMPUTED_VALUE"""),"NA")</f>
        <v>NA</v>
      </c>
      <c r="E78" s="2" t="str">
        <f>IFERROR(__xludf.DUMMYFUNCTION("""COMPUTED_VALUE"""),"19ME514")</f>
        <v>19ME514</v>
      </c>
      <c r="F78" s="7" t="str">
        <f>IFERROR(__xludf.DUMMYFUNCTION("""COMPUTED_VALUE"""),"Refrigeration and Air Conditioning")</f>
        <v>Refrigeration and Air Conditioning</v>
      </c>
      <c r="G78" s="2" t="str">
        <f>IFERROR(__xludf.DUMMYFUNCTION("""COMPUTED_VALUE"""),"19ME405")</f>
        <v>19ME405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 t="str">
        <f>IFERROR(__xludf.DUMMYFUNCTION("""COMPUTED_VALUE"""),"Any 1")</f>
        <v>Any 1</v>
      </c>
      <c r="C79" s="2" t="str">
        <f>IFERROR(__xludf.DUMMYFUNCTION("""COMPUTED_VALUE"""),"PE")</f>
        <v>PE</v>
      </c>
      <c r="D79" s="2" t="str">
        <f>IFERROR(__xludf.DUMMYFUNCTION("""COMPUTED_VALUE"""),"ME0564")</f>
        <v>ME0564</v>
      </c>
      <c r="E79" s="2" t="str">
        <f>IFERROR(__xludf.DUMMYFUNCTION("""COMPUTED_VALUE"""),"19ME564")</f>
        <v>19ME564</v>
      </c>
      <c r="F79" s="7" t="str">
        <f>IFERROR(__xludf.DUMMYFUNCTION("""COMPUTED_VALUE"""),"Refrigeration And Air Conditioning Technology")</f>
        <v>Refrigeration And Air Conditioning Technology</v>
      </c>
      <c r="G79" s="2" t="str">
        <f>IFERROR(__xludf.DUMMYFUNCTION("""COMPUTED_VALUE"""),"19ME405 / ME0405")</f>
        <v>19ME405 / ME0405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 t="str">
        <f>IFERROR(__xludf.DUMMYFUNCTION("""COMPUTED_VALUE"""),"Any 1")</f>
        <v>Any 1</v>
      </c>
      <c r="C80" s="2" t="str">
        <f>IFERROR(__xludf.DUMMYFUNCTION("""COMPUTED_VALUE"""),"PE")</f>
        <v>PE</v>
      </c>
      <c r="D80" s="2" t="str">
        <f>IFERROR(__xludf.DUMMYFUNCTION("""COMPUTED_VALUE"""),"NA")</f>
        <v>NA</v>
      </c>
      <c r="E80" s="2" t="str">
        <f>IFERROR(__xludf.DUMMYFUNCTION("""COMPUTED_VALUE"""),"19ME512")</f>
        <v>19ME512</v>
      </c>
      <c r="F80" s="7" t="str">
        <f>IFERROR(__xludf.DUMMYFUNCTION("""COMPUTED_VALUE"""),"Turbo Machinery")</f>
        <v>Turbo Machinery</v>
      </c>
      <c r="G80" s="2" t="str">
        <f>IFERROR(__xludf.DUMMYFUNCTION("""COMPUTED_VALUE"""),"19ME305")</f>
        <v>19ME305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 t="str">
        <f>IFERROR(__xludf.DUMMYFUNCTION("""COMPUTED_VALUE"""),"Any 1")</f>
        <v>Any 1</v>
      </c>
      <c r="C81" s="2" t="str">
        <f>IFERROR(__xludf.DUMMYFUNCTION("""COMPUTED_VALUE"""),"PE")</f>
        <v>PE</v>
      </c>
      <c r="D81" s="2" t="str">
        <f>IFERROR(__xludf.DUMMYFUNCTION("""COMPUTED_VALUE"""),"ME0565")</f>
        <v>ME0565</v>
      </c>
      <c r="E81" s="2" t="str">
        <f>IFERROR(__xludf.DUMMYFUNCTION("""COMPUTED_VALUE"""),"19ME565")</f>
        <v>19ME565</v>
      </c>
      <c r="F81" s="7" t="str">
        <f>IFERROR(__xludf.DUMMYFUNCTION("""COMPUTED_VALUE"""),"Turbo Machines")</f>
        <v>Turbo Machines</v>
      </c>
      <c r="G81" s="2" t="str">
        <f>IFERROR(__xludf.DUMMYFUNCTION("""COMPUTED_VALUE"""),"19ME305 / ME0305")</f>
        <v>19ME305 / ME0305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 t="str">
        <f>IFERROR(__xludf.DUMMYFUNCTION("""COMPUTED_VALUE"""),"Any 1")</f>
        <v>Any 1</v>
      </c>
      <c r="C82" s="2" t="str">
        <f>IFERROR(__xludf.DUMMYFUNCTION("""COMPUTED_VALUE"""),"PE")</f>
        <v>PE</v>
      </c>
      <c r="D82" s="2" t="str">
        <f>IFERROR(__xludf.DUMMYFUNCTION("""COMPUTED_VALUE"""),"NA")</f>
        <v>NA</v>
      </c>
      <c r="E82" s="2" t="str">
        <f>IFERROR(__xludf.DUMMYFUNCTION("""COMPUTED_VALUE"""),"19ME513")</f>
        <v>19ME513</v>
      </c>
      <c r="F82" s="7" t="str">
        <f>IFERROR(__xludf.DUMMYFUNCTION("""COMPUTED_VALUE"""),"Gas Dynamics and Space Propulsion")</f>
        <v>Gas Dynamics and Space Propulsion</v>
      </c>
      <c r="G82" s="2" t="str">
        <f>IFERROR(__xludf.DUMMYFUNCTION("""COMPUTED_VALUE"""),"19ME401")</f>
        <v>19ME401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 t="str">
        <f>IFERROR(__xludf.DUMMYFUNCTION("""COMPUTED_VALUE"""),"Any 1")</f>
        <v>Any 1</v>
      </c>
      <c r="C83" s="2" t="str">
        <f>IFERROR(__xludf.DUMMYFUNCTION("""COMPUTED_VALUE"""),"PE")</f>
        <v>PE</v>
      </c>
      <c r="D83" s="2" t="str">
        <f>IFERROR(__xludf.DUMMYFUNCTION("""COMPUTED_VALUE"""),"ME0566")</f>
        <v>ME0566</v>
      </c>
      <c r="E83" s="2" t="str">
        <f>IFERROR(__xludf.DUMMYFUNCTION("""COMPUTED_VALUE"""),"19ME566")</f>
        <v>19ME566</v>
      </c>
      <c r="F83" s="7" t="str">
        <f>IFERROR(__xludf.DUMMYFUNCTION("""COMPUTED_VALUE"""),"Gas Dynamics and Jet Propulsion")</f>
        <v>Gas Dynamics and Jet Propulsion</v>
      </c>
      <c r="G83" s="2" t="str">
        <f>IFERROR(__xludf.DUMMYFUNCTION("""COMPUTED_VALUE"""),"19ME414 / ME0414 / 19ME401")</f>
        <v>19ME414 / ME0414 / 19ME401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 t="str">
        <f>IFERROR(__xludf.DUMMYFUNCTION("""COMPUTED_VALUE"""),"Any 1")</f>
        <v>Any 1</v>
      </c>
      <c r="C84" s="2" t="str">
        <f>IFERROR(__xludf.DUMMYFUNCTION("""COMPUTED_VALUE"""),"PE")</f>
        <v>PE</v>
      </c>
      <c r="D84" s="2" t="str">
        <f>IFERROR(__xludf.DUMMYFUNCTION("""COMPUTED_VALUE"""),"NA")</f>
        <v>NA</v>
      </c>
      <c r="E84" s="2" t="str">
        <f>IFERROR(__xludf.DUMMYFUNCTION("""COMPUTED_VALUE"""),"19ME515")</f>
        <v>19ME515</v>
      </c>
      <c r="F84" s="7" t="str">
        <f>IFERROR(__xludf.DUMMYFUNCTION("""COMPUTED_VALUE"""),"Advanced Internal Combustion Engineering")</f>
        <v>Advanced Internal Combustion Engineering</v>
      </c>
      <c r="G84" s="2" t="str">
        <f>IFERROR(__xludf.DUMMYFUNCTION("""COMPUTED_VALUE"""),"19ME405")</f>
        <v>19ME405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 t="str">
        <f>IFERROR(__xludf.DUMMYFUNCTION("""COMPUTED_VALUE"""),"Any 1")</f>
        <v>Any 1</v>
      </c>
      <c r="C85" s="2" t="str">
        <f>IFERROR(__xludf.DUMMYFUNCTION("""COMPUTED_VALUE"""),"PE")</f>
        <v>PE</v>
      </c>
      <c r="D85" s="2" t="str">
        <f>IFERROR(__xludf.DUMMYFUNCTION("""COMPUTED_VALUE"""),"ME0567")</f>
        <v>ME0567</v>
      </c>
      <c r="E85" s="2" t="str">
        <f>IFERROR(__xludf.DUMMYFUNCTION("""COMPUTED_VALUE"""),"19ME567")</f>
        <v>19ME567</v>
      </c>
      <c r="F85" s="7" t="str">
        <f>IFERROR(__xludf.DUMMYFUNCTION("""COMPUTED_VALUE"""),"Advanced Internal Combustion Engine Technology")</f>
        <v>Advanced Internal Combustion Engine Technology</v>
      </c>
      <c r="G85" s="2" t="str">
        <f>IFERROR(__xludf.DUMMYFUNCTION("""COMPUTED_VALUE"""),"19ME405 / ME0405")</f>
        <v>19ME405 / ME0405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 t="str">
        <f>IFERROR(__xludf.DUMMYFUNCTION("""COMPUTED_VALUE"""),"Any 1")</f>
        <v>Any 1</v>
      </c>
      <c r="C86" s="2" t="str">
        <f>IFERROR(__xludf.DUMMYFUNCTION("""COMPUTED_VALUE"""),"PE")</f>
        <v>PE</v>
      </c>
      <c r="D86" s="2" t="str">
        <f>IFERROR(__xludf.DUMMYFUNCTION("""COMPUTED_VALUE"""),"ME0568")</f>
        <v>ME0568</v>
      </c>
      <c r="E86" s="2" t="str">
        <f>IFERROR(__xludf.DUMMYFUNCTION("""COMPUTED_VALUE"""),"19ME568")</f>
        <v>19ME568</v>
      </c>
      <c r="F86" s="7" t="str">
        <f>IFERROR(__xludf.DUMMYFUNCTION("""COMPUTED_VALUE"""),"Computational Fluid Dynamics and Heat Transfer")</f>
        <v>Computational Fluid Dynamics and Heat Transfer</v>
      </c>
      <c r="G86" s="2" t="str">
        <f>IFERROR(__xludf.DUMMYFUNCTION("""COMPUTED_VALUE"""),"ME406 / 19ME406")</f>
        <v>ME406 / 19ME406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IFERROR(__xludf.DUMMYFUNCTION("""COMPUTED_VALUE"""),"ME0533")</f>
        <v>ME0533</v>
      </c>
      <c r="E87" s="2" t="str">
        <f>IFERROR(__xludf.DUMMYFUNCTION("""COMPUTED_VALUE"""),"19ME533")</f>
        <v>19ME533</v>
      </c>
      <c r="F87" s="7" t="str">
        <f>IFERROR(__xludf.DUMMYFUNCTION("""COMPUTED_VALUE"""),"3D Printing Processes")</f>
        <v>3D Printing Processes</v>
      </c>
      <c r="G87" s="2" t="str">
        <f>IFERROR(__xludf.DUMMYFUNCTION("""COMPUTED_VALUE"""),"-")</f>
        <v>-</v>
      </c>
      <c r="H87" s="2">
        <f>IFERROR(__xludf.DUMMYFUNCTION("""COMPUTED_VALUE"""),3)</f>
        <v>3</v>
      </c>
      <c r="I87" s="2">
        <f>IFERROR(__xludf.DUMMYFUNCTION("""COMPUTED_VALUE"""),1)</f>
        <v>1</v>
      </c>
      <c r="J87" s="2">
        <f>IFERROR(__xludf.DUMMYFUNCTION("""COMPUTED_VALUE"""),4)</f>
        <v>4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 t="str">
        <f>IFERROR(__xludf.DUMMYFUNCTION("""COMPUTED_VALUE"""),"Any 1")</f>
        <v>Any 1</v>
      </c>
      <c r="C88" s="2" t="str">
        <f>IFERROR(__xludf.DUMMYFUNCTION("""COMPUTED_VALUE"""),"PE")</f>
        <v>PE</v>
      </c>
      <c r="D88" s="2" t="str">
        <f>IFERROR(__xludf.DUMMYFUNCTION("""COMPUTED_VALUE"""),"NA")</f>
        <v>NA</v>
      </c>
      <c r="E88" s="2" t="str">
        <f>IFERROR(__xludf.DUMMYFUNCTION("""COMPUTED_VALUE"""),"19ME501")</f>
        <v>19ME501</v>
      </c>
      <c r="F88" s="7" t="str">
        <f>IFERROR(__xludf.DUMMYFUNCTION("""COMPUTED_VALUE"""),"Composite Materials and Mechanics")</f>
        <v>Composite Materials and Mechanics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 t="str">
        <f>IFERROR(__xludf.DUMMYFUNCTION("""COMPUTED_VALUE"""),"Any 1")</f>
        <v>Any 1</v>
      </c>
      <c r="C89" s="2" t="str">
        <f>IFERROR(__xludf.DUMMYFUNCTION("""COMPUTED_VALUE"""),"PE")</f>
        <v>PE</v>
      </c>
      <c r="D89" s="2" t="str">
        <f>IFERROR(__xludf.DUMMYFUNCTION("""COMPUTED_VALUE"""),"ME0569")</f>
        <v>ME0569</v>
      </c>
      <c r="E89" s="2" t="str">
        <f>IFERROR(__xludf.DUMMYFUNCTION("""COMPUTED_VALUE"""),"19ME569")</f>
        <v>19ME569</v>
      </c>
      <c r="F89" s="7" t="str">
        <f>IFERROR(__xludf.DUMMYFUNCTION("""COMPUTED_VALUE"""),"Composite Materials Engineering")</f>
        <v>Composite Materials Engineering</v>
      </c>
      <c r="G89" s="2" t="str">
        <f>IFERROR(__xludf.DUMMYFUNCTION("""COMPUTED_VALUE"""),"-")</f>
        <v>-</v>
      </c>
      <c r="H89" s="2">
        <f>IFERROR(__xludf.DUMMYFUNCTION("""COMPUTED_VALUE"""),3)</f>
        <v>3</v>
      </c>
      <c r="I89" s="2">
        <f>IFERROR(__xludf.DUMMYFUNCTION("""COMPUTED_VALUE"""),0)</f>
        <v>0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IFERROR(__xludf.DUMMYFUNCTION("""COMPUTED_VALUE"""),"Theory")</f>
        <v>Theory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 t="str">
        <f>IFERROR(__xludf.DUMMYFUNCTION("""COMPUTED_VALUE"""),"Any 1")</f>
        <v>Any 1</v>
      </c>
      <c r="C90" s="2" t="str">
        <f>IFERROR(__xludf.DUMMYFUNCTION("""COMPUTED_VALUE"""),"PE")</f>
        <v>PE</v>
      </c>
      <c r="D90" s="2" t="str">
        <f>IFERROR(__xludf.DUMMYFUNCTION("""COMPUTED_VALUE"""),"NA")</f>
        <v>NA</v>
      </c>
      <c r="E90" s="2" t="str">
        <f>IFERROR(__xludf.DUMMYFUNCTION("""COMPUTED_VALUE"""),"19ME520")</f>
        <v>19ME520</v>
      </c>
      <c r="F90" s="7" t="str">
        <f>IFERROR(__xludf.DUMMYFUNCTION("""COMPUTED_VALUE"""),"Non Traditional Machining Processes")</f>
        <v>Non Traditional Machining Processes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 t="str">
        <f>IFERROR(__xludf.DUMMYFUNCTION("""COMPUTED_VALUE"""),"Any 1")</f>
        <v>Any 1</v>
      </c>
      <c r="C91" s="2" t="str">
        <f>IFERROR(__xludf.DUMMYFUNCTION("""COMPUTED_VALUE"""),"PE")</f>
        <v>PE</v>
      </c>
      <c r="D91" s="2" t="str">
        <f>IFERROR(__xludf.DUMMYFUNCTION("""COMPUTED_VALUE"""),"ME0570")</f>
        <v>ME0570</v>
      </c>
      <c r="E91" s="2" t="str">
        <f>IFERROR(__xludf.DUMMYFUNCTION("""COMPUTED_VALUE"""),"19ME570")</f>
        <v>19ME570</v>
      </c>
      <c r="F91" s="7" t="str">
        <f>IFERROR(__xludf.DUMMYFUNCTION("""COMPUTED_VALUE"""),"Non Conventional Machining Processes")</f>
        <v>Non Conventional Machining Processes</v>
      </c>
      <c r="G91" s="2" t="str">
        <f>IFERROR(__xludf.DUMMYFUNCTION("""COMPUTED_VALUE"""),"-")</f>
        <v>-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IFERROR(__xludf.DUMMYFUNCTION("""COMPUTED_VALUE"""),"ME0529")</f>
        <v>ME0529</v>
      </c>
      <c r="E92" s="2" t="str">
        <f>IFERROR(__xludf.DUMMYFUNCTION("""COMPUTED_VALUE"""),"19ME529")</f>
        <v>19ME529</v>
      </c>
      <c r="F92" s="7" t="str">
        <f>IFERROR(__xludf.DUMMYFUNCTION("""COMPUTED_VALUE"""),"Process Planning and Cost Estimation")</f>
        <v>Process Planning and Cost Estimation</v>
      </c>
      <c r="G92" s="2" t="str">
        <f>IFERROR(__xludf.DUMMYFUNCTION("""COMPUTED_VALUE"""),"-")</f>
        <v>-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IFERROR(__xludf.DUMMYFUNCTION("""COMPUTED_VALUE"""),"ME0531")</f>
        <v>ME0531</v>
      </c>
      <c r="E93" s="2" t="str">
        <f>IFERROR(__xludf.DUMMYFUNCTION("""COMPUTED_VALUE"""),"19ME531")</f>
        <v>19ME531</v>
      </c>
      <c r="F93" s="7" t="str">
        <f>IFERROR(__xludf.DUMMYFUNCTION("""COMPUTED_VALUE"""),"Intellectual Property Rights")</f>
        <v>Intellectual Property Rights</v>
      </c>
      <c r="G93" s="2" t="str">
        <f>IFERROR(__xludf.DUMMYFUNCTION("""COMPUTED_VALUE"""),"-")</f>
        <v>-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IFERROR(__xludf.DUMMYFUNCTION("""COMPUTED_VALUE"""),"PE(Honours)")</f>
        <v>PE(Honours)</v>
      </c>
      <c r="D94" s="2" t="str">
        <f>IFERROR(__xludf.DUMMYFUNCTION("""COMPUTED_VALUE"""),"NA")</f>
        <v>NA</v>
      </c>
      <c r="E94" s="2" t="str">
        <f>IFERROR(__xludf.DUMMYFUNCTION("""COMPUTED_VALUE"""),"19ME502")</f>
        <v>19ME502</v>
      </c>
      <c r="F94" s="7" t="str">
        <f>IFERROR(__xludf.DUMMYFUNCTION("""COMPUTED_VALUE"""),"Design of Jigs, Fixtures and Press Tools")</f>
        <v>Design of Jigs, Fixtures and Press Tools</v>
      </c>
      <c r="G94" s="2" t="str">
        <f>IFERROR(__xludf.DUMMYFUNCTION("""COMPUTED_VALUE"""),"-")</f>
        <v>-</v>
      </c>
      <c r="H94" s="2">
        <f>IFERROR(__xludf.DUMMYFUNCTION("""COMPUTED_VALUE"""),2)</f>
        <v>2</v>
      </c>
      <c r="I94" s="2">
        <f>IFERROR(__xludf.DUMMYFUNCTION("""COMPUTED_VALUE"""),1)</f>
        <v>1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IFERROR(__xludf.DUMMYFUNCTION("""COMPUTED_VALUE"""),"PE(Honours)")</f>
        <v>PE(Honours)</v>
      </c>
      <c r="D95" s="2" t="str">
        <f>IFERROR(__xludf.DUMMYFUNCTION("""COMPUTED_VALUE"""),"NA")</f>
        <v>NA</v>
      </c>
      <c r="E95" s="2" t="str">
        <f>IFERROR(__xludf.DUMMYFUNCTION("""COMPUTED_VALUE"""),"19ME503")</f>
        <v>19ME503</v>
      </c>
      <c r="F95" s="7" t="str">
        <f>IFERROR(__xludf.DUMMYFUNCTION("""COMPUTED_VALUE"""),"Design of Pressure Vessel and Piping")</f>
        <v>Design of Pressure Vessel and Piping</v>
      </c>
      <c r="G95" s="2" t="str">
        <f>IFERROR(__xludf.DUMMYFUNCTION("""COMPUTED_VALUE"""),"-")</f>
        <v>-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IFERROR(__xludf.DUMMYFUNCTION("""COMPUTED_VALUE"""),"PE(Honours)")</f>
        <v>PE(Honours)</v>
      </c>
      <c r="D96" s="2" t="str">
        <f>IFERROR(__xludf.DUMMYFUNCTION("""COMPUTED_VALUE"""),"NA")</f>
        <v>NA</v>
      </c>
      <c r="E96" s="2" t="str">
        <f>IFERROR(__xludf.DUMMYFUNCTION("""COMPUTED_VALUE"""),"19ME504")</f>
        <v>19ME504</v>
      </c>
      <c r="F96" s="7" t="str">
        <f>IFERROR(__xludf.DUMMYFUNCTION("""COMPUTED_VALUE"""),"Mechanical Vibrations and Noise Control")</f>
        <v>Mechanical Vibrations and Noise Control</v>
      </c>
      <c r="G96" s="2" t="str">
        <f>IFERROR(__xludf.DUMMYFUNCTION("""COMPUTED_VALUE"""),"19ME409")</f>
        <v>19ME409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IFERROR(__xludf.DUMMYFUNCTION("""COMPUTED_VALUE"""),"NA")</f>
        <v>NA</v>
      </c>
      <c r="E97" s="2" t="str">
        <f>IFERROR(__xludf.DUMMYFUNCTION("""COMPUTED_VALUE"""),"19ME505")</f>
        <v>19ME505</v>
      </c>
      <c r="F97" s="7" t="str">
        <f>IFERROR(__xludf.DUMMYFUNCTION("""COMPUTED_VALUE"""),"Computer Aided Design")</f>
        <v>Computer Aided Design</v>
      </c>
      <c r="G97" s="2" t="str">
        <f>IFERROR(__xludf.DUMMYFUNCTION("""COMPUTED_VALUE"""),"-")</f>
        <v>-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IFERROR(__xludf.DUMMYFUNCTION("""COMPUTED_VALUE"""),"PE(Honours)")</f>
        <v>PE(Honours)</v>
      </c>
      <c r="D98" s="2" t="str">
        <f>IFERROR(__xludf.DUMMYFUNCTION("""COMPUTED_VALUE"""),"NA")</f>
        <v>NA</v>
      </c>
      <c r="E98" s="2" t="str">
        <f>IFERROR(__xludf.DUMMYFUNCTION("""COMPUTED_VALUE"""),"19ME506")</f>
        <v>19ME506</v>
      </c>
      <c r="F98" s="7" t="str">
        <f>IFERROR(__xludf.DUMMYFUNCTION("""COMPUTED_VALUE"""),"Computational Techniques for Fluid Dynamics")</f>
        <v>Computational Techniques for Fluid Dynamics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IFERROR(__xludf.DUMMYFUNCTION("""COMPUTED_VALUE"""),"NA")</f>
        <v>NA</v>
      </c>
      <c r="E99" s="2" t="str">
        <f>IFERROR(__xludf.DUMMYFUNCTION("""COMPUTED_VALUE"""),"19ME507")</f>
        <v>19ME507</v>
      </c>
      <c r="F99" s="7" t="str">
        <f>IFERROR(__xludf.DUMMYFUNCTION("""COMPUTED_VALUE"""),"Product Design and Development")</f>
        <v>Product Design and Development</v>
      </c>
      <c r="G99" s="2" t="str">
        <f>IFERROR(__xludf.DUMMYFUNCTION("""COMPUTED_VALUE"""),"-")</f>
        <v>-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IFERROR(__xludf.DUMMYFUNCTION("""COMPUTED_VALUE"""),"PE(Honours)")</f>
        <v>PE(Honours)</v>
      </c>
      <c r="D100" s="2" t="str">
        <f>IFERROR(__xludf.DUMMYFUNCTION("""COMPUTED_VALUE"""),"NA")</f>
        <v>NA</v>
      </c>
      <c r="E100" s="2" t="str">
        <f>IFERROR(__xludf.DUMMYFUNCTION("""COMPUTED_VALUE"""),"19ME508")</f>
        <v>19ME508</v>
      </c>
      <c r="F100" s="7" t="str">
        <f>IFERROR(__xludf.DUMMYFUNCTION("""COMPUTED_VALUE"""),"Design Concepts in Engineering")</f>
        <v>Design Concepts in Engineering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IFERROR(__xludf.DUMMYFUNCTION("""COMPUTED_VALUE"""),"PE(Honours)")</f>
        <v>PE(Honours)</v>
      </c>
      <c r="D101" s="2" t="str">
        <f>IFERROR(__xludf.DUMMYFUNCTION("""COMPUTED_VALUE"""),"NA")</f>
        <v>NA</v>
      </c>
      <c r="E101" s="2" t="str">
        <f>IFERROR(__xludf.DUMMYFUNCTION("""COMPUTED_VALUE"""),"19ME509")</f>
        <v>19ME509</v>
      </c>
      <c r="F101" s="7" t="str">
        <f>IFERROR(__xludf.DUMMYFUNCTION("""COMPUTED_VALUE"""),"Design of Heat Exchangers")</f>
        <v>Design of Heat Exchangers</v>
      </c>
      <c r="G101" s="2" t="str">
        <f>IFERROR(__xludf.DUMMYFUNCTION("""COMPUTED_VALUE"""),"19ME406")</f>
        <v>19ME406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IFERROR(__xludf.DUMMYFUNCTION("""COMPUTED_VALUE"""),"NA")</f>
        <v>NA</v>
      </c>
      <c r="E102" s="2" t="str">
        <f>IFERROR(__xludf.DUMMYFUNCTION("""COMPUTED_VALUE"""),"19ME510")</f>
        <v>19ME510</v>
      </c>
      <c r="F102" s="7" t="str">
        <f>IFERROR(__xludf.DUMMYFUNCTION("""COMPUTED_VALUE"""),"Energy Conservation in Industries")</f>
        <v>Energy Conservation in Industries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IFERROR(__xludf.DUMMYFUNCTION("""COMPUTED_VALUE"""),"NA")</f>
        <v>NA</v>
      </c>
      <c r="E103" s="2" t="str">
        <f>IFERROR(__xludf.DUMMYFUNCTION("""COMPUTED_VALUE"""),"19ME516")</f>
        <v>19ME516</v>
      </c>
      <c r="F103" s="7" t="str">
        <f>IFERROR(__xludf.DUMMYFUNCTION("""COMPUTED_VALUE"""),"Additive Manufacturing Technology")</f>
        <v>Additive Manufacturing Technology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IFERROR(__xludf.DUMMYFUNCTION("""COMPUTED_VALUE"""),"NA")</f>
        <v>NA</v>
      </c>
      <c r="E104" s="2" t="str">
        <f>IFERROR(__xludf.DUMMYFUNCTION("""COMPUTED_VALUE"""),"19ME517")</f>
        <v>19ME517</v>
      </c>
      <c r="F104" s="7" t="str">
        <f>IFERROR(__xludf.DUMMYFUNCTION("""COMPUTED_VALUE"""),"Advanced Metrology")</f>
        <v>Advanced Metrology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IFERROR(__xludf.DUMMYFUNCTION("""COMPUTED_VALUE"""),"NA")</f>
        <v>NA</v>
      </c>
      <c r="E105" s="2" t="str">
        <f>IFERROR(__xludf.DUMMYFUNCTION("""COMPUTED_VALUE"""),"19ME518")</f>
        <v>19ME518</v>
      </c>
      <c r="F105" s="7" t="str">
        <f>IFERROR(__xludf.DUMMYFUNCTION("""COMPUTED_VALUE"""),"Casting and Welding Processes")</f>
        <v>Casting and Welding Processes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IFERROR(__xludf.DUMMYFUNCTION("""COMPUTED_VALUE"""),"NA")</f>
        <v>NA</v>
      </c>
      <c r="E106" s="2" t="str">
        <f>IFERROR(__xludf.DUMMYFUNCTION("""COMPUTED_VALUE"""),"19ME519")</f>
        <v>19ME519</v>
      </c>
      <c r="F106" s="7" t="str">
        <f>IFERROR(__xludf.DUMMYFUNCTION("""COMPUTED_VALUE"""),"Engineering Materials and Metallurgy")</f>
        <v>Engineering Materials and Metallurgy</v>
      </c>
      <c r="G106" s="2" t="str">
        <f>IFERROR(__xludf.DUMMYFUNCTION("""COMPUTED_VALUE"""),"19PH211")</f>
        <v>19PH211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IFERROR(__xludf.DUMMYFUNCTION("""COMPUTED_VALUE"""),"NA")</f>
        <v>NA</v>
      </c>
      <c r="E107" s="2" t="str">
        <f>IFERROR(__xludf.DUMMYFUNCTION("""COMPUTED_VALUE"""),"19ME522")</f>
        <v>19ME522</v>
      </c>
      <c r="F107" s="7" t="str">
        <f>IFERROR(__xludf.DUMMYFUNCTION("""COMPUTED_VALUE"""),"Measurement and Controls")</f>
        <v>Measurement and Controls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IFERROR(__xludf.DUMMYFUNCTION("""COMPUTED_VALUE"""),"NA")</f>
        <v>NA</v>
      </c>
      <c r="E108" s="2" t="str">
        <f>IFERROR(__xludf.DUMMYFUNCTION("""COMPUTED_VALUE"""),"19ME523")</f>
        <v>19ME523</v>
      </c>
      <c r="F108" s="7" t="str">
        <f>IFERROR(__xludf.DUMMYFUNCTION("""COMPUTED_VALUE"""),"Non Destructive Materials Evaluation")</f>
        <v>Non Destructive Materials Evaluation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IFERROR(__xludf.DUMMYFUNCTION("""COMPUTED_VALUE"""),"NA")</f>
        <v>NA</v>
      </c>
      <c r="E109" s="2" t="str">
        <f>IFERROR(__xludf.DUMMYFUNCTION("""COMPUTED_VALUE"""),"19ME524")</f>
        <v>19ME524</v>
      </c>
      <c r="F109" s="7" t="str">
        <f>IFERROR(__xludf.DUMMYFUNCTION("""COMPUTED_VALUE"""),"Sustainable and Green Manufacturing")</f>
        <v>Sustainable and Green Manufacturing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IFERROR(__xludf.DUMMYFUNCTION("""COMPUTED_VALUE"""),"NA")</f>
        <v>NA</v>
      </c>
      <c r="E110" s="2" t="str">
        <f>IFERROR(__xludf.DUMMYFUNCTION("""COMPUTED_VALUE"""),"19ME525")</f>
        <v>19ME525</v>
      </c>
      <c r="F110" s="7" t="str">
        <f>IFERROR(__xludf.DUMMYFUNCTION("""COMPUTED_VALUE"""),"Production, Planning and Control")</f>
        <v>Production, Planning and Control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IFERROR(__xludf.DUMMYFUNCTION("""COMPUTED_VALUE"""),"NA")</f>
        <v>NA</v>
      </c>
      <c r="E111" s="2" t="str">
        <f>IFERROR(__xludf.DUMMYFUNCTION("""COMPUTED_VALUE"""),"19ME526")</f>
        <v>19ME526</v>
      </c>
      <c r="F111" s="7" t="str">
        <f>IFERROR(__xludf.DUMMYFUNCTION("""COMPUTED_VALUE"""),"Quality Control and Reliability Engineering")</f>
        <v>Quality Control and Reliability Engineering</v>
      </c>
      <c r="G111" s="2" t="str">
        <f>IFERROR(__xludf.DUMMYFUNCTION("""COMPUTED_VALUE"""),"-")</f>
        <v>-</v>
      </c>
      <c r="H111" s="2">
        <f>IFERROR(__xludf.DUMMYFUNCTION("""COMPUTED_VALUE"""),2)</f>
        <v>2</v>
      </c>
      <c r="I111" s="2">
        <f>IFERROR(__xludf.DUMMYFUNCTION("""COMPUTED_VALUE"""),1)</f>
        <v>1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IFERROR(__xludf.DUMMYFUNCTION("""COMPUTED_VALUE"""),"NA")</f>
        <v>NA</v>
      </c>
      <c r="E112" s="2" t="str">
        <f>IFERROR(__xludf.DUMMYFUNCTION("""COMPUTED_VALUE"""),"19ME527")</f>
        <v>19ME527</v>
      </c>
      <c r="F112" s="7" t="str">
        <f>IFERROR(__xludf.DUMMYFUNCTION("""COMPUTED_VALUE"""),"Hydraulics and Pneumatics")</f>
        <v>Hydraulics and Pneumatics</v>
      </c>
      <c r="G112" s="2" t="str">
        <f>IFERROR(__xludf.DUMMYFUNCTION("""COMPUTED_VALUE"""),"-")</f>
        <v>-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IFERROR(__xludf.DUMMYFUNCTION("""COMPUTED_VALUE"""),"NA")</f>
        <v>NA</v>
      </c>
      <c r="E113" s="2" t="str">
        <f>IFERROR(__xludf.DUMMYFUNCTION("""COMPUTED_VALUE"""),"19ME530")</f>
        <v>19ME530</v>
      </c>
      <c r="F113" s="7" t="str">
        <f>IFERROR(__xludf.DUMMYFUNCTION("""COMPUTED_VALUE"""),"Machine Vision")</f>
        <v>Machine Vision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IFERROR(__xludf.DUMMYFUNCTION("""COMPUTED_VALUE"""),"NA")</f>
        <v>NA</v>
      </c>
      <c r="E114" s="2" t="str">
        <f>IFERROR(__xludf.DUMMYFUNCTION("""COMPUTED_VALUE"""),"19ME532")</f>
        <v>19ME532</v>
      </c>
      <c r="F114" s="7" t="str">
        <f>IFERROR(__xludf.DUMMYFUNCTION("""COMPUTED_VALUE"""),"Entrepreneurship Development")</f>
        <v>Entrepreneurship Development</v>
      </c>
      <c r="G114" s="2" t="str">
        <f>IFERROR(__xludf.DUMMYFUNCTION("""COMPUTED_VALUE"""),"-")</f>
        <v>-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IFERROR(__xludf.DUMMYFUNCTION("""COMPUTED_VALUE"""),"ME0571")</f>
        <v>ME0571</v>
      </c>
      <c r="E115" s="2" t="str">
        <f>IFERROR(__xludf.DUMMYFUNCTION("""COMPUTED_VALUE"""),"19ME571")</f>
        <v>19ME571</v>
      </c>
      <c r="F115" s="7" t="str">
        <f>IFERROR(__xludf.DUMMYFUNCTION("""COMPUTED_VALUE"""),"Advanced Solid Surface Design and Simulation Technique")</f>
        <v>Advanced Solid Surface Design and Simulation Technique</v>
      </c>
      <c r="G115" s="2" t="str">
        <f>IFERROR(__xludf.DUMMYFUNCTION("""COMPUTED_VALUE"""),"-")</f>
        <v>-</v>
      </c>
      <c r="H115" s="2">
        <f>IFERROR(__xludf.DUMMYFUNCTION("""COMPUTED_VALUE"""),0)</f>
        <v>0</v>
      </c>
      <c r="I115" s="2">
        <f>IFERROR(__xludf.DUMMYFUNCTION("""COMPUTED_VALUE"""),3)</f>
        <v>3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IFERROR(__xludf.DUMMYFUNCTION("""COMPUTED_VALUE"""),"Practical (10 Expts)")</f>
        <v>Practical (10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IFERROR(__xludf.DUMMYFUNCTION("""COMPUTED_VALUE"""),"OE")</f>
        <v>OE</v>
      </c>
      <c r="D116" s="2" t="str">
        <f>IFERROR(__xludf.DUMMYFUNCTION("""COMPUTED_VALUE"""),"XXXXXX")</f>
        <v>XXXXXX</v>
      </c>
      <c r="E116" s="2" t="str">
        <f>IFERROR(__xludf.DUMMYFUNCTION("""COMPUTED_VALUE"""),"19XXXXX")</f>
        <v>19XXXXX</v>
      </c>
      <c r="F116" s="3" t="str">
        <f>IFERROR(__xludf.DUMMYFUNCTION("""COMPUTED_VALUE"""),"Open Electives")</f>
        <v>Open Electives</v>
      </c>
      <c r="G116" s="2" t="str">
        <f>IFERROR(__xludf.DUMMYFUNCTION("""COMPUTED_VALUE"""),"-")</f>
        <v>-</v>
      </c>
      <c r="H116" s="2">
        <f>IFERROR(__xludf.DUMMYFUNCTION("""COMPUTED_VALUE"""),0)</f>
        <v>0</v>
      </c>
      <c r="I116" s="2">
        <f>IFERROR(__xludf.DUMMYFUNCTION("""COMPUTED_VALUE"""),0)</f>
        <v>0</v>
      </c>
      <c r="J116" s="2">
        <f>IFERROR(__xludf.DUMMYFUNCTION("""COMPUTED_VALUE"""),0)</f>
        <v>0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IFERROR(__xludf.DUMMYFUNCTION("""COMPUTED_VALUE"""),"OE")</f>
        <v>OE</v>
      </c>
      <c r="D117" s="2" t="str">
        <f>IFERROR(__xludf.DUMMYFUNCTION("""COMPUTED_VALUE"""),"XXXXXX")</f>
        <v>XXXXXX</v>
      </c>
      <c r="E117" s="2" t="str">
        <f>IFERROR(__xludf.DUMMYFUNCTION("""COMPUTED_VALUE"""),"19XXXXX")</f>
        <v>19XXXXX</v>
      </c>
      <c r="F117" s="3" t="str">
        <f>IFERROR(__xludf.DUMMYFUNCTION("""COMPUTED_VALUE"""),"Online Courses")</f>
        <v>Online Courses</v>
      </c>
      <c r="G117" s="2" t="str">
        <f>IFERROR(__xludf.DUMMYFUNCTION("""COMPUTED_VALUE"""),"-")</f>
        <v>-</v>
      </c>
      <c r="H117" s="2">
        <f>IFERROR(__xludf.DUMMYFUNCTION("""COMPUTED_VALUE"""),0)</f>
        <v>0</v>
      </c>
      <c r="I117" s="2">
        <f>IFERROR(__xludf.DUMMYFUNCTION("""COMPUTED_VALUE"""),0)</f>
        <v>0</v>
      </c>
      <c r="J117" s="2">
        <f>IFERROR(__xludf.DUMMYFUNCTION("""COMPUTED_VALUE"""),0)</f>
        <v>0</v>
      </c>
      <c r="K117" s="2" t="str">
        <f>IFERROR(__xludf.DUMMYFUNCTION("""COMPUTED_VALUE"""),"CGPA")</f>
        <v>CGPA</v>
      </c>
      <c r="L117" s="2" t="str">
        <f>IFERROR(__xludf.DUMMYFUNCTION("""COMPUTED_VALUE"""),"Experiential Learning")</f>
        <v>Experiential Learning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IFERROR(__xludf.DUMMYFUNCTION("""COMPUTED_VALUE"""),"EEC")</f>
        <v>EEC</v>
      </c>
      <c r="D118" s="2" t="str">
        <f>IFERROR(__xludf.DUMMYFUNCTION("""COMPUTED_VALUE"""),"ME0701")</f>
        <v>ME0701</v>
      </c>
      <c r="E118" s="2" t="str">
        <f>IFERROR(__xludf.DUMMYFUNCTION("""COMPUTED_VALUE"""),"19ME701")</f>
        <v>19ME701</v>
      </c>
      <c r="F118" s="7" t="str">
        <f>IFERROR(__xludf.DUMMYFUNCTION("""COMPUTED_VALUE"""),"Design and Fabrication Project")</f>
        <v>Design and Fabrication Project</v>
      </c>
      <c r="G118" s="2" t="str">
        <f>IFERROR(__xludf.DUMMYFUNCTION("""COMPUTED_VALUE"""),"-")</f>
        <v>-</v>
      </c>
      <c r="H118" s="2">
        <f>IFERROR(__xludf.DUMMYFUNCTION("""COMPUTED_VALUE"""),0)</f>
        <v>0</v>
      </c>
      <c r="I118" s="2">
        <f>IFERROR(__xludf.DUMMYFUNCTION("""COMPUTED_VALUE"""),2)</f>
        <v>2</v>
      </c>
      <c r="J118" s="2">
        <f>IFERROR(__xludf.DUMMYFUNCTION("""COMPUTED_VALUE"""),2)</f>
        <v>2</v>
      </c>
      <c r="K118" s="2" t="str">
        <f>IFERROR(__xludf.DUMMYFUNCTION("""COMPUTED_VALUE"""),"CGPA")</f>
        <v>CGPA</v>
      </c>
      <c r="L118" s="2" t="str">
        <f>IFERROR(__xludf.DUMMYFUNCTION("""COMPUTED_VALUE"""),"Practical (10 Expts)")</f>
        <v>Practical (10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IFERROR(__xludf.DUMMYFUNCTION("""COMPUTED_VALUE"""),"EEC")</f>
        <v>EEC</v>
      </c>
      <c r="D119" s="2" t="str">
        <f>IFERROR(__xludf.DUMMYFUNCTION("""COMPUTED_VALUE"""),"ME0702")</f>
        <v>ME0702</v>
      </c>
      <c r="E119" s="2" t="str">
        <f>IFERROR(__xludf.DUMMYFUNCTION("""COMPUTED_VALUE"""),"19ME702")</f>
        <v>19ME702</v>
      </c>
      <c r="F119" s="7" t="str">
        <f>IFERROR(__xludf.DUMMYFUNCTION("""COMPUTED_VALUE"""),"Project Work Phase I")</f>
        <v>Project Work Phase I</v>
      </c>
      <c r="G119" s="2" t="str">
        <f>IFERROR(__xludf.DUMMYFUNCTION("""COMPUTED_VALUE"""),"-")</f>
        <v>-</v>
      </c>
      <c r="H119" s="2">
        <f>IFERROR(__xludf.DUMMYFUNCTION("""COMPUTED_VALUE"""),0)</f>
        <v>0</v>
      </c>
      <c r="I119" s="2">
        <f>IFERROR(__xludf.DUMMYFUNCTION("""COMPUTED_VALUE"""),2)</f>
        <v>2</v>
      </c>
      <c r="J119" s="2">
        <f>IFERROR(__xludf.DUMMYFUNCTION("""COMPUTED_VALUE"""),2)</f>
        <v>2</v>
      </c>
      <c r="K119" s="2" t="str">
        <f>IFERROR(__xludf.DUMMYFUNCTION("""COMPUTED_VALUE"""),"CGPA")</f>
        <v>CGPA</v>
      </c>
      <c r="L119" s="2" t="str">
        <f>IFERROR(__xludf.DUMMYFUNCTION("""COMPUTED_VALUE"""),"Project (Int Only)")</f>
        <v>Project (Int Only)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IFERROR(__xludf.DUMMYFUNCTION("""COMPUTED_VALUE"""),"EEC")</f>
        <v>EEC</v>
      </c>
      <c r="D120" s="2" t="str">
        <f>IFERROR(__xludf.DUMMYFUNCTION("""COMPUTED_VALUE"""),"ME0703")</f>
        <v>ME0703</v>
      </c>
      <c r="E120" s="2" t="str">
        <f>IFERROR(__xludf.DUMMYFUNCTION("""COMPUTED_VALUE"""),"19ME703")</f>
        <v>19ME703</v>
      </c>
      <c r="F120" s="7" t="str">
        <f>IFERROR(__xludf.DUMMYFUNCTION("""COMPUTED_VALUE"""),"Project Work Phase II")</f>
        <v>Project Work Phase II</v>
      </c>
      <c r="G120" s="2" t="str">
        <f>IFERROR(__xludf.DUMMYFUNCTION("""COMPUTED_VALUE"""),"-")</f>
        <v>-</v>
      </c>
      <c r="H120" s="2">
        <f>IFERROR(__xludf.DUMMYFUNCTION("""COMPUTED_VALUE"""),0)</f>
        <v>0</v>
      </c>
      <c r="I120" s="2">
        <f>IFERROR(__xludf.DUMMYFUNCTION("""COMPUTED_VALUE"""),6)</f>
        <v>6</v>
      </c>
      <c r="J120" s="2">
        <f>IFERROR(__xludf.DUMMYFUNCTION("""COMPUTED_VALUE"""),6)</f>
        <v>6</v>
      </c>
      <c r="K120" s="2" t="str">
        <f>IFERROR(__xludf.DUMMYFUNCTION("""COMPUTED_VALUE"""),"CGPA")</f>
        <v>CGPA</v>
      </c>
      <c r="L120" s="2" t="str">
        <f>IFERROR(__xludf.DUMMYFUNCTION("""COMPUTED_VALUE"""),"Project")</f>
        <v>Project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 t="str">
        <f>IFERROR(__xludf.DUMMYFUNCTION("""COMPUTED_VALUE"""),"Any 1")</f>
        <v>Any 1</v>
      </c>
      <c r="C121" s="2" t="str">
        <f>IFERROR(__xludf.DUMMYFUNCTION("""COMPUTED_VALUE"""),"EEC")</f>
        <v>EEC</v>
      </c>
      <c r="D121" s="2" t="str">
        <f>IFERROR(__xludf.DUMMYFUNCTION("""COMPUTED_VALUE"""),"NA")</f>
        <v>NA</v>
      </c>
      <c r="E121" s="2" t="str">
        <f>IFERROR(__xludf.DUMMYFUNCTION("""COMPUTED_VALUE"""),"19EY701")</f>
        <v>19EY701</v>
      </c>
      <c r="F121" s="7" t="str">
        <f>IFERROR(__xludf.DUMMYFUNCTION("""COMPUTED_VALUE"""),"Softskills")</f>
        <v>Softskills</v>
      </c>
      <c r="G121" s="2" t="str">
        <f>IFERROR(__xludf.DUMMYFUNCTION("""COMPUTED_VALUE"""),"-")</f>
        <v>-</v>
      </c>
      <c r="H121" s="2">
        <f>IFERROR(__xludf.DUMMYFUNCTION("""COMPUTED_VALUE"""),0)</f>
        <v>0</v>
      </c>
      <c r="I121" s="2">
        <f>IFERROR(__xludf.DUMMYFUNCTION("""COMPUTED_VALUE"""),1)</f>
        <v>1</v>
      </c>
      <c r="J121" s="2">
        <f>IFERROR(__xludf.DUMMYFUNCTION("""COMPUTED_VALUE"""),1)</f>
        <v>1</v>
      </c>
      <c r="K121" s="2" t="str">
        <f>IFERROR(__xludf.DUMMYFUNCTION("""COMPUTED_VALUE"""),"CGPA")</f>
        <v>CGPA</v>
      </c>
      <c r="L121" s="2" t="str">
        <f>IFERROR(__xludf.DUMMYFUNCTION("""COMPUTED_VALUE"""),"Practical (6 Expts)")</f>
        <v>Practical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 t="str">
        <f>IFERROR(__xludf.DUMMYFUNCTION("""COMPUTED_VALUE"""),"Any 1")</f>
        <v>Any 1</v>
      </c>
      <c r="C122" s="2" t="str">
        <f>IFERROR(__xludf.DUMMYFUNCTION("""COMPUTED_VALUE"""),"EEC")</f>
        <v>EEC</v>
      </c>
      <c r="D122" s="2" t="str">
        <f>IFERROR(__xludf.DUMMYFUNCTION("""COMPUTED_VALUE"""),"SH6708")</f>
        <v>SH6708</v>
      </c>
      <c r="E122" s="2" t="str">
        <f>IFERROR(__xludf.DUMMYFUNCTION("""COMPUTED_VALUE"""),"19EY708")</f>
        <v>19EY708</v>
      </c>
      <c r="F122" s="7" t="str">
        <f>IFERROR(__xludf.DUMMYFUNCTION("""COMPUTED_VALUE"""),"Career Development Skills")</f>
        <v>Career Development Skills</v>
      </c>
      <c r="G122" s="2" t="str">
        <f>IFERROR(__xludf.DUMMYFUNCTION("""COMPUTED_VALUE"""),"NIL")</f>
        <v>NIL</v>
      </c>
      <c r="H122" s="2">
        <f>IFERROR(__xludf.DUMMYFUNCTION("""COMPUTED_VALUE"""),1)</f>
        <v>1</v>
      </c>
      <c r="I122" s="2">
        <f>IFERROR(__xludf.DUMMYFUNCTION("""COMPUTED_VALUE"""),0)</f>
        <v>0</v>
      </c>
      <c r="J122" s="2">
        <f>IFERROR(__xludf.DUMMYFUNCTION("""COMPUTED_VALUE"""),1)</f>
        <v>1</v>
      </c>
      <c r="K122" s="2" t="str">
        <f>IFERROR(__xludf.DUMMYFUNCTION("""COMPUTED_VALUE"""),"CGPA")</f>
        <v>CGPA</v>
      </c>
      <c r="L122" s="2" t="str">
        <f>IFERROR(__xludf.DUMMYFUNCTION("""COMPUTED_VALUE"""),"Theory (Int Only)")</f>
        <v>Theory (Int Only)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 t="str">
        <f>IFERROR(__xludf.DUMMYFUNCTION("""COMPUTED_VALUE"""),"Any 1")</f>
        <v>Any 1</v>
      </c>
      <c r="C123" s="26" t="str">
        <f>IFERROR(__xludf.DUMMYFUNCTION("""COMPUTED_VALUE"""),"EEC")</f>
        <v>EEC</v>
      </c>
      <c r="D123" s="26" t="str">
        <f>IFERROR(__xludf.DUMMYFUNCTION("""COMPUTED_VALUE"""),"NA")</f>
        <v>NA</v>
      </c>
      <c r="E123" s="26" t="str">
        <f>IFERROR(__xludf.DUMMYFUNCTION("""COMPUTED_VALUE"""),"19EY702")</f>
        <v>19EY702</v>
      </c>
      <c r="F123" s="27" t="str">
        <f>IFERROR(__xludf.DUMMYFUNCTION("""COMPUTED_VALUE"""),"Creative Skills for Communication")</f>
        <v>Creative Skills for Communication</v>
      </c>
      <c r="G123" s="26" t="str">
        <f>IFERROR(__xludf.DUMMYFUNCTION("""COMPUTED_VALUE"""),"-")</f>
        <v>-</v>
      </c>
      <c r="H123" s="26">
        <f>IFERROR(__xludf.DUMMYFUNCTION("""COMPUTED_VALUE"""),0)</f>
        <v>0</v>
      </c>
      <c r="I123" s="26">
        <f>IFERROR(__xludf.DUMMYFUNCTION("""COMPUTED_VALUE"""),1)</f>
        <v>1</v>
      </c>
      <c r="J123" s="26">
        <f>IFERROR(__xludf.DUMMYFUNCTION("""COMPUTED_VALUE"""),1)</f>
        <v>1</v>
      </c>
      <c r="K123" s="26" t="str">
        <f>IFERROR(__xludf.DUMMYFUNCTION("""COMPUTED_VALUE"""),"CGPA")</f>
        <v>CGPA</v>
      </c>
      <c r="L123" s="26" t="str">
        <f>IFERROR(__xludf.DUMMYFUNCTION("""COMPUTED_VALUE"""),"Practical (6 Expts)")</f>
        <v>Practical (6 Expts)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 t="str">
        <f>IFERROR(__xludf.DUMMYFUNCTION("""COMPUTED_VALUE"""),"Any 1")</f>
        <v>Any 1</v>
      </c>
      <c r="C124" s="26" t="str">
        <f>IFERROR(__xludf.DUMMYFUNCTION("""COMPUTED_VALUE"""),"EEC")</f>
        <v>EEC</v>
      </c>
      <c r="D124" s="26" t="str">
        <f>IFERROR(__xludf.DUMMYFUNCTION("""COMPUTED_VALUE"""),"SH6709")</f>
        <v>SH6709</v>
      </c>
      <c r="E124" s="26" t="str">
        <f>IFERROR(__xludf.DUMMYFUNCTION("""COMPUTED_VALUE"""),"19EY709")</f>
        <v>19EY709</v>
      </c>
      <c r="F124" s="27" t="str">
        <f>IFERROR(__xludf.DUMMYFUNCTION("""COMPUTED_VALUE"""),"Reasoning Ability")</f>
        <v>Reasoning Ability</v>
      </c>
      <c r="G124" s="26" t="str">
        <f>IFERROR(__xludf.DUMMYFUNCTION("""COMPUTED_VALUE"""),"NIL")</f>
        <v>NIL</v>
      </c>
      <c r="H124" s="26">
        <f>IFERROR(__xludf.DUMMYFUNCTION("""COMPUTED_VALUE"""),1)</f>
        <v>1</v>
      </c>
      <c r="I124" s="26">
        <f>IFERROR(__xludf.DUMMYFUNCTION("""COMPUTED_VALUE"""),0)</f>
        <v>0</v>
      </c>
      <c r="J124" s="26">
        <f>IFERROR(__xludf.DUMMYFUNCTION("""COMPUTED_VALUE"""),1)</f>
        <v>1</v>
      </c>
      <c r="K124" s="26" t="str">
        <f>IFERROR(__xludf.DUMMYFUNCTION("""COMPUTED_VALUE"""),"CGPA")</f>
        <v>CGPA</v>
      </c>
      <c r="L124" s="26" t="str">
        <f>IFERROR(__xludf.DUMMYFUNCTION("""COMPUTED_VALUE"""),"Theory (Int Only)")</f>
        <v>Theory (Int Only)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 t="str">
        <f>IFERROR(__xludf.DUMMYFUNCTION("""COMPUTED_VALUE"""),"Option 1")</f>
        <v>Option 1</v>
      </c>
      <c r="C125" s="26" t="str">
        <f>IFERROR(__xludf.DUMMYFUNCTION("""COMPUTED_VALUE"""),"EEC")</f>
        <v>EEC</v>
      </c>
      <c r="D125" s="26" t="str">
        <f>IFERROR(__xludf.DUMMYFUNCTION("""COMPUTED_VALUE"""),"NA")</f>
        <v>NA</v>
      </c>
      <c r="E125" s="26" t="str">
        <f>IFERROR(__xludf.DUMMYFUNCTION("""COMPUTED_VALUE"""),"19EY703")</f>
        <v>19EY703</v>
      </c>
      <c r="F125" s="27" t="str">
        <f>IFERROR(__xludf.DUMMYFUNCTION("""COMPUTED_VALUE"""),"System of Numerical and Logical Terminologies")</f>
        <v>System of Numerical and Logical Terminologies</v>
      </c>
      <c r="G125" s="26" t="str">
        <f>IFERROR(__xludf.DUMMYFUNCTION("""COMPUTED_VALUE"""),"-")</f>
        <v>-</v>
      </c>
      <c r="H125" s="26">
        <f>IFERROR(__xludf.DUMMYFUNCTION("""COMPUTED_VALUE"""),0)</f>
        <v>0</v>
      </c>
      <c r="I125" s="26">
        <f>IFERROR(__xludf.DUMMYFUNCTION("""COMPUTED_VALUE"""),1)</f>
        <v>1</v>
      </c>
      <c r="J125" s="26">
        <f>IFERROR(__xludf.DUMMYFUNCTION("""COMPUTED_VALUE"""),1)</f>
        <v>1</v>
      </c>
      <c r="K125" s="26" t="str">
        <f>IFERROR(__xludf.DUMMYFUNCTION("""COMPUTED_VALUE"""),"CGPA")</f>
        <v>CGPA</v>
      </c>
      <c r="L125" s="26" t="str">
        <f>IFERROR(__xludf.DUMMYFUNCTION("""COMPUTED_VALUE"""),"Practical (6 Expts)")</f>
        <v>Practical (6 Expts)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 t="str">
        <f>IFERROR(__xludf.DUMMYFUNCTION("""COMPUTED_VALUE"""),"Option 1")</f>
        <v>Option 1</v>
      </c>
      <c r="C126" s="26" t="str">
        <f>IFERROR(__xludf.DUMMYFUNCTION("""COMPUTED_VALUE"""),"EEC")</f>
        <v>EEC</v>
      </c>
      <c r="D126" s="26" t="str">
        <f>IFERROR(__xludf.DUMMYFUNCTION("""COMPUTED_VALUE"""),"NA")</f>
        <v>NA</v>
      </c>
      <c r="E126" s="26" t="str">
        <f>IFERROR(__xludf.DUMMYFUNCTION("""COMPUTED_VALUE"""),"19EY704")</f>
        <v>19EY704</v>
      </c>
      <c r="F126" s="27" t="str">
        <f>IFERROR(__xludf.DUMMYFUNCTION("""COMPUTED_VALUE"""),"Advanced Quantitative and Logical Reasoning")</f>
        <v>Advanced Quantitative and Logical Reasoning</v>
      </c>
      <c r="G126" s="26" t="str">
        <f>IFERROR(__xludf.DUMMYFUNCTION("""COMPUTED_VALUE"""),"-")</f>
        <v>-</v>
      </c>
      <c r="H126" s="26">
        <f>IFERROR(__xludf.DUMMYFUNCTION("""COMPUTED_VALUE"""),0)</f>
        <v>0</v>
      </c>
      <c r="I126" s="26">
        <f>IFERROR(__xludf.DUMMYFUNCTION("""COMPUTED_VALUE"""),1)</f>
        <v>1</v>
      </c>
      <c r="J126" s="26">
        <f>IFERROR(__xludf.DUMMYFUNCTION("""COMPUTED_VALUE"""),1)</f>
        <v>1</v>
      </c>
      <c r="K126" s="26" t="str">
        <f>IFERROR(__xludf.DUMMYFUNCTION("""COMPUTED_VALUE"""),"CGPA")</f>
        <v>CGPA</v>
      </c>
      <c r="L126" s="26" t="str">
        <f>IFERROR(__xludf.DUMMYFUNCTION("""COMPUTED_VALUE"""),"Practical (6 Expts)")</f>
        <v>Practical (6 Expts)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 t="str">
        <f>IFERROR(__xludf.DUMMYFUNCTION("""COMPUTED_VALUE"""),"Option 2")</f>
        <v>Option 2</v>
      </c>
      <c r="C127" s="26" t="str">
        <f>IFERROR(__xludf.DUMMYFUNCTION("""COMPUTED_VALUE"""),"EEC")</f>
        <v>EEC</v>
      </c>
      <c r="D127" s="26" t="str">
        <f>IFERROR(__xludf.DUMMYFUNCTION("""COMPUTED_VALUE"""),"SH6710")</f>
        <v>SH6710</v>
      </c>
      <c r="E127" s="26" t="str">
        <f>IFERROR(__xludf.DUMMYFUNCTION("""COMPUTED_VALUE"""),"19EY710")</f>
        <v>19EY710</v>
      </c>
      <c r="F127" s="27" t="str">
        <f>IFERROR(__xludf.DUMMYFUNCTION("""COMPUTED_VALUE"""),"Quantitative Ability I")</f>
        <v>Quantitative Ability I</v>
      </c>
      <c r="G127" s="26" t="str">
        <f>IFERROR(__xludf.DUMMYFUNCTION("""COMPUTED_VALUE"""),"NIL")</f>
        <v>NIL</v>
      </c>
      <c r="H127" s="26">
        <f>IFERROR(__xludf.DUMMYFUNCTION("""COMPUTED_VALUE"""),1)</f>
        <v>1</v>
      </c>
      <c r="I127" s="26">
        <f>IFERROR(__xludf.DUMMYFUNCTION("""COMPUTED_VALUE"""),0)</f>
        <v>0</v>
      </c>
      <c r="J127" s="26">
        <f>IFERROR(__xludf.DUMMYFUNCTION("""COMPUTED_VALUE"""),1)</f>
        <v>1</v>
      </c>
      <c r="K127" s="26" t="str">
        <f>IFERROR(__xludf.DUMMYFUNCTION("""COMPUTED_VALUE"""),"CGPA")</f>
        <v>CGPA</v>
      </c>
      <c r="L127" s="26" t="str">
        <f>IFERROR(__xludf.DUMMYFUNCTION("""COMPUTED_VALUE"""),"Theory (Int Only)")</f>
        <v>Theory (Int Only)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 t="str">
        <f>IFERROR(__xludf.DUMMYFUNCTION("""COMPUTED_VALUE"""),"Option 2")</f>
        <v>Option 2</v>
      </c>
      <c r="C128" s="26" t="str">
        <f>IFERROR(__xludf.DUMMYFUNCTION("""COMPUTED_VALUE"""),"EEC")</f>
        <v>EEC</v>
      </c>
      <c r="D128" s="26" t="str">
        <f>IFERROR(__xludf.DUMMYFUNCTION("""COMPUTED_VALUE"""),"SH6711")</f>
        <v>SH6711</v>
      </c>
      <c r="E128" s="26" t="str">
        <f>IFERROR(__xludf.DUMMYFUNCTION("""COMPUTED_VALUE"""),"19EY711")</f>
        <v>19EY711</v>
      </c>
      <c r="F128" s="27" t="str">
        <f>IFERROR(__xludf.DUMMYFUNCTION("""COMPUTED_VALUE"""),"Quantitative Ability II")</f>
        <v>Quantitative Ability II</v>
      </c>
      <c r="G128" s="26" t="str">
        <f>IFERROR(__xludf.DUMMYFUNCTION("""COMPUTED_VALUE"""),"SH6710 /19EY710")</f>
        <v>SH6710 /19EY710</v>
      </c>
      <c r="H128" s="26">
        <f>IFERROR(__xludf.DUMMYFUNCTION("""COMPUTED_VALUE"""),1)</f>
        <v>1</v>
      </c>
      <c r="I128" s="26">
        <f>IFERROR(__xludf.DUMMYFUNCTION("""COMPUTED_VALUE"""),0)</f>
        <v>0</v>
      </c>
      <c r="J128" s="26">
        <f>IFERROR(__xludf.DUMMYFUNCTION("""COMPUTED_VALUE"""),1)</f>
        <v>1</v>
      </c>
      <c r="K128" s="26" t="str">
        <f>IFERROR(__xludf.DUMMYFUNCTION("""COMPUTED_VALUE"""),"CGPA")</f>
        <v>CGPA</v>
      </c>
      <c r="L128" s="26" t="str">
        <f>IFERROR(__xludf.DUMMYFUNCTION("""COMPUTED_VALUE"""),"Theory (Int Only)")</f>
        <v>Theory (Int Only)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 t="str">
        <f>IFERROR(__xludf.DUMMYFUNCTION("""COMPUTED_VALUE"""),"Any 1")</f>
        <v>Any 1</v>
      </c>
      <c r="C129" s="26" t="str">
        <f>IFERROR(__xludf.DUMMYFUNCTION("""COMPUTED_VALUE"""),"EEC")</f>
        <v>EEC</v>
      </c>
      <c r="D129" s="26" t="str">
        <f>IFERROR(__xludf.DUMMYFUNCTION("""COMPUTED_VALUE"""),"NA")</f>
        <v>NA</v>
      </c>
      <c r="E129" s="26" t="str">
        <f>IFERROR(__xludf.DUMMYFUNCTION("""COMPUTED_VALUE"""),"19EY705")</f>
        <v>19EY705</v>
      </c>
      <c r="F129" s="27" t="str">
        <f>IFERROR(__xludf.DUMMYFUNCTION("""COMPUTED_VALUE"""),"Employment Enhancement Skills")</f>
        <v>Employment Enhancement Skills</v>
      </c>
      <c r="G129" s="26" t="str">
        <f>IFERROR(__xludf.DUMMYFUNCTION("""COMPUTED_VALUE"""),"-")</f>
        <v>-</v>
      </c>
      <c r="H129" s="26">
        <f>IFERROR(__xludf.DUMMYFUNCTION("""COMPUTED_VALUE"""),0)</f>
        <v>0</v>
      </c>
      <c r="I129" s="26">
        <f>IFERROR(__xludf.DUMMYFUNCTION("""COMPUTED_VALUE"""),1)</f>
        <v>1</v>
      </c>
      <c r="J129" s="26">
        <f>IFERROR(__xludf.DUMMYFUNCTION("""COMPUTED_VALUE"""),1)</f>
        <v>1</v>
      </c>
      <c r="K129" s="26" t="str">
        <f>IFERROR(__xludf.DUMMYFUNCTION("""COMPUTED_VALUE"""),"CGPA")</f>
        <v>CGPA</v>
      </c>
      <c r="L129" s="26" t="str">
        <f>IFERROR(__xludf.DUMMYFUNCTION("""COMPUTED_VALUE"""),"Practical (6 Expts)")</f>
        <v>Practical (6 Expts)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 t="str">
        <f>IFERROR(__xludf.DUMMYFUNCTION("""COMPUTED_VALUE"""),"Any 1")</f>
        <v>Any 1</v>
      </c>
      <c r="C130" s="26" t="str">
        <f>IFERROR(__xludf.DUMMYFUNCTION("""COMPUTED_VALUE"""),"EEC")</f>
        <v>EEC</v>
      </c>
      <c r="D130" s="26" t="str">
        <f>IFERROR(__xludf.DUMMYFUNCTION("""COMPUTED_VALUE"""),"SH6712")</f>
        <v>SH6712</v>
      </c>
      <c r="E130" s="26" t="str">
        <f>IFERROR(__xludf.DUMMYFUNCTION("""COMPUTED_VALUE"""),"19EY712")</f>
        <v>19EY712</v>
      </c>
      <c r="F130" s="27" t="str">
        <f>IFERROR(__xludf.DUMMYFUNCTION("""COMPUTED_VALUE"""),"Employment Enrichment Skills")</f>
        <v>Employment Enrichment Skills</v>
      </c>
      <c r="G130" s="26" t="str">
        <f>IFERROR(__xludf.DUMMYFUNCTION("""COMPUTED_VALUE"""),"19EY702 / 19EY709 / SH6709")</f>
        <v>19EY702 / 19EY709 / SH6709</v>
      </c>
      <c r="H130" s="26">
        <f>IFERROR(__xludf.DUMMYFUNCTION("""COMPUTED_VALUE"""),1)</f>
        <v>1</v>
      </c>
      <c r="I130" s="26">
        <f>IFERROR(__xludf.DUMMYFUNCTION("""COMPUTED_VALUE"""),0)</f>
        <v>0</v>
      </c>
      <c r="J130" s="26">
        <f>IFERROR(__xludf.DUMMYFUNCTION("""COMPUTED_VALUE"""),1)</f>
        <v>1</v>
      </c>
      <c r="K130" s="26" t="str">
        <f>IFERROR(__xludf.DUMMYFUNCTION("""COMPUTED_VALUE"""),"CGPA")</f>
        <v>CGPA</v>
      </c>
      <c r="L130" s="26" t="str">
        <f>IFERROR(__xludf.DUMMYFUNCTION("""COMPUTED_VALUE"""),"Theory (Int Only)")</f>
        <v>Theory (Int Only)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 t="str">
        <f>IFERROR(__xludf.DUMMYFUNCTION("""COMPUTED_VALUE"""),"Any 1")</f>
        <v>Any 1</v>
      </c>
      <c r="C131" s="26" t="str">
        <f>IFERROR(__xludf.DUMMYFUNCTION("""COMPUTED_VALUE"""),"EEC")</f>
        <v>EEC</v>
      </c>
      <c r="D131" s="26" t="str">
        <f>IFERROR(__xludf.DUMMYFUNCTION("""COMPUTED_VALUE"""),"NA")</f>
        <v>NA</v>
      </c>
      <c r="E131" s="26" t="str">
        <f>IFERROR(__xludf.DUMMYFUNCTION("""COMPUTED_VALUE"""),"19EY706")</f>
        <v>19EY706</v>
      </c>
      <c r="F131" s="27" t="str">
        <f>IFERROR(__xludf.DUMMYFUNCTION("""COMPUTED_VALUE"""),"Company Specific Assessments For Employability")</f>
        <v>Company Specific Assessments For Employability</v>
      </c>
      <c r="G131" s="26" t="str">
        <f>IFERROR(__xludf.DUMMYFUNCTION("""COMPUTED_VALUE"""),"-")</f>
        <v>-</v>
      </c>
      <c r="H131" s="26">
        <f>IFERROR(__xludf.DUMMYFUNCTION("""COMPUTED_VALUE"""),0)</f>
        <v>0</v>
      </c>
      <c r="I131" s="26">
        <f>IFERROR(__xludf.DUMMYFUNCTION("""COMPUTED_VALUE"""),1)</f>
        <v>1</v>
      </c>
      <c r="J131" s="26">
        <f>IFERROR(__xludf.DUMMYFUNCTION("""COMPUTED_VALUE"""),1)</f>
        <v>1</v>
      </c>
      <c r="K131" s="26" t="str">
        <f>IFERROR(__xludf.DUMMYFUNCTION("""COMPUTED_VALUE"""),"CGPA")</f>
        <v>CGPA</v>
      </c>
      <c r="L131" s="26" t="str">
        <f>IFERROR(__xludf.DUMMYFUNCTION("""COMPUTED_VALUE"""),"Practical (6 Expts)")</f>
        <v>Practical (6 Expts)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 t="str">
        <f>IFERROR(__xludf.DUMMYFUNCTION("""COMPUTED_VALUE"""),"Any 1")</f>
        <v>Any 1</v>
      </c>
      <c r="C132" s="26" t="str">
        <f>IFERROR(__xludf.DUMMYFUNCTION("""COMPUTED_VALUE"""),"EEC")</f>
        <v>EEC</v>
      </c>
      <c r="D132" s="26" t="str">
        <f>IFERROR(__xludf.DUMMYFUNCTION("""COMPUTED_VALUE"""),"SH6713")</f>
        <v>SH6713</v>
      </c>
      <c r="E132" s="26" t="str">
        <f>IFERROR(__xludf.DUMMYFUNCTION("""COMPUTED_VALUE"""),"19EY713")</f>
        <v>19EY713</v>
      </c>
      <c r="F132" s="27" t="str">
        <f>IFERROR(__xludf.DUMMYFUNCTION("""COMPUTED_VALUE"""),"Placement Readiness Assessment")</f>
        <v>Placement Readiness Assessment</v>
      </c>
      <c r="G132" s="26" t="str">
        <f>IFERROR(__xludf.DUMMYFUNCTION("""COMPUTED_VALUE"""),"19EY704 / 19EY711/SH6711")</f>
        <v>19EY704 / 19EY711/SH6711</v>
      </c>
      <c r="H132" s="26">
        <f>IFERROR(__xludf.DUMMYFUNCTION("""COMPUTED_VALUE"""),1)</f>
        <v>1</v>
      </c>
      <c r="I132" s="26">
        <f>IFERROR(__xludf.DUMMYFUNCTION("""COMPUTED_VALUE"""),0)</f>
        <v>0</v>
      </c>
      <c r="J132" s="26">
        <f>IFERROR(__xludf.DUMMYFUNCTION("""COMPUTED_VALUE"""),1)</f>
        <v>1</v>
      </c>
      <c r="K132" s="26" t="str">
        <f>IFERROR(__xludf.DUMMYFUNCTION("""COMPUTED_VALUE"""),"CGPA")</f>
        <v>CGPA</v>
      </c>
      <c r="L132" s="26" t="str">
        <f>IFERROR(__xludf.DUMMYFUNCTION("""COMPUTED_VALUE"""),"Theory (Int Only)")</f>
        <v>Theory (Int Only)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IFERROR(__xludf.DUMMYFUNCTION("""COMPUTED_VALUE"""),"EEC")</f>
        <v>EEC</v>
      </c>
      <c r="D133" s="26" t="str">
        <f>IFERROR(__xludf.DUMMYFUNCTION("""COMPUTED_VALUE"""),"SH6707")</f>
        <v>SH6707</v>
      </c>
      <c r="E133" s="26" t="str">
        <f>IFERROR(__xludf.DUMMYFUNCTION("""COMPUTED_VALUE"""),"19EY707")</f>
        <v>19EY707</v>
      </c>
      <c r="F133" s="27" t="str">
        <f>IFERROR(__xludf.DUMMYFUNCTION("""COMPUTED_VALUE"""),"Paper Publication")</f>
        <v>Paper Publication</v>
      </c>
      <c r="G133" s="26" t="str">
        <f>IFERROR(__xludf.DUMMYFUNCTION("""COMPUTED_VALUE"""),"-")</f>
        <v>-</v>
      </c>
      <c r="H133" s="26">
        <f>IFERROR(__xludf.DUMMYFUNCTION("""COMPUTED_VALUE"""),0)</f>
        <v>0</v>
      </c>
      <c r="I133" s="26">
        <f>IFERROR(__xludf.DUMMYFUNCTION("""COMPUTED_VALUE"""),0)</f>
        <v>0</v>
      </c>
      <c r="J133" s="26">
        <f>IFERROR(__xludf.DUMMYFUNCTION("""COMPUTED_VALUE"""),1)</f>
        <v>1</v>
      </c>
      <c r="K133" s="26" t="str">
        <f>IFERROR(__xludf.DUMMYFUNCTION("""COMPUTED_VALUE"""),"NON-CGPA")</f>
        <v>NON-CGPA</v>
      </c>
      <c r="L133" s="26" t="str">
        <f>IFERROR(__xludf.DUMMYFUNCTION("""COMPUTED_VALUE"""),"Experiential Learning (Int Only)")</f>
        <v>Experiential Learning (Int Only)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IFERROR(__xludf.DUMMYFUNCTION("""COMPUTED_VALUE"""),"MC")</f>
        <v>MC</v>
      </c>
      <c r="D134" s="26" t="str">
        <f>IFERROR(__xludf.DUMMYFUNCTION("""COMPUTED_VALUE"""),"NA")</f>
        <v>NA</v>
      </c>
      <c r="E134" s="26" t="str">
        <f>IFERROR(__xludf.DUMMYFUNCTION("""COMPUTED_VALUE"""),"19MC801")</f>
        <v>19MC801</v>
      </c>
      <c r="F134" s="27" t="str">
        <f>IFERROR(__xludf.DUMMYFUNCTION("""COMPUTED_VALUE"""),"Professional Ethics")</f>
        <v>Professional Ethics</v>
      </c>
      <c r="G134" s="26" t="str">
        <f>IFERROR(__xludf.DUMMYFUNCTION("""COMPUTED_VALUE"""),"-")</f>
        <v>-</v>
      </c>
      <c r="H134" s="26">
        <f>IFERROR(__xludf.DUMMYFUNCTION("""COMPUTED_VALUE"""),0)</f>
        <v>0</v>
      </c>
      <c r="I134" s="26">
        <f>IFERROR(__xludf.DUMMYFUNCTION("""COMPUTED_VALUE"""),0)</f>
        <v>0</v>
      </c>
      <c r="J134" s="26">
        <f>IFERROR(__xludf.DUMMYFUNCTION("""COMPUTED_VALUE"""),0)</f>
        <v>0</v>
      </c>
      <c r="K134" s="26" t="str">
        <f>IFERROR(__xludf.DUMMYFUNCTION("""COMPUTED_VALUE"""),"NON - CGPA")</f>
        <v>NON - CGPA</v>
      </c>
      <c r="L134" s="26" t="str">
        <f>IFERROR(__xludf.DUMMYFUNCTION("""COMPUTED_VALUE"""),"Theory (Int Only)")</f>
        <v>Theory (Int Only)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IFERROR(__xludf.DUMMYFUNCTION("""COMPUTED_VALUE"""),"MC")</f>
        <v>MC</v>
      </c>
      <c r="D135" s="26" t="str">
        <f>IFERROR(__xludf.DUMMYFUNCTION("""COMPUTED_VALUE"""),"NA")</f>
        <v>NA</v>
      </c>
      <c r="E135" s="26" t="str">
        <f>IFERROR(__xludf.DUMMYFUNCTION("""COMPUTED_VALUE"""),"19MC802")</f>
        <v>19MC802</v>
      </c>
      <c r="F135" s="27" t="str">
        <f>IFERROR(__xludf.DUMMYFUNCTION("""COMPUTED_VALUE"""),"Environmental Science")</f>
        <v>Environmental Science</v>
      </c>
      <c r="G135" s="26" t="str">
        <f>IFERROR(__xludf.DUMMYFUNCTION("""COMPUTED_VALUE"""),"-")</f>
        <v>-</v>
      </c>
      <c r="H135" s="26">
        <f>IFERROR(__xludf.DUMMYFUNCTION("""COMPUTED_VALUE"""),0)</f>
        <v>0</v>
      </c>
      <c r="I135" s="26">
        <f>IFERROR(__xludf.DUMMYFUNCTION("""COMPUTED_VALUE"""),0)</f>
        <v>0</v>
      </c>
      <c r="J135" s="26">
        <f>IFERROR(__xludf.DUMMYFUNCTION("""COMPUTED_VALUE"""),0)</f>
        <v>0</v>
      </c>
      <c r="K135" s="26" t="str">
        <f>IFERROR(__xludf.DUMMYFUNCTION("""COMPUTED_VALUE"""),"CGPA")</f>
        <v>CGPA</v>
      </c>
      <c r="L135" s="26" t="str">
        <f>IFERROR(__xludf.DUMMYFUNCTION("""COMPUTED_VALUE"""),"Theory (Int Only)")</f>
        <v>Theory (Int Only)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IFERROR(__xludf.DUMMYFUNCTION("""COMPUTED_VALUE"""),"MC")</f>
        <v>MC</v>
      </c>
      <c r="D136" s="26" t="str">
        <f>IFERROR(__xludf.DUMMYFUNCTION("""COMPUTED_VALUE"""),"NA")</f>
        <v>NA</v>
      </c>
      <c r="E136" s="26" t="str">
        <f>IFERROR(__xludf.DUMMYFUNCTION("""COMPUTED_VALUE"""),"19MC803")</f>
        <v>19MC803</v>
      </c>
      <c r="F136" s="27" t="str">
        <f>IFERROR(__xludf.DUMMYFUNCTION("""COMPUTED_VALUE"""),"Constitution of India")</f>
        <v>Constitution of India</v>
      </c>
      <c r="G136" s="26" t="str">
        <f>IFERROR(__xludf.DUMMYFUNCTION("""COMPUTED_VALUE"""),"-")</f>
        <v>-</v>
      </c>
      <c r="H136" s="26">
        <f>IFERROR(__xludf.DUMMYFUNCTION("""COMPUTED_VALUE"""),0)</f>
        <v>0</v>
      </c>
      <c r="I136" s="26">
        <f>IFERROR(__xludf.DUMMYFUNCTION("""COMPUTED_VALUE"""),0)</f>
        <v>0</v>
      </c>
      <c r="J136" s="26">
        <f>IFERROR(__xludf.DUMMYFUNCTION("""COMPUTED_VALUE"""),0)</f>
        <v>0</v>
      </c>
      <c r="K136" s="26" t="str">
        <f>IFERROR(__xludf.DUMMYFUNCTION("""COMPUTED_VALUE"""),"CGPA")</f>
        <v>CGPA</v>
      </c>
      <c r="L136" s="26" t="str">
        <f>IFERROR(__xludf.DUMMYFUNCTION("""COMPUTED_VALUE"""),"Theory (Int Only)")</f>
        <v>Theory (Int Only)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IFERROR(__xludf.DUMMYFUNCTION("""COMPUTED_VALUE"""),"MC")</f>
        <v>MC</v>
      </c>
      <c r="D137" s="26" t="str">
        <f>IFERROR(__xludf.DUMMYFUNCTION("""COMPUTED_VALUE"""),"NA")</f>
        <v>NA</v>
      </c>
      <c r="E137" s="26" t="str">
        <f>IFERROR(__xludf.DUMMYFUNCTION("""COMPUTED_VALUE"""),"19MC804")</f>
        <v>19MC804</v>
      </c>
      <c r="F137" s="26" t="str">
        <f>IFERROR(__xludf.DUMMYFUNCTION("""COMPUTED_VALUE"""),"Internship/Entrepreneurship/Consultancy")</f>
        <v>Internship/Entrepreneurship/Consultancy</v>
      </c>
      <c r="G137" s="26" t="str">
        <f>IFERROR(__xludf.DUMMYFUNCTION("""COMPUTED_VALUE"""),"-")</f>
        <v>-</v>
      </c>
      <c r="H137" s="26">
        <f>IFERROR(__xludf.DUMMYFUNCTION("""COMPUTED_VALUE"""),0)</f>
        <v>0</v>
      </c>
      <c r="I137" s="26">
        <f>IFERROR(__xludf.DUMMYFUNCTION("""COMPUTED_VALUE"""),0)</f>
        <v>0</v>
      </c>
      <c r="J137" s="26">
        <f>IFERROR(__xludf.DUMMYFUNCTION("""COMPUTED_VALUE"""),2)</f>
        <v>2</v>
      </c>
      <c r="K137" s="26" t="str">
        <f>IFERROR(__xludf.DUMMYFUNCTION("""COMPUTED_VALUE"""),"NON-CGPA")</f>
        <v>NON-CGPA</v>
      </c>
      <c r="L137" s="26" t="str">
        <f>IFERROR(__xludf.DUMMYFUNCTION("""COMPUTED_VALUE"""),"Experiential Learning (Int Only)")</f>
        <v>Experiential Learning (Int Only)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IFERROR(__xludf.DUMMYFUNCTION("""COMPUTED_VALUE"""),"MC")</f>
        <v>MC</v>
      </c>
      <c r="D138" s="26" t="str">
        <f>IFERROR(__xludf.DUMMYFUNCTION("""COMPUTED_VALUE"""),"NA")</f>
        <v>NA</v>
      </c>
      <c r="E138" s="26" t="str">
        <f>IFERROR(__xludf.DUMMYFUNCTION("""COMPUTED_VALUE"""),"19MC805")</f>
        <v>19MC805</v>
      </c>
      <c r="F138" s="27" t="str">
        <f>IFERROR(__xludf.DUMMYFUNCTION("""COMPUTED_VALUE"""),"Inplant Training")</f>
        <v>Inplant Training</v>
      </c>
      <c r="G138" s="26" t="str">
        <f>IFERROR(__xludf.DUMMYFUNCTION("""COMPUTED_VALUE"""),"-")</f>
        <v>-</v>
      </c>
      <c r="H138" s="26">
        <f>IFERROR(__xludf.DUMMYFUNCTION("""COMPUTED_VALUE"""),0)</f>
        <v>0</v>
      </c>
      <c r="I138" s="26">
        <f>IFERROR(__xludf.DUMMYFUNCTION("""COMPUTED_VALUE"""),0)</f>
        <v>0</v>
      </c>
      <c r="J138" s="26">
        <f>IFERROR(__xludf.DUMMYFUNCTION("""COMPUTED_VALUE"""),1)</f>
        <v>1</v>
      </c>
      <c r="K138" s="26" t="str">
        <f>IFERROR(__xludf.DUMMYFUNCTION("""COMPUTED_VALUE"""),"Non - CGPA")</f>
        <v>Non - CGPA</v>
      </c>
      <c r="L138" s="26" t="str">
        <f>IFERROR(__xludf.DUMMYFUNCTION("""COMPUTED_VALUE"""),"Experiential Learning (Int Only)")</f>
        <v>Experiential Learning (Int Only)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 t="str">
        <f>IFERROR(__xludf.DUMMYFUNCTION("""COMPUTED_VALUE"""),"Any 1")</f>
        <v>Any 1</v>
      </c>
      <c r="C139" s="26" t="str">
        <f>IFERROR(__xludf.DUMMYFUNCTION("""COMPUTED_VALUE"""),"MC")</f>
        <v>MC</v>
      </c>
      <c r="D139" s="26" t="str">
        <f>IFERROR(__xludf.DUMMYFUNCTION("""COMPUTED_VALUE"""),"SH6803")</f>
        <v>SH6803</v>
      </c>
      <c r="E139" s="26" t="str">
        <f>IFERROR(__xludf.DUMMYFUNCTION("""COMPUTED_VALUE"""),"19MC807")</f>
        <v>19MC807</v>
      </c>
      <c r="F139" s="26" t="str">
        <f>IFERROR(__xludf.DUMMYFUNCTION("""COMPUTED_VALUE"""),"National Service Scheme")</f>
        <v>National Service Scheme</v>
      </c>
      <c r="G139" s="26" t="str">
        <f>IFERROR(__xludf.DUMMYFUNCTION("""COMPUTED_VALUE"""),"-")</f>
        <v>-</v>
      </c>
      <c r="H139" s="26">
        <f>IFERROR(__xludf.DUMMYFUNCTION("""COMPUTED_VALUE"""),0)</f>
        <v>0</v>
      </c>
      <c r="I139" s="26">
        <f>IFERROR(__xludf.DUMMYFUNCTION("""COMPUTED_VALUE"""),0)</f>
        <v>0</v>
      </c>
      <c r="J139" s="26">
        <f>IFERROR(__xludf.DUMMYFUNCTION("""COMPUTED_VALUE"""),0)</f>
        <v>0</v>
      </c>
      <c r="K139" s="26" t="str">
        <f>IFERROR(__xludf.DUMMYFUNCTION("""COMPUTED_VALUE"""),"NON-CGPA")</f>
        <v>NON-CGPA</v>
      </c>
      <c r="L139" s="26" t="str">
        <f>IFERROR(__xludf.DUMMYFUNCTION("""COMPUTED_VALUE"""),"Experiential Learning (Int Only)")</f>
        <v>Experiential Learning (Int Only)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 t="str">
        <f>IFERROR(__xludf.DUMMYFUNCTION("""COMPUTED_VALUE"""),"Any 1")</f>
        <v>Any 1</v>
      </c>
      <c r="C140" s="26" t="str">
        <f>IFERROR(__xludf.DUMMYFUNCTION("""COMPUTED_VALUE"""),"MC")</f>
        <v>MC</v>
      </c>
      <c r="D140" s="26" t="str">
        <f>IFERROR(__xludf.DUMMYFUNCTION("""COMPUTED_VALUE"""),"SH8807")</f>
        <v>SH8807</v>
      </c>
      <c r="E140" s="26" t="str">
        <f>IFERROR(__xludf.DUMMYFUNCTION("""COMPUTED_VALUE"""),"19MC808")</f>
        <v>19MC808</v>
      </c>
      <c r="F140" s="26" t="str">
        <f>IFERROR(__xludf.DUMMYFUNCTION("""COMPUTED_VALUE"""),"National Sports Organization ")</f>
        <v>National Sports Organization </v>
      </c>
      <c r="G140" s="26" t="str">
        <f>IFERROR(__xludf.DUMMYFUNCTION("""COMPUTED_VALUE"""),"-")</f>
        <v>-</v>
      </c>
      <c r="H140" s="26">
        <f>IFERROR(__xludf.DUMMYFUNCTION("""COMPUTED_VALUE"""),0)</f>
        <v>0</v>
      </c>
      <c r="I140" s="26">
        <f>IFERROR(__xludf.DUMMYFUNCTION("""COMPUTED_VALUE"""),0)</f>
        <v>0</v>
      </c>
      <c r="J140" s="26">
        <f>IFERROR(__xludf.DUMMYFUNCTION("""COMPUTED_VALUE"""),0)</f>
        <v>0</v>
      </c>
      <c r="K140" s="26" t="str">
        <f>IFERROR(__xludf.DUMMYFUNCTION("""COMPUTED_VALUE"""),"NON-CGPA")</f>
        <v>NON-CGPA</v>
      </c>
      <c r="L140" s="26" t="str">
        <f>IFERROR(__xludf.DUMMYFUNCTION("""COMPUTED_VALUE"""),"Experiential Learning (Int Only)")</f>
        <v>Experiential Learning (Int Only)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 t="str">
        <f>IFERROR(__xludf.DUMMYFUNCTION("""COMPUTED_VALUE"""),"Any 1")</f>
        <v>Any 1</v>
      </c>
      <c r="C141" s="26" t="str">
        <f>IFERROR(__xludf.DUMMYFUNCTION("""COMPUTED_VALUE"""),"MC")</f>
        <v>MC</v>
      </c>
      <c r="D141" s="26" t="str">
        <f>IFERROR(__xludf.DUMMYFUNCTION("""COMPUTED_VALUE"""),"SH8808")</f>
        <v>SH8808</v>
      </c>
      <c r="E141" s="26" t="str">
        <f>IFERROR(__xludf.DUMMYFUNCTION("""COMPUTED_VALUE"""),"19MC809")</f>
        <v>19MC809</v>
      </c>
      <c r="F141" s="26" t="str">
        <f>IFERROR(__xludf.DUMMYFUNCTION("""COMPUTED_VALUE"""),"Youth Red Cross")</f>
        <v>Youth Red Cross</v>
      </c>
      <c r="G141" s="26" t="str">
        <f>IFERROR(__xludf.DUMMYFUNCTION("""COMPUTED_VALUE"""),"-")</f>
        <v>-</v>
      </c>
      <c r="H141" s="26">
        <f>IFERROR(__xludf.DUMMYFUNCTION("""COMPUTED_VALUE"""),0)</f>
        <v>0</v>
      </c>
      <c r="I141" s="26">
        <f>IFERROR(__xludf.DUMMYFUNCTION("""COMPUTED_VALUE"""),0)</f>
        <v>0</v>
      </c>
      <c r="J141" s="26">
        <f>IFERROR(__xludf.DUMMYFUNCTION("""COMPUTED_VALUE"""),0)</f>
        <v>0</v>
      </c>
      <c r="K141" s="26" t="str">
        <f>IFERROR(__xludf.DUMMYFUNCTION("""COMPUTED_VALUE"""),"NON-CGPA")</f>
        <v>NON-CGPA</v>
      </c>
      <c r="L141" s="26" t="str">
        <f>IFERROR(__xludf.DUMMYFUNCTION("""COMPUTED_VALUE"""),"Experiential Learning (Int Only)")</f>
        <v>Experiential Learning (Int Only)</v>
      </c>
      <c r="M141" s="26"/>
      <c r="N141" s="26"/>
      <c r="O141" s="26"/>
      <c r="P141" s="26"/>
      <c r="Q141" s="26"/>
      <c r="R141" s="26"/>
    </row>
    <row r="142" ht="13.2" spans="1:18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</row>
    <row r="143" ht="13.2" spans="1:18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</row>
    <row r="144" ht="13.2" spans="1:18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</row>
    <row r="145" ht="13.2" spans="1:18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</row>
    <row r="146" ht="13.2" spans="1:18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</row>
    <row r="147" ht="13.2" spans="1:18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</row>
    <row r="148" ht="13.2" spans="1:18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</row>
    <row r="149" ht="13.2" spans="1:18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</row>
    <row r="150" ht="13.2" spans="1:18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</row>
    <row r="151" ht="13.2" spans="1:18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</row>
    <row r="152" ht="13.2" spans="1:18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</row>
    <row r="153" ht="13.2" spans="1:18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</row>
    <row r="154" ht="13.2" spans="1:18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</row>
    <row r="155" ht="13.2" spans="1:18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</row>
    <row r="156" ht="13.2" spans="1:18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</row>
    <row r="157" ht="13.2" spans="1:18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</row>
    <row r="158" ht="13.2" spans="1:18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</row>
    <row r="159" ht="13.2" spans="1:18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</row>
    <row r="160" ht="13.2" spans="1:18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</row>
    <row r="161" ht="13.2" spans="1:18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</row>
    <row r="162" ht="13.2" spans="1:18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</row>
    <row r="163" ht="13.2" spans="1:18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</row>
    <row r="164" ht="13.2" spans="1:18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</row>
    <row r="165" ht="13.2" spans="1:18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</row>
    <row r="166" ht="13.2" spans="1:18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</row>
    <row r="167" ht="13.2" spans="1:18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</row>
    <row r="168" ht="13.2" spans="1:18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</row>
    <row r="169" ht="13.2" spans="1:18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</row>
    <row r="170" ht="13.2" spans="1:18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</row>
    <row r="171" ht="13.2" spans="1:18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Communicative English&quot;)"/>
    <hyperlink ref="F4" r:id="rId3" display="=IFERROR(@__xludf.DUMMYFUNCTION(&quot;&quot;&quot;COMPUTED_VALUE&quot;&quot;&quot;),&quot;English for Engineers&quot;)"/>
    <hyperlink ref="F5" r:id="rId4" display="=IFERROR(@__xludf.DUMMYFUNCTION(&quot;&quot;&quot;COMPUTED_VALUE&quot;&quot;&quot;),&quot;Technical English&quot;)"/>
    <hyperlink ref="F6" r:id="rId5" display="=IFERROR(@__xludf.DUMMYFUNCTION(&quot;&quot;&quot;COMPUTED_VALUE&quot;&quot;&quot;),&quot;Technical Writing and Presentation&quot;)"/>
    <hyperlink ref="F7" r:id="rId6" display="=IFERROR(@__xludf.DUMMYFUNCTION(&quot;&quot;&quot;COMPUTED_VALUE&quot;&quot;&quot;),&quot;Public Speaking&quot;)"/>
    <hyperlink ref="F8" r:id="rId7" display="=IFERROR(@__xludf.DUMMYFUNCTION(&quot;&quot;&quot;COMPUTED_VALUE&quot;&quot;&quot;),&quot;Total Quality Management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Calculus and Matrix Algebra&quot;)"/>
    <hyperlink ref="F12" r:id="rId11" display="=IFERROR(@__xludf.DUMMYFUNCTION(&quot;&quot;&quot;COMPUTED_VALUE&quot;&quot;&quot;),&quot;Statistics and Numerical Methods&quot;)"/>
    <hyperlink ref="F13" r:id="rId12" display="=IFERROR(@__xludf.DUMMYFUNCTION(&quot;&quot;&quot;COMPUTED_VALUE&quot;&quot;&quot;),&quot;Differential Equations and Laplace Transforms&quot;)"/>
    <hyperlink ref="F14" r:id="rId13" display="=IFERROR(@__xludf.DUMMYFUNCTION(&quot;&quot;&quot;COMPUTED_VALUE&quot;&quot;&quot;),&quot;Transforms and Differential Equations&quot;)"/>
    <hyperlink ref="F15" r:id="rId14" display="=IFERROR(@__xludf.DUMMYFUNCTION(&quot;&quot;&quot;COMPUTED_VALUE&quot;&quot;&quot;),&quot;Fundamentals of Engineering Physics&quot;)"/>
    <hyperlink ref="F16" r:id="rId15" display="=IFERROR(@__xludf.DUMMYFUNCTION(&quot;&quot;&quot;COMPUTED_VALUE&quot;&quot;&quot;),&quot;Materials Science&quot;)"/>
    <hyperlink ref="F17" r:id="rId16" display="=IFERROR(@__xludf.DUMMYFUNCTION(&quot;&quot;&quot;COMPUTED_VALUE&quot;&quot;&quot;),&quot;Basic Engineering Chemistry&quot;)"/>
    <hyperlink ref="F18" r:id="rId17" display="=IFERROR(@__xludf.DUMMYFUNCTION(&quot;&quot;&quot;COMPUTED_VALUE&quot;&quot;&quot;),&quot;Problem Solving and Python Programming&quot;)"/>
    <hyperlink ref="F19" r:id="rId18" display="=IFERROR(@__xludf.DUMMYFUNCTION(&quot;&quot;&quot;COMPUTED_VALUE&quot;&quot;&quot;),&quot;Engineering Graphics&quot;)"/>
    <hyperlink ref="F20" r:id="rId19" display="=IFERROR(@__xludf.DUMMYFUNCTION(&quot;&quot;&quot;COMPUTED_VALUE&quot;&quot;&quot;),&quot;Engineering Drawing and Visualisation&quot;)"/>
    <hyperlink ref="F21" r:id="rId20" display="=IFERROR(@__xludf.DUMMYFUNCTION(&quot;&quot;&quot;COMPUTED_VALUE&quot;&quot;&quot;),&quot;Engineering Practices Lab&quot;)"/>
    <hyperlink ref="F22" r:id="rId21" display="=IFERROR(@__xludf.DUMMYFUNCTION(&quot;&quot;&quot;COMPUTED_VALUE&quot;&quot;&quot;),&quot;Engineering Mechanics for Mechanical Engineers&quot;)"/>
    <hyperlink ref="F23" r:id="rId22" display="=IFERROR(@__xludf.DUMMYFUNCTION(&quot;&quot;&quot;COMPUTED_VALUE&quot;&quot;&quot;),&quot;Engineering Mechanics&quot;)"/>
    <hyperlink ref="F24" r:id="rId23" display="=IFERROR(@__xludf.DUMMYFUNCTION(&quot;&quot;&quot;COMPUTED_VALUE&quot;&quot;&quot;),&quot;Strength of Materials for Mechanical Engineers&quot;)"/>
    <hyperlink ref="F25" r:id="rId24" display="=IFERROR(@__xludf.DUMMYFUNCTION(&quot;&quot;&quot;COMPUTED_VALUE&quot;&quot;&quot;),&quot;Mechanics of Solids&quot;)"/>
    <hyperlink ref="F26" r:id="rId25" display="=IFERROR(@__xludf.DUMMYFUNCTION(&quot;&quot;&quot;COMPUTED_VALUE&quot;&quot;&quot;),&quot;Fluid Mechanics and Machinery&quot;)"/>
    <hyperlink ref="F27" r:id="rId26" display="=IFERROR(@__xludf.DUMMYFUNCTION(&quot;&quot;&quot;COMPUTED_VALUE&quot;&quot;&quot;),&quot;Basic Electrical, Electronics and Instrumentation Engineering&quot;)"/>
    <hyperlink ref="F28" r:id="rId27" display="=IFERROR(@__xludf.DUMMYFUNCTION(&quot;&quot;&quot;COMPUTED_VALUE&quot;&quot;&quot;),&quot;Electrical Drives and Control&quot;)"/>
    <hyperlink ref="F29" r:id="rId28" display="=IFERROR(@__xludf.DUMMYFUNCTION(&quot;&quot;&quot;COMPUTED_VALUE&quot;&quot;&quot;),&quot;Engineering Thermodynamics&quot;)"/>
    <hyperlink ref="F30" r:id="rId29" display="=IFERROR(@__xludf.DUMMYFUNCTION(&quot;&quot;&quot;COMPUTED_VALUE&quot;&quot;&quot;),&quot;Engineering Thermodynamics for Mechanical Engineers&quot;)"/>
    <hyperlink ref="F31" r:id="rId30" display="=IFERROR(@__xludf.DUMMYFUNCTION(&quot;&quot;&quot;COMPUTED_VALUE&quot;&quot;&quot;),&quot;Thermal Engineering&quot;)"/>
    <hyperlink ref="F32" r:id="rId31" display="=IFERROR(@__xludf.DUMMYFUNCTION(&quot;&quot;&quot;COMPUTED_VALUE&quot;&quot;&quot;),&quot;Heat and Mass Transfer&quot;)"/>
    <hyperlink ref="F33" r:id="rId32" display="=IFERROR(@__xludf.DUMMYFUNCTION(&quot;&quot;&quot;COMPUTED_VALUE&quot;&quot;&quot;),&quot;Power Plant Engineering&quot;)"/>
    <hyperlink ref="F34" r:id="rId33" display="=IFERROR(@__xludf.DUMMYFUNCTION(&quot;&quot;&quot;COMPUTED_VALUE&quot;&quot;&quot;),&quot;Power Generation Engineering&quot;)"/>
    <hyperlink ref="F35" r:id="rId34" display="=IFERROR(@__xludf.DUMMYFUNCTION(&quot;&quot;&quot;COMPUTED_VALUE&quot;&quot;&quot;),&quot;Manufacturing Technology I&quot;)"/>
    <hyperlink ref="F36" r:id="rId35" display="=IFERROR(@__xludf.DUMMYFUNCTION(&quot;&quot;&quot;COMPUTED_VALUE&quot;&quot;&quot;),&quot;Manufacturing Technology II&quot;)"/>
    <hyperlink ref="F37" r:id="rId36" display="=IFERROR(@__xludf.DUMMYFUNCTION(&quot;&quot;&quot;COMPUTED_VALUE&quot;&quot;&quot;),&quot;Kinematics of Machines&quot;)"/>
    <hyperlink ref="F38" r:id="rId37" display="=IFERROR(@__xludf.DUMMYFUNCTION(&quot;&quot;&quot;COMPUTED_VALUE&quot;&quot;&quot;),&quot;Dynamics of Machines&quot;)"/>
    <hyperlink ref="F39" r:id="rId38" display="=IFERROR(@__xludf.DUMMYFUNCTION(&quot;&quot;&quot;COMPUTED_VALUE&quot;&quot;&quot;),&quot;Design of Machine Elements&quot;)"/>
    <hyperlink ref="F40" r:id="rId39" display="=IFERROR(@__xludf.DUMMYFUNCTION(&quot;&quot;&quot;COMPUTED_VALUE&quot;&quot;&quot;),&quot;Metrology and Measurements&quot;)"/>
    <hyperlink ref="F41" r:id="rId40" display="=IFERROR(@__xludf.DUMMYFUNCTION(&quot;&quot;&quot;COMPUTED_VALUE&quot;&quot;&quot;),&quot;Design of Transmission Systems&quot;)"/>
    <hyperlink ref="F42" r:id="rId41" display="=IFERROR(@__xludf.DUMMYFUNCTION(&quot;&quot;&quot;COMPUTED_VALUE&quot;&quot;&quot;),&quot;Mechatronics&quot;)"/>
    <hyperlink ref="F43" r:id="rId42" display="=IFERROR(@__xludf.DUMMYFUNCTION(&quot;&quot;&quot;COMPUTED_VALUE&quot;&quot;&quot;),&quot;Mechatronics and IoT&quot;)"/>
    <hyperlink ref="F44" r:id="rId43" display="=IFERROR(@__xludf.DUMMYFUNCTION(&quot;&quot;&quot;COMPUTED_VALUE&quot;&quot;&quot;),&quot;Finite Element Analysis&quot;)"/>
    <hyperlink ref="F45" r:id="rId44" display="=IFERROR(@__xludf.DUMMYFUNCTION(&quot;&quot;&quot;COMPUTED_VALUE&quot;&quot;&quot;),&quot;Fundamentals of 3D Printing Technologies&quot;)"/>
    <hyperlink ref="F46" r:id="rId45" display="=IFERROR(@__xludf.DUMMYFUNCTION(&quot;&quot;&quot;COMPUTED_VALUE&quot;&quot;&quot;),&quot;Reverse Engineering and CAD Modelling&quot;)"/>
    <hyperlink ref="F47" r:id="rId46" display="=IFERROR(@__xludf.DUMMYFUNCTION(&quot;&quot;&quot;COMPUTED_VALUE&quot;&quot;&quot;),&quot;Design for 3D Printing&quot;)"/>
    <hyperlink ref="F48" r:id="rId47" display="=IFERROR(@__xludf.DUMMYFUNCTION(&quot;&quot;&quot;COMPUTED_VALUE&quot;&quot;&quot;),&quot;3D Printing Machines and Systems&quot;)"/>
    <hyperlink ref="F49" r:id="rId48" display="=IFERROR(@__xludf.DUMMYFUNCTION(&quot;&quot;&quot;COMPUTED_VALUE&quot;&quot;&quot;),&quot;Materials for 3D Printing&quot;)"/>
    <hyperlink ref="F50" r:id="rId49" display="=IFERROR(@__xludf.DUMMYFUNCTION(&quot;&quot;&quot;COMPUTED_VALUE&quot;&quot;&quot;),&quot;3D Printing for Medical Applications&quot;)"/>
    <hyperlink ref="F51" r:id="rId50" display="=IFERROR(@__xludf.DUMMYFUNCTION(&quot;&quot;&quot;COMPUTED_VALUE&quot;&quot;&quot;),&quot;Hybrid and Electric Vehicle Technology&quot;)"/>
    <hyperlink ref="F52" r:id="rId51" display="=IFERROR(@__xludf.DUMMYFUNCTION(&quot;&quot;&quot;COMPUTED_VALUE&quot;&quot;&quot;),&quot;Smart Mobility and Intelligent Vehicles&quot;)"/>
    <hyperlink ref="F53" r:id="rId52" display="=IFERROR(@__xludf.DUMMYFUNCTION(&quot;&quot;&quot;COMPUTED_VALUE&quot;&quot;&quot;),&quot;Automotive Materials, Components, Design and Testing&quot;)"/>
    <hyperlink ref="F54" r:id="rId51" display="=IFERROR(@__xludf.DUMMYFUNCTION(&quot;&quot;&quot;COMPUTED_VALUE&quot;&quot;&quot;),&quot;Smart Mobility and Intelligent Vehicles&quot;)"/>
    <hyperlink ref="F55" r:id="rId53" display="=IFERROR(@__xludf.DUMMYFUNCTION(&quot;&quot;&quot;COMPUTED_VALUE&quot;&quot;&quot;),&quot;CAE and CFD Approach in Future Mobility&quot;)"/>
    <hyperlink ref="F56" r:id="rId54" display="=IFERROR(@__xludf.DUMMYFUNCTION(&quot;&quot;&quot;COMPUTED_VALUE&quot;&quot;&quot;),&quot;Thermal Management of Batteries&quot;)"/>
    <hyperlink ref="F57" r:id="rId55" display="=IFERROR(@__xludf.DUMMYFUNCTION(&quot;&quot;&quot;COMPUTED_VALUE&quot;&quot;&quot;),&quot;Vehicle Health Monitoring, Maintenance and Safety&quot;)"/>
    <hyperlink ref="F58" r:id="rId56" display="=IFERROR(@__xludf.DUMMYFUNCTION(&quot;&quot;&quot;COMPUTED_VALUE&quot;&quot;&quot;),&quot;Value Engineering&quot;)"/>
    <hyperlink ref="F59" r:id="rId57" display="=IFERROR(@__xludf.DUMMYFUNCTION(&quot;&quot;&quot;COMPUTED_VALUE&quot;&quot;&quot;),&quot;Computer Integrated Manufacturing Systems&quot;)"/>
    <hyperlink ref="F60" r:id="rId58" display="=IFERROR(@__xludf.DUMMYFUNCTION(&quot;&quot;&quot;COMPUTED_VALUE&quot;&quot;&quot;),&quot;Design For X&quot;)"/>
    <hyperlink ref="F61" r:id="rId59" display="=IFERROR(@__xludf.DUMMYFUNCTION(&quot;&quot;&quot;COMPUTED_VALUE&quot;&quot;&quot;),&quot;Product Life Cycle Management&quot;)"/>
    <hyperlink ref="F62" r:id="rId60" display="=IFERROR(@__xludf.DUMMYFUNCTION(&quot;&quot;&quot;COMPUTED_VALUE&quot;&quot;&quot;),&quot;Ergonomics in Design&quot;)"/>
    <hyperlink ref="F63" r:id="rId61" display="=IFERROR(@__xludf.DUMMYFUNCTION(&quot;&quot;&quot;COMPUTED_VALUE&quot;&quot;&quot;),&quot;New Product Development&quot;)"/>
    <hyperlink ref="F64" r:id="rId62" display="=IFERROR(@__xludf.DUMMYFUNCTION(&quot;&quot;&quot;COMPUTED_VALUE&quot;&quot;&quot;),&quot;Digital Manufacturing and IoT&quot;)"/>
    <hyperlink ref="F65" r:id="rId63" display="=IFERROR(@__xludf.DUMMYFUNCTION(&quot;&quot;&quot;COMPUTED_VALUE&quot;&quot;&quot;),&quot;Lean Manufacturing&quot;)"/>
    <hyperlink ref="F66" r:id="rId64" display="=IFERROR(@__xludf.DUMMYFUNCTION(&quot;&quot;&quot;COMPUTED_VALUE&quot;&quot;&quot;),&quot;Modern Robotics&quot;)"/>
    <hyperlink ref="F67" r:id="rId65" display="=IFERROR(@__xludf.DUMMYFUNCTION(&quot;&quot;&quot;COMPUTED_VALUE&quot;&quot;&quot;),&quot;Green Manufacturing Design and Practices&quot;)"/>
    <hyperlink ref="F68" r:id="rId66" display="=IFERROR(@__xludf.DUMMYFUNCTION(&quot;&quot;&quot;COMPUTED_VALUE&quot;&quot;&quot;),&quot;Environment Sustainability and Impact Assessment&quot;)"/>
    <hyperlink ref="F69" r:id="rId67" display="=IFERROR(@__xludf.DUMMYFUNCTION(&quot;&quot;&quot;COMPUTED_VALUE&quot;&quot;&quot;),&quot;Energy Saving Machinery and Components&quot;)"/>
    <hyperlink ref="F70" r:id="rId68" display="=IFERROR(@__xludf.DUMMYFUNCTION(&quot;&quot;&quot;COMPUTED_VALUE&quot;&quot;&quot;),&quot;Optimization Techniques&quot;)"/>
    <hyperlink ref="F71" r:id="rId69" display="=IFERROR(@__xludf.DUMMYFUNCTION(&quot;&quot;&quot;COMPUTED_VALUE&quot;&quot;&quot;),&quot;Statistical Quality Control&quot;)"/>
    <hyperlink ref="F72" r:id="rId70" display="=IFERROR(@__xludf.DUMMYFUNCTION(&quot;&quot;&quot;COMPUTED_VALUE&quot;&quot;&quot;),&quot;Quality Audit System&quot;)"/>
    <hyperlink ref="F73" r:id="rId71" display="=IFERROR(@__xludf.DUMMYFUNCTION(&quot;&quot;&quot;COMPUTED_VALUE&quot;&quot;&quot;),&quot;Operations and Inventory Management&quot;)"/>
    <hyperlink ref="F74" r:id="rId72" display="=IFERROR(@__xludf.DUMMYFUNCTION(&quot;&quot;&quot;COMPUTED_VALUE&quot;&quot;&quot;),&quot;Reliability Engineering&quot;)"/>
    <hyperlink ref="F75" r:id="rId73" display="=IFERROR(@__xludf.DUMMYFUNCTION(&quot;&quot;&quot;COMPUTED_VALUE&quot;&quot;&quot;),&quot;Discrete Event System Simulation&quot;)"/>
    <hyperlink ref="F76" r:id="rId74" display="=IFERROR(@__xludf.DUMMYFUNCTION(&quot;&quot;&quot;COMPUTED_VALUE&quot;&quot;&quot;),&quot;Automobile Engineering&quot;)"/>
    <hyperlink ref="F77" r:id="rId75" display="=IFERROR(@__xludf.DUMMYFUNCTION(&quot;&quot;&quot;COMPUTED_VALUE&quot;&quot;&quot;),&quot;Automotive Engineering&quot;)"/>
    <hyperlink ref="F78" r:id="rId76" display="=IFERROR(@__xludf.DUMMYFUNCTION(&quot;&quot;&quot;COMPUTED_VALUE&quot;&quot;&quot;),&quot;Refrigeration and Air Conditioning&quot;)"/>
    <hyperlink ref="F79" r:id="rId77" display="=IFERROR(@__xludf.DUMMYFUNCTION(&quot;&quot;&quot;COMPUTED_VALUE&quot;&quot;&quot;),&quot;Refrigeration And Air Conditioning Technology&quot;)"/>
    <hyperlink ref="F80" r:id="rId78" display="=IFERROR(@__xludf.DUMMYFUNCTION(&quot;&quot;&quot;COMPUTED_VALUE&quot;&quot;&quot;),&quot;Turbo Machinery&quot;)"/>
    <hyperlink ref="F81" r:id="rId79" display="=IFERROR(@__xludf.DUMMYFUNCTION(&quot;&quot;&quot;COMPUTED_VALUE&quot;&quot;&quot;),&quot;Turbo Machines&quot;)"/>
    <hyperlink ref="F82" r:id="rId80" display="=IFERROR(@__xludf.DUMMYFUNCTION(&quot;&quot;&quot;COMPUTED_VALUE&quot;&quot;&quot;),&quot;Gas Dynamics and Space Propulsion&quot;)"/>
    <hyperlink ref="F83" r:id="rId81" display="=IFERROR(@__xludf.DUMMYFUNCTION(&quot;&quot;&quot;COMPUTED_VALUE&quot;&quot;&quot;),&quot;Gas Dynamics and Jet Propulsion&quot;)"/>
    <hyperlink ref="F84" r:id="rId82" display="=IFERROR(@__xludf.DUMMYFUNCTION(&quot;&quot;&quot;COMPUTED_VALUE&quot;&quot;&quot;),&quot;Advanced Internal Combustion Engineering&quot;)"/>
    <hyperlink ref="F85" r:id="rId83" display="=IFERROR(@__xludf.DUMMYFUNCTION(&quot;&quot;&quot;COMPUTED_VALUE&quot;&quot;&quot;),&quot;Advanced Internal Combustion Engine Technology&quot;)"/>
    <hyperlink ref="F86" r:id="rId84" display="=IFERROR(@__xludf.DUMMYFUNCTION(&quot;&quot;&quot;COMPUTED_VALUE&quot;&quot;&quot;),&quot;Computational Fluid Dynamics and Heat Transfer&quot;)"/>
    <hyperlink ref="F87" r:id="rId85" display="=IFERROR(@__xludf.DUMMYFUNCTION(&quot;&quot;&quot;COMPUTED_VALUE&quot;&quot;&quot;),&quot;3D Printing Processes&quot;)"/>
    <hyperlink ref="F88" r:id="rId86" display="=IFERROR(@__xludf.DUMMYFUNCTION(&quot;&quot;&quot;COMPUTED_VALUE&quot;&quot;&quot;),&quot;Composite Materials and Mechanics&quot;)"/>
    <hyperlink ref="F89" r:id="rId87" display="=IFERROR(@__xludf.DUMMYFUNCTION(&quot;&quot;&quot;COMPUTED_VALUE&quot;&quot;&quot;),&quot;Composite Materials Engineering&quot;)"/>
    <hyperlink ref="F90" r:id="rId88" display="=IFERROR(@__xludf.DUMMYFUNCTION(&quot;&quot;&quot;COMPUTED_VALUE&quot;&quot;&quot;),&quot;Non Traditional Machining Processes&quot;)"/>
    <hyperlink ref="F91" r:id="rId89" display="=IFERROR(@__xludf.DUMMYFUNCTION(&quot;&quot;&quot;COMPUTED_VALUE&quot;&quot;&quot;),&quot;Non Conventional Machining Processes&quot;)"/>
    <hyperlink ref="F92" r:id="rId90" display="=IFERROR(@__xludf.DUMMYFUNCTION(&quot;&quot;&quot;COMPUTED_VALUE&quot;&quot;&quot;),&quot;Process Planning and Cost Estimation&quot;)"/>
    <hyperlink ref="F93" r:id="rId91" display="=IFERROR(@__xludf.DUMMYFUNCTION(&quot;&quot;&quot;COMPUTED_VALUE&quot;&quot;&quot;),&quot;Intellectual Property Rights&quot;)"/>
    <hyperlink ref="F94" r:id="rId92" display="=IFERROR(@__xludf.DUMMYFUNCTION(&quot;&quot;&quot;COMPUTED_VALUE&quot;&quot;&quot;),&quot;Design of Jigs, Fixtures and Press Tools&quot;)"/>
    <hyperlink ref="F95" r:id="rId93" display="=IFERROR(@__xludf.DUMMYFUNCTION(&quot;&quot;&quot;COMPUTED_VALUE&quot;&quot;&quot;),&quot;Design of Pressure Vessel and Piping&quot;)"/>
    <hyperlink ref="F96" r:id="rId94" display="=IFERROR(@__xludf.DUMMYFUNCTION(&quot;&quot;&quot;COMPUTED_VALUE&quot;&quot;&quot;),&quot;Mechanical Vibrations and Noise Control&quot;)"/>
    <hyperlink ref="F97" r:id="rId95" display="=IFERROR(@__xludf.DUMMYFUNCTION(&quot;&quot;&quot;COMPUTED_VALUE&quot;&quot;&quot;),&quot;Computer Aided Design&quot;)"/>
    <hyperlink ref="F98" r:id="rId96" display="=IFERROR(@__xludf.DUMMYFUNCTION(&quot;&quot;&quot;COMPUTED_VALUE&quot;&quot;&quot;),&quot;Computational Techniques for Fluid Dynamics&quot;)"/>
    <hyperlink ref="F99" r:id="rId97" display="=IFERROR(@__xludf.DUMMYFUNCTION(&quot;&quot;&quot;COMPUTED_VALUE&quot;&quot;&quot;),&quot;Product Design and Development&quot;)"/>
    <hyperlink ref="F100" r:id="rId98" display="=IFERROR(@__xludf.DUMMYFUNCTION(&quot;&quot;&quot;COMPUTED_VALUE&quot;&quot;&quot;),&quot;Design Concepts in Engineering&quot;)"/>
    <hyperlink ref="F101" r:id="rId99" display="=IFERROR(@__xludf.DUMMYFUNCTION(&quot;&quot;&quot;COMPUTED_VALUE&quot;&quot;&quot;),&quot;Design of Heat Exchangers&quot;)"/>
    <hyperlink ref="F102" r:id="rId100" display="=IFERROR(@__xludf.DUMMYFUNCTION(&quot;&quot;&quot;COMPUTED_VALUE&quot;&quot;&quot;),&quot;Energy Conservation in Industries&quot;)"/>
    <hyperlink ref="F103" r:id="rId101" display="=IFERROR(@__xludf.DUMMYFUNCTION(&quot;&quot;&quot;COMPUTED_VALUE&quot;&quot;&quot;),&quot;Additive Manufacturing Technology&quot;)"/>
    <hyperlink ref="F104" r:id="rId102" display="=IFERROR(@__xludf.DUMMYFUNCTION(&quot;&quot;&quot;COMPUTED_VALUE&quot;&quot;&quot;),&quot;Advanced Metrology&quot;)"/>
    <hyperlink ref="F105" r:id="rId103" display="=IFERROR(@__xludf.DUMMYFUNCTION(&quot;&quot;&quot;COMPUTED_VALUE&quot;&quot;&quot;),&quot;Casting and Welding Processes&quot;)"/>
    <hyperlink ref="F106" r:id="rId104" display="=IFERROR(@__xludf.DUMMYFUNCTION(&quot;&quot;&quot;COMPUTED_VALUE&quot;&quot;&quot;),&quot;Engineering Materials and Metallurgy&quot;)"/>
    <hyperlink ref="F107" r:id="rId105" display="=IFERROR(@__xludf.DUMMYFUNCTION(&quot;&quot;&quot;COMPUTED_VALUE&quot;&quot;&quot;),&quot;Measurement and Controls&quot;)"/>
    <hyperlink ref="F108" r:id="rId106" display="=IFERROR(@__xludf.DUMMYFUNCTION(&quot;&quot;&quot;COMPUTED_VALUE&quot;&quot;&quot;),&quot;Non Destructive Materials Evaluation&quot;)"/>
    <hyperlink ref="F109" r:id="rId107" display="=IFERROR(@__xludf.DUMMYFUNCTION(&quot;&quot;&quot;COMPUTED_VALUE&quot;&quot;&quot;),&quot;Sustainable and Green Manufacturing&quot;)"/>
    <hyperlink ref="F110" r:id="rId108" display="=IFERROR(@__xludf.DUMMYFUNCTION(&quot;&quot;&quot;COMPUTED_VALUE&quot;&quot;&quot;),&quot;Production, Planning and Control&quot;)"/>
    <hyperlink ref="F111" r:id="rId109" display="=IFERROR(@__xludf.DUMMYFUNCTION(&quot;&quot;&quot;COMPUTED_VALUE&quot;&quot;&quot;),&quot;Quality Control and Reliability Engineering&quot;)"/>
    <hyperlink ref="F112" r:id="rId110" display="=IFERROR(@__xludf.DUMMYFUNCTION(&quot;&quot;&quot;COMPUTED_VALUE&quot;&quot;&quot;),&quot;Hydraulics and Pneumatics&quot;)"/>
    <hyperlink ref="F113" r:id="rId111" display="=IFERROR(@__xludf.DUMMYFUNCTION(&quot;&quot;&quot;COMPUTED_VALUE&quot;&quot;&quot;),&quot;Machine Vision&quot;)"/>
    <hyperlink ref="F114" r:id="rId112" display="=IFERROR(@__xludf.DUMMYFUNCTION(&quot;&quot;&quot;COMPUTED_VALUE&quot;&quot;&quot;),&quot;Entrepreneurship Development&quot;)"/>
    <hyperlink ref="F115" r:id="rId113" display="=IFERROR(@__xludf.DUMMYFUNCTION(&quot;&quot;&quot;COMPUTED_VALUE&quot;&quot;&quot;),&quot;Advanced Solid Surface Design and Simulation Technique&quot;)"/>
    <hyperlink ref="F118" r:id="rId114" display="=IFERROR(@__xludf.DUMMYFUNCTION(&quot;&quot;&quot;COMPUTED_VALUE&quot;&quot;&quot;),&quot;Design and Fabrication Project&quot;)"/>
    <hyperlink ref="F119" r:id="rId115" display="=IFERROR(@__xludf.DUMMYFUNCTION(&quot;&quot;&quot;COMPUTED_VALUE&quot;&quot;&quot;),&quot;Project Work Phase I&quot;)"/>
    <hyperlink ref="F120" r:id="rId116" display="=IFERROR(@__xludf.DUMMYFUNCTION(&quot;&quot;&quot;COMPUTED_VALUE&quot;&quot;&quot;),&quot;Project Work Phase II&quot;)"/>
    <hyperlink ref="F121" r:id="rId117" display="=IFERROR(@__xludf.DUMMYFUNCTION(&quot;&quot;&quot;COMPUTED_VALUE&quot;&quot;&quot;),&quot;Softskills&quot;)"/>
    <hyperlink ref="F122" r:id="rId118" display="=IFERROR(@__xludf.DUMMYFUNCTION(&quot;&quot;&quot;COMPUTED_VALUE&quot;&quot;&quot;),&quot;Career Development Skills&quot;)"/>
    <hyperlink ref="F123" r:id="rId119" display="=IFERROR(@__xludf.DUMMYFUNCTION(&quot;&quot;&quot;COMPUTED_VALUE&quot;&quot;&quot;),&quot;Creative Skills for Communication&quot;)"/>
    <hyperlink ref="F124" r:id="rId120" display="=IFERROR(@__xludf.DUMMYFUNCTION(&quot;&quot;&quot;COMPUTED_VALUE&quot;&quot;&quot;),&quot;Reasoning Ability&quot;)"/>
    <hyperlink ref="F125" r:id="rId121" display="=IFERROR(@__xludf.DUMMYFUNCTION(&quot;&quot;&quot;COMPUTED_VALUE&quot;&quot;&quot;),&quot;System of Numerical and Logical Terminologies&quot;)"/>
    <hyperlink ref="F126" r:id="rId122" display="=IFERROR(@__xludf.DUMMYFUNCTION(&quot;&quot;&quot;COMPUTED_VALUE&quot;&quot;&quot;),&quot;Advanced Quantitative and Logical Reasoning&quot;)"/>
    <hyperlink ref="F127" r:id="rId123" display="=IFERROR(@__xludf.DUMMYFUNCTION(&quot;&quot;&quot;COMPUTED_VALUE&quot;&quot;&quot;),&quot;Quantitative Ability I&quot;)"/>
    <hyperlink ref="F128" r:id="rId124" display="=IFERROR(@__xludf.DUMMYFUNCTION(&quot;&quot;&quot;COMPUTED_VALUE&quot;&quot;&quot;),&quot;Quantitative Ability II&quot;)"/>
    <hyperlink ref="F129" r:id="rId125" display="=IFERROR(@__xludf.DUMMYFUNCTION(&quot;&quot;&quot;COMPUTED_VALUE&quot;&quot;&quot;),&quot;Employment Enhancement Skills&quot;)"/>
    <hyperlink ref="F130" r:id="rId126" display="=IFERROR(@__xludf.DUMMYFUNCTION(&quot;&quot;&quot;COMPUTED_VALUE&quot;&quot;&quot;),&quot;Employment Enrichment Skills&quot;)"/>
    <hyperlink ref="F131" r:id="rId127" display="=IFERROR(@__xludf.DUMMYFUNCTION(&quot;&quot;&quot;COMPUTED_VALUE&quot;&quot;&quot;),&quot;Company Specific Assessments For Employability&quot;)"/>
    <hyperlink ref="F132" r:id="rId128" display="=IFERROR(@__xludf.DUMMYFUNCTION(&quot;&quot;&quot;COMPUTED_VALUE&quot;&quot;&quot;),&quot;Placement Readiness Assessment&quot;)"/>
    <hyperlink ref="F133" r:id="rId129" display="=IFERROR(@__xludf.DUMMYFUNCTION(&quot;&quot;&quot;COMPUTED_VALUE&quot;&quot;&quot;),&quot;Paper Publication&quot;)"/>
    <hyperlink ref="F134" r:id="rId130" display="=IFERROR(@__xludf.DUMMYFUNCTION(&quot;&quot;&quot;COMPUTED_VALUE&quot;&quot;&quot;),&quot;Professional Ethics&quot;)"/>
    <hyperlink ref="F135" r:id="rId131" display="=IFERROR(@__xludf.DUMMYFUNCTION(&quot;&quot;&quot;COMPUTED_VALUE&quot;&quot;&quot;),&quot;Environmental Science&quot;)"/>
    <hyperlink ref="F136" r:id="rId132" display="=IFERROR(@__xludf.DUMMYFUNCTION(&quot;&quot;&quot;COMPUTED_VALUE&quot;&quot;&quot;),&quot;Constitution of India&quot;)"/>
    <hyperlink ref="F138" r:id="rId133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814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""R2024-MECH!A:A""),
IMPORTRANGE(""https://docs.google.com/spreadsheets/d/1UvPg-G_Bj-UNhLC2uL8tntfYsnld_PABqE3impzOchM/edit"", ""R2024"&amp;"-MECH!D:D""),
IMPORTRANGE(""https://docs.google.com/spreadsheets/d/1UvPg-G_Bj-UNhLC2uL8tntfYsnld_PABqE3impzOchM/edit"", ""R2024-MECH!E:E""),
IMPORTRANGE(""https://docs.google.com/spreadsheets/d/1UvPg-G_Bj-UNhLC2uL8tntfYsnld_PABqE3impzOchM/edit"", ""R2024-"&amp;"MECH!F:F""),
IMPORTRANGE(""https://docs.google.com/spreadsheets/d/1UvPg-G_Bj-UNhLC2uL8tntfYsnld_PABqE3impzOchM/edit"", ""R2024-MECH!G:G""),
IMPORTRANGE(""https://docs.google.com/spreadsheets/d/1UvPg-G_Bj-UNhLC2uL8tntfYsnld_PABqE3impzOchM/edit"", ""R2024-M"&amp;"ECH!I:I""),
IMPORTRANGE(""https://docs.google.com/spreadsheets/d/1UvPg-G_Bj-UNhLC2uL8tntfYsnld_PABqE3impzOchM/edit"", ""R2024-MECH!N:N""),
IMPORTRANGE(""https://docs.google.com/spreadsheets/d/1UvPg-G_Bj-UNhLC2uL8tntfYsnld_PABqE3impzOchM/edit"", ""R2024-ME"&amp;"CH!O:O""),
IMPORTRANGE(""https://docs.google.com/spreadsheets/d/1UvPg-G_Bj-UNhLC2uL8tntfYsnld_PABqE3impzOchM/edit"", ""R2024-MECH!P:P""),
IMPORTRANGE(""https://docs.google.com/spreadsheets/d/1UvPg-G_Bj-UNhLC2uL8tntfYsnld_PABqE3impzOchM/edit"", ""R2024-MEC"&amp;"H!Q:Q""),
IMPORTRANGE(""https://docs.google.com/spreadsheets/d/1UvPg-G_Bj-UNhLC2uL8tntfYsnld_PABqE3impzOchM/edit"", ""R2024-MECH!R:R""),
IMPORTRANGE(""https://docs.google.com/spreadsheets/d/1UvPg-G_Bj-UNhLC2uL8tntfYsnld_PABqE3impzOchM/edit"", ""R2024-MECH"&amp;"!S:S""),
IMPORTRANGE(""https://docs.google.com/spreadsheets/d/1UvPg-G_Bj-UNhLC2uL8tntfYsnld_PABqE3impzOchM/edit"", ""R2024-MECH!V:V""),
IMPORTRANGE(""https://docs.google.com/spreadsheets/d/1UvPg-G_Bj-UNhLC2uL8tntfYsnld_PABqE3impzOchM/edit"", ""R2024-MECH!"&amp;"X:X""),
IMPORTRANGE(""https://docs.google.com/spreadsheets/d/1UvPg-G_Bj-UNhLC2uL8tntfYsnld_PABqE3impzOchM/edit"", ""R2024-MECH!Y:Y"")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LE")</f>
        <v>Exempted for LE</v>
      </c>
      <c r="C3" s="2" t="str">
        <f>IFERROR(__xludf.DUMMYFUNCTION("""COMPUTED_VALUE"""),"HS")</f>
        <v>HS</v>
      </c>
      <c r="D3" s="2" t="str">
        <f>IFERROR(__xludf.DUMMYFUNCTION("""COMPUTED_VALUE"""),"SH1106")</f>
        <v>SH1106</v>
      </c>
      <c r="E3" s="2" t="str">
        <f>IFERROR(__xludf.DUMMYFUNCTION("""COMPUTED_VALUE"""),"19EN106")</f>
        <v>19EN106</v>
      </c>
      <c r="F3" s="7" t="str">
        <f>IFERROR(__xludf.DUMMYFUNCTION("""COMPUTED_VALUE"""),"English for Engineers")</f>
        <v>English for Engineers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IFERROR(__xludf.DUMMYFUNCTION("""COMPUTED_VALUE"""),10)</f>
        <v>10</v>
      </c>
      <c r="O3" s="20">
        <f>IFERROR(__xludf.DUMMYFUNCTION("""COMPUTED_VALUE"""),4)</f>
        <v>4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/>
      <c r="C4" s="2" t="str">
        <f>IFERROR(__xludf.DUMMYFUNCTION("""COMPUTED_VALUE"""),"HS")</f>
        <v>HS</v>
      </c>
      <c r="D4" s="2" t="str">
        <f>IFERROR(__xludf.DUMMYFUNCTION("""COMPUTED_VALUE"""),"SH1107")</f>
        <v>SH1107</v>
      </c>
      <c r="E4" s="2" t="str">
        <f>IFERROR(__xludf.DUMMYFUNCTION("""COMPUTED_VALUE"""),"19EN107")</f>
        <v>19EN107</v>
      </c>
      <c r="F4" s="7" t="str">
        <f>IFERROR(__xludf.DUMMYFUNCTION("""COMPUTED_VALUE"""),"Technical Writing and Presentation")</f>
        <v>Technical Writing and Presentation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IFERROR(__xludf.DUMMYFUNCTION("""COMPUTED_VALUE"""),2)</f>
        <v>2</v>
      </c>
      <c r="J4" s="2">
        <f>IFERROR(__xludf.DUMMYFUNCTION("""COMPUTED_VALUE"""),2)</f>
        <v>2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IFERROR(__xludf.DUMMYFUNCTION("""COMPUTED_VALUE"""),6)</f>
        <v>6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/>
      <c r="C5" s="2" t="str">
        <f>IFERROR(__xludf.DUMMYFUNCTION("""COMPUTED_VALUE"""),"HS")</f>
        <v>HS</v>
      </c>
      <c r="D5" s="2" t="str">
        <f>IFERROR(__xludf.DUMMYFUNCTION("""COMPUTED_VALUE"""),"SH7801")</f>
        <v>SH7801</v>
      </c>
      <c r="E5" s="2" t="str">
        <f>IFERROR(__xludf.DUMMYFUNCTION("""COMPUTED_VALUE"""),"NA")</f>
        <v>NA</v>
      </c>
      <c r="F5" s="7" t="str">
        <f>IFERROR(__xludf.DUMMYFUNCTION("""COMPUTED_VALUE"""),"Human Values and Professional Ethics")</f>
        <v>Human Values and Professional Ethics</v>
      </c>
      <c r="G5" s="2" t="str">
        <f>IFERROR(__xludf.DUMMYFUNCTION("""COMPUTED_VALUE"""),"-")</f>
        <v>-</v>
      </c>
      <c r="H5" s="2">
        <f>IFERROR(__xludf.DUMMYFUNCTION("""COMPUTED_VALUE"""),2)</f>
        <v>2</v>
      </c>
      <c r="I5" s="2">
        <f>IFERROR(__xludf.DUMMYFUNCTION("""COMPUTED_VALUE"""),0)</f>
        <v>0</v>
      </c>
      <c r="J5" s="2">
        <f>IFERROR(__xludf.DUMMYFUNCTION("""COMPUTED_VALUE"""),2)</f>
        <v>2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IFERROR(__xludf.DUMMYFUNCTION("""COMPUTED_VALUE"""),29)</f>
        <v>29</v>
      </c>
      <c r="O5" s="20">
        <f>IFERROR(__xludf.DUMMYFUNCTION("""COMPUTED_VALUE"""),17)</f>
        <v>17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IFERROR(__xludf.DUMMYFUNCTION("""COMPUTED_VALUE"""),"SH7101")</f>
        <v>SH7101</v>
      </c>
      <c r="E6" s="2" t="str">
        <f>IFERROR(__xludf.DUMMYFUNCTION("""COMPUTED_VALUE"""),"22HS101")</f>
        <v>22HS101</v>
      </c>
      <c r="F6" s="7" t="str">
        <f>IFERROR(__xludf.DUMMYFUNCTION("""COMPUTED_VALUE"""),"தமிழர் மரபு/ Heritage of Tamils")</f>
        <v>தமிழர் மரபு/ Heritage of Tamils</v>
      </c>
      <c r="G6" s="2" t="str">
        <f>IFERROR(__xludf.DUMMYFUNCTION("""COMPUTED_VALUE"""),"-")</f>
        <v>-</v>
      </c>
      <c r="H6" s="2">
        <f>IFERROR(__xludf.DUMMYFUNCTION("""COMPUTED_VALUE"""),1)</f>
        <v>1</v>
      </c>
      <c r="I6" s="2">
        <f>IFERROR(__xludf.DUMMYFUNCTION("""COMPUTED_VALUE"""),0)</f>
        <v>0</v>
      </c>
      <c r="J6" s="2">
        <f>IFERROR(__xludf.DUMMYFUNCTION("""COMPUTED_VALUE"""),1)</f>
        <v>1</v>
      </c>
      <c r="K6" s="2" t="str">
        <f>IFERROR(__xludf.DUMMYFUNCTION("""COMPUTED_VALUE"""),"CGPA")</f>
        <v>CGPA</v>
      </c>
      <c r="L6" s="18" t="str">
        <f>IFERROR(__xludf.DUMMYFUNCTION("""COMPUTED_VALUE"""),"Theory (Int Only)")</f>
        <v>Theory (Int Only)</v>
      </c>
      <c r="M6" s="19" t="str">
        <f>IFERROR(__xludf.DUMMYFUNCTION("""COMPUTED_VALUE"""),"PC")</f>
        <v>PC</v>
      </c>
      <c r="N6" s="2">
        <f>IFERROR(__xludf.DUMMYFUNCTION("""COMPUTED_VALUE"""),55)</f>
        <v>55</v>
      </c>
      <c r="O6" s="20">
        <f>IFERROR(__xludf.DUMMYFUNCTION("""COMPUTED_VALUE"""),55)</f>
        <v>55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IFERROR(__xludf.DUMMYFUNCTION("""COMPUTED_VALUE"""),"SH7102")</f>
        <v>SH7102</v>
      </c>
      <c r="E7" s="2" t="str">
        <f>IFERROR(__xludf.DUMMYFUNCTION("""COMPUTED_VALUE"""),"22HS102")</f>
        <v>22HS102</v>
      </c>
      <c r="F7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7" s="2" t="str">
        <f>IFERROR(__xludf.DUMMYFUNCTION("""COMPUTED_VALUE"""),"-")</f>
        <v>-</v>
      </c>
      <c r="H7" s="2">
        <f>IFERROR(__xludf.DUMMYFUNCTION("""COMPUTED_VALUE"""),1)</f>
        <v>1</v>
      </c>
      <c r="I7" s="2">
        <f>IFERROR(__xludf.DUMMYFUNCTION("""COMPUTED_VALUE"""),0)</f>
        <v>0</v>
      </c>
      <c r="J7" s="2">
        <f>IFERROR(__xludf.DUMMYFUNCTION("""COMPUTED_VALUE"""),1)</f>
        <v>1</v>
      </c>
      <c r="K7" s="2" t="str">
        <f>IFERROR(__xludf.DUMMYFUNCTION("""COMPUTED_VALUE"""),"CGPA")</f>
        <v>CGPA</v>
      </c>
      <c r="L7" s="18" t="str">
        <f>IFERROR(__xludf.DUMMYFUNCTION("""COMPUTED_VALUE"""),"Theory (Int Only)")</f>
        <v>Theory (Int Only)</v>
      </c>
      <c r="M7" s="19" t="str">
        <f>IFERROR(__xludf.DUMMYFUNCTION("""COMPUTED_VALUE"""),"PE")</f>
        <v>PE</v>
      </c>
      <c r="N7" s="2">
        <f>IFERROR(__xludf.DUMMYFUNCTION("""COMPUTED_VALUE"""),18)</f>
        <v>18</v>
      </c>
      <c r="O7" s="20">
        <f>IFERROR(__xludf.DUMMYFUNCTION("""COMPUTED_VALUE"""),18)</f>
        <v>18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/>
      <c r="C8" s="2" t="str">
        <f>IFERROR(__xludf.DUMMYFUNCTION("""COMPUTED_VALUE"""),"BS")</f>
        <v>BS</v>
      </c>
      <c r="D8" s="2" t="str">
        <f>IFERROR(__xludf.DUMMYFUNCTION("""COMPUTED_VALUE"""),"SH4801")</f>
        <v>SH4801</v>
      </c>
      <c r="E8" s="2" t="str">
        <f>IFERROR(__xludf.DUMMYFUNCTION("""COMPUTED_VALUE"""),"NA")</f>
        <v>NA</v>
      </c>
      <c r="F8" s="7" t="str">
        <f>IFERROR(__xludf.DUMMYFUNCTION("""COMPUTED_VALUE"""),"Environmental Sciences and Sustainability")</f>
        <v>Environmental Sciences and Sustainability</v>
      </c>
      <c r="G8" s="2" t="str">
        <f>IFERROR(__xludf.DUMMYFUNCTION("""COMPUTED_VALUE"""),"-")</f>
        <v>-</v>
      </c>
      <c r="H8" s="2">
        <f>IFERROR(__xludf.DUMMYFUNCTION("""COMPUTED_VALUE"""),2)</f>
        <v>2</v>
      </c>
      <c r="I8" s="2">
        <f>IFERROR(__xludf.DUMMYFUNCTION("""COMPUTED_VALUE"""),0)</f>
        <v>0</v>
      </c>
      <c r="J8" s="2">
        <f>IFERROR(__xludf.DUMMYFUNCTION("""COMPUTED_VALUE"""),2)</f>
        <v>2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IFERROR(__xludf.DUMMYFUNCTION("""COMPUTED_VALUE"""),"BS")</f>
        <v>BS</v>
      </c>
      <c r="D9" s="2" t="str">
        <f>IFERROR(__xludf.DUMMYFUNCTION("""COMPUTED_VALUE"""),"SH2201")</f>
        <v>SH2201</v>
      </c>
      <c r="E9" s="2" t="str">
        <f>IFERROR(__xludf.DUMMYFUNCTION("""COMPUTED_VALUE"""),"19MA201")</f>
        <v>19MA201</v>
      </c>
      <c r="F9" s="7" t="str">
        <f>IFERROR(__xludf.DUMMYFUNCTION("""COMPUTED_VALUE"""),"Calculus and Matrix Algebra")</f>
        <v>Calculus and Matrix Algebra</v>
      </c>
      <c r="G9" s="2" t="str">
        <f>IFERROR(__xludf.DUMMYFUNCTION("""COMPUTED_VALUE"""),"-")</f>
        <v>-</v>
      </c>
      <c r="H9" s="2">
        <f>IFERROR(__xludf.DUMMYFUNCTION("""COMPUTED_VALUE"""),4)</f>
        <v>4</v>
      </c>
      <c r="I9" s="2">
        <f>IFERROR(__xludf.DUMMYFUNCTION("""COMPUTED_VALUE"""),0)</f>
        <v>0</v>
      </c>
      <c r="J9" s="2">
        <f>IFERROR(__xludf.DUMMYFUNCTION("""COMPUTED_VALUE"""),4)</f>
        <v>4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/>
      <c r="C10" s="2" t="str">
        <f>IFERROR(__xludf.DUMMYFUNCTION("""COMPUTED_VALUE"""),"BS")</f>
        <v>BS</v>
      </c>
      <c r="D10" s="2" t="str">
        <f>IFERROR(__xludf.DUMMYFUNCTION("""COMPUTED_VALUE"""),"SH2211")</f>
        <v>SH2211</v>
      </c>
      <c r="E10" s="2" t="str">
        <f>IFERROR(__xludf.DUMMYFUNCTION("""COMPUTED_VALUE"""),"19MA211")</f>
        <v>19MA211</v>
      </c>
      <c r="F10" s="7" t="str">
        <f>IFERROR(__xludf.DUMMYFUNCTION("""COMPUTED_VALUE"""),"Statistics and Numerical Methods")</f>
        <v>Statistics and Numerical Methods</v>
      </c>
      <c r="G10" s="2" t="str">
        <f>IFERROR(__xludf.DUMMYFUNCTION("""COMPUTED_VALUE"""),"-")</f>
        <v>-</v>
      </c>
      <c r="H10" s="2">
        <f>IFERROR(__xludf.DUMMYFUNCTION("""COMPUTED_VALUE"""),3)</f>
        <v>3</v>
      </c>
      <c r="I10" s="2">
        <f>IFERROR(__xludf.DUMMYFUNCTION("""COMPUTED_VALUE"""),1)</f>
        <v>1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IFERROR(__xludf.DUMMYFUNCTION("""COMPUTED_VALUE"""),"TIP (6 Expts)")</f>
        <v>TIP (6 Expts)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IFERROR(__xludf.DUMMYFUNCTION("""COMPUTED_VALUE"""),"SH2224")</f>
        <v>SH2224</v>
      </c>
      <c r="E11" s="2" t="str">
        <f>IFERROR(__xludf.DUMMYFUNCTION("""COMPUTED_VALUE"""),"19MA224")</f>
        <v>19MA224</v>
      </c>
      <c r="F11" s="7" t="str">
        <f>IFERROR(__xludf.DUMMYFUNCTION("""COMPUTED_VALUE"""),"Transforms and Differential Equations")</f>
        <v>Transforms and Differential Equations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IFERROR(__xludf.DUMMYFUNCTION("""COMPUTED_VALUE"""),168)</f>
        <v>168</v>
      </c>
      <c r="O11" s="23">
        <f>IFERROR(__xludf.DUMMYFUNCTION("""COMPUTED_VALUE"""),131)</f>
        <v>131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IFERROR(__xludf.DUMMYFUNCTION("""COMPUTED_VALUE"""),"SH3802")</f>
        <v>SH3802</v>
      </c>
      <c r="E12" s="2" t="str">
        <f>IFERROR(__xludf.DUMMYFUNCTION("""COMPUTED_VALUE"""),"NA")</f>
        <v>NA</v>
      </c>
      <c r="F12" s="7" t="str">
        <f>IFERROR(__xludf.DUMMYFUNCTION("""COMPUTED_VALUE"""),"Basics of Engineering Physics")</f>
        <v>Basics of Engineering Physics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IFERROR(__xludf.DUMMYFUNCTION("""COMPUTED_VALUE"""),0)</f>
        <v>0</v>
      </c>
      <c r="J12" s="2">
        <f>IFERROR(__xludf.DUMMYFUNCTION("""COMPUTED_VALUE"""),3)</f>
        <v>3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IFERROR(__xludf.DUMMYFUNCTION("""COMPUTED_VALUE"""),"SH3211")</f>
        <v>SH3211</v>
      </c>
      <c r="E13" s="2" t="str">
        <f>IFERROR(__xludf.DUMMYFUNCTION("""COMPUTED_VALUE"""),"19PH211")</f>
        <v>19PH211</v>
      </c>
      <c r="F13" s="7" t="str">
        <f>IFERROR(__xludf.DUMMYFUNCTION("""COMPUTED_VALUE"""),"Materials Science")</f>
        <v>Materials Science</v>
      </c>
      <c r="G13" s="2" t="str">
        <f>IFERROR(__xludf.DUMMYFUNCTION("""COMPUTED_VALUE"""),"-")</f>
        <v>-</v>
      </c>
      <c r="H13" s="2">
        <f>IFERROR(__xludf.DUMMYFUNCTION("""COMPUTED_VALUE"""),3)</f>
        <v>3</v>
      </c>
      <c r="I13" s="2">
        <f>IFERROR(__xludf.DUMMYFUNCTION("""COMPUTED_VALUE"""),1)</f>
        <v>1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IFERROR(__xludf.DUMMYFUNCTION("""COMPUTED_VALUE"""),"SH4208")</f>
        <v>SH4208</v>
      </c>
      <c r="E14" s="2" t="str">
        <f>IFERROR(__xludf.DUMMYFUNCTION("""COMPUTED_VALUE"""),"19CY208")</f>
        <v>19CY208</v>
      </c>
      <c r="F14" s="7" t="str">
        <f>IFERROR(__xludf.DUMMYFUNCTION("""COMPUTED_VALUE"""),"Basic Engineering Chemistry")</f>
        <v>Basic Engineering Chemistry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IFERROR(__xludf.DUMMYFUNCTION("""COMPUTED_VALUE"""),1)</f>
        <v>1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IFERROR(__xludf.DUMMYFUNCTION("""COMPUTED_VALUE"""),"ES")</f>
        <v>ES</v>
      </c>
      <c r="D15" s="2" t="str">
        <f>IFERROR(__xludf.DUMMYFUNCTION("""COMPUTED_VALUE"""),"CS3301")</f>
        <v>CS3301</v>
      </c>
      <c r="E15" s="2" t="str">
        <f>IFERROR(__xludf.DUMMYFUNCTION("""COMPUTED_VALUE"""),"19AI301")</f>
        <v>19AI301</v>
      </c>
      <c r="F15" s="7" t="str">
        <f>IFERROR(__xludf.DUMMYFUNCTION("""COMPUTED_VALUE"""),"Python Programming")</f>
        <v>Python Programming</v>
      </c>
      <c r="G15" s="2" t="str">
        <f>IFERROR(__xludf.DUMMYFUNCTION("""COMPUTED_VALUE"""),"-")</f>
        <v>-</v>
      </c>
      <c r="H15" s="2">
        <f>IFERROR(__xludf.DUMMYFUNCTION("""COMPUTED_VALUE"""),2)</f>
        <v>2</v>
      </c>
      <c r="I15" s="2">
        <f>IFERROR(__xludf.DUMMYFUNCTION("""COMPUTED_VALUE"""),1)</f>
        <v>1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IFERROR(__xludf.DUMMYFUNCTION("""COMPUTED_VALUE"""),"ES")</f>
        <v>ES</v>
      </c>
      <c r="D16" s="2" t="str">
        <f>IFERROR(__xludf.DUMMYFUNCTION("""COMPUTED_VALUE"""),"CS3801")</f>
        <v>CS3801</v>
      </c>
      <c r="E16" s="2" t="str">
        <f>IFERROR(__xludf.DUMMYFUNCTION("""COMPUTED_VALUE"""),"NA")</f>
        <v>NA</v>
      </c>
      <c r="F16" s="7" t="str">
        <f>IFERROR(__xludf.DUMMYFUNCTION("""COMPUTED_VALUE"""),"Artificial Intelligence and Applications")</f>
        <v>Artificial Intelligence and Applications</v>
      </c>
      <c r="G16" s="2" t="str">
        <f>IFERROR(__xludf.DUMMYFUNCTION("""COMPUTED_VALUE"""),"-")</f>
        <v>-</v>
      </c>
      <c r="H16" s="2">
        <f>IFERROR(__xludf.DUMMYFUNCTION("""COMPUTED_VALUE"""),1)</f>
        <v>1</v>
      </c>
      <c r="I16" s="2">
        <f>IFERROR(__xludf.DUMMYFUNCTION("""COMPUTED_VALUE"""),2)</f>
        <v>2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IFERROR(__xludf.DUMMYFUNCTION("""COMPUTED_VALUE"""),"Theory (Int Only) and Practical (10 Expts)")</f>
        <v>Theory (Int Only) and Practical (10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IFERROR(__xludf.DUMMYFUNCTION("""COMPUTED_VALUE"""),"ES")</f>
        <v>ES</v>
      </c>
      <c r="D17" s="2" t="str">
        <f>IFERROR(__xludf.DUMMYFUNCTION("""COMPUTED_VALUE"""),"ME0309")</f>
        <v>ME0309</v>
      </c>
      <c r="E17" s="2" t="str">
        <f>IFERROR(__xludf.DUMMYFUNCTION("""COMPUTED_VALUE"""),"19ME309")</f>
        <v>19ME309</v>
      </c>
      <c r="F17" s="7" t="str">
        <f>IFERROR(__xludf.DUMMYFUNCTION("""COMPUTED_VALUE"""),"Engineering Drawing and Visualisation")</f>
        <v>Engineering Drawing and Visualisation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IFERROR(__xludf.DUMMYFUNCTION("""COMPUTED_VALUE"""),"ME0310")</f>
        <v>ME0310</v>
      </c>
      <c r="E18" s="2" t="str">
        <f>IFERROR(__xludf.DUMMYFUNCTION("""COMPUTED_VALUE"""),"19ME310")</f>
        <v>19ME310</v>
      </c>
      <c r="F18" s="7" t="str">
        <f>IFERROR(__xludf.DUMMYFUNCTION("""COMPUTED_VALUE"""),"Engineering Practices Lab")</f>
        <v>Engineering Practices Lab</v>
      </c>
      <c r="G18" s="2" t="str">
        <f>IFERROR(__xludf.DUMMYFUNCTION("""COMPUTED_VALUE"""),"-")</f>
        <v>-</v>
      </c>
      <c r="H18" s="2">
        <f>IFERROR(__xludf.DUMMYFUNCTION("""COMPUTED_VALUE"""),0)</f>
        <v>0</v>
      </c>
      <c r="I18" s="2">
        <f>IFERROR(__xludf.DUMMYFUNCTION("""COMPUTED_VALUE"""),1)</f>
        <v>1</v>
      </c>
      <c r="J18" s="2">
        <f>IFERROR(__xludf.DUMMYFUNCTION("""COMPUTED_VALUE"""),1)</f>
        <v>1</v>
      </c>
      <c r="K18" s="2" t="str">
        <f>IFERROR(__xludf.DUMMYFUNCTION("""COMPUTED_VALUE"""),"CGPA")</f>
        <v>CGPA</v>
      </c>
      <c r="L18" s="2" t="str">
        <f>IFERROR(__xludf.DUMMYFUNCTION("""COMPUTED_VALUE"""),"Practical (6 Expts)")</f>
        <v>Practical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IFERROR(__xludf.DUMMYFUNCTION("""COMPUTED_VALUE"""),"ME0311")</f>
        <v>ME0311</v>
      </c>
      <c r="E19" s="2" t="str">
        <f>IFERROR(__xludf.DUMMYFUNCTION("""COMPUTED_VALUE"""),"19ME311")</f>
        <v>19ME311</v>
      </c>
      <c r="F19" s="7" t="str">
        <f>IFERROR(__xludf.DUMMYFUNCTION("""COMPUTED_VALUE"""),"Engineering Mechanics")</f>
        <v>Engineering Mechanics</v>
      </c>
      <c r="G19" s="2" t="str">
        <f>IFERROR(__xludf.DUMMYFUNCTION("""COMPUTED_VALUE"""),"-")</f>
        <v>-</v>
      </c>
      <c r="H19" s="2">
        <f>IFERROR(__xludf.DUMMYFUNCTION("""COMPUTED_VALUE"""),4)</f>
        <v>4</v>
      </c>
      <c r="I19" s="2">
        <f>IFERROR(__xludf.DUMMYFUNCTION("""COMPUTED_VALUE"""),0)</f>
        <v>0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IFERROR(__xludf.DUMMYFUNCTION("""COMPUTED_VALUE"""),"Theory")</f>
        <v>Theory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IFERROR(__xludf.DUMMYFUNCTION("""COMPUTED_VALUE"""),"ME0312")</f>
        <v>ME0312</v>
      </c>
      <c r="E20" s="2" t="str">
        <f>IFERROR(__xludf.DUMMYFUNCTION("""COMPUTED_VALUE"""),"19ME312")</f>
        <v>19ME312</v>
      </c>
      <c r="F20" s="7" t="str">
        <f>IFERROR(__xludf.DUMMYFUNCTION("""COMPUTED_VALUE"""),"Mechanics of Solids")</f>
        <v>Mechanics of Solids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IFERROR(__xludf.DUMMYFUNCTION("""COMPUTED_VALUE"""),1)</f>
        <v>1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IFERROR(__xludf.DUMMYFUNCTION("""COMPUTED_VALUE"""),"ME0305")</f>
        <v>ME0305</v>
      </c>
      <c r="E21" s="2" t="str">
        <f>IFERROR(__xludf.DUMMYFUNCTION("""COMPUTED_VALUE"""),"19ME305")</f>
        <v>19ME305</v>
      </c>
      <c r="F21" s="7" t="str">
        <f>IFERROR(__xludf.DUMMYFUNCTION("""COMPUTED_VALUE"""),"Fluid Mechanics and Machinery")</f>
        <v>Fluid Mechanics and Machinery</v>
      </c>
      <c r="G21" s="2" t="str">
        <f>IFERROR(__xludf.DUMMYFUNCTION("""COMPUTED_VALUE"""),"-")</f>
        <v>-</v>
      </c>
      <c r="H21" s="2">
        <f>IFERROR(__xludf.DUMMYFUNCTION("""COMPUTED_VALUE"""),3)</f>
        <v>3</v>
      </c>
      <c r="I21" s="2">
        <f>IFERROR(__xludf.DUMMYFUNCTION("""COMPUTED_VALUE"""),1)</f>
        <v>1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IFERROR(__xludf.DUMMYFUNCTION("""COMPUTED_VALUE"""),"EC2306")</f>
        <v>EC2306</v>
      </c>
      <c r="E22" s="2" t="str">
        <f>IFERROR(__xludf.DUMMYFUNCTION("""COMPUTED_VALUE"""),"19EE306  ")</f>
        <v>19EE306  </v>
      </c>
      <c r="F22" s="7" t="str">
        <f>IFERROR(__xludf.DUMMYFUNCTION("""COMPUTED_VALUE"""),"Basic Electrical, Electronics and Instrumentation Engineering")</f>
        <v>Basic Electrical, Electronics and Instrumentation Engineering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IFERROR(__xludf.DUMMYFUNCTION("""COMPUTED_VALUE"""),"EC2311")</f>
        <v>EC2311</v>
      </c>
      <c r="E23" s="2" t="str">
        <f>IFERROR(__xludf.DUMMYFUNCTION("""COMPUTED_VALUE"""),"19EE311")</f>
        <v>19EE311</v>
      </c>
      <c r="F23" s="7" t="str">
        <f>IFERROR(__xludf.DUMMYFUNCTION("""COMPUTED_VALUE"""),"Electrical Drives and Control")</f>
        <v>Electrical Drives and Control</v>
      </c>
      <c r="G23" s="2" t="str">
        <f>IFERROR(__xludf.DUMMYFUNCTION("""COMPUTED_VALUE"""),"-")</f>
        <v>-</v>
      </c>
      <c r="H23" s="2">
        <f>IFERROR(__xludf.DUMMYFUNCTION("""COMPUTED_VALUE"""),3)</f>
        <v>3</v>
      </c>
      <c r="I23" s="2">
        <f>IFERROR(__xludf.DUMMYFUNCTION("""COMPUTED_VALUE"""),0)</f>
        <v>0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IFERROR(__xludf.DUMMYFUNCTION("""COMPUTED_VALUE"""),"Theory")</f>
        <v>Theory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IFERROR(__xludf.DUMMYFUNCTION("""COMPUTED_VALUE"""),"ME0414")</f>
        <v>ME0414</v>
      </c>
      <c r="E24" s="2" t="str">
        <f>IFERROR(__xludf.DUMMYFUNCTION("""COMPUTED_VALUE"""),"19ME414")</f>
        <v>19ME414</v>
      </c>
      <c r="F24" s="7" t="str">
        <f>IFERROR(__xludf.DUMMYFUNCTION("""COMPUTED_VALUE"""),"Engineering Thermodynamics for Mechanical Engineers")</f>
        <v>Engineering Thermodynamics for Mechanical Engineers</v>
      </c>
      <c r="G24" s="2" t="str">
        <f>IFERROR(__xludf.DUMMYFUNCTION("""COMPUTED_VALUE"""),"-")</f>
        <v>-</v>
      </c>
      <c r="H24" s="2">
        <f>IFERROR(__xludf.DUMMYFUNCTION("""COMPUTED_VALUE"""),4)</f>
        <v>4</v>
      </c>
      <c r="I24" s="2">
        <f>IFERROR(__xludf.DUMMYFUNCTION("""COMPUTED_VALUE"""),0)</f>
        <v>0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IFERROR(__xludf.DUMMYFUNCTION("""COMPUTED_VALUE"""),"ME0405")</f>
        <v>ME0405</v>
      </c>
      <c r="E25" s="2" t="str">
        <f>IFERROR(__xludf.DUMMYFUNCTION("""COMPUTED_VALUE"""),"19ME405")</f>
        <v>19ME405</v>
      </c>
      <c r="F25" s="7" t="str">
        <f>IFERROR(__xludf.DUMMYFUNCTION("""COMPUTED_VALUE"""),"Thermal Engineering")</f>
        <v>Thermal Engineering</v>
      </c>
      <c r="G25" s="2" t="str">
        <f>IFERROR(__xludf.DUMMYFUNCTION("""COMPUTED_VALUE"""),"19ME414 / ME0414 / 19ME401")</f>
        <v>19ME414 / ME0414 / 19ME401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IFERROR(__xludf.DUMMYFUNCTION("""COMPUTED_VALUE"""),"ME0406")</f>
        <v>ME0406</v>
      </c>
      <c r="E26" s="2" t="str">
        <f>IFERROR(__xludf.DUMMYFUNCTION("""COMPUTED_VALUE"""),"19ME406")</f>
        <v>19ME406</v>
      </c>
      <c r="F26" s="7" t="str">
        <f>IFERROR(__xludf.DUMMYFUNCTION("""COMPUTED_VALUE"""),"Heat and Mass Transfer")</f>
        <v>Heat and Mass Transfer</v>
      </c>
      <c r="G26" s="2" t="str">
        <f>IFERROR(__xludf.DUMMYFUNCTION("""COMPUTED_VALUE"""),"19ME414 / ME0414 / 19ME401")</f>
        <v>19ME414 / ME0414 / 19ME401</v>
      </c>
      <c r="H26" s="2">
        <f>IFERROR(__xludf.DUMMYFUNCTION("""COMPUTED_VALUE"""),4)</f>
        <v>4</v>
      </c>
      <c r="I26" s="2">
        <f>IFERROR(__xludf.DUMMYFUNCTION("""COMPUTED_VALUE"""),1)</f>
        <v>1</v>
      </c>
      <c r="J26" s="2">
        <f>IFERROR(__xludf.DUMMYFUNCTION("""COMPUTED_VALUE"""),5)</f>
        <v>5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IFERROR(__xludf.DUMMYFUNCTION("""COMPUTED_VALUE"""),"ME0415")</f>
        <v>ME0415</v>
      </c>
      <c r="E27" s="2" t="str">
        <f>IFERROR(__xludf.DUMMYFUNCTION("""COMPUTED_VALUE"""),"19ME415")</f>
        <v>19ME415</v>
      </c>
      <c r="F27" s="7" t="str">
        <f>IFERROR(__xludf.DUMMYFUNCTION("""COMPUTED_VALUE"""),"Power Generation Engineering")</f>
        <v>Power Generation Engineering</v>
      </c>
      <c r="G27" s="2" t="str">
        <f>IFERROR(__xludf.DUMMYFUNCTION("""COMPUTED_VALUE"""),"-")</f>
        <v>-</v>
      </c>
      <c r="H27" s="2">
        <f>IFERROR(__xludf.DUMMYFUNCTION("""COMPUTED_VALUE"""),4)</f>
        <v>4</v>
      </c>
      <c r="I27" s="2">
        <f>IFERROR(__xludf.DUMMYFUNCTION("""COMPUTED_VALUE"""),0)</f>
        <v>0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IFERROR(__xludf.DUMMYFUNCTION("""COMPUTED_VALUE"""),"Theory")</f>
        <v>Theory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IFERROR(__xludf.DUMMYFUNCTION("""COMPUTED_VALUE"""),"ME0402")</f>
        <v>ME0402</v>
      </c>
      <c r="E28" s="2" t="str">
        <f>IFERROR(__xludf.DUMMYFUNCTION("""COMPUTED_VALUE"""),"19ME402")</f>
        <v>19ME402</v>
      </c>
      <c r="F28" s="7" t="str">
        <f>IFERROR(__xludf.DUMMYFUNCTION("""COMPUTED_VALUE"""),"Manufacturing Technology I")</f>
        <v>Manufacturing Technology I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IFERROR(__xludf.DUMMYFUNCTION("""COMPUTED_VALUE"""),"ME0404")</f>
        <v>ME0404</v>
      </c>
      <c r="E29" s="2" t="str">
        <f>IFERROR(__xludf.DUMMYFUNCTION("""COMPUTED_VALUE"""),"19ME404")</f>
        <v>19ME404</v>
      </c>
      <c r="F29" s="7" t="str">
        <f>IFERROR(__xludf.DUMMYFUNCTION("""COMPUTED_VALUE"""),"Manufacturing Technology II")</f>
        <v>Manufacturing Technology II</v>
      </c>
      <c r="G29" s="2" t="str">
        <f>IFERROR(__xludf.DUMMYFUNCTION("""COMPUTED_VALUE"""),"19ME402 / ME0402")</f>
        <v>19ME402 / ME0402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IFERROR(__xludf.DUMMYFUNCTION("""COMPUTED_VALUE"""),"ME0801")</f>
        <v>ME0801</v>
      </c>
      <c r="E30" s="2" t="str">
        <f>IFERROR(__xludf.DUMMYFUNCTION("""COMPUTED_VALUE"""),"NA")</f>
        <v>NA</v>
      </c>
      <c r="F30" s="7" t="str">
        <f>IFERROR(__xludf.DUMMYFUNCTION("""COMPUTED_VALUE"""),"Theory of Machines")</f>
        <v>Theory of Machines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IFERROR(__xludf.DUMMYFUNCTION("""COMPUTED_VALUE"""),"ME0407")</f>
        <v>ME0407</v>
      </c>
      <c r="E31" s="2" t="str">
        <f>IFERROR(__xludf.DUMMYFUNCTION("""COMPUTED_VALUE"""),"19ME407")</f>
        <v>19ME407</v>
      </c>
      <c r="F31" s="7" t="str">
        <f>IFERROR(__xludf.DUMMYFUNCTION("""COMPUTED_VALUE"""),"Design of Machine Elements")</f>
        <v>Design of Machine Elements</v>
      </c>
      <c r="G31" s="2" t="str">
        <f>IFERROR(__xludf.DUMMYFUNCTION("""COMPUTED_VALUE"""),"19ME312 / ME0312 / 19ME304")</f>
        <v>19ME312 / ME0312 / 19ME304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IFERROR(__xludf.DUMMYFUNCTION("""COMPUTED_VALUE"""),"ME0408")</f>
        <v>ME0408</v>
      </c>
      <c r="E32" s="2" t="str">
        <f>IFERROR(__xludf.DUMMYFUNCTION("""COMPUTED_VALUE"""),"19ME408")</f>
        <v>19ME408</v>
      </c>
      <c r="F32" s="7" t="str">
        <f>IFERROR(__xludf.DUMMYFUNCTION("""COMPUTED_VALUE"""),"Metrology and Measurements")</f>
        <v>Metrology and Measurements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IFERROR(__xludf.DUMMYFUNCTION("""COMPUTED_VALUE"""),"ME0802")</f>
        <v>ME0802</v>
      </c>
      <c r="E33" s="2" t="str">
        <f>IFERROR(__xludf.DUMMYFUNCTION("""COMPUTED_VALUE"""),"NA")</f>
        <v>NA</v>
      </c>
      <c r="F33" s="7" t="str">
        <f>IFERROR(__xludf.DUMMYFUNCTION("""COMPUTED_VALUE"""),"Hydraulics and Pneumatics")</f>
        <v>Hydraulics and Pneumatics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IFERROR(__xludf.DUMMYFUNCTION("""COMPUTED_VALUE"""),0)</f>
        <v>0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IFERROR(__xludf.DUMMYFUNCTION("""COMPUTED_VALUE"""),"Theory")</f>
        <v>Theory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IFERROR(__xludf.DUMMYFUNCTION("""COMPUTED_VALUE"""),"ME0416")</f>
        <v>ME0416</v>
      </c>
      <c r="E34" s="2" t="str">
        <f>IFERROR(__xludf.DUMMYFUNCTION("""COMPUTED_VALUE"""),"19ME416")</f>
        <v>19ME416</v>
      </c>
      <c r="F34" s="7" t="str">
        <f>IFERROR(__xludf.DUMMYFUNCTION("""COMPUTED_VALUE"""),"Mechatronics and IoT")</f>
        <v>Mechatronics and IoT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IFERROR(__xludf.DUMMYFUNCTION("""COMPUTED_VALUE"""),"ME0803")</f>
        <v>ME0803</v>
      </c>
      <c r="E35" s="2" t="str">
        <f>IFERROR(__xludf.DUMMYFUNCTION("""COMPUTED_VALUE"""),"NA")</f>
        <v>NA</v>
      </c>
      <c r="F35" s="7" t="str">
        <f>IFERROR(__xludf.DUMMYFUNCTION("""COMPUTED_VALUE"""),"CAD/CAM")</f>
        <v>CAD/CAM</v>
      </c>
      <c r="G35" s="2" t="str">
        <f>IFERROR(__xludf.DUMMYFUNCTION("""COMPUTED_VALUE"""),"-")</f>
        <v>-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IFERROR(__xludf.DUMMYFUNCTION("""COMPUTED_VALUE"""),"ME0411")</f>
        <v>ME0411</v>
      </c>
      <c r="E36" s="2" t="str">
        <f>IFERROR(__xludf.DUMMYFUNCTION("""COMPUTED_VALUE"""),"19ME411")</f>
        <v>19ME411</v>
      </c>
      <c r="F36" s="7" t="str">
        <f>IFERROR(__xludf.DUMMYFUNCTION("""COMPUTED_VALUE"""),"Finite Element Analysis")</f>
        <v>Finite Element Analysis</v>
      </c>
      <c r="G36" s="2" t="str">
        <f>IFERROR(__xludf.DUMMYFUNCTION("""COMPUTED_VALUE"""),"19ME312 / ME0312 / 19ME304")</f>
        <v>19ME312 / ME0312 / 19ME304</v>
      </c>
      <c r="H36" s="2">
        <f>IFERROR(__xludf.DUMMYFUNCTION("""COMPUTED_VALUE"""),4)</f>
        <v>4</v>
      </c>
      <c r="I36" s="2">
        <f>IFERROR(__xludf.DUMMYFUNCTION("""COMPUTED_VALUE"""),1)</f>
        <v>1</v>
      </c>
      <c r="J36" s="2">
        <f>IFERROR(__xludf.DUMMYFUNCTION("""COMPUTED_VALUE"""),5)</f>
        <v>5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IFERROR(__xludf.DUMMYFUNCTION("""COMPUTED_VALUE"""),"CS3410")</f>
        <v>CS3410</v>
      </c>
      <c r="E37" s="2" t="str">
        <f>IFERROR(__xludf.DUMMYFUNCTION("""COMPUTED_VALUE"""),"19AI410")</f>
        <v>19AI410</v>
      </c>
      <c r="F37" s="7" t="str">
        <f>IFERROR(__xludf.DUMMYFUNCTION("""COMPUTED_VALUE"""),"Introduction to Machine Learning")</f>
        <v>Introduction to Machine Learning</v>
      </c>
      <c r="G37" s="2" t="str">
        <f>IFERROR(__xludf.DUMMYFUNCTION("""COMPUTED_VALUE"""),"-")</f>
        <v>-</v>
      </c>
      <c r="H37" s="2">
        <f>IFERROR(__xludf.DUMMYFUNCTION("""COMPUTED_VALUE"""),2)</f>
        <v>2</v>
      </c>
      <c r="I37" s="2">
        <f>IFERROR(__xludf.DUMMYFUNCTION("""COMPUTED_VALUE"""),1)</f>
        <v>1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IFERROR(__xludf.DUMMYFUNCTION("""COMPUTED_VALUE"""),"PE(Honours)")</f>
        <v>PE(Honours)</v>
      </c>
      <c r="D38" s="2" t="str">
        <f>IFERROR(__xludf.DUMMYFUNCTION("""COMPUTED_VALUE"""),"ME0534")</f>
        <v>ME0534</v>
      </c>
      <c r="E38" s="2" t="str">
        <f>IFERROR(__xludf.DUMMYFUNCTION("""COMPUTED_VALUE"""),"19ME534")</f>
        <v>19ME534</v>
      </c>
      <c r="F38" s="7" t="str">
        <f>IFERROR(__xludf.DUMMYFUNCTION("""COMPUTED_VALUE"""),"Fundamentals of 3D Printing Technologies")</f>
        <v>Fundamentals of 3D Printing Technologies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IFERROR(__xludf.DUMMYFUNCTION("""COMPUTED_VALUE"""),0)</f>
        <v>0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IFERROR(__xludf.DUMMYFUNCTION("""COMPUTED_VALUE"""),"Theory")</f>
        <v>Theory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IFERROR(__xludf.DUMMYFUNCTION("""COMPUTED_VALUE"""),"PE(Honours)")</f>
        <v>PE(Honours)</v>
      </c>
      <c r="D39" s="2" t="str">
        <f>IFERROR(__xludf.DUMMYFUNCTION("""COMPUTED_VALUE"""),"ME0535")</f>
        <v>ME0535</v>
      </c>
      <c r="E39" s="2" t="str">
        <f>IFERROR(__xludf.DUMMYFUNCTION("""COMPUTED_VALUE"""),"19ME535")</f>
        <v>19ME535</v>
      </c>
      <c r="F39" s="7" t="str">
        <f>IFERROR(__xludf.DUMMYFUNCTION("""COMPUTED_VALUE"""),"Reverse Engineering and CAD Modelling")</f>
        <v>Reverse Engineering and CAD Modelling</v>
      </c>
      <c r="G39" s="2" t="str">
        <f>IFERROR(__xludf.DUMMYFUNCTION("""COMPUTED_VALUE"""),"19ME534/ ME0534")</f>
        <v>19ME534/ ME0534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IFERROR(__xludf.DUMMYFUNCTION("""COMPUTED_VALUE"""),"PE(Honours)")</f>
        <v>PE(Honours)</v>
      </c>
      <c r="D40" s="2" t="str">
        <f>IFERROR(__xludf.DUMMYFUNCTION("""COMPUTED_VALUE"""),"ME0536")</f>
        <v>ME0536</v>
      </c>
      <c r="E40" s="2" t="str">
        <f>IFERROR(__xludf.DUMMYFUNCTION("""COMPUTED_VALUE"""),"19ME536")</f>
        <v>19ME536</v>
      </c>
      <c r="F40" s="7" t="str">
        <f>IFERROR(__xludf.DUMMYFUNCTION("""COMPUTED_VALUE"""),"Design for 3D Printing")</f>
        <v>Design for 3D Printing</v>
      </c>
      <c r="G40" s="2" t="str">
        <f>IFERROR(__xludf.DUMMYFUNCTION("""COMPUTED_VALUE"""),"19ME534, ME0534")</f>
        <v>19ME534, ME0534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IFERROR(__xludf.DUMMYFUNCTION("""COMPUTED_VALUE"""),"PE(Honours)")</f>
        <v>PE(Honours)</v>
      </c>
      <c r="D41" s="2" t="str">
        <f>IFERROR(__xludf.DUMMYFUNCTION("""COMPUTED_VALUE"""),"ME0537")</f>
        <v>ME0537</v>
      </c>
      <c r="E41" s="2" t="str">
        <f>IFERROR(__xludf.DUMMYFUNCTION("""COMPUTED_VALUE"""),"19ME537")</f>
        <v>19ME537</v>
      </c>
      <c r="F41" s="7" t="str">
        <f>IFERROR(__xludf.DUMMYFUNCTION("""COMPUTED_VALUE"""),"3D Printing Machines and Systems")</f>
        <v>3D Printing Machines and Systems</v>
      </c>
      <c r="G41" s="2" t="str">
        <f>IFERROR(__xludf.DUMMYFUNCTION("""COMPUTED_VALUE"""),"19ME534, ME0535")</f>
        <v>19ME534, ME0535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IFERROR(__xludf.DUMMYFUNCTION("""COMPUTED_VALUE"""),"PE(Honours)")</f>
        <v>PE(Honours)</v>
      </c>
      <c r="D42" s="2" t="str">
        <f>IFERROR(__xludf.DUMMYFUNCTION("""COMPUTED_VALUE"""),"ME0538")</f>
        <v>ME0538</v>
      </c>
      <c r="E42" s="2" t="str">
        <f>IFERROR(__xludf.DUMMYFUNCTION("""COMPUTED_VALUE"""),"19ME538")</f>
        <v>19ME538</v>
      </c>
      <c r="F42" s="7" t="str">
        <f>IFERROR(__xludf.DUMMYFUNCTION("""COMPUTED_VALUE"""),"Materials for 3D Printing")</f>
        <v>Materials for 3D Printing</v>
      </c>
      <c r="G42" s="2" t="str">
        <f>IFERROR(__xludf.DUMMYFUNCTION("""COMPUTED_VALUE"""),"19ME534, ME0534")</f>
        <v>19ME534, ME0534</v>
      </c>
      <c r="H42" s="2">
        <f>IFERROR(__xludf.DUMMYFUNCTION("""COMPUTED_VALUE"""),3)</f>
        <v>3</v>
      </c>
      <c r="I42" s="2">
        <f>IFERROR(__xludf.DUMMYFUNCTION("""COMPUTED_VALUE"""),0)</f>
        <v>0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IFERROR(__xludf.DUMMYFUNCTION("""COMPUTED_VALUE"""),"PE(Honours)")</f>
        <v>PE(Honours)</v>
      </c>
      <c r="D43" s="2" t="str">
        <f>IFERROR(__xludf.DUMMYFUNCTION("""COMPUTED_VALUE"""),"ME0539")</f>
        <v>ME0539</v>
      </c>
      <c r="E43" s="2" t="str">
        <f>IFERROR(__xludf.DUMMYFUNCTION("""COMPUTED_VALUE"""),"19ME539")</f>
        <v>19ME539</v>
      </c>
      <c r="F43" s="7" t="str">
        <f>IFERROR(__xludf.DUMMYFUNCTION("""COMPUTED_VALUE"""),"3D Printing for Medical Applications")</f>
        <v>3D Printing for Medical Applications</v>
      </c>
      <c r="G43" s="2" t="str">
        <f>IFERROR(__xludf.DUMMYFUNCTION("""COMPUTED_VALUE"""),"19ME534, ME0534")</f>
        <v>19ME534, ME0534</v>
      </c>
      <c r="H43" s="2">
        <f>IFERROR(__xludf.DUMMYFUNCTION("""COMPUTED_VALUE"""),3)</f>
        <v>3</v>
      </c>
      <c r="I43" s="2">
        <f>IFERROR(__xludf.DUMMYFUNCTION("""COMPUTED_VALUE"""),1)</f>
        <v>1</v>
      </c>
      <c r="J43" s="2">
        <f>IFERROR(__xludf.DUMMYFUNCTION("""COMPUTED_VALUE"""),4)</f>
        <v>4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IFERROR(__xludf.DUMMYFUNCTION("""COMPUTED_VALUE"""),"PE(Honours)")</f>
        <v>PE(Honours)</v>
      </c>
      <c r="D44" s="2" t="str">
        <f>IFERROR(__xludf.DUMMYFUNCTION("""COMPUTED_VALUE"""),"ME0540")</f>
        <v>ME0540</v>
      </c>
      <c r="E44" s="2" t="str">
        <f>IFERROR(__xludf.DUMMYFUNCTION("""COMPUTED_VALUE"""),"19ME540")</f>
        <v>19ME540</v>
      </c>
      <c r="F44" s="7" t="str">
        <f>IFERROR(__xludf.DUMMYFUNCTION("""COMPUTED_VALUE"""),"Hybrid and Electric Vehicle Technology")</f>
        <v>Hybrid and Electric Vehicle Technology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IFERROR(__xludf.DUMMYFUNCTION("""COMPUTED_VALUE"""),0)</f>
        <v>0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IFERROR(__xludf.DUMMYFUNCTION("""COMPUTED_VALUE"""),"Theory")</f>
        <v>Theory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IFERROR(__xludf.DUMMYFUNCTION("""COMPUTED_VALUE"""),"PE(Honours)")</f>
        <v>PE(Honours)</v>
      </c>
      <c r="D45" s="2" t="str">
        <f>IFERROR(__xludf.DUMMYFUNCTION("""COMPUTED_VALUE"""),"ME0541")</f>
        <v>ME0541</v>
      </c>
      <c r="E45" s="2" t="str">
        <f>IFERROR(__xludf.DUMMYFUNCTION("""COMPUTED_VALUE"""),"19ME541")</f>
        <v>19ME541</v>
      </c>
      <c r="F45" s="7" t="str">
        <f>IFERROR(__xludf.DUMMYFUNCTION("""COMPUTED_VALUE"""),"Automotive Materials, Components, Design and Testing")</f>
        <v>Automotive Materials, Components, Design and Testing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IFERROR(__xludf.DUMMYFUNCTION("""COMPUTED_VALUE"""),"PE(Honours)")</f>
        <v>PE(Honours)</v>
      </c>
      <c r="D46" s="2" t="str">
        <f>IFERROR(__xludf.DUMMYFUNCTION("""COMPUTED_VALUE"""),"ME0542")</f>
        <v>ME0542</v>
      </c>
      <c r="E46" s="2" t="str">
        <f>IFERROR(__xludf.DUMMYFUNCTION("""COMPUTED_VALUE"""),"19ME542")</f>
        <v>19ME542</v>
      </c>
      <c r="F46" s="7" t="str">
        <f>IFERROR(__xludf.DUMMYFUNCTION("""COMPUTED_VALUE"""),"Smart Mobility and Intelligent Vehicles")</f>
        <v>Smart Mobility and Intelligent Vehicles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IFERROR(__xludf.DUMMYFUNCTION("""COMPUTED_VALUE"""),"PE(Honours)")</f>
        <v>PE(Honours)</v>
      </c>
      <c r="D47" s="2" t="str">
        <f>IFERROR(__xludf.DUMMYFUNCTION("""COMPUTED_VALUE"""),"ME0543")</f>
        <v>ME0543</v>
      </c>
      <c r="E47" s="2" t="str">
        <f>IFERROR(__xludf.DUMMYFUNCTION("""COMPUTED_VALUE"""),"19ME543")</f>
        <v>19ME543</v>
      </c>
      <c r="F47" s="7" t="str">
        <f>IFERROR(__xludf.DUMMYFUNCTION("""COMPUTED_VALUE"""),"CAE and CFD Approach in Future Mobility")</f>
        <v>CAE and CFD Approach in Future Mobility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IFERROR(__xludf.DUMMYFUNCTION("""COMPUTED_VALUE"""),"PE(Honours)")</f>
        <v>PE(Honours)</v>
      </c>
      <c r="D48" s="2" t="str">
        <f>IFERROR(__xludf.DUMMYFUNCTION("""COMPUTED_VALUE"""),"ME0544")</f>
        <v>ME0544</v>
      </c>
      <c r="E48" s="2" t="str">
        <f>IFERROR(__xludf.DUMMYFUNCTION("""COMPUTED_VALUE"""),"19ME544")</f>
        <v>19ME544</v>
      </c>
      <c r="F48" s="7" t="str">
        <f>IFERROR(__xludf.DUMMYFUNCTION("""COMPUTED_VALUE"""),"Thermal Management of Batteries")</f>
        <v>Thermal Management of Batteries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IFERROR(__xludf.DUMMYFUNCTION("""COMPUTED_VALUE"""),"PE(Honours)")</f>
        <v>PE(Honours)</v>
      </c>
      <c r="D49" s="2" t="str">
        <f>IFERROR(__xludf.DUMMYFUNCTION("""COMPUTED_VALUE"""),"ME0545")</f>
        <v>ME0545</v>
      </c>
      <c r="E49" s="2" t="str">
        <f>IFERROR(__xludf.DUMMYFUNCTION("""COMPUTED_VALUE"""),"19ME545")</f>
        <v>19ME545</v>
      </c>
      <c r="F49" s="7" t="str">
        <f>IFERROR(__xludf.DUMMYFUNCTION("""COMPUTED_VALUE"""),"Vehicle Health Monitoring, Maintenance and Safety")</f>
        <v>Vehicle Health Monitoring, Maintenance and Safety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IFERROR(__xludf.DUMMYFUNCTION("""COMPUTED_VALUE"""),"ME0546")</f>
        <v>ME0546</v>
      </c>
      <c r="E50" s="2" t="str">
        <f>IFERROR(__xludf.DUMMYFUNCTION("""COMPUTED_VALUE"""),"19ME546")</f>
        <v>19ME546</v>
      </c>
      <c r="F50" s="7" t="str">
        <f>IFERROR(__xludf.DUMMYFUNCTION("""COMPUTED_VALUE"""),"Value Engineering")</f>
        <v>Value Engineering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IFERROR(__xludf.DUMMYFUNCTION("""COMPUTED_VALUE"""),"ME0521")</f>
        <v>ME0521</v>
      </c>
      <c r="E51" s="2" t="str">
        <f>IFERROR(__xludf.DUMMYFUNCTION("""COMPUTED_VALUE"""),"19ME521")</f>
        <v>19ME521</v>
      </c>
      <c r="F51" s="7" t="str">
        <f>IFERROR(__xludf.DUMMYFUNCTION("""COMPUTED_VALUE"""),"Computer Integrated Manufacturing Systems")</f>
        <v>Computer Integrated Manufacturing Systems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IFERROR(__xludf.DUMMYFUNCTION("""COMPUTED_VALUE"""),"ME0547")</f>
        <v>ME0547</v>
      </c>
      <c r="E52" s="2" t="str">
        <f>IFERROR(__xludf.DUMMYFUNCTION("""COMPUTED_VALUE"""),"19ME547")</f>
        <v>19ME547</v>
      </c>
      <c r="F52" s="7" t="str">
        <f>IFERROR(__xludf.DUMMYFUNCTION("""COMPUTED_VALUE"""),"Design For X")</f>
        <v>Design For X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IFERROR(__xludf.DUMMYFUNCTION("""COMPUTED_VALUE"""),0)</f>
        <v>0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IFERROR(__xludf.DUMMYFUNCTION("""COMPUTED_VALUE"""),"Theory")</f>
        <v>Theory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IFERROR(__xludf.DUMMYFUNCTION("""COMPUTED_VALUE"""),"ME0548")</f>
        <v>ME0548</v>
      </c>
      <c r="E53" s="2" t="str">
        <f>IFERROR(__xludf.DUMMYFUNCTION("""COMPUTED_VALUE"""),"19ME548")</f>
        <v>19ME548</v>
      </c>
      <c r="F53" s="7" t="str">
        <f>IFERROR(__xludf.DUMMYFUNCTION("""COMPUTED_VALUE"""),"Product Life Cycle Management")</f>
        <v>Product Life Cycle Management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IFERROR(__xludf.DUMMYFUNCTION("""COMPUTED_VALUE"""),"ME0549")</f>
        <v>ME0549</v>
      </c>
      <c r="E54" s="2" t="str">
        <f>IFERROR(__xludf.DUMMYFUNCTION("""COMPUTED_VALUE"""),"19ME549")</f>
        <v>19ME549</v>
      </c>
      <c r="F54" s="7" t="str">
        <f>IFERROR(__xludf.DUMMYFUNCTION("""COMPUTED_VALUE"""),"Ergonomics in Design")</f>
        <v>Ergonomics in Design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IFERROR(__xludf.DUMMYFUNCTION("""COMPUTED_VALUE"""),"ME0550")</f>
        <v>ME0550</v>
      </c>
      <c r="E55" s="2" t="str">
        <f>IFERROR(__xludf.DUMMYFUNCTION("""COMPUTED_VALUE"""),"19ME550")</f>
        <v>19ME550</v>
      </c>
      <c r="F55" s="7" t="str">
        <f>IFERROR(__xludf.DUMMYFUNCTION("""COMPUTED_VALUE"""),"New Product Development")</f>
        <v>New Product Development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IFERROR(__xludf.DUMMYFUNCTION("""COMPUTED_VALUE"""),"ME0551")</f>
        <v>ME0551</v>
      </c>
      <c r="E56" s="2" t="str">
        <f>IFERROR(__xludf.DUMMYFUNCTION("""COMPUTED_VALUE"""),"19ME551")</f>
        <v>19ME551</v>
      </c>
      <c r="F56" s="7" t="str">
        <f>IFERROR(__xludf.DUMMYFUNCTION("""COMPUTED_VALUE"""),"Digital Manufacturing and IoT")</f>
        <v>Digital Manufacturing and IoT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IFERROR(__xludf.DUMMYFUNCTION("""COMPUTED_VALUE"""),"ME0552")</f>
        <v>ME0552</v>
      </c>
      <c r="E57" s="2" t="str">
        <f>IFERROR(__xludf.DUMMYFUNCTION("""COMPUTED_VALUE"""),"19ME552")</f>
        <v>19ME552</v>
      </c>
      <c r="F57" s="7" t="str">
        <f>IFERROR(__xludf.DUMMYFUNCTION("""COMPUTED_VALUE"""),"Lean Manufacturing")</f>
        <v>Lean Manufacturing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IFERROR(__xludf.DUMMYFUNCTION("""COMPUTED_VALUE"""),"ME0553")</f>
        <v>ME0553</v>
      </c>
      <c r="E58" s="2" t="str">
        <f>IFERROR(__xludf.DUMMYFUNCTION("""COMPUTED_VALUE"""),"19ME553")</f>
        <v>19ME553</v>
      </c>
      <c r="F58" s="7" t="str">
        <f>IFERROR(__xludf.DUMMYFUNCTION("""COMPUTED_VALUE"""),"Modern Robotics")</f>
        <v>Modern Robotics</v>
      </c>
      <c r="G58" s="2" t="str">
        <f>IFERROR(__xludf.DUMMYFUNCTION("""COMPUTED_VALUE"""),"-")</f>
        <v>-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IFERROR(__xludf.DUMMYFUNCTION("""COMPUTED_VALUE"""),"ME0554")</f>
        <v>ME0554</v>
      </c>
      <c r="E59" s="2" t="str">
        <f>IFERROR(__xludf.DUMMYFUNCTION("""COMPUTED_VALUE"""),"19ME554")</f>
        <v>19ME554</v>
      </c>
      <c r="F59" s="7" t="str">
        <f>IFERROR(__xludf.DUMMYFUNCTION("""COMPUTED_VALUE"""),"Green Manufacturing Design and Practices")</f>
        <v>Green Manufacturing Design and Practices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IFERROR(__xludf.DUMMYFUNCTION("""COMPUTED_VALUE"""),"ME0555")</f>
        <v>ME0555</v>
      </c>
      <c r="E60" s="2" t="str">
        <f>IFERROR(__xludf.DUMMYFUNCTION("""COMPUTED_VALUE"""),"19ME555")</f>
        <v>19ME555</v>
      </c>
      <c r="F60" s="7" t="str">
        <f>IFERROR(__xludf.DUMMYFUNCTION("""COMPUTED_VALUE"""),"Environment Sustainability and Impact Assessment")</f>
        <v>Environment Sustainability and Impact Assessment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IFERROR(__xludf.DUMMYFUNCTION("""COMPUTED_VALUE"""),"ME0556")</f>
        <v>ME0556</v>
      </c>
      <c r="E61" s="2" t="str">
        <f>IFERROR(__xludf.DUMMYFUNCTION("""COMPUTED_VALUE"""),"19ME556")</f>
        <v>19ME556</v>
      </c>
      <c r="F61" s="7" t="str">
        <f>IFERROR(__xludf.DUMMYFUNCTION("""COMPUTED_VALUE"""),"Energy Saving Machinery and Components")</f>
        <v>Energy Saving Machinery and Components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IFERROR(__xludf.DUMMYFUNCTION("""COMPUTED_VALUE"""),"ME0557")</f>
        <v>ME0557</v>
      </c>
      <c r="E62" s="2" t="str">
        <f>IFERROR(__xludf.DUMMYFUNCTION("""COMPUTED_VALUE"""),"19ME557")</f>
        <v>19ME557</v>
      </c>
      <c r="F62" s="7" t="str">
        <f>IFERROR(__xludf.DUMMYFUNCTION("""COMPUTED_VALUE"""),"Optimization Techniques")</f>
        <v>Optimization Techniques</v>
      </c>
      <c r="G62" s="2" t="str">
        <f>IFERROR(__xludf.DUMMYFUNCTION("""COMPUTED_VALUE"""),"-")</f>
        <v>-</v>
      </c>
      <c r="H62" s="2">
        <f>IFERROR(__xludf.DUMMYFUNCTION("""COMPUTED_VALUE"""),4)</f>
        <v>4</v>
      </c>
      <c r="I62" s="2">
        <f>IFERROR(__xludf.DUMMYFUNCTION("""COMPUTED_VALUE"""),0)</f>
        <v>0</v>
      </c>
      <c r="J62" s="2">
        <f>IFERROR(__xludf.DUMMYFUNCTION("""COMPUTED_VALUE"""),4)</f>
        <v>4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IFERROR(__xludf.DUMMYFUNCTION("""COMPUTED_VALUE"""),"ME0558")</f>
        <v>ME0558</v>
      </c>
      <c r="E63" s="2" t="str">
        <f>IFERROR(__xludf.DUMMYFUNCTION("""COMPUTED_VALUE"""),"19ME558")</f>
        <v>19ME558</v>
      </c>
      <c r="F63" s="7" t="str">
        <f>IFERROR(__xludf.DUMMYFUNCTION("""COMPUTED_VALUE"""),"Statistical Quality Control")</f>
        <v>Statistical Quality Control</v>
      </c>
      <c r="G63" s="2" t="str">
        <f>IFERROR(__xludf.DUMMYFUNCTION("""COMPUTED_VALUE"""),"-")</f>
        <v>-</v>
      </c>
      <c r="H63" s="2">
        <f>IFERROR(__xludf.DUMMYFUNCTION("""COMPUTED_VALUE"""),4)</f>
        <v>4</v>
      </c>
      <c r="I63" s="2">
        <f>IFERROR(__xludf.DUMMYFUNCTION("""COMPUTED_VALUE"""),0)</f>
        <v>0</v>
      </c>
      <c r="J63" s="2">
        <f>IFERROR(__xludf.DUMMYFUNCTION("""COMPUTED_VALUE"""),4)</f>
        <v>4</v>
      </c>
      <c r="K63" s="2" t="str">
        <f>IFERROR(__xludf.DUMMYFUNCTION("""COMPUTED_VALUE"""),"CGPA")</f>
        <v>CGPA</v>
      </c>
      <c r="L63" s="2" t="str">
        <f>IFERROR(__xludf.DUMMYFUNCTION("""COMPUTED_VALUE"""),"Theory")</f>
        <v>Theory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IFERROR(__xludf.DUMMYFUNCTION("""COMPUTED_VALUE"""),"ME0559")</f>
        <v>ME0559</v>
      </c>
      <c r="E64" s="2" t="str">
        <f>IFERROR(__xludf.DUMMYFUNCTION("""COMPUTED_VALUE"""),"19ME559")</f>
        <v>19ME559</v>
      </c>
      <c r="F64" s="7" t="str">
        <f>IFERROR(__xludf.DUMMYFUNCTION("""COMPUTED_VALUE"""),"Quality Audit System")</f>
        <v>Quality Audit System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IFERROR(__xludf.DUMMYFUNCTION("""COMPUTED_VALUE"""),"ME0560")</f>
        <v>ME0560</v>
      </c>
      <c r="E65" s="2" t="str">
        <f>IFERROR(__xludf.DUMMYFUNCTION("""COMPUTED_VALUE"""),"19ME560")</f>
        <v>19ME560</v>
      </c>
      <c r="F65" s="7" t="str">
        <f>IFERROR(__xludf.DUMMYFUNCTION("""COMPUTED_VALUE"""),"Operations and Inventory Management")</f>
        <v>Operations and Inventory Management</v>
      </c>
      <c r="G65" s="2" t="str">
        <f>IFERROR(__xludf.DUMMYFUNCTION("""COMPUTED_VALUE"""),"-")</f>
        <v>-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IFERROR(__xludf.DUMMYFUNCTION("""COMPUTED_VALUE"""),"ME0561")</f>
        <v>ME0561</v>
      </c>
      <c r="E66" s="2" t="str">
        <f>IFERROR(__xludf.DUMMYFUNCTION("""COMPUTED_VALUE"""),"19ME561")</f>
        <v>19ME561</v>
      </c>
      <c r="F66" s="7" t="str">
        <f>IFERROR(__xludf.DUMMYFUNCTION("""COMPUTED_VALUE"""),"Reliability Engineering")</f>
        <v>Reliability Engineering</v>
      </c>
      <c r="G66" s="2" t="str">
        <f>IFERROR(__xludf.DUMMYFUNCTION("""COMPUTED_VALUE"""),"-")</f>
        <v>-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IFERROR(__xludf.DUMMYFUNCTION("""COMPUTED_VALUE"""),"ME0562")</f>
        <v>ME0562</v>
      </c>
      <c r="E67" s="2" t="str">
        <f>IFERROR(__xludf.DUMMYFUNCTION("""COMPUTED_VALUE"""),"19ME562")</f>
        <v>19ME562</v>
      </c>
      <c r="F67" s="7" t="str">
        <f>IFERROR(__xludf.DUMMYFUNCTION("""COMPUTED_VALUE"""),"Discrete Event System Simulation")</f>
        <v>Discrete Event System Simulation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IFERROR(__xludf.DUMMYFUNCTION("""COMPUTED_VALUE"""),"ME0563")</f>
        <v>ME0563</v>
      </c>
      <c r="E68" s="2" t="str">
        <f>IFERROR(__xludf.DUMMYFUNCTION("""COMPUTED_VALUE"""),"19ME563")</f>
        <v>19ME563</v>
      </c>
      <c r="F68" s="7" t="str">
        <f>IFERROR(__xludf.DUMMYFUNCTION("""COMPUTED_VALUE"""),"Automotive Engineering")</f>
        <v>Automotive Engineering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IFERROR(__xludf.DUMMYFUNCTION("""COMPUTED_VALUE"""),"ME0564")</f>
        <v>ME0564</v>
      </c>
      <c r="E69" s="2" t="str">
        <f>IFERROR(__xludf.DUMMYFUNCTION("""COMPUTED_VALUE"""),"19ME564")</f>
        <v>19ME564</v>
      </c>
      <c r="F69" s="7" t="str">
        <f>IFERROR(__xludf.DUMMYFUNCTION("""COMPUTED_VALUE"""),"Refrigeration And Air Conditioning Technology")</f>
        <v>Refrigeration And Air Conditioning Technology</v>
      </c>
      <c r="G69" s="2" t="str">
        <f>IFERROR(__xludf.DUMMYFUNCTION("""COMPUTED_VALUE"""),"19ME405 / ME0405")</f>
        <v>19ME405 / ME0405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IFERROR(__xludf.DUMMYFUNCTION("""COMPUTED_VALUE"""),"ME0565")</f>
        <v>ME0565</v>
      </c>
      <c r="E70" s="2" t="str">
        <f>IFERROR(__xludf.DUMMYFUNCTION("""COMPUTED_VALUE"""),"19ME565")</f>
        <v>19ME565</v>
      </c>
      <c r="F70" s="7" t="str">
        <f>IFERROR(__xludf.DUMMYFUNCTION("""COMPUTED_VALUE"""),"Turbo Machines")</f>
        <v>Turbo Machines</v>
      </c>
      <c r="G70" s="2" t="str">
        <f>IFERROR(__xludf.DUMMYFUNCTION("""COMPUTED_VALUE"""),"19ME305 / ME0305")</f>
        <v>19ME305 / ME0305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IFERROR(__xludf.DUMMYFUNCTION("""COMPUTED_VALUE"""),"ME0566")</f>
        <v>ME0566</v>
      </c>
      <c r="E71" s="2" t="str">
        <f>IFERROR(__xludf.DUMMYFUNCTION("""COMPUTED_VALUE"""),"19ME566")</f>
        <v>19ME566</v>
      </c>
      <c r="F71" s="7" t="str">
        <f>IFERROR(__xludf.DUMMYFUNCTION("""COMPUTED_VALUE"""),"Gas Dynamics and Jet Propulsion")</f>
        <v>Gas Dynamics and Jet Propulsion</v>
      </c>
      <c r="G71" s="2" t="str">
        <f>IFERROR(__xludf.DUMMYFUNCTION("""COMPUTED_VALUE"""),"19ME414 / ME0414 / 19ME401")</f>
        <v>19ME414 / ME0414 / 19ME401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IFERROR(__xludf.DUMMYFUNCTION("""COMPUTED_VALUE"""),"ME0567")</f>
        <v>ME0567</v>
      </c>
      <c r="E72" s="2" t="str">
        <f>IFERROR(__xludf.DUMMYFUNCTION("""COMPUTED_VALUE"""),"19ME567")</f>
        <v>19ME567</v>
      </c>
      <c r="F72" s="7" t="str">
        <f>IFERROR(__xludf.DUMMYFUNCTION("""COMPUTED_VALUE"""),"Advanced Internal Combustion Engine Technology")</f>
        <v>Advanced Internal Combustion Engine Technology</v>
      </c>
      <c r="G72" s="2" t="str">
        <f>IFERROR(__xludf.DUMMYFUNCTION("""COMPUTED_VALUE"""),"19ME405 / ME0405")</f>
        <v>19ME405 / ME0405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IFERROR(__xludf.DUMMYFUNCTION("""COMPUTED_VALUE"""),"ME0568")</f>
        <v>ME0568</v>
      </c>
      <c r="E73" s="2" t="str">
        <f>IFERROR(__xludf.DUMMYFUNCTION("""COMPUTED_VALUE"""),"19ME568")</f>
        <v>19ME568</v>
      </c>
      <c r="F73" s="7" t="str">
        <f>IFERROR(__xludf.DUMMYFUNCTION("""COMPUTED_VALUE"""),"Computational Fluid Dynamics and Heat Transfer")</f>
        <v>Computational Fluid Dynamics and Heat Transfer</v>
      </c>
      <c r="G73" s="2" t="str">
        <f>IFERROR(__xludf.DUMMYFUNCTION("""COMPUTED_VALUE"""),"ME406 / 19ME406")</f>
        <v>ME406 / 19ME406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IFERROR(__xludf.DUMMYFUNCTION("""COMPUTED_VALUE"""),"ME0533")</f>
        <v>ME0533</v>
      </c>
      <c r="E74" s="2" t="str">
        <f>IFERROR(__xludf.DUMMYFUNCTION("""COMPUTED_VALUE"""),"19ME533")</f>
        <v>19ME533</v>
      </c>
      <c r="F74" s="7" t="str">
        <f>IFERROR(__xludf.DUMMYFUNCTION("""COMPUTED_VALUE"""),"3D Printing Processes")</f>
        <v>3D Printing Processes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IFERROR(__xludf.DUMMYFUNCTION("""COMPUTED_VALUE"""),1)</f>
        <v>1</v>
      </c>
      <c r="J74" s="2">
        <f>IFERROR(__xludf.DUMMYFUNCTION("""COMPUTED_VALUE"""),4)</f>
        <v>4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IFERROR(__xludf.DUMMYFUNCTION("""COMPUTED_VALUE"""),"ME0569")</f>
        <v>ME0569</v>
      </c>
      <c r="E75" s="2" t="str">
        <f>IFERROR(__xludf.DUMMYFUNCTION("""COMPUTED_VALUE"""),"19ME569")</f>
        <v>19ME569</v>
      </c>
      <c r="F75" s="7" t="str">
        <f>IFERROR(__xludf.DUMMYFUNCTION("""COMPUTED_VALUE"""),"Composite Materials Engineering")</f>
        <v>Composite Materials Engineering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IFERROR(__xludf.DUMMYFUNCTION("""COMPUTED_VALUE"""),"ME0570")</f>
        <v>ME0570</v>
      </c>
      <c r="E76" s="2" t="str">
        <f>IFERROR(__xludf.DUMMYFUNCTION("""COMPUTED_VALUE"""),"19ME570")</f>
        <v>19ME570</v>
      </c>
      <c r="F76" s="7" t="str">
        <f>IFERROR(__xludf.DUMMYFUNCTION("""COMPUTED_VALUE"""),"Non Conventional Machining Processes")</f>
        <v>Non Conventional Machining Processes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IFERROR(__xludf.DUMMYFUNCTION("""COMPUTED_VALUE"""),"ME0804")</f>
        <v>ME0804</v>
      </c>
      <c r="E77" s="2" t="str">
        <f>IFERROR(__xludf.DUMMYFUNCTION("""COMPUTED_VALUE"""),"NA")</f>
        <v>NA</v>
      </c>
      <c r="F77" s="7" t="str">
        <f>IFERROR(__xludf.DUMMYFUNCTION("""COMPUTED_VALUE"""),"Design of Transmission System")</f>
        <v>Design of Transmission System</v>
      </c>
      <c r="G77" s="2" t="str">
        <f>IFERROR(__xludf.DUMMYFUNCTION("""COMPUTED_VALUE"""),"ME0407")</f>
        <v>ME0407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IFERROR(__xludf.DUMMYFUNCTION("""COMPUTED_VALUE"""),"ME0529")</f>
        <v>ME0529</v>
      </c>
      <c r="E78" s="2" t="str">
        <f>IFERROR(__xludf.DUMMYFUNCTION("""COMPUTED_VALUE"""),"19ME529")</f>
        <v>19ME529</v>
      </c>
      <c r="F78" s="7" t="str">
        <f>IFERROR(__xludf.DUMMYFUNCTION("""COMPUTED_VALUE"""),"Process Planning and Cost Estimation")</f>
        <v>Process Planning and Cost Estimation</v>
      </c>
      <c r="G78" s="2" t="str">
        <f>IFERROR(__xludf.DUMMYFUNCTION("""COMPUTED_VALUE"""),"-")</f>
        <v>-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IFERROR(__xludf.DUMMYFUNCTION("""COMPUTED_VALUE"""),"ME0531")</f>
        <v>ME0531</v>
      </c>
      <c r="E79" s="2" t="str">
        <f>IFERROR(__xludf.DUMMYFUNCTION("""COMPUTED_VALUE"""),"19ME531")</f>
        <v>19ME531</v>
      </c>
      <c r="F79" s="7" t="str">
        <f>IFERROR(__xludf.DUMMYFUNCTION("""COMPUTED_VALUE"""),"Intellectual Property Rights")</f>
        <v>Intellectual Property Rights</v>
      </c>
      <c r="G79" s="2" t="str">
        <f>IFERROR(__xludf.DUMMYFUNCTION("""COMPUTED_VALUE"""),"-")</f>
        <v>-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IFERROR(__xludf.DUMMYFUNCTION("""COMPUTED_VALUE"""),"ME0572")</f>
        <v>ME0572</v>
      </c>
      <c r="E80" s="2" t="str">
        <f>IFERROR(__xludf.DUMMYFUNCTION("""COMPUTED_VALUE"""),"19ME572")</f>
        <v>19ME572</v>
      </c>
      <c r="F80" s="7" t="str">
        <f>IFERROR(__xludf.DUMMYFUNCTION("""COMPUTED_VALUE"""),"Machine Learning Applications in Mechanical Engineering")</f>
        <v>Machine Learning Applications in Mechanical Engineering</v>
      </c>
      <c r="G80" s="2" t="str">
        <f>IFERROR(__xludf.DUMMYFUNCTION("""COMPUTED_VALUE"""),"19ME404,19ME405 / ME0404,ME0405")</f>
        <v>19ME404,19ME405 / ME0404,ME0405</v>
      </c>
      <c r="H80" s="2">
        <f>IFERROR(__xludf.DUMMYFUNCTION("""COMPUTED_VALUE"""),3)</f>
        <v>3</v>
      </c>
      <c r="I80" s="2">
        <f>IFERROR(__xludf.DUMMYFUNCTION("""COMPUTED_VALUE"""),1)</f>
        <v>1</v>
      </c>
      <c r="J80" s="2">
        <f>IFERROR(__xludf.DUMMYFUNCTION("""COMPUTED_VALUE"""),4)</f>
        <v>4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IFERROR(__xludf.DUMMYFUNCTION("""COMPUTED_VALUE"""),"ME0571")</f>
        <v>ME0571</v>
      </c>
      <c r="E81" s="2" t="str">
        <f>IFERROR(__xludf.DUMMYFUNCTION("""COMPUTED_VALUE"""),"19ME571")</f>
        <v>19ME571</v>
      </c>
      <c r="F81" s="7" t="str">
        <f>IFERROR(__xludf.DUMMYFUNCTION("""COMPUTED_VALUE"""),"Advanced Solid Surface Design and Simulation Technique")</f>
        <v>Advanced Solid Surface Design and Simulation Technique</v>
      </c>
      <c r="G81" s="2" t="str">
        <f>IFERROR(__xludf.DUMMYFUNCTION("""COMPUTED_VALUE"""),"-")</f>
        <v>-</v>
      </c>
      <c r="H81" s="2">
        <f>IFERROR(__xludf.DUMMYFUNCTION("""COMPUTED_VALUE"""),0)</f>
        <v>0</v>
      </c>
      <c r="I81" s="2">
        <f>IFERROR(__xludf.DUMMYFUNCTION("""COMPUTED_VALUE"""),3)</f>
        <v>3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IFERROR(__xludf.DUMMYFUNCTION("""COMPUTED_VALUE"""),"Practical (10 Expts)")</f>
        <v>Practical (10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IFERROR(__xludf.DUMMYFUNCTION("""COMPUTED_VALUE"""),"EEC")</f>
        <v>EEC</v>
      </c>
      <c r="D82" s="2" t="str">
        <f>IFERROR(__xludf.DUMMYFUNCTION("""COMPUTED_VALUE"""),"ME0701")</f>
        <v>ME0701</v>
      </c>
      <c r="E82" s="2" t="str">
        <f>IFERROR(__xludf.DUMMYFUNCTION("""COMPUTED_VALUE"""),"19ME701")</f>
        <v>19ME701</v>
      </c>
      <c r="F82" s="7" t="str">
        <f>IFERROR(__xludf.DUMMYFUNCTION("""COMPUTED_VALUE"""),"Design and Fabrication Project")</f>
        <v>Design and Fabrication Project</v>
      </c>
      <c r="G82" s="2" t="str">
        <f>IFERROR(__xludf.DUMMYFUNCTION("""COMPUTED_VALUE"""),"-")</f>
        <v>-</v>
      </c>
      <c r="H82" s="2">
        <f>IFERROR(__xludf.DUMMYFUNCTION("""COMPUTED_VALUE"""),0)</f>
        <v>0</v>
      </c>
      <c r="I82" s="2">
        <f>IFERROR(__xludf.DUMMYFUNCTION("""COMPUTED_VALUE"""),2)</f>
        <v>2</v>
      </c>
      <c r="J82" s="2">
        <f>IFERROR(__xludf.DUMMYFUNCTION("""COMPUTED_VALUE"""),2)</f>
        <v>2</v>
      </c>
      <c r="K82" s="2" t="str">
        <f>IFERROR(__xludf.DUMMYFUNCTION("""COMPUTED_VALUE"""),"CGPA")</f>
        <v>CGPA</v>
      </c>
      <c r="L82" s="2" t="str">
        <f>IFERROR(__xludf.DUMMYFUNCTION("""COMPUTED_VALUE"""),"Practical (10 Expts)")</f>
        <v>Practical (10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 t="str">
        <f>IFERROR(__xludf.DUMMYFUNCTION("""COMPUTED_VALUE"""),"Option 1")</f>
        <v>Option 1</v>
      </c>
      <c r="C83" s="2" t="str">
        <f>IFERROR(__xludf.DUMMYFUNCTION("""COMPUTED_VALUE"""),"EEC")</f>
        <v>EEC</v>
      </c>
      <c r="D83" s="2" t="str">
        <f>IFERROR(__xludf.DUMMYFUNCTION("""COMPUTED_VALUE"""),"ME0702")</f>
        <v>ME0702</v>
      </c>
      <c r="E83" s="2" t="str">
        <f>IFERROR(__xludf.DUMMYFUNCTION("""COMPUTED_VALUE"""),"19ME702")</f>
        <v>19ME702</v>
      </c>
      <c r="F83" s="7" t="str">
        <f>IFERROR(__xludf.DUMMYFUNCTION("""COMPUTED_VALUE"""),"Project Work Phase I")</f>
        <v>Project Work Phase I</v>
      </c>
      <c r="G83" s="2" t="str">
        <f>IFERROR(__xludf.DUMMYFUNCTION("""COMPUTED_VALUE"""),"-")</f>
        <v>-</v>
      </c>
      <c r="H83" s="2">
        <f>IFERROR(__xludf.DUMMYFUNCTION("""COMPUTED_VALUE"""),0)</f>
        <v>0</v>
      </c>
      <c r="I83" s="2">
        <f>IFERROR(__xludf.DUMMYFUNCTION("""COMPUTED_VALUE"""),2)</f>
        <v>2</v>
      </c>
      <c r="J83" s="2">
        <f>IFERROR(__xludf.DUMMYFUNCTION("""COMPUTED_VALUE"""),2)</f>
        <v>2</v>
      </c>
      <c r="K83" s="2" t="str">
        <f>IFERROR(__xludf.DUMMYFUNCTION("""COMPUTED_VALUE"""),"CGPA")</f>
        <v>CGPA</v>
      </c>
      <c r="L83" s="2" t="str">
        <f>IFERROR(__xludf.DUMMYFUNCTION("""COMPUTED_VALUE"""),"Project (Int Only)")</f>
        <v>Project (Int Only)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 t="str">
        <f>IFERROR(__xludf.DUMMYFUNCTION("""COMPUTED_VALUE"""),"Option 1")</f>
        <v>Option 1</v>
      </c>
      <c r="C84" s="2" t="str">
        <f>IFERROR(__xludf.DUMMYFUNCTION("""COMPUTED_VALUE"""),"EEC")</f>
        <v>EEC</v>
      </c>
      <c r="D84" s="2" t="str">
        <f>IFERROR(__xludf.DUMMYFUNCTION("""COMPUTED_VALUE"""),"ME0703")</f>
        <v>ME0703</v>
      </c>
      <c r="E84" s="2" t="str">
        <f>IFERROR(__xludf.DUMMYFUNCTION("""COMPUTED_VALUE"""),"19ME703")</f>
        <v>19ME703</v>
      </c>
      <c r="F84" s="7" t="str">
        <f>IFERROR(__xludf.DUMMYFUNCTION("""COMPUTED_VALUE"""),"Project Work Phase II")</f>
        <v>Project Work Phase II</v>
      </c>
      <c r="G84" s="2" t="str">
        <f>IFERROR(__xludf.DUMMYFUNCTION("""COMPUTED_VALUE"""),"-")</f>
        <v>-</v>
      </c>
      <c r="H84" s="2">
        <f>IFERROR(__xludf.DUMMYFUNCTION("""COMPUTED_VALUE"""),0)</f>
        <v>0</v>
      </c>
      <c r="I84" s="2">
        <f>IFERROR(__xludf.DUMMYFUNCTION("""COMPUTED_VALUE"""),6)</f>
        <v>6</v>
      </c>
      <c r="J84" s="2">
        <f>IFERROR(__xludf.DUMMYFUNCTION("""COMPUTED_VALUE"""),6)</f>
        <v>6</v>
      </c>
      <c r="K84" s="2" t="str">
        <f>IFERROR(__xludf.DUMMYFUNCTION("""COMPUTED_VALUE"""),"CGPA")</f>
        <v>CGPA</v>
      </c>
      <c r="L84" s="2" t="str">
        <f>IFERROR(__xludf.DUMMYFUNCTION("""COMPUTED_VALUE"""),"Project")</f>
        <v>Project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 t="str">
        <f>IFERROR(__xludf.DUMMYFUNCTION("""COMPUTED_VALUE"""),"Option 2")</f>
        <v>Option 2</v>
      </c>
      <c r="C85" s="2" t="str">
        <f>IFERROR(__xludf.DUMMYFUNCTION("""COMPUTED_VALUE"""),"EEC")</f>
        <v>EEC</v>
      </c>
      <c r="D85" s="2" t="str">
        <f>IFERROR(__xludf.DUMMYFUNCTION("""COMPUTED_VALUE"""),"SH6802")</f>
        <v>SH6802</v>
      </c>
      <c r="E85" s="2" t="str">
        <f>IFERROR(__xludf.DUMMYFUNCTION("""COMPUTED_VALUE"""),"NA")</f>
        <v>NA</v>
      </c>
      <c r="F85" s="3" t="str">
        <f>IFERROR(__xludf.DUMMYFUNCTION("""COMPUTED_VALUE"""),"Start Up")</f>
        <v>Start Up</v>
      </c>
      <c r="G85" s="2" t="str">
        <f>IFERROR(__xludf.DUMMYFUNCTION("""COMPUTED_VALUE"""),"-")</f>
        <v>-</v>
      </c>
      <c r="H85" s="2">
        <f>IFERROR(__xludf.DUMMYFUNCTION("""COMPUTED_VALUE"""),0)</f>
        <v>0</v>
      </c>
      <c r="I85" s="2">
        <f>IFERROR(__xludf.DUMMYFUNCTION("""COMPUTED_VALUE"""),8)</f>
        <v>8</v>
      </c>
      <c r="J85" s="2">
        <f>IFERROR(__xludf.DUMMYFUNCTION("""COMPUTED_VALUE"""),8)</f>
        <v>8</v>
      </c>
      <c r="K85" s="2" t="str">
        <f>IFERROR(__xludf.DUMMYFUNCTION("""COMPUTED_VALUE"""),"CGPA")</f>
        <v>CGPA</v>
      </c>
      <c r="L85" s="2" t="str">
        <f>IFERROR(__xludf.DUMMYFUNCTION("""COMPUTED_VALUE"""),"Project")</f>
        <v>Project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IFERROR(__xludf.DUMMYFUNCTION("""COMPUTED_VALUE"""),"EEC")</f>
        <v>EEC</v>
      </c>
      <c r="D86" s="2" t="str">
        <f>IFERROR(__xludf.DUMMYFUNCTION("""COMPUTED_VALUE"""),"SH6708")</f>
        <v>SH6708</v>
      </c>
      <c r="E86" s="2" t="str">
        <f>IFERROR(__xludf.DUMMYFUNCTION("""COMPUTED_VALUE"""),"19EY708")</f>
        <v>19EY708</v>
      </c>
      <c r="F86" s="7" t="str">
        <f>IFERROR(__xludf.DUMMYFUNCTION("""COMPUTED_VALUE"""),"Career Development Skills")</f>
        <v>Career Development Skills</v>
      </c>
      <c r="G86" s="2" t="str">
        <f>IFERROR(__xludf.DUMMYFUNCTION("""COMPUTED_VALUE"""),"NIL")</f>
        <v>NIL</v>
      </c>
      <c r="H86" s="2">
        <f>IFERROR(__xludf.DUMMYFUNCTION("""COMPUTED_VALUE"""),1)</f>
        <v>1</v>
      </c>
      <c r="I86" s="2">
        <f>IFERROR(__xludf.DUMMYFUNCTION("""COMPUTED_VALUE"""),0)</f>
        <v>0</v>
      </c>
      <c r="J86" s="2">
        <f>IFERROR(__xludf.DUMMYFUNCTION("""COMPUTED_VALUE"""),1)</f>
        <v>1</v>
      </c>
      <c r="K86" s="2" t="str">
        <f>IFERROR(__xludf.DUMMYFUNCTION("""COMPUTED_VALUE"""),"CGPA")</f>
        <v>CGPA</v>
      </c>
      <c r="L86" s="2" t="str">
        <f>IFERROR(__xludf.DUMMYFUNCTION("""COMPUTED_VALUE"""),"Theory (Int Only)")</f>
        <v>Theory (Int Only)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IFERROR(__xludf.DUMMYFUNCTION("""COMPUTED_VALUE"""),"EEC")</f>
        <v>EEC</v>
      </c>
      <c r="D87" s="2" t="str">
        <f>IFERROR(__xludf.DUMMYFUNCTION("""COMPUTED_VALUE"""),"SH6709")</f>
        <v>SH6709</v>
      </c>
      <c r="E87" s="2" t="str">
        <f>IFERROR(__xludf.DUMMYFUNCTION("""COMPUTED_VALUE"""),"19EY709")</f>
        <v>19EY709</v>
      </c>
      <c r="F87" s="7" t="str">
        <f>IFERROR(__xludf.DUMMYFUNCTION("""COMPUTED_VALUE"""),"Reasoning Ability")</f>
        <v>Reasoning Ability</v>
      </c>
      <c r="G87" s="2" t="str">
        <f>IFERROR(__xludf.DUMMYFUNCTION("""COMPUTED_VALUE"""),"NIL")</f>
        <v>NIL</v>
      </c>
      <c r="H87" s="2">
        <f>IFERROR(__xludf.DUMMYFUNCTION("""COMPUTED_VALUE"""),1)</f>
        <v>1</v>
      </c>
      <c r="I87" s="2">
        <f>IFERROR(__xludf.DUMMYFUNCTION("""COMPUTED_VALUE"""),0)</f>
        <v>0</v>
      </c>
      <c r="J87" s="2">
        <f>IFERROR(__xludf.DUMMYFUNCTION("""COMPUTED_VALUE"""),1)</f>
        <v>1</v>
      </c>
      <c r="K87" s="2" t="str">
        <f>IFERROR(__xludf.DUMMYFUNCTION("""COMPUTED_VALUE"""),"CGPA")</f>
        <v>CGPA</v>
      </c>
      <c r="L87" s="2" t="str">
        <f>IFERROR(__xludf.DUMMYFUNCTION("""COMPUTED_VALUE"""),"Theory (Int Only)")</f>
        <v>Theory (Int Only)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IFERROR(__xludf.DUMMYFUNCTION("""COMPUTED_VALUE"""),"EEC")</f>
        <v>EEC</v>
      </c>
      <c r="D88" s="2" t="str">
        <f>IFERROR(__xludf.DUMMYFUNCTION("""COMPUTED_VALUE"""),"SH6710")</f>
        <v>SH6710</v>
      </c>
      <c r="E88" s="2" t="str">
        <f>IFERROR(__xludf.DUMMYFUNCTION("""COMPUTED_VALUE"""),"19EY710")</f>
        <v>19EY710</v>
      </c>
      <c r="F88" s="7" t="str">
        <f>IFERROR(__xludf.DUMMYFUNCTION("""COMPUTED_VALUE"""),"Quantitative Ability I")</f>
        <v>Quantitative Ability I</v>
      </c>
      <c r="G88" s="2" t="str">
        <f>IFERROR(__xludf.DUMMYFUNCTION("""COMPUTED_VALUE"""),"NIL")</f>
        <v>NIL</v>
      </c>
      <c r="H88" s="2">
        <f>IFERROR(__xludf.DUMMYFUNCTION("""COMPUTED_VALUE"""),1)</f>
        <v>1</v>
      </c>
      <c r="I88" s="2">
        <f>IFERROR(__xludf.DUMMYFUNCTION("""COMPUTED_VALUE"""),0)</f>
        <v>0</v>
      </c>
      <c r="J88" s="2">
        <f>IFERROR(__xludf.DUMMYFUNCTION("""COMPUTED_VALUE"""),1)</f>
        <v>1</v>
      </c>
      <c r="K88" s="2" t="str">
        <f>IFERROR(__xludf.DUMMYFUNCTION("""COMPUTED_VALUE"""),"CGPA")</f>
        <v>CGPA</v>
      </c>
      <c r="L88" s="2" t="str">
        <f>IFERROR(__xludf.DUMMYFUNCTION("""COMPUTED_VALUE"""),"Theory (Int Only)")</f>
        <v>Theory (Int Only)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IFERROR(__xludf.DUMMYFUNCTION("""COMPUTED_VALUE"""),"EEC")</f>
        <v>EEC</v>
      </c>
      <c r="D89" s="2" t="str">
        <f>IFERROR(__xludf.DUMMYFUNCTION("""COMPUTED_VALUE"""),"SH6711")</f>
        <v>SH6711</v>
      </c>
      <c r="E89" s="2" t="str">
        <f>IFERROR(__xludf.DUMMYFUNCTION("""COMPUTED_VALUE"""),"19EY711")</f>
        <v>19EY711</v>
      </c>
      <c r="F89" s="7" t="str">
        <f>IFERROR(__xludf.DUMMYFUNCTION("""COMPUTED_VALUE"""),"Quantitative Ability II")</f>
        <v>Quantitative Ability II</v>
      </c>
      <c r="G89" s="2" t="str">
        <f>IFERROR(__xludf.DUMMYFUNCTION("""COMPUTED_VALUE"""),"SH6710 /19EY710")</f>
        <v>SH6710 /19EY710</v>
      </c>
      <c r="H89" s="2">
        <f>IFERROR(__xludf.DUMMYFUNCTION("""COMPUTED_VALUE"""),1)</f>
        <v>1</v>
      </c>
      <c r="I89" s="2">
        <f>IFERROR(__xludf.DUMMYFUNCTION("""COMPUTED_VALUE"""),0)</f>
        <v>0</v>
      </c>
      <c r="J89" s="2">
        <f>IFERROR(__xludf.DUMMYFUNCTION("""COMPUTED_VALUE"""),1)</f>
        <v>1</v>
      </c>
      <c r="K89" s="2" t="str">
        <f>IFERROR(__xludf.DUMMYFUNCTION("""COMPUTED_VALUE"""),"CGPA")</f>
        <v>CGPA</v>
      </c>
      <c r="L89" s="2" t="str">
        <f>IFERROR(__xludf.DUMMYFUNCTION("""COMPUTED_VALUE"""),"Theory (Int Only)")</f>
        <v>Theory (Int Only)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IFERROR(__xludf.DUMMYFUNCTION("""COMPUTED_VALUE"""),"EEC")</f>
        <v>EEC</v>
      </c>
      <c r="D90" s="2" t="str">
        <f>IFERROR(__xludf.DUMMYFUNCTION("""COMPUTED_VALUE"""),"SH6712")</f>
        <v>SH6712</v>
      </c>
      <c r="E90" s="2" t="str">
        <f>IFERROR(__xludf.DUMMYFUNCTION("""COMPUTED_VALUE"""),"19EY712")</f>
        <v>19EY712</v>
      </c>
      <c r="F90" s="7" t="str">
        <f>IFERROR(__xludf.DUMMYFUNCTION("""COMPUTED_VALUE"""),"Employment Enrichment Skills")</f>
        <v>Employment Enrichment Skills</v>
      </c>
      <c r="G90" s="2" t="str">
        <f>IFERROR(__xludf.DUMMYFUNCTION("""COMPUTED_VALUE"""),"19EY702 / 19EY709 / SH6709")</f>
        <v>19EY702 / 19EY709 / SH6709</v>
      </c>
      <c r="H90" s="2">
        <f>IFERROR(__xludf.DUMMYFUNCTION("""COMPUTED_VALUE"""),1)</f>
        <v>1</v>
      </c>
      <c r="I90" s="2">
        <f>IFERROR(__xludf.DUMMYFUNCTION("""COMPUTED_VALUE"""),0)</f>
        <v>0</v>
      </c>
      <c r="J90" s="2">
        <f>IFERROR(__xludf.DUMMYFUNCTION("""COMPUTED_VALUE"""),1)</f>
        <v>1</v>
      </c>
      <c r="K90" s="2" t="str">
        <f>IFERROR(__xludf.DUMMYFUNCTION("""COMPUTED_VALUE"""),"CGPA")</f>
        <v>CGPA</v>
      </c>
      <c r="L90" s="2" t="str">
        <f>IFERROR(__xludf.DUMMYFUNCTION("""COMPUTED_VALUE"""),"Theory (Int Only)")</f>
        <v>Theory (Int Only)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IFERROR(__xludf.DUMMYFUNCTION("""COMPUTED_VALUE"""),"EEC")</f>
        <v>EEC</v>
      </c>
      <c r="D91" s="2" t="str">
        <f>IFERROR(__xludf.DUMMYFUNCTION("""COMPUTED_VALUE"""),"SH6713")</f>
        <v>SH6713</v>
      </c>
      <c r="E91" s="2" t="str">
        <f>IFERROR(__xludf.DUMMYFUNCTION("""COMPUTED_VALUE"""),"19EY713")</f>
        <v>19EY713</v>
      </c>
      <c r="F91" s="7" t="str">
        <f>IFERROR(__xludf.DUMMYFUNCTION("""COMPUTED_VALUE"""),"Placement Readiness Assessment")</f>
        <v>Placement Readiness Assessment</v>
      </c>
      <c r="G91" s="2" t="str">
        <f>IFERROR(__xludf.DUMMYFUNCTION("""COMPUTED_VALUE"""),"19EY704 / 19EY711/SH6711")</f>
        <v>19EY704 / 19EY711/SH6711</v>
      </c>
      <c r="H91" s="2">
        <f>IFERROR(__xludf.DUMMYFUNCTION("""COMPUTED_VALUE"""),1)</f>
        <v>1</v>
      </c>
      <c r="I91" s="2">
        <f>IFERROR(__xludf.DUMMYFUNCTION("""COMPUTED_VALUE"""),0)</f>
        <v>0</v>
      </c>
      <c r="J91" s="2">
        <f>IFERROR(__xludf.DUMMYFUNCTION("""COMPUTED_VALUE"""),1)</f>
        <v>1</v>
      </c>
      <c r="K91" s="2" t="str">
        <f>IFERROR(__xludf.DUMMYFUNCTION("""COMPUTED_VALUE"""),"CGPA")</f>
        <v>CGPA</v>
      </c>
      <c r="L91" s="2" t="str">
        <f>IFERROR(__xludf.DUMMYFUNCTION("""COMPUTED_VALUE"""),"Theory (Int Only)")</f>
        <v>Theory (Int Only)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IFERROR(__xludf.DUMMYFUNCTION("""COMPUTED_VALUE"""),"EEC")</f>
        <v>EEC</v>
      </c>
      <c r="D92" s="2" t="str">
        <f>IFERROR(__xludf.DUMMYFUNCTION("""COMPUTED_VALUE"""),"SH6707")</f>
        <v>SH6707</v>
      </c>
      <c r="E92" s="2" t="str">
        <f>IFERROR(__xludf.DUMMYFUNCTION("""COMPUTED_VALUE"""),"19EY707")</f>
        <v>19EY707</v>
      </c>
      <c r="F92" s="7" t="str">
        <f>IFERROR(__xludf.DUMMYFUNCTION("""COMPUTED_VALUE"""),"Paper Publication")</f>
        <v>Paper Publication</v>
      </c>
      <c r="G92" s="2" t="str">
        <f>IFERROR(__xludf.DUMMYFUNCTION("""COMPUTED_VALUE"""),"-")</f>
        <v>-</v>
      </c>
      <c r="H92" s="2">
        <f>IFERROR(__xludf.DUMMYFUNCTION("""COMPUTED_VALUE"""),0)</f>
        <v>0</v>
      </c>
      <c r="I92" s="2">
        <f>IFERROR(__xludf.DUMMYFUNCTION("""COMPUTED_VALUE"""),0)</f>
        <v>0</v>
      </c>
      <c r="J92" s="2">
        <f>IFERROR(__xludf.DUMMYFUNCTION("""COMPUTED_VALUE"""),1)</f>
        <v>1</v>
      </c>
      <c r="K92" s="2" t="str">
        <f>IFERROR(__xludf.DUMMYFUNCTION("""COMPUTED_VALUE"""),"NON-CGPA")</f>
        <v>NON-CGPA</v>
      </c>
      <c r="L92" s="2" t="str">
        <f>IFERROR(__xludf.DUMMYFUNCTION("""COMPUTED_VALUE"""),"Experiential Learning (Int Only)")</f>
        <v>Experiential Learning (Int Only)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IFERROR(__xludf.DUMMYFUNCTION("""COMPUTED_VALUE"""),"OE")</f>
        <v>OE</v>
      </c>
      <c r="D93" s="2" t="str">
        <f>IFERROR(__xludf.DUMMYFUNCTION("""COMPUTED_VALUE"""),"XXXXXX")</f>
        <v>XXXXXX</v>
      </c>
      <c r="E93" s="2" t="str">
        <f>IFERROR(__xludf.DUMMYFUNCTION("""COMPUTED_VALUE"""),"19XXXXX")</f>
        <v>19XXXXX</v>
      </c>
      <c r="F93" s="3" t="str">
        <f>IFERROR(__xludf.DUMMYFUNCTION("""COMPUTED_VALUE"""),"Open Electives")</f>
        <v>Open Electives</v>
      </c>
      <c r="G93" s="2" t="str">
        <f>IFERROR(__xludf.DUMMYFUNCTION("""COMPUTED_VALUE"""),"-")</f>
        <v>-</v>
      </c>
      <c r="H93" s="2">
        <f>IFERROR(__xludf.DUMMYFUNCTION("""COMPUTED_VALUE"""),0)</f>
        <v>0</v>
      </c>
      <c r="I93" s="2">
        <f>IFERROR(__xludf.DUMMYFUNCTION("""COMPUTED_VALUE"""),0)</f>
        <v>0</v>
      </c>
      <c r="J93" s="2">
        <f>IFERROR(__xludf.DUMMYFUNCTION("""COMPUTED_VALUE"""),0)</f>
        <v>0</v>
      </c>
      <c r="K93" s="2" t="str">
        <f>IFERROR(__xludf.DUMMYFUNCTION("""COMPUTED_VALUE"""),"CGPA")</f>
        <v>CGPA</v>
      </c>
      <c r="L93" s="2" t="str">
        <f>IFERROR(__xludf.DUMMYFUNCTION("""COMPUTED_VALUE"""),"Theory")</f>
        <v>Theory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IFERROR(__xludf.DUMMYFUNCTION("""COMPUTED_VALUE"""),"OE")</f>
        <v>OE</v>
      </c>
      <c r="D94" s="2" t="str">
        <f>IFERROR(__xludf.DUMMYFUNCTION("""COMPUTED_VALUE"""),"XXXXXX")</f>
        <v>XXXXXX</v>
      </c>
      <c r="E94" s="2" t="str">
        <f>IFERROR(__xludf.DUMMYFUNCTION("""COMPUTED_VALUE"""),"19XXXXX")</f>
        <v>19XXXXX</v>
      </c>
      <c r="F94" s="3" t="str">
        <f>IFERROR(__xludf.DUMMYFUNCTION("""COMPUTED_VALUE"""),"Online Courses")</f>
        <v>Online Courses</v>
      </c>
      <c r="G94" s="2" t="str">
        <f>IFERROR(__xludf.DUMMYFUNCTION("""COMPUTED_VALUE"""),"-")</f>
        <v>-</v>
      </c>
      <c r="H94" s="2">
        <f>IFERROR(__xludf.DUMMYFUNCTION("""COMPUTED_VALUE"""),0)</f>
        <v>0</v>
      </c>
      <c r="I94" s="2">
        <f>IFERROR(__xludf.DUMMYFUNCTION("""COMPUTED_VALUE"""),0)</f>
        <v>0</v>
      </c>
      <c r="J94" s="2">
        <f>IFERROR(__xludf.DUMMYFUNCTION("""COMPUTED_VALUE"""),0)</f>
        <v>0</v>
      </c>
      <c r="K94" s="2" t="str">
        <f>IFERROR(__xludf.DUMMYFUNCTION("""COMPUTED_VALUE"""),"CGPA")</f>
        <v>CGPA</v>
      </c>
      <c r="L94" s="2" t="str">
        <f>IFERROR(__xludf.DUMMYFUNCTION("""COMPUTED_VALUE"""),"Experiential Learning")</f>
        <v>Experiential Learning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IFERROR(__xludf.DUMMYFUNCTION("""COMPUTED_VALUE"""),"MC")</f>
        <v>MC</v>
      </c>
      <c r="D95" s="2" t="str">
        <f>IFERROR(__xludf.DUMMYFUNCTION("""COMPUTED_VALUE"""),"SH8801")</f>
        <v>SH8801</v>
      </c>
      <c r="E95" s="2" t="str">
        <f>IFERROR(__xludf.DUMMYFUNCTION("""COMPUTED_VALUE"""),"NA")</f>
        <v>NA</v>
      </c>
      <c r="F95" s="7" t="str">
        <f>IFERROR(__xludf.DUMMYFUNCTION("""COMPUTED_VALUE"""),"Constitutionalism and Artificial Intelligence Policies in India")</f>
        <v>Constitutionalism and Artificial Intelligence Policies in India</v>
      </c>
      <c r="G95" s="2" t="str">
        <f>IFERROR(__xludf.DUMMYFUNCTION("""COMPUTED_VALUE"""),"-")</f>
        <v>-</v>
      </c>
      <c r="H95" s="2">
        <f>IFERROR(__xludf.DUMMYFUNCTION("""COMPUTED_VALUE"""),1)</f>
        <v>1</v>
      </c>
      <c r="I95" s="2">
        <f>IFERROR(__xludf.DUMMYFUNCTION("""COMPUTED_VALUE"""),0)</f>
        <v>0</v>
      </c>
      <c r="J95" s="2">
        <f>IFERROR(__xludf.DUMMYFUNCTION("""COMPUTED_VALUE"""),1)</f>
        <v>1</v>
      </c>
      <c r="K95" s="2" t="str">
        <f>IFERROR(__xludf.DUMMYFUNCTION("""COMPUTED_VALUE"""),"NON-CGPA")</f>
        <v>NON-CGPA</v>
      </c>
      <c r="L95" s="2" t="str">
        <f>IFERROR(__xludf.DUMMYFUNCTION("""COMPUTED_VALUE"""),"Theory (Int Only)")</f>
        <v>Theory (Int Only)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 t="str">
        <f>IFERROR(__xludf.DUMMYFUNCTION("""COMPUTED_VALUE"""),"Any 1")</f>
        <v>Any 1</v>
      </c>
      <c r="C96" s="2" t="str">
        <f>IFERROR(__xludf.DUMMYFUNCTION("""COMPUTED_VALUE"""),"MC")</f>
        <v>MC</v>
      </c>
      <c r="D96" s="2" t="str">
        <f>IFERROR(__xludf.DUMMYFUNCTION("""COMPUTED_VALUE"""),"SH8802")</f>
        <v>SH8802</v>
      </c>
      <c r="E96" s="2" t="str">
        <f>IFERROR(__xludf.DUMMYFUNCTION("""COMPUTED_VALUE"""),"NA")</f>
        <v>NA</v>
      </c>
      <c r="F96" s="7" t="str">
        <f>IFERROR(__xludf.DUMMYFUNCTION("""COMPUTED_VALUE"""),"Internship")</f>
        <v>Internship</v>
      </c>
      <c r="G96" s="2" t="str">
        <f>IFERROR(__xludf.DUMMYFUNCTION("""COMPUTED_VALUE"""),"-")</f>
        <v>-</v>
      </c>
      <c r="H96" s="2">
        <f>IFERROR(__xludf.DUMMYFUNCTION("""COMPUTED_VALUE"""),0)</f>
        <v>0</v>
      </c>
      <c r="I96" s="2">
        <f>IFERROR(__xludf.DUMMYFUNCTION("""COMPUTED_VALUE"""),0)</f>
        <v>0</v>
      </c>
      <c r="J96" s="2">
        <f>IFERROR(__xludf.DUMMYFUNCTION("""COMPUTED_VALUE"""),2)</f>
        <v>2</v>
      </c>
      <c r="K96" s="2" t="str">
        <f>IFERROR(__xludf.DUMMYFUNCTION("""COMPUTED_VALUE"""),"NON-CGPA")</f>
        <v>NON-CGPA</v>
      </c>
      <c r="L96" s="2" t="str">
        <f>IFERROR(__xludf.DUMMYFUNCTION("""COMPUTED_VALUE"""),"Experiential Learning (Int Only)")</f>
        <v>Experiential Learning (Int Only)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 t="str">
        <f>IFERROR(__xludf.DUMMYFUNCTION("""COMPUTED_VALUE"""),"Any 1")</f>
        <v>Any 1</v>
      </c>
      <c r="C97" s="2" t="str">
        <f>IFERROR(__xludf.DUMMYFUNCTION("""COMPUTED_VALUE"""),"MC")</f>
        <v>MC</v>
      </c>
      <c r="D97" s="2" t="str">
        <f>IFERROR(__xludf.DUMMYFUNCTION("""COMPUTED_VALUE"""),"SH8803")</f>
        <v>SH8803</v>
      </c>
      <c r="E97" s="2" t="str">
        <f>IFERROR(__xludf.DUMMYFUNCTION("""COMPUTED_VALUE"""),"NA")</f>
        <v>NA</v>
      </c>
      <c r="F97" s="3" t="str">
        <f>IFERROR(__xludf.DUMMYFUNCTION("""COMPUTED_VALUE"""),"Entrepreneurship")</f>
        <v>Entrepreneurship</v>
      </c>
      <c r="G97" s="2" t="str">
        <f>IFERROR(__xludf.DUMMYFUNCTION("""COMPUTED_VALUE"""),"-")</f>
        <v>-</v>
      </c>
      <c r="H97" s="2">
        <f>IFERROR(__xludf.DUMMYFUNCTION("""COMPUTED_VALUE"""),0)</f>
        <v>0</v>
      </c>
      <c r="I97" s="2">
        <f>IFERROR(__xludf.DUMMYFUNCTION("""COMPUTED_VALUE"""),0)</f>
        <v>0</v>
      </c>
      <c r="J97" s="2">
        <f>IFERROR(__xludf.DUMMYFUNCTION("""COMPUTED_VALUE"""),2)</f>
        <v>2</v>
      </c>
      <c r="K97" s="2" t="str">
        <f>IFERROR(__xludf.DUMMYFUNCTION("""COMPUTED_VALUE"""),"NON-CGPA")</f>
        <v>NON-CGPA</v>
      </c>
      <c r="L97" s="2" t="str">
        <f>IFERROR(__xludf.DUMMYFUNCTION("""COMPUTED_VALUE"""),"Experiential Learning (Int Only)")</f>
        <v>Experiential Learning (Int Only)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 t="str">
        <f>IFERROR(__xludf.DUMMYFUNCTION("""COMPUTED_VALUE"""),"Any 1")</f>
        <v>Any 1</v>
      </c>
      <c r="C98" s="2" t="str">
        <f>IFERROR(__xludf.DUMMYFUNCTION("""COMPUTED_VALUE"""),"MC")</f>
        <v>MC</v>
      </c>
      <c r="D98" s="2" t="str">
        <f>IFERROR(__xludf.DUMMYFUNCTION("""COMPUTED_VALUE"""),"SH6803")</f>
        <v>SH6803</v>
      </c>
      <c r="E98" s="2" t="str">
        <f>IFERROR(__xludf.DUMMYFUNCTION("""COMPUTED_VALUE"""),"19MC807")</f>
        <v>19MC807</v>
      </c>
      <c r="F98" s="3" t="str">
        <f>IFERROR(__xludf.DUMMYFUNCTION("""COMPUTED_VALUE"""),"National Service Scheme")</f>
        <v>National Service Scheme</v>
      </c>
      <c r="G98" s="2" t="str">
        <f>IFERROR(__xludf.DUMMYFUNCTION("""COMPUTED_VALUE"""),"-")</f>
        <v>-</v>
      </c>
      <c r="H98" s="2">
        <f>IFERROR(__xludf.DUMMYFUNCTION("""COMPUTED_VALUE"""),0)</f>
        <v>0</v>
      </c>
      <c r="I98" s="2">
        <f>IFERROR(__xludf.DUMMYFUNCTION("""COMPUTED_VALUE"""),0)</f>
        <v>0</v>
      </c>
      <c r="J98" s="2">
        <f>IFERROR(__xludf.DUMMYFUNCTION("""COMPUTED_VALUE"""),0)</f>
        <v>0</v>
      </c>
      <c r="K98" s="2" t="str">
        <f>IFERROR(__xludf.DUMMYFUNCTION("""COMPUTED_VALUE"""),"NON-CGPA")</f>
        <v>NON-CGPA</v>
      </c>
      <c r="L98" s="2" t="str">
        <f>IFERROR(__xludf.DUMMYFUNCTION("""COMPUTED_VALUE"""),"Experiential Learning (Int Only)")</f>
        <v>Experiential Learning (Int Only)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 t="str">
        <f>IFERROR(__xludf.DUMMYFUNCTION("""COMPUTED_VALUE"""),"Any 1")</f>
        <v>Any 1</v>
      </c>
      <c r="C99" s="2" t="str">
        <f>IFERROR(__xludf.DUMMYFUNCTION("""COMPUTED_VALUE"""),"MC")</f>
        <v>MC</v>
      </c>
      <c r="D99" s="2" t="str">
        <f>IFERROR(__xludf.DUMMYFUNCTION("""COMPUTED_VALUE"""),"SH8807")</f>
        <v>SH8807</v>
      </c>
      <c r="E99" s="2" t="str">
        <f>IFERROR(__xludf.DUMMYFUNCTION("""COMPUTED_VALUE"""),"19MC808")</f>
        <v>19MC808</v>
      </c>
      <c r="F99" s="3" t="str">
        <f>IFERROR(__xludf.DUMMYFUNCTION("""COMPUTED_VALUE"""),"National Sports Organization ")</f>
        <v>National Sports Organization </v>
      </c>
      <c r="G99" s="2" t="str">
        <f>IFERROR(__xludf.DUMMYFUNCTION("""COMPUTED_VALUE"""),"-")</f>
        <v>-</v>
      </c>
      <c r="H99" s="2">
        <f>IFERROR(__xludf.DUMMYFUNCTION("""COMPUTED_VALUE"""),0)</f>
        <v>0</v>
      </c>
      <c r="I99" s="2">
        <f>IFERROR(__xludf.DUMMYFUNCTION("""COMPUTED_VALUE"""),0)</f>
        <v>0</v>
      </c>
      <c r="J99" s="2">
        <f>IFERROR(__xludf.DUMMYFUNCTION("""COMPUTED_VALUE"""),0)</f>
        <v>0</v>
      </c>
      <c r="K99" s="2" t="str">
        <f>IFERROR(__xludf.DUMMYFUNCTION("""COMPUTED_VALUE"""),"NON-CGPA")</f>
        <v>NON-CGPA</v>
      </c>
      <c r="L99" s="2" t="str">
        <f>IFERROR(__xludf.DUMMYFUNCTION("""COMPUTED_VALUE"""),"Experiential Learning (Int Only)")</f>
        <v>Experiential Learning (Int Only)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 t="str">
        <f>IFERROR(__xludf.DUMMYFUNCTION("""COMPUTED_VALUE"""),"Any 1")</f>
        <v>Any 1</v>
      </c>
      <c r="C100" s="2" t="str">
        <f>IFERROR(__xludf.DUMMYFUNCTION("""COMPUTED_VALUE"""),"MC")</f>
        <v>MC</v>
      </c>
      <c r="D100" s="2" t="str">
        <f>IFERROR(__xludf.DUMMYFUNCTION("""COMPUTED_VALUE"""),"SH8808")</f>
        <v>SH8808</v>
      </c>
      <c r="E100" s="2" t="str">
        <f>IFERROR(__xludf.DUMMYFUNCTION("""COMPUTED_VALUE"""),"19MC809")</f>
        <v>19MC809</v>
      </c>
      <c r="F100" s="3" t="str">
        <f>IFERROR(__xludf.DUMMYFUNCTION("""COMPUTED_VALUE"""),"Youth Red Cross")</f>
        <v>Youth Red Cross</v>
      </c>
      <c r="G100" s="2" t="str">
        <f>IFERROR(__xludf.DUMMYFUNCTION("""COMPUTED_VALUE"""),"-")</f>
        <v>-</v>
      </c>
      <c r="H100" s="2">
        <f>IFERROR(__xludf.DUMMYFUNCTION("""COMPUTED_VALUE"""),0)</f>
        <v>0</v>
      </c>
      <c r="I100" s="2">
        <f>IFERROR(__xludf.DUMMYFUNCTION("""COMPUTED_VALUE"""),0)</f>
        <v>0</v>
      </c>
      <c r="J100" s="2">
        <f>IFERROR(__xludf.DUMMYFUNCTION("""COMPUTED_VALUE"""),0)</f>
        <v>0</v>
      </c>
      <c r="K100" s="2" t="str">
        <f>IFERROR(__xludf.DUMMYFUNCTION("""COMPUTED_VALUE"""),"NON-CGPA")</f>
        <v>NON-CGPA</v>
      </c>
      <c r="L100" s="2" t="str">
        <f>IFERROR(__xludf.DUMMYFUNCTION("""COMPUTED_VALUE"""),"Experiential Learning (Int Only)")</f>
        <v>Experiential Learning (Int Only)</v>
      </c>
      <c r="M100" s="9"/>
      <c r="N100" s="9"/>
      <c r="O100" s="9"/>
      <c r="P100" s="9"/>
      <c r="Q100" s="9"/>
      <c r="R100" s="9"/>
    </row>
    <row r="101" ht="48" customHeight="1" spans="1:18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2"/>
      <c r="L101" s="2"/>
      <c r="M101" s="9"/>
      <c r="N101" s="9"/>
      <c r="O101" s="9"/>
      <c r="P101" s="9"/>
      <c r="Q101" s="9"/>
      <c r="R101" s="9"/>
    </row>
    <row r="102" ht="48" customHeight="1" spans="1:18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2"/>
      <c r="L102" s="2"/>
      <c r="M102" s="9"/>
      <c r="N102" s="9"/>
      <c r="O102" s="9"/>
      <c r="P102" s="9"/>
      <c r="Q102" s="9"/>
      <c r="R102" s="9"/>
    </row>
    <row r="103" ht="48" customHeight="1" spans="1:18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2"/>
      <c r="L103" s="2"/>
      <c r="M103" s="9"/>
      <c r="N103" s="9"/>
      <c r="O103" s="9"/>
      <c r="P103" s="9"/>
      <c r="Q103" s="9"/>
      <c r="R103" s="9"/>
    </row>
    <row r="104" ht="48" customHeight="1" spans="1:18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2"/>
      <c r="L104" s="2"/>
      <c r="M104" s="9"/>
      <c r="N104" s="9"/>
      <c r="O104" s="9"/>
      <c r="P104" s="9"/>
      <c r="Q104" s="9"/>
      <c r="R104" s="9"/>
    </row>
    <row r="105" ht="48" customHeight="1" spans="1:18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2"/>
      <c r="L105" s="2"/>
      <c r="M105" s="9"/>
      <c r="N105" s="9"/>
      <c r="O105" s="9"/>
      <c r="P105" s="9"/>
      <c r="Q105" s="9"/>
      <c r="R105" s="9"/>
    </row>
    <row r="106" ht="48" customHeight="1" spans="1:18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2"/>
      <c r="L106" s="2"/>
      <c r="M106" s="9"/>
      <c r="N106" s="9"/>
      <c r="O106" s="9"/>
      <c r="P106" s="9"/>
      <c r="Q106" s="9"/>
      <c r="R106" s="9"/>
    </row>
    <row r="107" ht="48" customHeight="1" spans="1:18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2"/>
      <c r="L107" s="2"/>
      <c r="M107" s="9"/>
      <c r="N107" s="9"/>
      <c r="O107" s="9"/>
      <c r="P107" s="9"/>
      <c r="Q107" s="9"/>
      <c r="R107" s="9"/>
    </row>
    <row r="108" ht="48" customHeight="1" spans="1:18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2"/>
      <c r="L108" s="2"/>
      <c r="M108" s="9"/>
      <c r="N108" s="9"/>
      <c r="O108" s="9"/>
      <c r="P108" s="9"/>
      <c r="Q108" s="9"/>
      <c r="R108" s="9"/>
    </row>
    <row r="109" ht="48" customHeight="1" spans="1:18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2"/>
      <c r="L109" s="2"/>
      <c r="M109" s="9"/>
      <c r="N109" s="9"/>
      <c r="O109" s="9"/>
      <c r="P109" s="9"/>
      <c r="Q109" s="9"/>
      <c r="R109" s="9"/>
    </row>
    <row r="110" ht="48" customHeight="1" spans="1:18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2"/>
      <c r="L110" s="2"/>
      <c r="M110" s="9"/>
      <c r="N110" s="9"/>
      <c r="O110" s="9"/>
      <c r="P110" s="9"/>
      <c r="Q110" s="9"/>
      <c r="R110" s="9"/>
    </row>
    <row r="111" ht="48" customHeight="1" spans="1:18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2"/>
      <c r="L111" s="2"/>
      <c r="M111" s="9"/>
      <c r="N111" s="9"/>
      <c r="O111" s="9"/>
      <c r="P111" s="9"/>
      <c r="Q111" s="9"/>
      <c r="R111" s="9"/>
    </row>
    <row r="112" ht="48" customHeight="1" spans="1:18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2"/>
      <c r="L112" s="2"/>
      <c r="M112" s="9"/>
      <c r="N112" s="9"/>
      <c r="O112" s="9"/>
      <c r="P112" s="9"/>
      <c r="Q112" s="9"/>
      <c r="R112" s="9"/>
    </row>
    <row r="113" ht="48" customHeight="1" spans="1:18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2"/>
      <c r="L113" s="2"/>
      <c r="M113" s="9"/>
      <c r="N113" s="9"/>
      <c r="O113" s="9"/>
      <c r="P113" s="9"/>
      <c r="Q113" s="9"/>
      <c r="R113" s="9"/>
    </row>
    <row r="114" ht="48" customHeight="1" spans="1:18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2"/>
      <c r="L114" s="2"/>
      <c r="M114" s="9"/>
      <c r="N114" s="9"/>
      <c r="O114" s="9"/>
      <c r="P114" s="9"/>
      <c r="Q114" s="9"/>
      <c r="R114" s="9"/>
    </row>
    <row r="115" ht="48" customHeight="1" spans="1:18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2"/>
      <c r="L115" s="2"/>
      <c r="M115" s="9"/>
      <c r="N115" s="9"/>
      <c r="O115" s="9"/>
      <c r="P115" s="9"/>
      <c r="Q115" s="9"/>
      <c r="R115" s="9"/>
    </row>
    <row r="116" ht="48" customHeight="1" spans="1:18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2"/>
      <c r="L116" s="2"/>
      <c r="M116" s="9"/>
      <c r="N116" s="9"/>
      <c r="O116" s="9"/>
      <c r="P116" s="9"/>
      <c r="Q116" s="9"/>
      <c r="R116" s="9"/>
    </row>
    <row r="117" ht="48" customHeight="1" spans="1:18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2"/>
      <c r="L117" s="2"/>
      <c r="M117" s="9"/>
      <c r="N117" s="9"/>
      <c r="O117" s="9"/>
      <c r="P117" s="9"/>
      <c r="Q117" s="9"/>
      <c r="R117" s="9"/>
    </row>
    <row r="118" ht="48" customHeight="1" spans="1:18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2"/>
      <c r="L118" s="2"/>
      <c r="M118" s="9"/>
      <c r="N118" s="9"/>
      <c r="O118" s="9"/>
      <c r="P118" s="9"/>
      <c r="Q118" s="9"/>
      <c r="R118" s="9"/>
    </row>
    <row r="119" ht="48" customHeight="1" spans="1:18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2"/>
      <c r="L119" s="2"/>
      <c r="M119" s="9"/>
      <c r="N119" s="9"/>
      <c r="O119" s="9"/>
      <c r="P119" s="9"/>
      <c r="Q119" s="9"/>
      <c r="R119" s="9"/>
    </row>
    <row r="120" ht="48" customHeight="1" spans="1:18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2"/>
      <c r="L120" s="2"/>
      <c r="M120" s="9"/>
      <c r="N120" s="9"/>
      <c r="O120" s="9"/>
      <c r="P120" s="9"/>
      <c r="Q120" s="9"/>
      <c r="R120" s="9"/>
    </row>
    <row r="121" ht="48" customHeight="1" spans="1:18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2"/>
      <c r="L121" s="2"/>
      <c r="M121" s="9"/>
      <c r="N121" s="9"/>
      <c r="O121" s="9"/>
      <c r="P121" s="9"/>
      <c r="Q121" s="9"/>
      <c r="R121" s="9"/>
    </row>
    <row r="122" ht="48" customHeight="1" spans="1:18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2"/>
      <c r="L122" s="2"/>
      <c r="M122" s="9"/>
      <c r="N122" s="9"/>
      <c r="O122" s="9"/>
      <c r="P122" s="9"/>
      <c r="Q122" s="9"/>
      <c r="R122" s="9"/>
    </row>
    <row r="123" ht="13.2" spans="1: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</row>
    <row r="124" ht="13.2" spans="1: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</row>
    <row r="125" ht="13.2" spans="1: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</row>
    <row r="126" ht="13.2" spans="1: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</row>
    <row r="127" ht="13.2" spans="1: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</row>
    <row r="128" ht="13.2" spans="1: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</row>
    <row r="129" ht="13.2" spans="1: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</row>
    <row r="130" ht="13.2" spans="1: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</row>
    <row r="131" ht="13.2" spans="1: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</row>
    <row r="132" ht="13.2" spans="1: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</row>
    <row r="133" ht="13.2" spans="1: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</row>
    <row r="134" ht="13.2" spans="1: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</row>
    <row r="135" ht="13.2" spans="1: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</row>
    <row r="136" ht="13.2" spans="1: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</row>
    <row r="137" ht="13.2" spans="1: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</row>
    <row r="138" ht="13.2" spans="1: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</row>
    <row r="139" ht="13.2" spans="1: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</row>
    <row r="140" ht="13.2" spans="1: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</row>
    <row r="141" ht="13.2" spans="1: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</row>
    <row r="142" ht="13.2" spans="1: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</row>
    <row r="143" ht="13.2" spans="1: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</row>
    <row r="144" ht="13.2" spans="1: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</row>
    <row r="145" ht="13.2" spans="1: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</row>
    <row r="146" ht="13.2" spans="1: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</row>
    <row r="147" ht="13.2" spans="1: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</row>
    <row r="148" ht="13.2" spans="1: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</row>
    <row r="149" ht="13.2" spans="1: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</row>
    <row r="150" ht="13.2" spans="1: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</row>
    <row r="151" ht="13.2" spans="1: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</row>
    <row r="152" ht="13.2" spans="1: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</row>
    <row r="153" ht="13.2" spans="1: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</row>
    <row r="154" ht="13.2" spans="1: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</row>
    <row r="155" ht="13.2" spans="1: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</row>
    <row r="156" ht="13.2" spans="1: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</row>
    <row r="157" ht="13.2" spans="1: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</row>
    <row r="158" ht="13.2" spans="1: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</row>
    <row r="159" ht="13.2" spans="1: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</row>
    <row r="160" ht="13.2" spans="1: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</row>
    <row r="161" ht="13.2" spans="1: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</row>
    <row r="162" ht="13.2" spans="1: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</row>
    <row r="163" ht="13.2" spans="1: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  <row r="811" ht="13.2" spans="1: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</row>
    <row r="812" ht="13.2" spans="1: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</row>
    <row r="813" ht="13.2" spans="1: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</row>
    <row r="814" ht="13.2" spans="1: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English for Engineers&quot;)"/>
    <hyperlink ref="F4" r:id="rId3" display="=IFERROR(@__xludf.DUMMYFUNCTION(&quot;&quot;&quot;COMPUTED_VALUE&quot;&quot;&quot;),&quot;Technical Writing and Presentation&quot;)"/>
    <hyperlink ref="F5" r:id="rId4" display="=IFERROR(@__xludf.DUMMYFUNCTION(&quot;&quot;&quot;COMPUTED_VALUE&quot;&quot;&quot;),&quot;Human Values and Professional Ethics&quot;)"/>
    <hyperlink ref="F6" r:id="rId5" display="=IFERROR(@__xludf.DUMMYFUNCTION(&quot;&quot;&quot;COMPUTED_VALUE&quot;&quot;&quot;),&quot;தமிழர் மரபு/ Heritage of Tamils&quot;)"/>
    <hyperlink ref="F7" r:id="rId6" display="=IFERROR(@__xludf.DUMMYFUNCTION(&quot;&quot;&quot;COMPUTED_VALUE&quot;&quot;&quot;),&quot;தமிழரும் தொழில்நுட்பமும்/ Tamils and Technology&quot;)"/>
    <hyperlink ref="F8" r:id="rId7" display="=IFERROR(@__xludf.DUMMYFUNCTION(&quot;&quot;&quot;COMPUTED_VALUE&quot;&quot;&quot;),&quot;Environmental Sciences and Sustainability&quot;)"/>
    <hyperlink ref="F9" r:id="rId8" display="=IFERROR(@__xludf.DUMMYFUNCTION(&quot;&quot;&quot;COMPUTED_VALUE&quot;&quot;&quot;),&quot;Calculus and Matrix Algebra&quot;)"/>
    <hyperlink ref="F10" r:id="rId9" display="=IFERROR(@__xludf.DUMMYFUNCTION(&quot;&quot;&quot;COMPUTED_VALUE&quot;&quot;&quot;),&quot;Statistics and Numerical Methods&quot;)"/>
    <hyperlink ref="F11" r:id="rId10" display="=IFERROR(@__xludf.DUMMYFUNCTION(&quot;&quot;&quot;COMPUTED_VALUE&quot;&quot;&quot;),&quot;Transforms and Differential Equations&quot;)"/>
    <hyperlink ref="F12" r:id="rId11" display="=IFERROR(@__xludf.DUMMYFUNCTION(&quot;&quot;&quot;COMPUTED_VALUE&quot;&quot;&quot;),&quot;Basics of Engineering Physics&quot;)"/>
    <hyperlink ref="F13" r:id="rId12" display="=IFERROR(@__xludf.DUMMYFUNCTION(&quot;&quot;&quot;COMPUTED_VALUE&quot;&quot;&quot;),&quot;Materials Science&quot;)"/>
    <hyperlink ref="F14" r:id="rId13" display="=IFERROR(@__xludf.DUMMYFUNCTION(&quot;&quot;&quot;COMPUTED_VALUE&quot;&quot;&quot;),&quot;Basic Engineering Chemistry&quot;)"/>
    <hyperlink ref="F15" r:id="rId14" display="=IFERROR(@__xludf.DUMMYFUNCTION(&quot;&quot;&quot;COMPUTED_VALUE&quot;&quot;&quot;),&quot;Python Programming&quot;)"/>
    <hyperlink ref="F16" r:id="rId15" display="=IFERROR(@__xludf.DUMMYFUNCTION(&quot;&quot;&quot;COMPUTED_VALUE&quot;&quot;&quot;),&quot;Artificial Intelligence and Applications&quot;)"/>
    <hyperlink ref="F17" r:id="rId16" display="=IFERROR(@__xludf.DUMMYFUNCTION(&quot;&quot;&quot;COMPUTED_VALUE&quot;&quot;&quot;),&quot;Engineering Drawing and Visualisation&quot;)"/>
    <hyperlink ref="F18" r:id="rId17" display="=IFERROR(@__xludf.DUMMYFUNCTION(&quot;&quot;&quot;COMPUTED_VALUE&quot;&quot;&quot;),&quot;Engineering Practices Lab&quot;)"/>
    <hyperlink ref="F19" r:id="rId18" display="=IFERROR(@__xludf.DUMMYFUNCTION(&quot;&quot;&quot;COMPUTED_VALUE&quot;&quot;&quot;),&quot;Engineering Mechanics&quot;)"/>
    <hyperlink ref="F20" r:id="rId19" display="=IFERROR(@__xludf.DUMMYFUNCTION(&quot;&quot;&quot;COMPUTED_VALUE&quot;&quot;&quot;),&quot;Mechanics of Solids&quot;)"/>
    <hyperlink ref="F21" r:id="rId20" display="=IFERROR(@__xludf.DUMMYFUNCTION(&quot;&quot;&quot;COMPUTED_VALUE&quot;&quot;&quot;),&quot;Fluid Mechanics and Machinery&quot;)"/>
    <hyperlink ref="F22" r:id="rId21" display="=IFERROR(@__xludf.DUMMYFUNCTION(&quot;&quot;&quot;COMPUTED_VALUE&quot;&quot;&quot;),&quot;Basic Electrical, Electronics and Instrumentation Engineering&quot;)"/>
    <hyperlink ref="F23" r:id="rId22" display="=IFERROR(@__xludf.DUMMYFUNCTION(&quot;&quot;&quot;COMPUTED_VALUE&quot;&quot;&quot;),&quot;Electrical Drives and Control&quot;)"/>
    <hyperlink ref="F24" r:id="rId23" display="=IFERROR(@__xludf.DUMMYFUNCTION(&quot;&quot;&quot;COMPUTED_VALUE&quot;&quot;&quot;),&quot;Engineering Thermodynamics for Mechanical Engineers&quot;)"/>
    <hyperlink ref="F25" r:id="rId24" display="=IFERROR(@__xludf.DUMMYFUNCTION(&quot;&quot;&quot;COMPUTED_VALUE&quot;&quot;&quot;),&quot;Thermal Engineering&quot;)"/>
    <hyperlink ref="F26" r:id="rId25" display="=IFERROR(@__xludf.DUMMYFUNCTION(&quot;&quot;&quot;COMPUTED_VALUE&quot;&quot;&quot;),&quot;Heat and Mass Transfer&quot;)"/>
    <hyperlink ref="F27" r:id="rId26" display="=IFERROR(@__xludf.DUMMYFUNCTION(&quot;&quot;&quot;COMPUTED_VALUE&quot;&quot;&quot;),&quot;Power Generation Engineering&quot;)"/>
    <hyperlink ref="F28" r:id="rId27" display="=IFERROR(@__xludf.DUMMYFUNCTION(&quot;&quot;&quot;COMPUTED_VALUE&quot;&quot;&quot;),&quot;Manufacturing Technology I&quot;)"/>
    <hyperlink ref="F29" r:id="rId28" display="=IFERROR(@__xludf.DUMMYFUNCTION(&quot;&quot;&quot;COMPUTED_VALUE&quot;&quot;&quot;),&quot;Manufacturing Technology II&quot;)"/>
    <hyperlink ref="F30" r:id="rId29" display="=IFERROR(@__xludf.DUMMYFUNCTION(&quot;&quot;&quot;COMPUTED_VALUE&quot;&quot;&quot;),&quot;Theory of Machines&quot;)"/>
    <hyperlink ref="F31" r:id="rId30" display="=IFERROR(@__xludf.DUMMYFUNCTION(&quot;&quot;&quot;COMPUTED_VALUE&quot;&quot;&quot;),&quot;Design of Machine Elements&quot;)"/>
    <hyperlink ref="F32" r:id="rId31" display="=IFERROR(@__xludf.DUMMYFUNCTION(&quot;&quot;&quot;COMPUTED_VALUE&quot;&quot;&quot;),&quot;Metrology and Measurements&quot;)"/>
    <hyperlink ref="F33" r:id="rId32" display="=IFERROR(@__xludf.DUMMYFUNCTION(&quot;&quot;&quot;COMPUTED_VALUE&quot;&quot;&quot;),&quot;Hydraulics and Pneumatics&quot;)"/>
    <hyperlink ref="F34" r:id="rId33" display="=IFERROR(@__xludf.DUMMYFUNCTION(&quot;&quot;&quot;COMPUTED_VALUE&quot;&quot;&quot;),&quot;Mechatronics and IoT&quot;)"/>
    <hyperlink ref="F35" r:id="rId34" display="=IFERROR(@__xludf.DUMMYFUNCTION(&quot;&quot;&quot;COMPUTED_VALUE&quot;&quot;&quot;),&quot;CAD/CAM&quot;)"/>
    <hyperlink ref="F36" r:id="rId35" display="=IFERROR(@__xludf.DUMMYFUNCTION(&quot;&quot;&quot;COMPUTED_VALUE&quot;&quot;&quot;),&quot;Finite Element Analysis&quot;)"/>
    <hyperlink ref="F37" r:id="rId36" display="=IFERROR(@__xludf.DUMMYFUNCTION(&quot;&quot;&quot;COMPUTED_VALUE&quot;&quot;&quot;),&quot;Introduction to Machine Learning&quot;)"/>
    <hyperlink ref="F38" r:id="rId37" display="=IFERROR(@__xludf.DUMMYFUNCTION(&quot;&quot;&quot;COMPUTED_VALUE&quot;&quot;&quot;),&quot;Fundamentals of 3D Printing Technologies&quot;)"/>
    <hyperlink ref="F39" r:id="rId38" display="=IFERROR(@__xludf.DUMMYFUNCTION(&quot;&quot;&quot;COMPUTED_VALUE&quot;&quot;&quot;),&quot;Reverse Engineering and CAD Modelling&quot;)"/>
    <hyperlink ref="F40" r:id="rId39" display="=IFERROR(@__xludf.DUMMYFUNCTION(&quot;&quot;&quot;COMPUTED_VALUE&quot;&quot;&quot;),&quot;Design for 3D Printing&quot;)"/>
    <hyperlink ref="F41" r:id="rId40" display="=IFERROR(@__xludf.DUMMYFUNCTION(&quot;&quot;&quot;COMPUTED_VALUE&quot;&quot;&quot;),&quot;3D Printing Machines and Systems&quot;)"/>
    <hyperlink ref="F42" r:id="rId41" display="=IFERROR(@__xludf.DUMMYFUNCTION(&quot;&quot;&quot;COMPUTED_VALUE&quot;&quot;&quot;),&quot;Materials for 3D Printing&quot;)"/>
    <hyperlink ref="F43" r:id="rId42" display="=IFERROR(@__xludf.DUMMYFUNCTION(&quot;&quot;&quot;COMPUTED_VALUE&quot;&quot;&quot;),&quot;3D Printing for Medical Applications&quot;)"/>
    <hyperlink ref="F44" r:id="rId43" display="=IFERROR(@__xludf.DUMMYFUNCTION(&quot;&quot;&quot;COMPUTED_VALUE&quot;&quot;&quot;),&quot;Hybrid and Electric Vehicle Technology&quot;)"/>
    <hyperlink ref="F45" r:id="rId44" display="=IFERROR(@__xludf.DUMMYFUNCTION(&quot;&quot;&quot;COMPUTED_VALUE&quot;&quot;&quot;),&quot;Automotive Materials, Components, Design and Testing&quot;)"/>
    <hyperlink ref="F46" r:id="rId45" display="=IFERROR(@__xludf.DUMMYFUNCTION(&quot;&quot;&quot;COMPUTED_VALUE&quot;&quot;&quot;),&quot;Smart Mobility and Intelligent Vehicles&quot;)"/>
    <hyperlink ref="F47" r:id="rId46" display="=IFERROR(@__xludf.DUMMYFUNCTION(&quot;&quot;&quot;COMPUTED_VALUE&quot;&quot;&quot;),&quot;CAE and CFD Approach in Future Mobility&quot;)"/>
    <hyperlink ref="F48" r:id="rId47" display="=IFERROR(@__xludf.DUMMYFUNCTION(&quot;&quot;&quot;COMPUTED_VALUE&quot;&quot;&quot;),&quot;Thermal Management of Batteries&quot;)"/>
    <hyperlink ref="F49" r:id="rId48" display="=IFERROR(@__xludf.DUMMYFUNCTION(&quot;&quot;&quot;COMPUTED_VALUE&quot;&quot;&quot;),&quot;Vehicle Health Monitoring, Maintenance and Safety&quot;)"/>
    <hyperlink ref="F50" r:id="rId49" display="=IFERROR(@__xludf.DUMMYFUNCTION(&quot;&quot;&quot;COMPUTED_VALUE&quot;&quot;&quot;),&quot;Value Engineering&quot;)"/>
    <hyperlink ref="F51" r:id="rId50" display="=IFERROR(@__xludf.DUMMYFUNCTION(&quot;&quot;&quot;COMPUTED_VALUE&quot;&quot;&quot;),&quot;Computer Integrated Manufacturing Systems&quot;)"/>
    <hyperlink ref="F52" r:id="rId51" display="=IFERROR(@__xludf.DUMMYFUNCTION(&quot;&quot;&quot;COMPUTED_VALUE&quot;&quot;&quot;),&quot;Design For X&quot;)"/>
    <hyperlink ref="F53" r:id="rId52" display="=IFERROR(@__xludf.DUMMYFUNCTION(&quot;&quot;&quot;COMPUTED_VALUE&quot;&quot;&quot;),&quot;Product Life Cycle Management&quot;)"/>
    <hyperlink ref="F54" r:id="rId53" display="=IFERROR(@__xludf.DUMMYFUNCTION(&quot;&quot;&quot;COMPUTED_VALUE&quot;&quot;&quot;),&quot;Ergonomics in Design&quot;)"/>
    <hyperlink ref="F55" r:id="rId54" display="=IFERROR(@__xludf.DUMMYFUNCTION(&quot;&quot;&quot;COMPUTED_VALUE&quot;&quot;&quot;),&quot;New Product Development&quot;)"/>
    <hyperlink ref="F56" r:id="rId55" display="=IFERROR(@__xludf.DUMMYFUNCTION(&quot;&quot;&quot;COMPUTED_VALUE&quot;&quot;&quot;),&quot;Digital Manufacturing and IoT&quot;)"/>
    <hyperlink ref="F57" r:id="rId56" display="=IFERROR(@__xludf.DUMMYFUNCTION(&quot;&quot;&quot;COMPUTED_VALUE&quot;&quot;&quot;),&quot;Lean Manufacturing&quot;)"/>
    <hyperlink ref="F58" r:id="rId57" display="=IFERROR(@__xludf.DUMMYFUNCTION(&quot;&quot;&quot;COMPUTED_VALUE&quot;&quot;&quot;),&quot;Modern Robotics&quot;)"/>
    <hyperlink ref="F59" r:id="rId58" display="=IFERROR(@__xludf.DUMMYFUNCTION(&quot;&quot;&quot;COMPUTED_VALUE&quot;&quot;&quot;),&quot;Green Manufacturing Design and Practices&quot;)"/>
    <hyperlink ref="F60" r:id="rId59" display="=IFERROR(@__xludf.DUMMYFUNCTION(&quot;&quot;&quot;COMPUTED_VALUE&quot;&quot;&quot;),&quot;Environment Sustainability and Impact Assessment&quot;)"/>
    <hyperlink ref="F61" r:id="rId60" display="=IFERROR(@__xludf.DUMMYFUNCTION(&quot;&quot;&quot;COMPUTED_VALUE&quot;&quot;&quot;),&quot;Energy Saving Machinery and Components&quot;)"/>
    <hyperlink ref="F62" r:id="rId61" display="=IFERROR(@__xludf.DUMMYFUNCTION(&quot;&quot;&quot;COMPUTED_VALUE&quot;&quot;&quot;),&quot;Optimization Techniques&quot;)"/>
    <hyperlink ref="F63" r:id="rId62" display="=IFERROR(@__xludf.DUMMYFUNCTION(&quot;&quot;&quot;COMPUTED_VALUE&quot;&quot;&quot;),&quot;Statistical Quality Control&quot;)"/>
    <hyperlink ref="F64" r:id="rId63" display="=IFERROR(@__xludf.DUMMYFUNCTION(&quot;&quot;&quot;COMPUTED_VALUE&quot;&quot;&quot;),&quot;Quality Audit System&quot;)"/>
    <hyperlink ref="F65" r:id="rId64" display="=IFERROR(@__xludf.DUMMYFUNCTION(&quot;&quot;&quot;COMPUTED_VALUE&quot;&quot;&quot;),&quot;Operations and Inventory Management&quot;)"/>
    <hyperlink ref="F66" r:id="rId65" display="=IFERROR(@__xludf.DUMMYFUNCTION(&quot;&quot;&quot;COMPUTED_VALUE&quot;&quot;&quot;),&quot;Reliability Engineering&quot;)"/>
    <hyperlink ref="F67" r:id="rId66" display="=IFERROR(@__xludf.DUMMYFUNCTION(&quot;&quot;&quot;COMPUTED_VALUE&quot;&quot;&quot;),&quot;Discrete Event System Simulation&quot;)"/>
    <hyperlink ref="F68" r:id="rId67" display="=IFERROR(@__xludf.DUMMYFUNCTION(&quot;&quot;&quot;COMPUTED_VALUE&quot;&quot;&quot;),&quot;Automotive Engineering&quot;)"/>
    <hyperlink ref="F69" r:id="rId68" display="=IFERROR(@__xludf.DUMMYFUNCTION(&quot;&quot;&quot;COMPUTED_VALUE&quot;&quot;&quot;),&quot;Refrigeration And Air Conditioning Technology&quot;)"/>
    <hyperlink ref="F70" r:id="rId69" display="=IFERROR(@__xludf.DUMMYFUNCTION(&quot;&quot;&quot;COMPUTED_VALUE&quot;&quot;&quot;),&quot;Turbo Machines&quot;)"/>
    <hyperlink ref="F71" r:id="rId70" display="=IFERROR(@__xludf.DUMMYFUNCTION(&quot;&quot;&quot;COMPUTED_VALUE&quot;&quot;&quot;),&quot;Gas Dynamics and Jet Propulsion&quot;)"/>
    <hyperlink ref="F72" r:id="rId71" display="=IFERROR(@__xludf.DUMMYFUNCTION(&quot;&quot;&quot;COMPUTED_VALUE&quot;&quot;&quot;),&quot;Advanced Internal Combustion Engine Technology&quot;)"/>
    <hyperlink ref="F73" r:id="rId72" display="=IFERROR(@__xludf.DUMMYFUNCTION(&quot;&quot;&quot;COMPUTED_VALUE&quot;&quot;&quot;),&quot;Computational Fluid Dynamics and Heat Transfer&quot;)"/>
    <hyperlink ref="F74" r:id="rId73" display="=IFERROR(@__xludf.DUMMYFUNCTION(&quot;&quot;&quot;COMPUTED_VALUE&quot;&quot;&quot;),&quot;3D Printing Processes&quot;)"/>
    <hyperlink ref="F75" r:id="rId74" display="=IFERROR(@__xludf.DUMMYFUNCTION(&quot;&quot;&quot;COMPUTED_VALUE&quot;&quot;&quot;),&quot;Composite Materials Engineering&quot;)"/>
    <hyperlink ref="F76" r:id="rId75" display="=IFERROR(@__xludf.DUMMYFUNCTION(&quot;&quot;&quot;COMPUTED_VALUE&quot;&quot;&quot;),&quot;Non Conventional Machining Processes&quot;)"/>
    <hyperlink ref="F77" r:id="rId76" display="=IFERROR(@__xludf.DUMMYFUNCTION(&quot;&quot;&quot;COMPUTED_VALUE&quot;&quot;&quot;),&quot;Design of Transmission System&quot;)"/>
    <hyperlink ref="F78" r:id="rId77" display="=IFERROR(@__xludf.DUMMYFUNCTION(&quot;&quot;&quot;COMPUTED_VALUE&quot;&quot;&quot;),&quot;Process Planning and Cost Estimation&quot;)"/>
    <hyperlink ref="F79" r:id="rId78" display="=IFERROR(@__xludf.DUMMYFUNCTION(&quot;&quot;&quot;COMPUTED_VALUE&quot;&quot;&quot;),&quot;Intellectual Property Rights&quot;)"/>
    <hyperlink ref="F80" r:id="rId79" display="=IFERROR(@__xludf.DUMMYFUNCTION(&quot;&quot;&quot;COMPUTED_VALUE&quot;&quot;&quot;),&quot;Machine Learning Applications in Mechanical Engineering&quot;)"/>
    <hyperlink ref="F81" r:id="rId80" display="=IFERROR(@__xludf.DUMMYFUNCTION(&quot;&quot;&quot;COMPUTED_VALUE&quot;&quot;&quot;),&quot;Advanced Solid Surface Design and Simulation Technique&quot;)"/>
    <hyperlink ref="F82" r:id="rId81" display="=IFERROR(@__xludf.DUMMYFUNCTION(&quot;&quot;&quot;COMPUTED_VALUE&quot;&quot;&quot;),&quot;Design and Fabrication Project&quot;)"/>
    <hyperlink ref="F83" r:id="rId82" display="=IFERROR(@__xludf.DUMMYFUNCTION(&quot;&quot;&quot;COMPUTED_VALUE&quot;&quot;&quot;),&quot;Project Work Phase I&quot;)"/>
    <hyperlink ref="F84" r:id="rId83" display="=IFERROR(@__xludf.DUMMYFUNCTION(&quot;&quot;&quot;COMPUTED_VALUE&quot;&quot;&quot;),&quot;Project Work Phase II&quot;)"/>
    <hyperlink ref="F86" r:id="rId84" display="=IFERROR(@__xludf.DUMMYFUNCTION(&quot;&quot;&quot;COMPUTED_VALUE&quot;&quot;&quot;),&quot;Career Development Skills&quot;)"/>
    <hyperlink ref="F87" r:id="rId85" display="=IFERROR(@__xludf.DUMMYFUNCTION(&quot;&quot;&quot;COMPUTED_VALUE&quot;&quot;&quot;),&quot;Reasoning Ability&quot;)"/>
    <hyperlink ref="F88" r:id="rId86" display="=IFERROR(@__xludf.DUMMYFUNCTION(&quot;&quot;&quot;COMPUTED_VALUE&quot;&quot;&quot;),&quot;Quantitative Ability I&quot;)"/>
    <hyperlink ref="F89" r:id="rId87" display="=IFERROR(@__xludf.DUMMYFUNCTION(&quot;&quot;&quot;COMPUTED_VALUE&quot;&quot;&quot;),&quot;Quantitative Ability II&quot;)"/>
    <hyperlink ref="F90" r:id="rId88" display="=IFERROR(@__xludf.DUMMYFUNCTION(&quot;&quot;&quot;COMPUTED_VALUE&quot;&quot;&quot;),&quot;Employment Enrichment Skills&quot;)"/>
    <hyperlink ref="F91" r:id="rId89" display="=IFERROR(@__xludf.DUMMYFUNCTION(&quot;&quot;&quot;COMPUTED_VALUE&quot;&quot;&quot;),&quot;Placement Readiness Assessment&quot;)"/>
    <hyperlink ref="F92" r:id="rId90" display="=IFERROR(@__xludf.DUMMYFUNCTION(&quot;&quot;&quot;COMPUTED_VALUE&quot;&quot;&quot;),&quot;Paper Publication&quot;)"/>
    <hyperlink ref="F95" r:id="rId91" display="=IFERROR(@__xludf.DUMMYFUNCTION(&quot;&quot;&quot;COMPUTED_VALUE&quot;&quot;&quot;),&quot;Constitutionalism and Artificial Intelligence Policies in India&quot;)"/>
    <hyperlink ref="F96" r:id="rId92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672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""R2019-CSE!A:A""),
IMPORTRANGE(""https://docs.google.com/spreadsheets/d/1UvPg-G_Bj-UNhLC2uL8tntfYsnld_PABqE3impzOchM/edit"", ""R2019-"&amp;"CSE!D:D""),
IMPORTRANGE(""https://docs.google.com/spreadsheets/d/1UvPg-G_Bj-UNhLC2uL8tntfYsnld_PABqE3impzOchM/edit"", ""R2019-CSE!E:E""),
IMPORTRANGE(""https://docs.google.com/spreadsheets/d/1UvPg-G_Bj-UNhLC2uL8tntfYsnld_PABqE3impzOchM/edit"", ""R2019-CSE"&amp;"!F:F""),
IMPORTRANGE(""https://docs.google.com/spreadsheets/d/1UvPg-G_Bj-UNhLC2uL8tntfYsnld_PABqE3impzOchM/edit"", ""R2019-CSE!G:G""),
IMPORTRANGE(""https://docs.google.com/spreadsheets/d/1UvPg-G_Bj-UNhLC2uL8tntfYsnld_PABqE3impzOchM/edit"", ""R2019-CSE!I:"&amp;"I""),
IMPORTRANGE(""https://docs.google.com/spreadsheets/d/1UvPg-G_Bj-UNhLC2uL8tntfYsnld_PABqE3impzOchM/edit"", ""R2019-CSE!N:N""),
IMPORTRANGE(""https://docs.google.com/spreadsheets/d/1UvPg-G_Bj-UNhLC2uL8tntfYsnld_PABqE3impzOchM/edit"", ""R2019-CSE!O:O"""&amp;"),
IMPORTRANGE(""https://docs.google.com/spreadsheets/d/1UvPg-G_Bj-UNhLC2uL8tntfYsnld_PABqE3impzOchM/edit"", ""R2019-CSE!P:P""),
IMPORTRANGE(""https://docs.google.com/spreadsheets/d/1UvPg-G_Bj-UNhLC2uL8tntfYsnld_PABqE3impzOchM/edit"", ""R2019-CSE!Q:Q""),
"&amp;"IMPORTRANGE(""https://docs.google.com/spreadsheets/d/1UvPg-G_Bj-UNhLC2uL8tntfYsnld_PABqE3impzOchM/edit"", ""R2019-CSE!R:R""),
IMPORTRANGE(""https://docs.google.com/spreadsheets/d/1UvPg-G_Bj-UNhLC2uL8tntfYsnld_PABqE3impzOchM/edit"", ""R2019-CSE!S:S""),
IMP"&amp;"ORTRANGE(""https://docs.google.com/spreadsheets/d/1UvPg-G_Bj-UNhLC2uL8tntfYsnld_PABqE3impzOchM/edit"", ""R2019-CSE!V:V""),
IMPORTRANGE(""https://docs.google.com/spreadsheets/d/1UvPg-G_Bj-UNhLC2uL8tntfYsnld_PABqE3impzOchM/edit"", ""R2019-CSE!X:X""),
IMPORT"&amp;"RANGE(""https://docs.google.com/spreadsheets/d/1UvPg-G_Bj-UNhLC2uL8tntfYsnld_PABqE3impzOchM/edit"", ""R2019-CSE!Y:Y""),
IMPORTRANGE(""https://docs.google.com/spreadsheets/d/1UvPg-G_Bj-UNhLC2uL8tntfYsnld_PABqE3impzOchM/edit"", ""R2019-CSE!AA:AA""),
IMPORTR"&amp;"ANGE(""https://docs.google.com/spreadsheets/d/1UvPg-G_Bj-UNhLC2uL8tntfYsnld_PABqE3impzOchM/edit"", ""R2019-CSE!AC:AC""),
IMPORTRANGE(""https://docs.google.com/spreadsheets/d/1UvPg-G_Bj-UNhLC2uL8tntfYsnld_PABqE3impzOchM/edit"", ""R2019-CSE!AD:AD"")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2022- 2026")</f>
        <v>BATCH: 2022- 2026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/>
      <c r="C3" s="2" t="str">
        <f>IFERROR(__xludf.DUMMYFUNCTION("""COMPUTED_VALUE"""),"HS")</f>
        <v>HS</v>
      </c>
      <c r="D3" s="2" t="str">
        <f>IFERROR(__xludf.DUMMYFUNCTION("""COMPUTED_VALUE"""),"NA")</f>
        <v>NA</v>
      </c>
      <c r="E3" s="2" t="str">
        <f>IFERROR(__xludf.DUMMYFUNCTION("""COMPUTED_VALUE"""),"19EN102")</f>
        <v>19EN102</v>
      </c>
      <c r="F3" s="7" t="str">
        <f>IFERROR(__xludf.DUMMYFUNCTION("""COMPUTED_VALUE"""),"Technical English")</f>
        <v>Technical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/>
      <c r="C4" s="2" t="str">
        <f>IFERROR(__xludf.DUMMYFUNCTION("""COMPUTED_VALUE"""),"HS")</f>
        <v>HS</v>
      </c>
      <c r="D4" s="2" t="str">
        <f>IFERROR(__xludf.DUMMYFUNCTION("""COMPUTED_VALUE"""),"SH1101")</f>
        <v>SH1101</v>
      </c>
      <c r="E4" s="2" t="str">
        <f>IFERROR(__xludf.DUMMYFUNCTION("""COMPUTED_VALUE"""),"19EN101")</f>
        <v>19EN101</v>
      </c>
      <c r="F4" s="7" t="str">
        <f>IFERROR(__xludf.DUMMYFUNCTION("""COMPUTED_VALUE"""),"Communicative English")</f>
        <v>Communicative English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IFERROR(__xludf.DUMMYFUNCTION("""COMPUTED_VALUE"""),24)</f>
        <v>24</v>
      </c>
      <c r="O4" s="20">
        <f>IFERROR(__xludf.DUMMYFUNCTION("""COMPUTED_VALUE"""),8)</f>
        <v>8</v>
      </c>
      <c r="P4" s="19" t="str">
        <f>IFERROR(__xludf.DUMMYFUNCTION("""COMPUTED_VALUE"""),"BS")</f>
        <v>BS</v>
      </c>
      <c r="Q4" s="2">
        <f>IFERROR(__xludf.DUMMYFUNCTION("""COMPUTED_VALUE"""),24)</f>
        <v>24</v>
      </c>
      <c r="R4" s="20">
        <f>IFERROR(__xludf.DUMMYFUNCTION("""COMPUTED_VALUE"""),8)</f>
        <v>8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 , Any 1 for Regular")</f>
        <v>Exempted for LE , Any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IFERROR(__xludf.DUMMYFUNCTION("""COMPUTED_VALUE"""),"19MS151")</f>
        <v>19MS151</v>
      </c>
      <c r="F5" s="7" t="str">
        <f>IFERROR(__xludf.DUMMYFUNCTION("""COMPUTED_VALUE"""),"Principles of Management")</f>
        <v>Principles of Management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IFERROR(__xludf.DUMMYFUNCTION("""COMPUTED_VALUE"""),0)</f>
        <v>0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IFERROR(__xludf.DUMMYFUNCTION("""COMPUTED_VALUE"""),26)</f>
        <v>26</v>
      </c>
      <c r="O5" s="20">
        <f>IFERROR(__xludf.DUMMYFUNCTION("""COMPUTED_VALUE"""),12)</f>
        <v>12</v>
      </c>
      <c r="P5" s="19" t="str">
        <f>IFERROR(__xludf.DUMMYFUNCTION("""COMPUTED_VALUE"""),"ES")</f>
        <v>ES</v>
      </c>
      <c r="Q5" s="2">
        <f>IFERROR(__xludf.DUMMYFUNCTION("""COMPUTED_VALUE"""),26)</f>
        <v>26</v>
      </c>
      <c r="R5" s="20">
        <f>IFERROR(__xludf.DUMMYFUNCTION("""COMPUTED_VALUE"""),12)</f>
        <v>12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1 for Regular")</f>
        <v>Exempted for LE , Any 1 for Regular</v>
      </c>
      <c r="C6" s="2" t="str">
        <f>IFERROR(__xludf.DUMMYFUNCTION("""COMPUTED_VALUE"""),"HS")</f>
        <v>HS</v>
      </c>
      <c r="D6" s="2" t="str">
        <f>IFERROR(__xludf.DUMMYFUNCTION("""COMPUTED_VALUE"""),"NA")</f>
        <v>NA</v>
      </c>
      <c r="E6" s="2" t="str">
        <f>IFERROR(__xludf.DUMMYFUNCTION("""COMPUTED_VALUE"""),"19MS152")</f>
        <v>19MS152</v>
      </c>
      <c r="F6" s="7" t="str">
        <f>IFERROR(__xludf.DUMMYFUNCTION("""COMPUTED_VALUE"""),"Total Quality Management")</f>
        <v>Total Quality Management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IFERROR(__xludf.DUMMYFUNCTION("""COMPUTED_VALUE"""),57)</f>
        <v>57</v>
      </c>
      <c r="O6" s="20">
        <f>IFERROR(__xludf.DUMMYFUNCTION("""COMPUTED_VALUE"""),57)</f>
        <v>57</v>
      </c>
      <c r="P6" s="19" t="str">
        <f>IFERROR(__xludf.DUMMYFUNCTION("""COMPUTED_VALUE"""),"PC")</f>
        <v>PC</v>
      </c>
      <c r="Q6" s="2">
        <f>IFERROR(__xludf.DUMMYFUNCTION("""COMPUTED_VALUE"""),57)</f>
        <v>57</v>
      </c>
      <c r="R6" s="20">
        <f>IFERROR(__xludf.DUMMYFUNCTION("""COMPUTED_VALUE"""),57)</f>
        <v>57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1 for Regular")</f>
        <v>Exempted for LE , Any 1 for Regular</v>
      </c>
      <c r="C7" s="2" t="str">
        <f>IFERROR(__xludf.DUMMYFUNCTION("""COMPUTED_VALUE"""),"HS")</f>
        <v>HS</v>
      </c>
      <c r="D7" s="2" t="str">
        <f>IFERROR(__xludf.DUMMYFUNCTION("""COMPUTED_VALUE"""),"NA")</f>
        <v>NA</v>
      </c>
      <c r="E7" s="2" t="str">
        <f>IFERROR(__xludf.DUMMYFUNCTION("""COMPUTED_VALUE"""),"19MS153")</f>
        <v>19MS153</v>
      </c>
      <c r="F7" s="7" t="str">
        <f>IFERROR(__xludf.DUMMYFUNCTION("""COMPUTED_VALUE"""),"Management and Quality Principles for Engineering")</f>
        <v>Management and Quality Principles for Engineering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 t="str">
        <f>IFERROR(__xludf.DUMMYFUNCTION("""COMPUTED_VALUE"""),"PE")</f>
        <v>PE</v>
      </c>
      <c r="Q7" s="2">
        <f>IFERROR(__xludf.DUMMYFUNCTION("""COMPUTED_VALUE"""),15)</f>
        <v>15</v>
      </c>
      <c r="R7" s="20">
        <f>IFERROR(__xludf.DUMMYFUNCTION("""COMPUTED_VALUE"""),15)</f>
        <v>15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IFERROR(__xludf.DUMMYFUNCTION("""COMPUTED_VALUE"""),"SH7101")</f>
        <v>SH7101</v>
      </c>
      <c r="E8" s="2" t="str">
        <f>IFERROR(__xludf.DUMMYFUNCTION("""COMPUTED_VALUE"""),"22HS101")</f>
        <v>22HS101</v>
      </c>
      <c r="F8" s="7" t="str">
        <f>IFERROR(__xludf.DUMMYFUNCTION("""COMPUTED_VALUE"""),"தமிழர் மரபு/ Heritage of Tamils")</f>
        <v>தமிழர் மரபு/ Heritage of Tamils</v>
      </c>
      <c r="G8" s="2" t="str">
        <f>IFERROR(__xludf.DUMMYFUNCTION("""COMPUTED_VALUE"""),"-")</f>
        <v>-</v>
      </c>
      <c r="H8" s="2">
        <f>IFERROR(__xludf.DUMMYFUNCTION("""COMPUTED_VALUE"""),1)</f>
        <v>1</v>
      </c>
      <c r="I8" s="2">
        <f>IFERROR(__xludf.DUMMYFUNCTION("""COMPUTED_VALUE"""),0)</f>
        <v>0</v>
      </c>
      <c r="J8" s="2">
        <f>IFERROR(__xludf.DUMMYFUNCTION("""COMPUTED_VALUE"""),1)</f>
        <v>1</v>
      </c>
      <c r="K8" s="2" t="str">
        <f>IFERROR(__xludf.DUMMYFUNCTION("""COMPUTED_VALUE"""),"CGPA")</f>
        <v>CGPA</v>
      </c>
      <c r="L8" s="18" t="str">
        <f>IFERROR(__xludf.DUMMYFUNCTION("""COMPUTED_VALUE"""),"Theory (Int Only)")</f>
        <v>Theory (Int Only)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IFERROR(__xludf.DUMMYFUNCTION("""COMPUTED_VALUE"""),"SH7102")</f>
        <v>SH7102</v>
      </c>
      <c r="E9" s="2" t="str">
        <f>IFERROR(__xludf.DUMMYFUNCTION("""COMPUTED_VALUE"""),"22HS102")</f>
        <v>22HS102</v>
      </c>
      <c r="F9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IFERROR(__xludf.DUMMYFUNCTION("""COMPUTED_VALUE"""),"BS")</f>
        <v>BS</v>
      </c>
      <c r="D10" s="2" t="str">
        <f>IFERROR(__xludf.DUMMYFUNCTION("""COMPUTED_VALUE"""),"SH2201")</f>
        <v>SH2201</v>
      </c>
      <c r="E10" s="2" t="str">
        <f>IFERROR(__xludf.DUMMYFUNCTION("""COMPUTED_VALUE"""),"19MA201")</f>
        <v>19MA201</v>
      </c>
      <c r="F10" s="7" t="str">
        <f>IFERROR(__xludf.DUMMYFUNCTION("""COMPUTED_VALUE"""),"Calculus and Matrix Algebra")</f>
        <v>Calculus and Matrix Algebra</v>
      </c>
      <c r="G10" s="2" t="str">
        <f>IFERROR(__xludf.DUMMYFUNCTION("""COMPUTED_VALUE"""),"-")</f>
        <v>-</v>
      </c>
      <c r="H10" s="2">
        <f>IFERROR(__xludf.DUMMYFUNCTION("""COMPUTED_VALUE"""),4)</f>
        <v>4</v>
      </c>
      <c r="I10" s="2">
        <f>IFERROR(__xludf.DUMMYFUNCTION("""COMPUTED_VALUE"""),0)</f>
        <v>0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IFERROR(__xludf.DUMMYFUNCTION("""COMPUTED_VALUE"""),"Theory")</f>
        <v>Theory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IFERROR(__xludf.DUMMYFUNCTION("""COMPUTED_VALUE"""),"SH2206")</f>
        <v>SH2206</v>
      </c>
      <c r="E11" s="2" t="str">
        <f>IFERROR(__xludf.DUMMYFUNCTION("""COMPUTED_VALUE"""),"19MA206")</f>
        <v>19MA206</v>
      </c>
      <c r="F11" s="7" t="str">
        <f>IFERROR(__xludf.DUMMYFUNCTION("""COMPUTED_VALUE"""),"Logic and Combinatorics")</f>
        <v>Logic and Combinatorics</v>
      </c>
      <c r="G11" s="2" t="str">
        <f>IFERROR(__xludf.DUMMYFUNCTION("""COMPUTED_VALUE"""),"19MA201")</f>
        <v>19MA201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IFERROR(__xludf.DUMMYFUNCTION("""COMPUTED_VALUE"""),164)</f>
        <v>164</v>
      </c>
      <c r="O11" s="23">
        <f>IFERROR(__xludf.DUMMYFUNCTION("""COMPUTED_VALUE"""),126)</f>
        <v>126</v>
      </c>
      <c r="P11" s="21" t="str">
        <f>IFERROR(__xludf.DUMMYFUNCTION("""COMPUTED_VALUE"""),"TOTAL")</f>
        <v>TOTAL</v>
      </c>
      <c r="Q11" s="22">
        <f>IFERROR(__xludf.DUMMYFUNCTION("""COMPUTED_VALUE"""),166)</f>
        <v>166</v>
      </c>
      <c r="R11" s="23">
        <f>IFERROR(__xludf.DUMMYFUNCTION("""COMPUTED_VALUE"""),126)</f>
        <v>126</v>
      </c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IFERROR(__xludf.DUMMYFUNCTION("""COMPUTED_VALUE"""),"SH2212")</f>
        <v>SH2212</v>
      </c>
      <c r="E12" s="2" t="str">
        <f>IFERROR(__xludf.DUMMYFUNCTION("""COMPUTED_VALUE"""),"19MA212")</f>
        <v>19MA212</v>
      </c>
      <c r="F12" s="7" t="str">
        <f>IFERROR(__xludf.DUMMYFUNCTION("""COMPUTED_VALUE"""),"Algebra and Number Theory")</f>
        <v>Algebra and Number Theory</v>
      </c>
      <c r="G12" s="2" t="str">
        <f>IFERROR(__xludf.DUMMYFUNCTION("""COMPUTED_VALUE"""),"19MA201")</f>
        <v>19MA201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IFERROR(__xludf.DUMMYFUNCTION("""COMPUTED_VALUE"""),"NA")</f>
        <v>NA</v>
      </c>
      <c r="E13" s="2" t="str">
        <f>IFERROR(__xludf.DUMMYFUNCTION("""COMPUTED_VALUE"""),"19MA218")</f>
        <v>19MA218</v>
      </c>
      <c r="F13" s="7" t="str">
        <f>IFERROR(__xludf.DUMMYFUNCTION("""COMPUTED_VALUE"""),"Probability and Queueing Theory")</f>
        <v>Probability and Queueing Theory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IFERROR(__xludf.DUMMYFUNCTION("""COMPUTED_VALUE"""),"19PH205")</f>
        <v>19PH205</v>
      </c>
      <c r="F14" s="7" t="str">
        <f>IFERROR(__xludf.DUMMYFUNCTION("""COMPUTED_VALUE"""),"Computational Physics")</f>
        <v>Computational Physics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IFERROR(__xludf.DUMMYFUNCTION("""COMPUTED_VALUE"""),1)</f>
        <v>1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IFERROR(__xludf.DUMMYFUNCTION("""COMPUTED_VALUE"""),"BS")</f>
        <v>BS</v>
      </c>
      <c r="D15" s="2" t="str">
        <f>IFERROR(__xludf.DUMMYFUNCTION("""COMPUTED_VALUE"""),"SH4205")</f>
        <v>SH4205</v>
      </c>
      <c r="E15" s="2" t="str">
        <f>IFERROR(__xludf.DUMMYFUNCTION("""COMPUTED_VALUE"""),"19CY205")</f>
        <v>19CY205</v>
      </c>
      <c r="F15" s="7" t="str">
        <f>IFERROR(__xludf.DUMMYFUNCTION("""COMPUTED_VALUE"""),"Principles of Chemistry in Engineering")</f>
        <v>Principles of Chemistry in Engineering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IFERROR(__xludf.DUMMYFUNCTION("""COMPUTED_VALUE"""),"ES")</f>
        <v>ES</v>
      </c>
      <c r="D16" s="2" t="str">
        <f>IFERROR(__xludf.DUMMYFUNCTION("""COMPUTED_VALUE"""),"NA")</f>
        <v>NA</v>
      </c>
      <c r="E16" s="2" t="str">
        <f>IFERROR(__xludf.DUMMYFUNCTION("""COMPUTED_VALUE"""),"19CS301")</f>
        <v>19CS301</v>
      </c>
      <c r="F16" s="7" t="str">
        <f>IFERROR(__xludf.DUMMYFUNCTION("""COMPUTED_VALUE"""),"Problem Solving and Python Programming")</f>
        <v>Problem Solving and Python Programming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IFERROR(__xludf.DUMMYFUNCTION("""COMPUTED_VALUE"""),"ES")</f>
        <v>ES</v>
      </c>
      <c r="D17" s="2" t="str">
        <f>IFERROR(__xludf.DUMMYFUNCTION("""COMPUTED_VALUE"""),"EC2305")</f>
        <v>EC2305</v>
      </c>
      <c r="E17" s="2" t="str">
        <f>IFERROR(__xludf.DUMMYFUNCTION("""COMPUTED_VALUE"""),"19EE305")</f>
        <v>19EE305</v>
      </c>
      <c r="F17" s="7" t="str">
        <f>IFERROR(__xludf.DUMMYFUNCTION("""COMPUTED_VALUE"""),"Basic Electrical, Electronics and Measurement Engineering")</f>
        <v>Basic Electrical, Electronics and Measurement Engineering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IFERROR(__xludf.DUMMYFUNCTION("""COMPUTED_VALUE"""),"NA")</f>
        <v>NA</v>
      </c>
      <c r="E18" s="2" t="str">
        <f>IFERROR(__xludf.DUMMYFUNCTION("""COMPUTED_VALUE"""),"19ME302")</f>
        <v>19ME302</v>
      </c>
      <c r="F18" s="7" t="str">
        <f>IFERROR(__xludf.DUMMYFUNCTION("""COMPUTED_VALUE"""),"Engineering Drawing")</f>
        <v>Engineering Drawing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IFERROR(__xludf.DUMMYFUNCTION("""COMPUTED_VALUE"""),"NA")</f>
        <v>NA</v>
      </c>
      <c r="E19" s="2" t="str">
        <f>IFERROR(__xludf.DUMMYFUNCTION("""COMPUTED_VALUE"""),"19EC303")</f>
        <v>19EC303</v>
      </c>
      <c r="F19" s="7" t="str">
        <f>IFERROR(__xludf.DUMMYFUNCTION("""COMPUTED_VALUE"""),"Digital Principles and System Design")</f>
        <v>Digital Principles and System Design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IFERROR(__xludf.DUMMYFUNCTION("""COMPUTED_VALUE"""),"NA")</f>
        <v>NA</v>
      </c>
      <c r="E20" s="2" t="str">
        <f>IFERROR(__xludf.DUMMYFUNCTION("""COMPUTED_VALUE"""),"19EC307")</f>
        <v>19EC307</v>
      </c>
      <c r="F20" s="7" t="str">
        <f>IFERROR(__xludf.DUMMYFUNCTION("""COMPUTED_VALUE"""),"Communication Engineering")</f>
        <v>Communication Engineering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IFERROR(__xludf.DUMMYFUNCTION("""COMPUTED_VALUE"""),0)</f>
        <v>0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IFERROR(__xludf.DUMMYFUNCTION("""COMPUTED_VALUE"""),"Theory")</f>
        <v>Theory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IFERROR(__xludf.DUMMYFUNCTION("""COMPUTED_VALUE"""),"NA")</f>
        <v>NA</v>
      </c>
      <c r="E21" s="2" t="str">
        <f>IFERROR(__xludf.DUMMYFUNCTION("""COMPUTED_VALUE"""),"19CS302")</f>
        <v>19CS302</v>
      </c>
      <c r="F21" s="7" t="str">
        <f>IFERROR(__xludf.DUMMYFUNCTION("""COMPUTED_VALUE"""),"Programming in C")</f>
        <v>Programming in C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IFERROR(__xludf.DUMMYFUNCTION("""COMPUTED_VALUE"""),2)</f>
        <v>2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(10 Expts)")</f>
        <v>TIP (10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IFERROR(__xludf.DUMMYFUNCTION("""COMPUTED_VALUE"""),"CS1305")</f>
        <v>CS1305</v>
      </c>
      <c r="E22" s="2" t="str">
        <f>IFERROR(__xludf.DUMMYFUNCTION("""COMPUTED_VALUE"""),"19CS305")</f>
        <v>19CS305</v>
      </c>
      <c r="F22" s="7" t="str">
        <f>IFERROR(__xludf.DUMMYFUNCTION("""COMPUTED_VALUE"""),"Computer Architecture")</f>
        <v>Computer Architecture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IFERROR(__xludf.DUMMYFUNCTION("""COMPUTED_VALUE"""),0)</f>
        <v>0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IFERROR(__xludf.DUMMYFUNCTION("""COMPUTED_VALUE"""),"Theory")</f>
        <v>Theory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IFERROR(__xludf.DUMMYFUNCTION("""COMPUTED_VALUE"""),"NA")</f>
        <v>NA</v>
      </c>
      <c r="E23" s="2" t="str">
        <f>IFERROR(__xludf.DUMMYFUNCTION("""COMPUTED_VALUE"""),"19CS308")</f>
        <v>19CS308</v>
      </c>
      <c r="F23" s="7" t="str">
        <f>IFERROR(__xludf.DUMMYFUNCTION("""COMPUTED_VALUE"""),"Software Testing Laboratory")</f>
        <v>Software Testing Laboratory</v>
      </c>
      <c r="G23" s="2" t="str">
        <f>IFERROR(__xludf.DUMMYFUNCTION("""COMPUTED_VALUE"""),"19CS410/19AI401")</f>
        <v>19CS410/19AI401</v>
      </c>
      <c r="H23" s="2">
        <f>IFERROR(__xludf.DUMMYFUNCTION("""COMPUTED_VALUE"""),0)</f>
        <v>0</v>
      </c>
      <c r="I23" s="2">
        <f>IFERROR(__xludf.DUMMYFUNCTION("""COMPUTED_VALUE"""),2)</f>
        <v>2</v>
      </c>
      <c r="J23" s="2">
        <f>IFERROR(__xludf.DUMMYFUNCTION("""COMPUTED_VALUE"""),2)</f>
        <v>2</v>
      </c>
      <c r="K23" s="2" t="str">
        <f>IFERROR(__xludf.DUMMYFUNCTION("""COMPUTED_VALUE"""),"CGPA")</f>
        <v>CGPA</v>
      </c>
      <c r="L23" s="2" t="str">
        <f>IFERROR(__xludf.DUMMYFUNCTION("""COMPUTED_VALUE"""),"Practical (10 Expts)")</f>
        <v>Practical (10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IFERROR(__xludf.DUMMYFUNCTION("""COMPUTED_VALUE"""),"NA")</f>
        <v>NA</v>
      </c>
      <c r="E24" s="2" t="str">
        <f>IFERROR(__xludf.DUMMYFUNCTION("""COMPUTED_VALUE"""),"19CS401")</f>
        <v>19CS401</v>
      </c>
      <c r="F24" s="7" t="str">
        <f>IFERROR(__xludf.DUMMYFUNCTION("""COMPUTED_VALUE"""),"Data Structures and Object Oriented Programming using C++")</f>
        <v>Data Structures and Object Oriented Programming using C++</v>
      </c>
      <c r="G24" s="2" t="str">
        <f>IFERROR(__xludf.DUMMYFUNCTION("""COMPUTED_VALUE"""),"19CS302")</f>
        <v>19CS302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IFERROR(__xludf.DUMMYFUNCTION("""COMPUTED_VALUE"""),"NA")</f>
        <v>NA</v>
      </c>
      <c r="E25" s="2" t="str">
        <f>IFERROR(__xludf.DUMMYFUNCTION("""COMPUTED_VALUE"""),"19CS402")</f>
        <v>19CS402</v>
      </c>
      <c r="F25" s="7" t="str">
        <f>IFERROR(__xludf.DUMMYFUNCTION("""COMPUTED_VALUE"""),"Design and Analysis of Algorithms")</f>
        <v>Design and Analysis of Algorithms</v>
      </c>
      <c r="G25" s="2" t="str">
        <f>IFERROR(__xludf.DUMMYFUNCTION("""COMPUTED_VALUE"""),"19CS401")</f>
        <v>19CS401</v>
      </c>
      <c r="H25" s="2">
        <f>IFERROR(__xludf.DUMMYFUNCTION("""COMPUTED_VALUE"""),3)</f>
        <v>3</v>
      </c>
      <c r="I25" s="2">
        <f>IFERROR(__xludf.DUMMYFUNCTION("""COMPUTED_VALUE"""),0)</f>
        <v>0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IFERROR(__xludf.DUMMYFUNCTION("""COMPUTED_VALUE"""),"Theory")</f>
        <v>Theory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IFERROR(__xludf.DUMMYFUNCTION("""COMPUTED_VALUE"""),"NA")</f>
        <v>NA</v>
      </c>
      <c r="E26" s="2" t="str">
        <f>IFERROR(__xludf.DUMMYFUNCTION("""COMPUTED_VALUE"""),"19CS403")</f>
        <v>19CS403</v>
      </c>
      <c r="F26" s="7" t="str">
        <f>IFERROR(__xludf.DUMMYFUNCTION("""COMPUTED_VALUE"""),"Programming Paradigms")</f>
        <v>Programming Paradigms</v>
      </c>
      <c r="G26" s="2" t="str">
        <f>IFERROR(__xludf.DUMMYFUNCTION("""COMPUTED_VALUE"""),"19CS401")</f>
        <v>19CS401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IFERROR(__xludf.DUMMYFUNCTION("""COMPUTED_VALUE"""),"CS1404")</f>
        <v>CS1404</v>
      </c>
      <c r="E27" s="2" t="str">
        <f>IFERROR(__xludf.DUMMYFUNCTION("""COMPUTED_VALUE"""),"19CS404")</f>
        <v>19CS404</v>
      </c>
      <c r="F27" s="3" t="str">
        <f>IFERROR(__xludf.DUMMYFUNCTION("""COMPUTED_VALUE"""),"Database Management System and its Applications")</f>
        <v>Database Management System and its Applications</v>
      </c>
      <c r="G27" s="2" t="str">
        <f>IFERROR(__xludf.DUMMYFUNCTION("""COMPUTED_VALUE"""),"19AI301/19AI304/19CS301/19CS302/19CS303")</f>
        <v>19AI301/19AI304/19CS301/19CS302/19CS303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IFERROR(__xludf.DUMMYFUNCTION("""COMPUTED_VALUE"""),"CS1405")</f>
        <v>CS1405</v>
      </c>
      <c r="E28" s="2" t="str">
        <f>IFERROR(__xludf.DUMMYFUNCTION("""COMPUTED_VALUE"""),"19CS405")</f>
        <v>19CS405</v>
      </c>
      <c r="F28" s="7" t="str">
        <f>IFERROR(__xludf.DUMMYFUNCTION("""COMPUTED_VALUE"""),"Operating System")</f>
        <v>Operating System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IFERROR(__xludf.DUMMYFUNCTION("""COMPUTED_VALUE"""),"CS1406")</f>
        <v>CS1406</v>
      </c>
      <c r="E29" s="2" t="str">
        <f>IFERROR(__xludf.DUMMYFUNCTION("""COMPUTED_VALUE"""),"19CS406")</f>
        <v>19CS406</v>
      </c>
      <c r="F29" s="7" t="str">
        <f>IFERROR(__xludf.DUMMYFUNCTION("""COMPUTED_VALUE"""),"Computer Networks")</f>
        <v>Computer Networks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IFERROR(__xludf.DUMMYFUNCTION("""COMPUTED_VALUE"""),"CS1407")</f>
        <v>CS1407</v>
      </c>
      <c r="E30" s="2" t="str">
        <f>IFERROR(__xludf.DUMMYFUNCTION("""COMPUTED_VALUE"""),"19CS407")</f>
        <v>19CS407</v>
      </c>
      <c r="F30" s="7" t="str">
        <f>IFERROR(__xludf.DUMMYFUNCTION("""COMPUTED_VALUE"""),"Theory of Computation")</f>
        <v>Theory of Computation</v>
      </c>
      <c r="G30" s="2" t="str">
        <f>IFERROR(__xludf.DUMMYFUNCTION("""COMPUTED_VALUE"""),"19MA206")</f>
        <v>19MA206</v>
      </c>
      <c r="H30" s="2">
        <f>IFERROR(__xludf.DUMMYFUNCTION("""COMPUTED_VALUE"""),3)</f>
        <v>3</v>
      </c>
      <c r="I30" s="2">
        <f>IFERROR(__xludf.DUMMYFUNCTION("""COMPUTED_VALUE"""),0)</f>
        <v>0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IFERROR(__xludf.DUMMYFUNCTION("""COMPUTED_VALUE"""),"Theory")</f>
        <v>Theory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IFERROR(__xludf.DUMMYFUNCTION("""COMPUTED_VALUE"""),"CS1408")</f>
        <v>CS1408</v>
      </c>
      <c r="E31" s="2" t="str">
        <f>IFERROR(__xludf.DUMMYFUNCTION("""COMPUTED_VALUE"""),"19CS408")</f>
        <v>19CS408</v>
      </c>
      <c r="F31" s="7" t="str">
        <f>IFERROR(__xludf.DUMMYFUNCTION("""COMPUTED_VALUE"""),"Software Engineering")</f>
        <v>Software Engineering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IFERROR(__xludf.DUMMYFUNCTION("""COMPUTED_VALUE"""),"CS1409")</f>
        <v>CS1409</v>
      </c>
      <c r="E32" s="2" t="str">
        <f>IFERROR(__xludf.DUMMYFUNCTION("""COMPUTED_VALUE"""),"19CS409")</f>
        <v>19CS409</v>
      </c>
      <c r="F32" s="7" t="str">
        <f>IFERROR(__xludf.DUMMYFUNCTION("""COMPUTED_VALUE"""),"Compiler Design")</f>
        <v>Compiler Design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IFERROR(__xludf.DUMMYFUNCTION("""COMPUTED_VALUE"""),"Option 1")</f>
        <v>Option 1</v>
      </c>
      <c r="C33" s="2" t="str">
        <f>IFERROR(__xludf.DUMMYFUNCTION("""COMPUTED_VALUE"""),"PC")</f>
        <v>PC</v>
      </c>
      <c r="D33" s="2" t="str">
        <f>IFERROR(__xludf.DUMMYFUNCTION("""COMPUTED_VALUE"""),"NA")</f>
        <v>NA</v>
      </c>
      <c r="E33" s="2" t="str">
        <f>IFERROR(__xludf.DUMMYFUNCTION("""COMPUTED_VALUE"""),"19CS410")</f>
        <v>19CS410</v>
      </c>
      <c r="F33" s="7" t="str">
        <f>IFERROR(__xludf.DUMMYFUNCTION("""COMPUTED_VALUE"""),"Web Programming")</f>
        <v>Web Programming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IFERROR(__xludf.DUMMYFUNCTION("""COMPUTED_VALUE"""),"Option 2")</f>
        <v>Option 2</v>
      </c>
      <c r="C34" s="2" t="str">
        <f>IFERROR(__xludf.DUMMYFUNCTION("""COMPUTED_VALUE"""),"PC")</f>
        <v>PC</v>
      </c>
      <c r="D34" s="2" t="str">
        <f>IFERROR(__xludf.DUMMYFUNCTION("""COMPUTED_VALUE"""),"CS3401")</f>
        <v>CS3401</v>
      </c>
      <c r="E34" s="2" t="str">
        <f>IFERROR(__xludf.DUMMYFUNCTION("""COMPUTED_VALUE"""),"19AI401")</f>
        <v>19AI401</v>
      </c>
      <c r="F34" s="7" t="str">
        <f>IFERROR(__xludf.DUMMYFUNCTION("""COMPUTED_VALUE"""),"Fundamentals of Web Technology")</f>
        <v>Fundamentals of Web Technology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IFERROR(__xludf.DUMMYFUNCTION("""COMPUTED_VALUE"""),0)</f>
        <v>0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IFERROR(__xludf.DUMMYFUNCTION("""COMPUTED_VALUE"""),"Theory")</f>
        <v>Theory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 t="str">
        <f>IFERROR(__xludf.DUMMYFUNCTION("""COMPUTED_VALUE"""),"Option 2")</f>
        <v>Option 2</v>
      </c>
      <c r="C35" s="2" t="str">
        <f>IFERROR(__xludf.DUMMYFUNCTION("""COMPUTED_VALUE"""),"PC")</f>
        <v>PC</v>
      </c>
      <c r="D35" s="2" t="str">
        <f>IFERROR(__xludf.DUMMYFUNCTION("""COMPUTED_VALUE"""),"CS3402")</f>
        <v>CS3402</v>
      </c>
      <c r="E35" s="2" t="str">
        <f>IFERROR(__xludf.DUMMYFUNCTION("""COMPUTED_VALUE"""),"19AI402")</f>
        <v>19AI402</v>
      </c>
      <c r="F35" s="7" t="str">
        <f>IFERROR(__xludf.DUMMYFUNCTION("""COMPUTED_VALUE"""),"Web Technology Laboratory")</f>
        <v>Web Technology Laboratory</v>
      </c>
      <c r="G35" s="2" t="str">
        <f>IFERROR(__xludf.DUMMYFUNCTION("""COMPUTED_VALUE"""),"-")</f>
        <v>-</v>
      </c>
      <c r="H35" s="2">
        <f>IFERROR(__xludf.DUMMYFUNCTION("""COMPUTED_VALUE"""),0)</f>
        <v>0</v>
      </c>
      <c r="I35" s="2">
        <f>IFERROR(__xludf.DUMMYFUNCTION("""COMPUTED_VALUE"""),2)</f>
        <v>2</v>
      </c>
      <c r="J35" s="2">
        <f>IFERROR(__xludf.DUMMYFUNCTION("""COMPUTED_VALUE"""),2)</f>
        <v>2</v>
      </c>
      <c r="K35" s="2" t="str">
        <f>IFERROR(__xludf.DUMMYFUNCTION("""COMPUTED_VALUE"""),"CGPA")</f>
        <v>CGPA</v>
      </c>
      <c r="L35" s="2" t="str">
        <f>IFERROR(__xludf.DUMMYFUNCTION("""COMPUTED_VALUE"""),"Practical (10 Expts)")</f>
        <v>Practical (10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 t="str">
        <f>IFERROR(__xludf.DUMMYFUNCTION("""COMPUTED_VALUE"""),"Option 3")</f>
        <v>Option 3</v>
      </c>
      <c r="C36" s="2" t="str">
        <f>IFERROR(__xludf.DUMMYFUNCTION("""COMPUTED_VALUE"""),"PC")</f>
        <v>PC</v>
      </c>
      <c r="D36" s="2" t="str">
        <f>IFERROR(__xludf.DUMMYFUNCTION("""COMPUTED_VALUE"""),"CS3414")</f>
        <v>CS3414</v>
      </c>
      <c r="E36" s="2" t="str">
        <f>IFERROR(__xludf.DUMMYFUNCTION("""COMPUTED_VALUE"""),"19AI414")</f>
        <v>19AI414</v>
      </c>
      <c r="F36" s="7" t="str">
        <f>IFERROR(__xludf.DUMMYFUNCTION("""COMPUTED_VALUE"""),"Fundamentals of Web Application Development")</f>
        <v>Fundamentals of Web Application Development</v>
      </c>
      <c r="G36" s="2" t="str">
        <f>IFERROR(__xludf.DUMMYFUNCTION("""COMPUTED_VALUE"""),"-")</f>
        <v>-</v>
      </c>
      <c r="H36" s="2">
        <f>IFERROR(__xludf.DUMMYFUNCTION("""COMPUTED_VALUE"""),3)</f>
        <v>3</v>
      </c>
      <c r="I36" s="2">
        <f>IFERROR(__xludf.DUMMYFUNCTION("""COMPUTED_VALUE"""),2)</f>
        <v>2</v>
      </c>
      <c r="J36" s="2">
        <f>IFERROR(__xludf.DUMMYFUNCTION("""COMPUTED_VALUE"""),5)</f>
        <v>5</v>
      </c>
      <c r="K36" s="2" t="str">
        <f>IFERROR(__xludf.DUMMYFUNCTION("""COMPUTED_VALUE"""),"CGPA")</f>
        <v>CGPA</v>
      </c>
      <c r="L36" s="2" t="str">
        <f>IFERROR(__xludf.DUMMYFUNCTION("""COMPUTED_VALUE"""),"TIP (10 Expts)")</f>
        <v>TIP (10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IFERROR(__xludf.DUMMYFUNCTION("""COMPUTED_VALUE"""),"NA")</f>
        <v>NA</v>
      </c>
      <c r="E37" s="2" t="str">
        <f>IFERROR(__xludf.DUMMYFUNCTION("""COMPUTED_VALUE"""),"19CS411")</f>
        <v>19CS411</v>
      </c>
      <c r="F37" s="7" t="str">
        <f>IFERROR(__xludf.DUMMYFUNCTION("""COMPUTED_VALUE"""),"Virtualization and Cloud Computing")</f>
        <v>Virtualization and Cloud Computing</v>
      </c>
      <c r="G37" s="2" t="str">
        <f>IFERROR(__xludf.DUMMYFUNCTION("""COMPUTED_VALUE"""),"19CS406")</f>
        <v>19CS406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IFERROR(__xludf.DUMMYFUNCTION("""COMPUTED_VALUE"""),"NA")</f>
        <v>NA</v>
      </c>
      <c r="E38" s="2" t="str">
        <f>IFERROR(__xludf.DUMMYFUNCTION("""COMPUTED_VALUE"""),"19CS412")</f>
        <v>19CS412</v>
      </c>
      <c r="F38" s="7" t="str">
        <f>IFERROR(__xludf.DUMMYFUNCTION("""COMPUTED_VALUE"""),"Cryptography and Network Security")</f>
        <v>Cryptography and Network Security</v>
      </c>
      <c r="G38" s="2" t="str">
        <f>IFERROR(__xludf.DUMMYFUNCTION("""COMPUTED_VALUE"""),"19CS406")</f>
        <v>19CS406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IFERROR(__xludf.DUMMYFUNCTION("""COMPUTED_VALUE"""),"NA")</f>
        <v>NA</v>
      </c>
      <c r="E39" s="2" t="str">
        <f>IFERROR(__xludf.DUMMYFUNCTION("""COMPUTED_VALUE"""),"19CS413")</f>
        <v>19CS413</v>
      </c>
      <c r="F39" s="7" t="str">
        <f>IFERROR(__xludf.DUMMYFUNCTION("""COMPUTED_VALUE"""),"Artificial Intelligence")</f>
        <v>Artificial Intelligence</v>
      </c>
      <c r="G39" s="2" t="str">
        <f>IFERROR(__xludf.DUMMYFUNCTION("""COMPUTED_VALUE"""),"-")</f>
        <v>-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IFERROR(__xludf.DUMMYFUNCTION("""COMPUTED_VALUE"""),"EC1408")</f>
        <v>EC1408</v>
      </c>
      <c r="E40" s="2" t="str">
        <f>IFERROR(__xludf.DUMMYFUNCTION("""COMPUTED_VALUE"""),"19EC408")</f>
        <v>19EC408</v>
      </c>
      <c r="F40" s="7" t="str">
        <f>IFERROR(__xludf.DUMMYFUNCTION("""COMPUTED_VALUE"""),"Microprocessor and Microcontroller")</f>
        <v>Microprocessor and Microcontroller</v>
      </c>
      <c r="G40" s="2" t="str">
        <f>IFERROR(__xludf.DUMMYFUNCTION("""COMPUTED_VALUE"""),"19EC303 / EC1801")</f>
        <v>19EC303 / EC1801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IFERROR(__xludf.DUMMYFUNCTION("""COMPUTED_VALUE"""),"CS1414")</f>
        <v>CS1414</v>
      </c>
      <c r="E41" s="2" t="str">
        <f>IFERROR(__xludf.DUMMYFUNCTION("""COMPUTED_VALUE"""),"19CS414")</f>
        <v>19CS414</v>
      </c>
      <c r="F41" s="7" t="str">
        <f>IFERROR(__xludf.DUMMYFUNCTION("""COMPUTED_VALUE"""),"Mobile Application Development")</f>
        <v>Mobile Application Development</v>
      </c>
      <c r="G41" s="2" t="str">
        <f>IFERROR(__xludf.DUMMYFUNCTION("""COMPUTED_VALUE"""),"19CS404/19CS410")</f>
        <v>19CS404/19CS410</v>
      </c>
      <c r="H41" s="2">
        <f>IFERROR(__xludf.DUMMYFUNCTION("""COMPUTED_VALUE"""),1)</f>
        <v>1</v>
      </c>
      <c r="I41" s="2">
        <f>IFERROR(__xludf.DUMMYFUNCTION("""COMPUTED_VALUE"""),2)</f>
        <v>2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 (Int Only) and Practical (10 Expts)")</f>
        <v>Theory (Int Only) and Practical (10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IFERROR(__xludf.DUMMYFUNCTION("""COMPUTED_VALUE"""),"PE")</f>
        <v>PE</v>
      </c>
      <c r="D42" s="2" t="str">
        <f>IFERROR(__xludf.DUMMYFUNCTION("""COMPUTED_VALUE"""),"CS3303")</f>
        <v>CS3303</v>
      </c>
      <c r="E42" s="2" t="str">
        <f>IFERROR(__xludf.DUMMYFUNCTION("""COMPUTED_VALUE"""),"19AI303")</f>
        <v>19AI303</v>
      </c>
      <c r="F42" s="7" t="str">
        <f>IFERROR(__xludf.DUMMYFUNCTION("""COMPUTED_VALUE"""),"Engineering Mechanics and Product Development")</f>
        <v>Engineering Mechanics and Product Development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IFERROR(__xludf.DUMMYFUNCTION("""COMPUTED_VALUE"""),"PE")</f>
        <v>PE</v>
      </c>
      <c r="D43" s="2" t="str">
        <f>IFERROR(__xludf.DUMMYFUNCTION("""COMPUTED_VALUE"""),"CS3306")</f>
        <v>CS3306</v>
      </c>
      <c r="E43" s="2" t="str">
        <f>IFERROR(__xludf.DUMMYFUNCTION("""COMPUTED_VALUE"""),"19AI306")</f>
        <v>19AI306</v>
      </c>
      <c r="F43" s="7" t="str">
        <f>IFERROR(__xludf.DUMMYFUNCTION("""COMPUTED_VALUE"""),"Object Oriented Programming using C++")</f>
        <v>Object Oriented Programming using C++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IFERROR(__xludf.DUMMYFUNCTION("""COMPUTED_VALUE"""),"CS3308")</f>
        <v>CS3308</v>
      </c>
      <c r="E44" s="2" t="str">
        <f>IFERROR(__xludf.DUMMYFUNCTION("""COMPUTED_VALUE"""),"19AI308")</f>
        <v>19AI308</v>
      </c>
      <c r="F44" s="7" t="str">
        <f>IFERROR(__xludf.DUMMYFUNCTION("""COMPUTED_VALUE"""),"Object Oriented Programming using C#")</f>
        <v>Object Oriented Programming using C#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IFERROR(__xludf.DUMMYFUNCTION("""COMPUTED_VALUE"""),"CS3403")</f>
        <v>CS3403</v>
      </c>
      <c r="E45" s="2" t="str">
        <f>IFERROR(__xludf.DUMMYFUNCTION("""COMPUTED_VALUE"""),"19AI403")</f>
        <v>19AI403</v>
      </c>
      <c r="F45" s="7" t="str">
        <f>IFERROR(__xludf.DUMMYFUNCTION("""COMPUTED_VALUE"""),"Introduction to Data Science")</f>
        <v>Introduction to Data Science</v>
      </c>
      <c r="G45" s="2" t="str">
        <f>IFERROR(__xludf.DUMMYFUNCTION("""COMPUTED_VALUE"""),"19CS301")</f>
        <v>19CS301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IFERROR(__xludf.DUMMYFUNCTION("""COMPUTED_VALUE"""),"CS3405")</f>
        <v>CS3405</v>
      </c>
      <c r="E46" s="2" t="str">
        <f>IFERROR(__xludf.DUMMYFUNCTION("""COMPUTED_VALUE"""),"19AI405")</f>
        <v>19AI405</v>
      </c>
      <c r="F46" s="7" t="str">
        <f>IFERROR(__xludf.DUMMYFUNCTION("""COMPUTED_VALUE"""),"Fundamentals of Artificial Intelligence")</f>
        <v>Fundamentals of Artificial Intelligence</v>
      </c>
      <c r="G46" s="2" t="str">
        <f>IFERROR(__xludf.DUMMYFUNCTION("""COMPUTED_VALUE"""),"19CS301")</f>
        <v>19CS301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IFERROR(__xludf.DUMMYFUNCTION("""COMPUTED_VALUE"""),"CS3406")</f>
        <v>CS3406</v>
      </c>
      <c r="E47" s="2" t="str">
        <f>IFERROR(__xludf.DUMMYFUNCTION("""COMPUTED_VALUE"""),"19AI406")</f>
        <v>19AI406</v>
      </c>
      <c r="F47" s="7" t="str">
        <f>IFERROR(__xludf.DUMMYFUNCTION("""COMPUTED_VALUE"""),"Digital Image Processing Techniques")</f>
        <v>Digital Image Processing Techniques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IFERROR(__xludf.DUMMYFUNCTION("""COMPUTED_VALUE"""),"CS3407")</f>
        <v>CS3407</v>
      </c>
      <c r="E48" s="2" t="str">
        <f>IFERROR(__xludf.DUMMYFUNCTION("""COMPUTED_VALUE"""),"19AI407")</f>
        <v>19AI407</v>
      </c>
      <c r="F48" s="7" t="str">
        <f>IFERROR(__xludf.DUMMYFUNCTION("""COMPUTED_VALUE"""),"Parallel Computing Architecture")</f>
        <v>Parallel Computing Architecture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IFERROR(__xludf.DUMMYFUNCTION("""COMPUTED_VALUE"""),1)</f>
        <v>1</v>
      </c>
      <c r="J48" s="2">
        <f>IFERROR(__xludf.DUMMYFUNCTION("""COMPUTED_VALUE"""),4)</f>
        <v>4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IFERROR(__xludf.DUMMYFUNCTION("""COMPUTED_VALUE"""),"CS3409")</f>
        <v>CS3409</v>
      </c>
      <c r="E49" s="2" t="str">
        <f>IFERROR(__xludf.DUMMYFUNCTION("""COMPUTED_VALUE"""),"19AI409")</f>
        <v>19AI409</v>
      </c>
      <c r="F49" s="7" t="str">
        <f>IFERROR(__xludf.DUMMYFUNCTION("""COMPUTED_VALUE"""),"Applied Artificial Intelligence")</f>
        <v>Applied Artificial Intelligence</v>
      </c>
      <c r="G49" s="2" t="str">
        <f>IFERROR(__xludf.DUMMYFUNCTION("""COMPUTED_VALUE"""),"19AI405/19CS301")</f>
        <v>19AI405/19CS301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IFERROR(__xludf.DUMMYFUNCTION("""COMPUTED_VALUE"""),"CS3410")</f>
        <v>CS3410</v>
      </c>
      <c r="E50" s="2" t="str">
        <f>IFERROR(__xludf.DUMMYFUNCTION("""COMPUTED_VALUE"""),"19AI410")</f>
        <v>19AI410</v>
      </c>
      <c r="F50" s="7" t="str">
        <f>IFERROR(__xludf.DUMMYFUNCTION("""COMPUTED_VALUE"""),"Introduction to Machine Learning")</f>
        <v>Introduction to Machine Learning</v>
      </c>
      <c r="G50" s="2" t="str">
        <f>IFERROR(__xludf.DUMMYFUNCTION("""COMPUTED_VALUE"""),"-")</f>
        <v>-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IFERROR(__xludf.DUMMYFUNCTION("""COMPUTED_VALUE"""),"CS3411")</f>
        <v>CS3411</v>
      </c>
      <c r="E51" s="2" t="str">
        <f>IFERROR(__xludf.DUMMYFUNCTION("""COMPUTED_VALUE"""),"19AI411")</f>
        <v>19AI411</v>
      </c>
      <c r="F51" s="7" t="str">
        <f>IFERROR(__xludf.DUMMYFUNCTION("""COMPUTED_VALUE"""),"Neural Networks")</f>
        <v>Neural Networks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IFERROR(__xludf.DUMMYFUNCTION("""COMPUTED_VALUE"""),"CS3412")</f>
        <v>CS3412</v>
      </c>
      <c r="E52" s="2" t="str">
        <f>IFERROR(__xludf.DUMMYFUNCTION("""COMPUTED_VALUE"""),"19AI412")</f>
        <v>19AI412</v>
      </c>
      <c r="F52" s="7" t="str">
        <f>IFERROR(__xludf.DUMMYFUNCTION("""COMPUTED_VALUE"""),"Web Data Mining")</f>
        <v>Web Data Mining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IFERROR(__xludf.DUMMYFUNCTION("""COMPUTED_VALUE"""),1)</f>
        <v>1</v>
      </c>
      <c r="J52" s="2">
        <f>IFERROR(__xludf.DUMMYFUNCTION("""COMPUTED_VALUE"""),4)</f>
        <v>4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IFERROR(__xludf.DUMMYFUNCTION("""COMPUTED_VALUE"""),"CS3413")</f>
        <v>CS3413</v>
      </c>
      <c r="E53" s="2" t="str">
        <f>IFERROR(__xludf.DUMMYFUNCTION("""COMPUTED_VALUE"""),"19AI413")</f>
        <v>19AI413</v>
      </c>
      <c r="F53" s="7" t="str">
        <f>IFERROR(__xludf.DUMMYFUNCTION("""COMPUTED_VALUE"""),"Deep Learning and its Applications")</f>
        <v>Deep Learning and its Applications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IFERROR(__xludf.DUMMYFUNCTION("""COMPUTED_VALUE"""),"CS3501")</f>
        <v>CS3501</v>
      </c>
      <c r="E54" s="2" t="str">
        <f>IFERROR(__xludf.DUMMYFUNCTION("""COMPUTED_VALUE"""),"19AI501")</f>
        <v>19AI501</v>
      </c>
      <c r="F54" s="3" t="str">
        <f>IFERROR(__xludf.DUMMYFUNCTION("""COMPUTED_VALUE"""),"Applications of Artificial Intelligence")</f>
        <v>Applications of Artificial Intelligence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IFERROR(__xludf.DUMMYFUNCTION("""COMPUTED_VALUE"""),"CS3502")</f>
        <v>CS3502</v>
      </c>
      <c r="E55" s="2" t="str">
        <f>IFERROR(__xludf.DUMMYFUNCTION("""COMPUTED_VALUE"""),"19AI502")</f>
        <v>19AI502</v>
      </c>
      <c r="F55" s="7" t="str">
        <f>IFERROR(__xludf.DUMMYFUNCTION("""COMPUTED_VALUE"""),"Applied Natural Language Processing")</f>
        <v>Applied Natural Language Processing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IFERROR(__xludf.DUMMYFUNCTION("""COMPUTED_VALUE"""),"CS3503")</f>
        <v>CS3503</v>
      </c>
      <c r="E56" s="2" t="str">
        <f>IFERROR(__xludf.DUMMYFUNCTION("""COMPUTED_VALUE"""),"19AI503")</f>
        <v>19AI503</v>
      </c>
      <c r="F56" s="7" t="str">
        <f>IFERROR(__xludf.DUMMYFUNCTION("""COMPUTED_VALUE"""),"Computer Vision")</f>
        <v>Computer Vision</v>
      </c>
      <c r="G56" s="2" t="str">
        <f>IFERROR(__xludf.DUMMYFUNCTION("""COMPUTED_VALUE"""),"19CS301")</f>
        <v>19CS301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IFERROR(__xludf.DUMMYFUNCTION("""COMPUTED_VALUE"""),"CS3504")</f>
        <v>CS3504</v>
      </c>
      <c r="E57" s="2" t="str">
        <f>IFERROR(__xludf.DUMMYFUNCTION("""COMPUTED_VALUE"""),"19AI504")</f>
        <v>19AI504</v>
      </c>
      <c r="F57" s="7" t="str">
        <f>IFERROR(__xludf.DUMMYFUNCTION("""COMPUTED_VALUE"""),"Mobile Robotics")</f>
        <v>Mobile Robotics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IFERROR(__xludf.DUMMYFUNCTION("""COMPUTED_VALUE"""),"CS3505")</f>
        <v>CS3505</v>
      </c>
      <c r="E58" s="2" t="str">
        <f>IFERROR(__xludf.DUMMYFUNCTION("""COMPUTED_VALUE"""),"19AI505")</f>
        <v>19AI505</v>
      </c>
      <c r="F58" s="3" t="str">
        <f>IFERROR(__xludf.DUMMYFUNCTION("""COMPUTED_VALUE"""),"Reinforcement Learning")</f>
        <v>Reinforcement Learning</v>
      </c>
      <c r="G58" s="2" t="str">
        <f>IFERROR(__xludf.DUMMYFUNCTION("""COMPUTED_VALUE"""),"19CS301")</f>
        <v>19CS301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IFERROR(__xludf.DUMMYFUNCTION("""COMPUTED_VALUE"""),"CS3506")</f>
        <v>CS3506</v>
      </c>
      <c r="E59" s="2" t="str">
        <f>IFERROR(__xludf.DUMMYFUNCTION("""COMPUTED_VALUE"""),"19AI506")</f>
        <v>19AI506</v>
      </c>
      <c r="F59" s="3" t="str">
        <f>IFERROR(__xludf.DUMMYFUNCTION("""COMPUTED_VALUE"""),"Speech Analysis and Processing")</f>
        <v>Speech Analysis and Processing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IFERROR(__xludf.DUMMYFUNCTION("""COMPUTED_VALUE"""),"CS3507")</f>
        <v>CS3507</v>
      </c>
      <c r="E60" s="2" t="str">
        <f>IFERROR(__xludf.DUMMYFUNCTION("""COMPUTED_VALUE"""),"19AI507")</f>
        <v>19AI507</v>
      </c>
      <c r="F60" s="7" t="str">
        <f>IFERROR(__xludf.DUMMYFUNCTION("""COMPUTED_VALUE"""),"Special Topics in Artificial Intelligence")</f>
        <v>Special Topics in Artificial Intelligence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IFERROR(__xludf.DUMMYFUNCTION("""COMPUTED_VALUE"""),"CS3508")</f>
        <v>CS3508</v>
      </c>
      <c r="E61" s="2" t="str">
        <f>IFERROR(__xludf.DUMMYFUNCTION("""COMPUTED_VALUE"""),"19AI508")</f>
        <v>19AI508</v>
      </c>
      <c r="F61" s="3" t="str">
        <f>IFERROR(__xludf.DUMMYFUNCTION("""COMPUTED_VALUE"""),"Soft Computing Techniques")</f>
        <v>Soft Computing Techniques</v>
      </c>
      <c r="G61" s="2" t="str">
        <f>IFERROR(__xludf.DUMMYFUNCTION("""COMPUTED_VALUE"""),"-")</f>
        <v>-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IFERROR(__xludf.DUMMYFUNCTION("""COMPUTED_VALUE"""),"CS3509")</f>
        <v>CS3509</v>
      </c>
      <c r="E62" s="2" t="str">
        <f>IFERROR(__xludf.DUMMYFUNCTION("""COMPUTED_VALUE"""),"19AI509")</f>
        <v>19AI509</v>
      </c>
      <c r="F62" s="7" t="str">
        <f>IFERROR(__xludf.DUMMYFUNCTION("""COMPUTED_VALUE"""),"Concepts of Virtual And Augmented Reality")</f>
        <v>Concepts of Virtual And Augmented Reality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IFERROR(__xludf.DUMMYFUNCTION("""COMPUTED_VALUE"""),"CS3510")</f>
        <v>CS3510</v>
      </c>
      <c r="E63" s="2" t="str">
        <f>IFERROR(__xludf.DUMMYFUNCTION("""COMPUTED_VALUE"""),"19AI510")</f>
        <v>19AI510</v>
      </c>
      <c r="F63" s="7" t="str">
        <f>IFERROR(__xludf.DUMMYFUNCTION("""COMPUTED_VALUE"""),"Mobile VR And AI In Unity")</f>
        <v>Mobile VR And AI In Unity</v>
      </c>
      <c r="G63" s="2" t="str">
        <f>IFERROR(__xludf.DUMMYFUNCTION("""COMPUTED_VALUE"""),"19AI410/19CS302")</f>
        <v>19AI410/19CS302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IFERROR(__xludf.DUMMYFUNCTION("""COMPUTED_VALUE"""),"CS3511")</f>
        <v>CS3511</v>
      </c>
      <c r="E64" s="2" t="str">
        <f>IFERROR(__xludf.DUMMYFUNCTION("""COMPUTED_VALUE"""),"19AI511")</f>
        <v>19AI511</v>
      </c>
      <c r="F64" s="7" t="str">
        <f>IFERROR(__xludf.DUMMYFUNCTION("""COMPUTED_VALUE"""),"Scientific and Engineering Data Visualization")</f>
        <v>Scientific and Engineering Data Visualization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IFERROR(__xludf.DUMMYFUNCTION("""COMPUTED_VALUE"""),"CS3512")</f>
        <v>CS3512</v>
      </c>
      <c r="E65" s="2" t="str">
        <f>IFERROR(__xludf.DUMMYFUNCTION("""COMPUTED_VALUE"""),"19AI512")</f>
        <v>19AI512</v>
      </c>
      <c r="F65" s="7" t="str">
        <f>IFERROR(__xludf.DUMMYFUNCTION("""COMPUTED_VALUE"""),"NoSQL Database Design")</f>
        <v>NoSQL Database Design</v>
      </c>
      <c r="G65" s="2" t="str">
        <f>IFERROR(__xludf.DUMMYFUNCTION("""COMPUTED_VALUE"""),"19CS301")</f>
        <v>19CS301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IFERROR(__xludf.DUMMYFUNCTION("""COMPUTED_VALUE"""),"CS3513")</f>
        <v>CS3513</v>
      </c>
      <c r="E66" s="2" t="str">
        <f>IFERROR(__xludf.DUMMYFUNCTION("""COMPUTED_VALUE"""),"19AI513")</f>
        <v>19AI513</v>
      </c>
      <c r="F66" s="7" t="str">
        <f>IFERROR(__xludf.DUMMYFUNCTION("""COMPUTED_VALUE"""),"Game Programming")</f>
        <v>Game Programming</v>
      </c>
      <c r="G66" s="2" t="str">
        <f>IFERROR(__xludf.DUMMYFUNCTION("""COMPUTED_VALUE"""),"19CS401")</f>
        <v>19CS401</v>
      </c>
      <c r="H66" s="2">
        <f>IFERROR(__xludf.DUMMYFUNCTION("""COMPUTED_VALUE"""),2)</f>
        <v>2</v>
      </c>
      <c r="I66" s="2">
        <f>IFERROR(__xludf.DUMMYFUNCTION("""COMPUTED_VALUE"""),2)</f>
        <v>2</v>
      </c>
      <c r="J66" s="2">
        <f>IFERROR(__xludf.DUMMYFUNCTION("""COMPUTED_VALUE"""),4)</f>
        <v>4</v>
      </c>
      <c r="K66" s="2" t="str">
        <f>IFERROR(__xludf.DUMMYFUNCTION("""COMPUTED_VALUE"""),"CGPA")</f>
        <v>CGPA</v>
      </c>
      <c r="L66" s="2" t="str">
        <f>IFERROR(__xludf.DUMMYFUNCTION("""COMPUTED_VALUE"""),"TIP (10 Expts)")</f>
        <v>TIP (10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IFERROR(__xludf.DUMMYFUNCTION("""COMPUTED_VALUE"""),"CS3514")</f>
        <v>CS3514</v>
      </c>
      <c r="E67" s="2" t="str">
        <f>IFERROR(__xludf.DUMMYFUNCTION("""COMPUTED_VALUE"""),"19AI514")</f>
        <v>19AI514</v>
      </c>
      <c r="F67" s="7" t="str">
        <f>IFERROR(__xludf.DUMMYFUNCTION("""COMPUTED_VALUE"""),"Self Driving Car")</f>
        <v>Self Driving Car</v>
      </c>
      <c r="G67" s="2" t="str">
        <f>IFERROR(__xludf.DUMMYFUNCTION("""COMPUTED_VALUE"""),"19CS301/19AI410")</f>
        <v>19CS301/19AI410</v>
      </c>
      <c r="H67" s="2">
        <f>IFERROR(__xludf.DUMMYFUNCTION("""COMPUTED_VALUE"""),2)</f>
        <v>2</v>
      </c>
      <c r="I67" s="2">
        <f>IFERROR(__xludf.DUMMYFUNCTION("""COMPUTED_VALUE"""),2)</f>
        <v>2</v>
      </c>
      <c r="J67" s="2">
        <f>IFERROR(__xludf.DUMMYFUNCTION("""COMPUTED_VALUE"""),4)</f>
        <v>4</v>
      </c>
      <c r="K67" s="2" t="str">
        <f>IFERROR(__xludf.DUMMYFUNCTION("""COMPUTED_VALUE"""),"CGPA")</f>
        <v>CGPA</v>
      </c>
      <c r="L67" s="2" t="str">
        <f>IFERROR(__xludf.DUMMYFUNCTION("""COMPUTED_VALUE"""),"TIP (10 Expts)")</f>
        <v>TIP (10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IFERROR(__xludf.DUMMYFUNCTION("""COMPUTED_VALUE"""),"CS3515")</f>
        <v>CS3515</v>
      </c>
      <c r="E68" s="2" t="str">
        <f>IFERROR(__xludf.DUMMYFUNCTION("""COMPUTED_VALUE"""),"19AI515")</f>
        <v>19AI515</v>
      </c>
      <c r="F68" s="7" t="str">
        <f>IFERROR(__xludf.DUMMYFUNCTION("""COMPUTED_VALUE"""),"Smart Manufacturing Technology")</f>
        <v>Smart Manufacturing Technology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IFERROR(__xludf.DUMMYFUNCTION("""COMPUTED_VALUE"""),"CS3516")</f>
        <v>CS3516</v>
      </c>
      <c r="E69" s="2" t="str">
        <f>IFERROR(__xludf.DUMMYFUNCTION("""COMPUTED_VALUE"""),"19AI516")</f>
        <v>19AI516</v>
      </c>
      <c r="F69" s="7" t="str">
        <f>IFERROR(__xludf.DUMMYFUNCTION("""COMPUTED_VALUE"""),"Big Data Mining and Analysis")</f>
        <v>Big Data Mining and Analysis</v>
      </c>
      <c r="G69" s="2" t="str">
        <f>IFERROR(__xludf.DUMMYFUNCTION("""COMPUTED_VALUE"""),"19AI408/ 19CS410/19IT405")</f>
        <v>19AI408/ 19CS410/19IT405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IFERROR(__xludf.DUMMYFUNCTION("""COMPUTED_VALUE"""),"CS3517")</f>
        <v>CS3517</v>
      </c>
      <c r="E70" s="2" t="str">
        <f>IFERROR(__xludf.DUMMYFUNCTION("""COMPUTED_VALUE"""),"19AI517")</f>
        <v>19AI517</v>
      </c>
      <c r="F70" s="7" t="str">
        <f>IFERROR(__xludf.DUMMYFUNCTION("""COMPUTED_VALUE"""),"Business Analytics")</f>
        <v>Business Analytics</v>
      </c>
      <c r="G70" s="2" t="str">
        <f>IFERROR(__xludf.DUMMYFUNCTION("""COMPUTED_VALUE"""),"-")</f>
        <v>-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IFERROR(__xludf.DUMMYFUNCTION("""COMPUTED_VALUE"""),"CS3518")</f>
        <v>CS3518</v>
      </c>
      <c r="E71" s="2" t="str">
        <f>IFERROR(__xludf.DUMMYFUNCTION("""COMPUTED_VALUE"""),"19AI518")</f>
        <v>19AI518</v>
      </c>
      <c r="F71" s="7" t="str">
        <f>IFERROR(__xludf.DUMMYFUNCTION("""COMPUTED_VALUE"""),"Cognitive Systems")</f>
        <v>Cognitive Systems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IFERROR(__xludf.DUMMYFUNCTION("""COMPUTED_VALUE"""),"CS3519")</f>
        <v>CS3519</v>
      </c>
      <c r="E72" s="2" t="str">
        <f>IFERROR(__xludf.DUMMYFUNCTION("""COMPUTED_VALUE"""),"19AI519")</f>
        <v>19AI519</v>
      </c>
      <c r="F72" s="7" t="str">
        <f>IFERROR(__xludf.DUMMYFUNCTION("""COMPUTED_VALUE"""),"Distributed Database")</f>
        <v>Distributed Database</v>
      </c>
      <c r="G72" s="2" t="str">
        <f>IFERROR(__xludf.DUMMYFUNCTION("""COMPUTED_VALUE"""),"19CS404")</f>
        <v>19CS404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IFERROR(__xludf.DUMMYFUNCTION("""COMPUTED_VALUE"""),"CS3520")</f>
        <v>CS3520</v>
      </c>
      <c r="E73" s="2" t="str">
        <f>IFERROR(__xludf.DUMMYFUNCTION("""COMPUTED_VALUE"""),"19AI520")</f>
        <v>19AI520</v>
      </c>
      <c r="F73" s="7" t="str">
        <f>IFERROR(__xludf.DUMMYFUNCTION("""COMPUTED_VALUE"""),"Data Mining and Warehousing")</f>
        <v>Data Mining and Warehousing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IFERROR(__xludf.DUMMYFUNCTION("""COMPUTED_VALUE"""),"CS3521")</f>
        <v>CS3521</v>
      </c>
      <c r="E74" s="2" t="str">
        <f>IFERROR(__xludf.DUMMYFUNCTION("""COMPUTED_VALUE"""),"19AI521")</f>
        <v>19AI521</v>
      </c>
      <c r="F74" s="7" t="str">
        <f>IFERROR(__xludf.DUMMYFUNCTION("""COMPUTED_VALUE"""),"Expert Systems")</f>
        <v>Expert Systems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IFERROR(__xludf.DUMMYFUNCTION("""COMPUTED_VALUE"""),"CS3522")</f>
        <v>CS3522</v>
      </c>
      <c r="E75" s="2" t="str">
        <f>IFERROR(__xludf.DUMMYFUNCTION("""COMPUTED_VALUE"""),"19AI522")</f>
        <v>19AI522</v>
      </c>
      <c r="F75" s="7" t="str">
        <f>IFERROR(__xludf.DUMMYFUNCTION("""COMPUTED_VALUE"""),"Knowledge Engineering")</f>
        <v>Knowledge Engineering</v>
      </c>
      <c r="G75" s="2" t="str">
        <f>IFERROR(__xludf.DUMMYFUNCTION("""COMPUTED_VALUE"""),"19CS410")</f>
        <v>19CS410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IFERROR(__xludf.DUMMYFUNCTION("""COMPUTED_VALUE"""),"CS3523")</f>
        <v>CS3523</v>
      </c>
      <c r="E76" s="2" t="str">
        <f>IFERROR(__xludf.DUMMYFUNCTION("""COMPUTED_VALUE"""),"19AI523")</f>
        <v>19AI523</v>
      </c>
      <c r="F76" s="7" t="str">
        <f>IFERROR(__xludf.DUMMYFUNCTION("""COMPUTED_VALUE"""),"Mobile Database")</f>
        <v>Mobile Database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IFERROR(__xludf.DUMMYFUNCTION("""COMPUTED_VALUE"""),"CS3524")</f>
        <v>CS3524</v>
      </c>
      <c r="E77" s="2" t="str">
        <f>IFERROR(__xludf.DUMMYFUNCTION("""COMPUTED_VALUE"""),"19AI524")</f>
        <v>19AI524</v>
      </c>
      <c r="F77" s="7" t="str">
        <f>IFERROR(__xludf.DUMMYFUNCTION("""COMPUTED_VALUE"""),"Multimedia Database")</f>
        <v>Multimedia Database</v>
      </c>
      <c r="G77" s="2" t="str">
        <f>IFERROR(__xludf.DUMMYFUNCTION("""COMPUTED_VALUE"""),"19CS410")</f>
        <v>19CS410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IFERROR(__xludf.DUMMYFUNCTION("""COMPUTED_VALUE"""),"CS3525")</f>
        <v>CS3525</v>
      </c>
      <c r="E78" s="2" t="str">
        <f>IFERROR(__xludf.DUMMYFUNCTION("""COMPUTED_VALUE"""),"19AI525")</f>
        <v>19AI525</v>
      </c>
      <c r="F78" s="7" t="str">
        <f>IFERROR(__xludf.DUMMYFUNCTION("""COMPUTED_VALUE"""),"Video Processing")</f>
        <v>Video Processing</v>
      </c>
      <c r="G78" s="2" t="str">
        <f>IFERROR(__xludf.DUMMYFUNCTION("""COMPUTED_VALUE"""),"19CS301")</f>
        <v>19CS301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IFERROR(__xludf.DUMMYFUNCTION("""COMPUTED_VALUE"""),"CS3526")</f>
        <v>CS3526</v>
      </c>
      <c r="E79" s="2" t="str">
        <f>IFERROR(__xludf.DUMMYFUNCTION("""COMPUTED_VALUE"""),"19AI526")</f>
        <v>19AI526</v>
      </c>
      <c r="F79" s="7" t="str">
        <f>IFERROR(__xludf.DUMMYFUNCTION("""COMPUTED_VALUE"""),"Information Security and Access Control")</f>
        <v>Information Security and Access Control</v>
      </c>
      <c r="G79" s="2" t="str">
        <f>IFERROR(__xludf.DUMMYFUNCTION("""COMPUTED_VALUE"""),"19AI527")</f>
        <v>19AI527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IFERROR(__xludf.DUMMYFUNCTION("""COMPUTED_VALUE"""),"CS3527")</f>
        <v>CS3527</v>
      </c>
      <c r="E80" s="2" t="str">
        <f>IFERROR(__xludf.DUMMYFUNCTION("""COMPUTED_VALUE"""),"19AI527")</f>
        <v>19AI527</v>
      </c>
      <c r="F80" s="7" t="str">
        <f>IFERROR(__xludf.DUMMYFUNCTION("""COMPUTED_VALUE"""),"Security Assessment and Risk Analysis")</f>
        <v>Security Assessment and Risk Analysis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IFERROR(__xludf.DUMMYFUNCTION("""COMPUTED_VALUE"""),1)</f>
        <v>1</v>
      </c>
      <c r="J80" s="2">
        <f>IFERROR(__xludf.DUMMYFUNCTION("""COMPUTED_VALUE"""),4)</f>
        <v>4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IFERROR(__xludf.DUMMYFUNCTION("""COMPUTED_VALUE"""),"CS3528")</f>
        <v>CS3528</v>
      </c>
      <c r="E81" s="2" t="str">
        <f>IFERROR(__xludf.DUMMYFUNCTION("""COMPUTED_VALUE"""),"19AI528")</f>
        <v>19AI528</v>
      </c>
      <c r="F81" s="7" t="str">
        <f>IFERROR(__xludf.DUMMYFUNCTION("""COMPUTED_VALUE"""),"Advanced Graph Theory and Applications")</f>
        <v>Advanced Graph Theory and Applications</v>
      </c>
      <c r="G81" s="2" t="str">
        <f>IFERROR(__xludf.DUMMYFUNCTION("""COMPUTED_VALUE"""),"19CS402")</f>
        <v>19CS402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IFERROR(__xludf.DUMMYFUNCTION("""COMPUTED_VALUE"""),"CS3529")</f>
        <v>CS3529</v>
      </c>
      <c r="E82" s="2" t="str">
        <f>IFERROR(__xludf.DUMMYFUNCTION("""COMPUTED_VALUE"""),"19AI529")</f>
        <v>19AI529</v>
      </c>
      <c r="F82" s="7" t="str">
        <f>IFERROR(__xludf.DUMMYFUNCTION("""COMPUTED_VALUE"""),"Advanced Data Structures")</f>
        <v>Advanced Data Structures</v>
      </c>
      <c r="G82" s="2" t="str">
        <f>IFERROR(__xludf.DUMMYFUNCTION("""COMPUTED_VALUE"""),"19CS401")</f>
        <v>19CS401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IFERROR(__xludf.DUMMYFUNCTION("""COMPUTED_VALUE"""),"CS3530")</f>
        <v>CS3530</v>
      </c>
      <c r="E83" s="2" t="str">
        <f>IFERROR(__xludf.DUMMYFUNCTION("""COMPUTED_VALUE"""),"19AI530")</f>
        <v>19AI530</v>
      </c>
      <c r="F83" s="7" t="str">
        <f>IFERROR(__xludf.DUMMYFUNCTION("""COMPUTED_VALUE"""),"Control of Robotic Systems")</f>
        <v>Control of Robotic Systems</v>
      </c>
      <c r="G83" s="2" t="str">
        <f>IFERROR(__xludf.DUMMYFUNCTION("""COMPUTED_VALUE"""),"-")</f>
        <v>-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IFERROR(__xludf.DUMMYFUNCTION("""COMPUTED_VALUE"""),"CS3531")</f>
        <v>CS3531</v>
      </c>
      <c r="E84" s="2" t="str">
        <f>IFERROR(__xludf.DUMMYFUNCTION("""COMPUTED_VALUE"""),"19AI531")</f>
        <v>19AI531</v>
      </c>
      <c r="F84" s="7" t="str">
        <f>IFERROR(__xludf.DUMMYFUNCTION("""COMPUTED_VALUE"""),"Cryptography and Security")</f>
        <v>Cryptography and Security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IFERROR(__xludf.DUMMYFUNCTION("""COMPUTED_VALUE"""),"CS3532")</f>
        <v>CS3532</v>
      </c>
      <c r="E85" s="2" t="str">
        <f>IFERROR(__xludf.DUMMYFUNCTION("""COMPUTED_VALUE"""),"19AI532")</f>
        <v>19AI532</v>
      </c>
      <c r="F85" s="7" t="str">
        <f>IFERROR(__xludf.DUMMYFUNCTION("""COMPUTED_VALUE"""),"Information Theory for Cyber Security")</f>
        <v>Information Theory for Cyber Security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IFERROR(__xludf.DUMMYFUNCTION("""COMPUTED_VALUE"""),"CS3533")</f>
        <v>CS3533</v>
      </c>
      <c r="E86" s="2" t="str">
        <f>IFERROR(__xludf.DUMMYFUNCTION("""COMPUTED_VALUE"""),"19AI533")</f>
        <v>19AI533</v>
      </c>
      <c r="F86" s="7" t="str">
        <f>IFERROR(__xludf.DUMMYFUNCTION("""COMPUTED_VALUE"""),"Introduction to Robotics")</f>
        <v>Introduction to Robotics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IFERROR(__xludf.DUMMYFUNCTION("""COMPUTED_VALUE"""),"CS3534")</f>
        <v>CS3534</v>
      </c>
      <c r="E87" s="2" t="str">
        <f>IFERROR(__xludf.DUMMYFUNCTION("""COMPUTED_VALUE"""),"19AI534")</f>
        <v>19AI534</v>
      </c>
      <c r="F87" s="7" t="str">
        <f>IFERROR(__xludf.DUMMYFUNCTION("""COMPUTED_VALUE"""),"Kinematics and Dynamics of Robots")</f>
        <v>Kinematics and Dynamics of Robots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IFERROR(__xludf.DUMMYFUNCTION("""COMPUTED_VALUE"""),"CS3535")</f>
        <v>CS3535</v>
      </c>
      <c r="E88" s="2" t="str">
        <f>IFERROR(__xludf.DUMMYFUNCTION("""COMPUTED_VALUE"""),"19AI535")</f>
        <v>19AI535</v>
      </c>
      <c r="F88" s="7" t="str">
        <f>IFERROR(__xludf.DUMMYFUNCTION("""COMPUTED_VALUE"""),"Robotic Sensors")</f>
        <v>Robotic Sensors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IFERROR(__xludf.DUMMYFUNCTION("""COMPUTED_VALUE"""),"CS3536")</f>
        <v>CS3536</v>
      </c>
      <c r="E89" s="2" t="str">
        <f>IFERROR(__xludf.DUMMYFUNCTION("""COMPUTED_VALUE"""),"19AI536")</f>
        <v>19AI536</v>
      </c>
      <c r="F89" s="7" t="str">
        <f>IFERROR(__xludf.DUMMYFUNCTION("""COMPUTED_VALUE"""),"Steganography and Digital Watermarking")</f>
        <v>Steganography and Digital Watermarking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IFERROR(__xludf.DUMMYFUNCTION("""COMPUTED_VALUE"""),"CS3537")</f>
        <v>CS3537</v>
      </c>
      <c r="E90" s="2" t="str">
        <f>IFERROR(__xludf.DUMMYFUNCTION("""COMPUTED_VALUE"""),"19AI537")</f>
        <v>19AI537</v>
      </c>
      <c r="F90" s="7" t="str">
        <f>IFERROR(__xludf.DUMMYFUNCTION("""COMPUTED_VALUE"""),"Computer Graphics for Virtual Reality")</f>
        <v>Computer Graphics for Virtual Reality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IFERROR(__xludf.DUMMYFUNCTION("""COMPUTED_VALUE"""),"CS3538")</f>
        <v>CS3538</v>
      </c>
      <c r="E91" s="2" t="str">
        <f>IFERROR(__xludf.DUMMYFUNCTION("""COMPUTED_VALUE"""),"19AI538")</f>
        <v>19AI538</v>
      </c>
      <c r="F91" s="7" t="str">
        <f>IFERROR(__xludf.DUMMYFUNCTION("""COMPUTED_VALUE"""),"Mathematical Modelling and Computer Aided Engineering")</f>
        <v>Mathematical Modelling and Computer Aided Engineering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IFERROR(__xludf.DUMMYFUNCTION("""COMPUTED_VALUE"""),"CS3539")</f>
        <v>CS3539</v>
      </c>
      <c r="E92" s="2" t="str">
        <f>IFERROR(__xludf.DUMMYFUNCTION("""COMPUTED_VALUE"""),"19AI539")</f>
        <v>19AI539</v>
      </c>
      <c r="F92" s="7" t="str">
        <f>IFERROR(__xludf.DUMMYFUNCTION("""COMPUTED_VALUE"""),"Mobile User Interface Development")</f>
        <v>Mobile User Interface Development</v>
      </c>
      <c r="G92" s="2" t="str">
        <f>IFERROR(__xludf.DUMMYFUNCTION("""COMPUTED_VALUE"""),"19CS401")</f>
        <v>19CS401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IFERROR(__xludf.DUMMYFUNCTION("""COMPUTED_VALUE"""),"CS3540")</f>
        <v>CS3540</v>
      </c>
      <c r="E93" s="2" t="str">
        <f>IFERROR(__xludf.DUMMYFUNCTION("""COMPUTED_VALUE"""),"19AI540")</f>
        <v>19AI540</v>
      </c>
      <c r="F93" s="7" t="str">
        <f>IFERROR(__xludf.DUMMYFUNCTION("""COMPUTED_VALUE"""),"Programming Mobile Devices")</f>
        <v>Programming Mobile Devices</v>
      </c>
      <c r="G93" s="2" t="str">
        <f>IFERROR(__xludf.DUMMYFUNCTION("""COMPUTED_VALUE"""),"19CS401")</f>
        <v>19CS401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IFERROR(__xludf.DUMMYFUNCTION("""COMPUTED_VALUE"""),"CS3541")</f>
        <v>CS3541</v>
      </c>
      <c r="E94" s="2" t="str">
        <f>IFERROR(__xludf.DUMMYFUNCTION("""COMPUTED_VALUE"""),"19AI541")</f>
        <v>19AI541</v>
      </c>
      <c r="F94" s="7" t="str">
        <f>IFERROR(__xludf.DUMMYFUNCTION("""COMPUTED_VALUE"""),"Cloud Computing")</f>
        <v>Cloud Computing</v>
      </c>
      <c r="G94" s="2" t="str">
        <f>IFERROR(__xludf.DUMMYFUNCTION("""COMPUTED_VALUE"""),"19CS406")</f>
        <v>19CS406</v>
      </c>
      <c r="H94" s="2">
        <f>IFERROR(__xludf.DUMMYFUNCTION("""COMPUTED_VALUE"""),3)</f>
        <v>3</v>
      </c>
      <c r="I94" s="2">
        <f>IFERROR(__xludf.DUMMYFUNCTION("""COMPUTED_VALUE"""),1)</f>
        <v>1</v>
      </c>
      <c r="J94" s="2">
        <f>IFERROR(__xludf.DUMMYFUNCTION("""COMPUTED_VALUE"""),4)</f>
        <v>4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IFERROR(__xludf.DUMMYFUNCTION("""COMPUTED_VALUE"""),"CS3542")</f>
        <v>CS3542</v>
      </c>
      <c r="E95" s="2" t="str">
        <f>IFERROR(__xludf.DUMMYFUNCTION("""COMPUTED_VALUE"""),"19AI542")</f>
        <v>19AI542</v>
      </c>
      <c r="F95" s="7" t="str">
        <f>IFERROR(__xludf.DUMMYFUNCTION("""COMPUTED_VALUE"""),"Agile Software Development")</f>
        <v>Agile Software Development</v>
      </c>
      <c r="G95" s="2" t="str">
        <f>IFERROR(__xludf.DUMMYFUNCTION("""COMPUTED_VALUE"""),"19CS301")</f>
        <v>19CS301</v>
      </c>
      <c r="H95" s="2">
        <f>IFERROR(__xludf.DUMMYFUNCTION("""COMPUTED_VALUE"""),3)</f>
        <v>3</v>
      </c>
      <c r="I95" s="2">
        <f>IFERROR(__xludf.DUMMYFUNCTION("""COMPUTED_VALUE"""),1)</f>
        <v>1</v>
      </c>
      <c r="J95" s="2">
        <f>IFERROR(__xludf.DUMMYFUNCTION("""COMPUTED_VALUE"""),4)</f>
        <v>4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IFERROR(__xludf.DUMMYFUNCTION("""COMPUTED_VALUE"""),"CS3543")</f>
        <v>CS3543</v>
      </c>
      <c r="E96" s="2" t="str">
        <f>IFERROR(__xludf.DUMMYFUNCTION("""COMPUTED_VALUE"""),"19AI543")</f>
        <v>19AI543</v>
      </c>
      <c r="F96" s="7" t="str">
        <f>IFERROR(__xludf.DUMMYFUNCTION("""COMPUTED_VALUE"""),"Software Testing")</f>
        <v>Software Testing</v>
      </c>
      <c r="G96" s="2" t="str">
        <f>IFERROR(__xludf.DUMMYFUNCTION("""COMPUTED_VALUE"""),"19CS301")</f>
        <v>19CS301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IFERROR(__xludf.DUMMYFUNCTION("""COMPUTED_VALUE"""),"CS3544")</f>
        <v>CS3544</v>
      </c>
      <c r="E97" s="2" t="str">
        <f>IFERROR(__xludf.DUMMYFUNCTION("""COMPUTED_VALUE"""),"19AI544")</f>
        <v>19AI544</v>
      </c>
      <c r="F97" s="7" t="str">
        <f>IFERROR(__xludf.DUMMYFUNCTION("""COMPUTED_VALUE"""),"Virtualization and Containerization")</f>
        <v>Virtualization and Containerization</v>
      </c>
      <c r="G97" s="2" t="str">
        <f>IFERROR(__xludf.DUMMYFUNCTION("""COMPUTED_VALUE"""),"19CS405/19CS406")</f>
        <v>19CS405/19CS406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IFERROR(__xludf.DUMMYFUNCTION("""COMPUTED_VALUE"""),"PE")</f>
        <v>PE</v>
      </c>
      <c r="D98" s="2" t="str">
        <f>IFERROR(__xludf.DUMMYFUNCTION("""COMPUTED_VALUE"""),"CS3545")</f>
        <v>CS3545</v>
      </c>
      <c r="E98" s="2" t="str">
        <f>IFERROR(__xludf.DUMMYFUNCTION("""COMPUTED_VALUE"""),"19AI545")</f>
        <v>19AI545</v>
      </c>
      <c r="F98" s="7" t="str">
        <f>IFERROR(__xludf.DUMMYFUNCTION("""COMPUTED_VALUE"""),"Modern Web Application Development")</f>
        <v>Modern Web Application Development</v>
      </c>
      <c r="G98" s="2" t="str">
        <f>IFERROR(__xludf.DUMMYFUNCTION("""COMPUTED_VALUE"""),"19CS410")</f>
        <v>19CS410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IFERROR(__xludf.DUMMYFUNCTION("""COMPUTED_VALUE"""),"CS3546")</f>
        <v>CS3546</v>
      </c>
      <c r="E99" s="2" t="str">
        <f>IFERROR(__xludf.DUMMYFUNCTION("""COMPUTED_VALUE"""),"19AI546")</f>
        <v>19AI546</v>
      </c>
      <c r="F99" s="7" t="str">
        <f>IFERROR(__xludf.DUMMYFUNCTION("""COMPUTED_VALUE"""),"Web Server Programming")</f>
        <v>Web Server Programming</v>
      </c>
      <c r="G99" s="2" t="str">
        <f>IFERROR(__xludf.DUMMYFUNCTION("""COMPUTED_VALUE"""),"19CS401")</f>
        <v>19CS401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IFERROR(__xludf.DUMMYFUNCTION("""COMPUTED_VALUE"""),"PE")</f>
        <v>PE</v>
      </c>
      <c r="D100" s="2" t="str">
        <f>IFERROR(__xludf.DUMMYFUNCTION("""COMPUTED_VALUE"""),"CS3547")</f>
        <v>CS3547</v>
      </c>
      <c r="E100" s="2" t="str">
        <f>IFERROR(__xludf.DUMMYFUNCTION("""COMPUTED_VALUE"""),"19AI547")</f>
        <v>19AI547</v>
      </c>
      <c r="F100" s="7" t="str">
        <f>IFERROR(__xludf.DUMMYFUNCTION("""COMPUTED_VALUE"""),"Blockchain for Business")</f>
        <v>Blockchain for Business</v>
      </c>
      <c r="G100" s="2" t="str">
        <f>IFERROR(__xludf.DUMMYFUNCTION("""COMPUTED_VALUE"""),"19CS301")</f>
        <v>19CS301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IFERROR(__xludf.DUMMYFUNCTION("""COMPUTED_VALUE"""),"PE")</f>
        <v>PE</v>
      </c>
      <c r="D101" s="2" t="str">
        <f>IFERROR(__xludf.DUMMYFUNCTION("""COMPUTED_VALUE"""),"CS3548")</f>
        <v>CS3548</v>
      </c>
      <c r="E101" s="2" t="str">
        <f>IFERROR(__xludf.DUMMYFUNCTION("""COMPUTED_VALUE"""),"19AI548")</f>
        <v>19AI548</v>
      </c>
      <c r="F101" s="7" t="str">
        <f>IFERROR(__xludf.DUMMYFUNCTION("""COMPUTED_VALUE"""),"Robot Programming")</f>
        <v>Robot Programming</v>
      </c>
      <c r="G101" s="2" t="str">
        <f>IFERROR(__xludf.DUMMYFUNCTION("""COMPUTED_VALUE"""),"-")</f>
        <v>-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IFERROR(__xludf.DUMMYFUNCTION("""COMPUTED_VALUE"""),"CS3549")</f>
        <v>CS3549</v>
      </c>
      <c r="E102" s="2" t="str">
        <f>IFERROR(__xludf.DUMMYFUNCTION("""COMPUTED_VALUE"""),"19AI549")</f>
        <v>19AI549</v>
      </c>
      <c r="F102" s="7" t="str">
        <f>IFERROR(__xludf.DUMMYFUNCTION("""COMPUTED_VALUE"""),"Drone Assembly and Applications")</f>
        <v>Drone Assembly and Applications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IFERROR(__xludf.DUMMYFUNCTION("""COMPUTED_VALUE"""),"CS3550")</f>
        <v>CS3550</v>
      </c>
      <c r="E103" s="2" t="str">
        <f>IFERROR(__xludf.DUMMYFUNCTION("""COMPUTED_VALUE"""),"19AI550")</f>
        <v>19AI550</v>
      </c>
      <c r="F103" s="7" t="str">
        <f>IFERROR(__xludf.DUMMYFUNCTION("""COMPUTED_VALUE"""),"Artificial Intelligence for Games")</f>
        <v>Artificial Intelligence for Games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IFERROR(__xludf.DUMMYFUNCTION("""COMPUTED_VALUE"""),"CS3551")</f>
        <v>CS3551</v>
      </c>
      <c r="E104" s="2" t="str">
        <f>IFERROR(__xludf.DUMMYFUNCTION("""COMPUTED_VALUE"""),"19AI551")</f>
        <v>19AI551</v>
      </c>
      <c r="F104" s="7" t="str">
        <f>IFERROR(__xludf.DUMMYFUNCTION("""COMPUTED_VALUE"""),"Drone Design and Control")</f>
        <v>Drone Design and Control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IFERROR(__xludf.DUMMYFUNCTION("""COMPUTED_VALUE"""),"CS3552")</f>
        <v>CS3552</v>
      </c>
      <c r="E105" s="2" t="str">
        <f>IFERROR(__xludf.DUMMYFUNCTION("""COMPUTED_VALUE"""),"19AI552")</f>
        <v>19AI552</v>
      </c>
      <c r="F105" s="7" t="str">
        <f>IFERROR(__xludf.DUMMYFUNCTION("""COMPUTED_VALUE"""),"Web Application User Interface Development")</f>
        <v>Web Application User Interface Development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IFERROR(__xludf.DUMMYFUNCTION("""COMPUTED_VALUE"""),"CS4401")</f>
        <v>CS4401</v>
      </c>
      <c r="E106" s="2" t="str">
        <f>IFERROR(__xludf.DUMMYFUNCTION("""COMPUTED_VALUE"""),"19AM401")</f>
        <v>19AM401</v>
      </c>
      <c r="F106" s="3" t="str">
        <f>IFERROR(__xludf.DUMMYFUNCTION("""COMPUTED_VALUE"""),"Time Series Analysis and Forecasting")</f>
        <v>Time Series Analysis and Forecasting</v>
      </c>
      <c r="G106" s="2" t="str">
        <f>IFERROR(__xludf.DUMMYFUNCTION("""COMPUTED_VALUE"""),"-")</f>
        <v>-</v>
      </c>
      <c r="H106" s="2">
        <f>IFERROR(__xludf.DUMMYFUNCTION("""COMPUTED_VALUE"""),3)</f>
        <v>3</v>
      </c>
      <c r="I106" s="2">
        <f>IFERROR(__xludf.DUMMYFUNCTION("""COMPUTED_VALUE"""),1)</f>
        <v>1</v>
      </c>
      <c r="J106" s="2">
        <f>IFERROR(__xludf.DUMMYFUNCTION("""COMPUTED_VALUE"""),4)</f>
        <v>4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IFERROR(__xludf.DUMMYFUNCTION("""COMPUTED_VALUE"""),"CS4406")</f>
        <v>CS4406</v>
      </c>
      <c r="E107" s="2" t="str">
        <f>IFERROR(__xludf.DUMMYFUNCTION("""COMPUTED_VALUE"""),"19AM406")</f>
        <v>19AM406</v>
      </c>
      <c r="F107" s="3" t="str">
        <f>IFERROR(__xludf.DUMMYFUNCTION("""COMPUTED_VALUE"""),"Blockchain and Cryptocurrency")</f>
        <v>Blockchain and Cryptocurrency</v>
      </c>
      <c r="G107" s="2" t="str">
        <f>IFERROR(__xludf.DUMMYFUNCTION("""COMPUTED_VALUE"""),"-")</f>
        <v>-</v>
      </c>
      <c r="H107" s="2">
        <f>IFERROR(__xludf.DUMMYFUNCTION("""COMPUTED_VALUE"""),3)</f>
        <v>3</v>
      </c>
      <c r="I107" s="2">
        <f>IFERROR(__xludf.DUMMYFUNCTION("""COMPUTED_VALUE"""),0)</f>
        <v>0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IFERROR(__xludf.DUMMYFUNCTION("""COMPUTED_VALUE"""),"Theory")</f>
        <v>Theory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IFERROR(__xludf.DUMMYFUNCTION("""COMPUTED_VALUE"""),"CS4407")</f>
        <v>CS4407</v>
      </c>
      <c r="E108" s="2" t="str">
        <f>IFERROR(__xludf.DUMMYFUNCTION("""COMPUTED_VALUE"""),"19AM407")</f>
        <v>19AM407</v>
      </c>
      <c r="F108" s="3" t="str">
        <f>IFERROR(__xludf.DUMMYFUNCTION("""COMPUTED_VALUE"""),"Cyber Forensics")</f>
        <v>Cyber Forensics</v>
      </c>
      <c r="G108" s="2" t="str">
        <f>IFERROR(__xludf.DUMMYFUNCTION("""COMPUTED_VALUE"""),"-")</f>
        <v>-</v>
      </c>
      <c r="H108" s="2">
        <f>IFERROR(__xludf.DUMMYFUNCTION("""COMPUTED_VALUE"""),3)</f>
        <v>3</v>
      </c>
      <c r="I108" s="2">
        <f>IFERROR(__xludf.DUMMYFUNCTION("""COMPUTED_VALUE"""),0)</f>
        <v>0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IFERROR(__xludf.DUMMYFUNCTION("""COMPUTED_VALUE"""),"Theory")</f>
        <v>Theory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IFERROR(__xludf.DUMMYFUNCTION("""COMPUTED_VALUE"""),"CS4501")</f>
        <v>CS4501</v>
      </c>
      <c r="E109" s="2" t="str">
        <f>IFERROR(__xludf.DUMMYFUNCTION("""COMPUTED_VALUE"""),"19AM501")</f>
        <v>19AM501</v>
      </c>
      <c r="F109" s="3" t="str">
        <f>IFERROR(__xludf.DUMMYFUNCTION("""COMPUTED_VALUE"""),"Machine Learning for Bioinformatics")</f>
        <v>Machine Learning for Bioinformatics</v>
      </c>
      <c r="G109" s="2" t="str">
        <f>IFERROR(__xludf.DUMMYFUNCTION("""COMPUTED_VALUE"""),"-")</f>
        <v>-</v>
      </c>
      <c r="H109" s="2">
        <f>IFERROR(__xludf.DUMMYFUNCTION("""COMPUTED_VALUE"""),3)</f>
        <v>3</v>
      </c>
      <c r="I109" s="2">
        <f>IFERROR(__xludf.DUMMYFUNCTION("""COMPUTED_VALUE"""),0)</f>
        <v>0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IFERROR(__xludf.DUMMYFUNCTION("""COMPUTED_VALUE"""),"Theory")</f>
        <v>Theory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IFERROR(__xludf.DUMMYFUNCTION("""COMPUTED_VALUE"""),"CS4502")</f>
        <v>CS4502</v>
      </c>
      <c r="E110" s="2" t="str">
        <f>IFERROR(__xludf.DUMMYFUNCTION("""COMPUTED_VALUE"""),"19AM502")</f>
        <v>19AM502</v>
      </c>
      <c r="F110" s="7" t="str">
        <f>IFERROR(__xludf.DUMMYFUNCTION("""COMPUTED_VALUE"""),"Genetic Algorithms")</f>
        <v>Genetic Algorithms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IFERROR(__xludf.DUMMYFUNCTION("""COMPUTED_VALUE"""),"CS4503")</f>
        <v>CS4503</v>
      </c>
      <c r="E111" s="2" t="str">
        <f>IFERROR(__xludf.DUMMYFUNCTION("""COMPUTED_VALUE"""),"19AM503")</f>
        <v>19AM503</v>
      </c>
      <c r="F111" s="3" t="str">
        <f>IFERROR(__xludf.DUMMYFUNCTION("""COMPUTED_VALUE"""),"Data Modeling")</f>
        <v>Data Modeling</v>
      </c>
      <c r="G111" s="2" t="str">
        <f>IFERROR(__xludf.DUMMYFUNCTION("""COMPUTED_VALUE"""),"-")</f>
        <v>-</v>
      </c>
      <c r="H111" s="2">
        <f>IFERROR(__xludf.DUMMYFUNCTION("""COMPUTED_VALUE"""),3)</f>
        <v>3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IFERROR(__xludf.DUMMYFUNCTION("""COMPUTED_VALUE"""),"Theory")</f>
        <v>Theory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IFERROR(__xludf.DUMMYFUNCTION("""COMPUTED_VALUE"""),"CS4504")</f>
        <v>CS4504</v>
      </c>
      <c r="E112" s="2" t="str">
        <f>IFERROR(__xludf.DUMMYFUNCTION("""COMPUTED_VALUE"""),"19AM504")</f>
        <v>19AM504</v>
      </c>
      <c r="F112" s="7" t="str">
        <f>IFERROR(__xludf.DUMMYFUNCTION("""COMPUTED_VALUE"""),"Brain Computer Interaction")</f>
        <v>Brain Computer Interaction</v>
      </c>
      <c r="G112" s="2" t="str">
        <f>IFERROR(__xludf.DUMMYFUNCTION("""COMPUTED_VALUE"""),"-")</f>
        <v>-</v>
      </c>
      <c r="H112" s="2">
        <f>IFERROR(__xludf.DUMMYFUNCTION("""COMPUTED_VALUE"""),3)</f>
        <v>3</v>
      </c>
      <c r="I112" s="2">
        <f>IFERROR(__xludf.DUMMYFUNCTION("""COMPUTED_VALUE"""),0)</f>
        <v>0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IFERROR(__xludf.DUMMYFUNCTION("""COMPUTED_VALUE"""),"Theory")</f>
        <v>Theory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IFERROR(__xludf.DUMMYFUNCTION("""COMPUTED_VALUE"""),"CS4505")</f>
        <v>CS4505</v>
      </c>
      <c r="E113" s="2" t="str">
        <f>IFERROR(__xludf.DUMMYFUNCTION("""COMPUTED_VALUE"""),"19AM505")</f>
        <v>19AM505</v>
      </c>
      <c r="F113" s="7" t="str">
        <f>IFERROR(__xludf.DUMMYFUNCTION("""COMPUTED_VALUE"""),"Statistical Learning Theory")</f>
        <v>Statistical Learning Theory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IFERROR(__xludf.DUMMYFUNCTION("""COMPUTED_VALUE"""),"CS4506")</f>
        <v>CS4506</v>
      </c>
      <c r="E114" s="2" t="str">
        <f>IFERROR(__xludf.DUMMYFUNCTION("""COMPUTED_VALUE"""),"19AM506")</f>
        <v>19AM506</v>
      </c>
      <c r="F114" s="7" t="str">
        <f>IFERROR(__xludf.DUMMYFUNCTION("""COMPUTED_VALUE"""),"Sensors and Actuators for IoT")</f>
        <v>Sensors and Actuators for IoT</v>
      </c>
      <c r="G114" s="2" t="str">
        <f>IFERROR(__xludf.DUMMYFUNCTION("""COMPUTED_VALUE"""),"-")</f>
        <v>-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IFERROR(__xludf.DUMMYFUNCTION("""COMPUTED_VALUE"""),"CS4507")</f>
        <v>CS4507</v>
      </c>
      <c r="E115" s="2" t="str">
        <f>IFERROR(__xludf.DUMMYFUNCTION("""COMPUTED_VALUE"""),"19AM507")</f>
        <v>19AM507</v>
      </c>
      <c r="F115" s="7" t="str">
        <f>IFERROR(__xludf.DUMMYFUNCTION("""COMPUTED_VALUE"""),"Security and Trust in IoT")</f>
        <v>Security and Trust in IoT</v>
      </c>
      <c r="G115" s="2" t="str">
        <f>IFERROR(__xludf.DUMMYFUNCTION("""COMPUTED_VALUE"""),"-")</f>
        <v>-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IFERROR(__xludf.DUMMYFUNCTION("""COMPUTED_VALUE"""),"PE")</f>
        <v>PE</v>
      </c>
      <c r="D116" s="2" t="str">
        <f>IFERROR(__xludf.DUMMYFUNCTION("""COMPUTED_VALUE"""),"CS4508")</f>
        <v>CS4508</v>
      </c>
      <c r="E116" s="2" t="str">
        <f>IFERROR(__xludf.DUMMYFUNCTION("""COMPUTED_VALUE"""),"19AM508")</f>
        <v>19AM508</v>
      </c>
      <c r="F116" s="7" t="str">
        <f>IFERROR(__xludf.DUMMYFUNCTION("""COMPUTED_VALUE"""),"Introduction to IoT")</f>
        <v>Introduction to IoT</v>
      </c>
      <c r="G116" s="2" t="str">
        <f>IFERROR(__xludf.DUMMYFUNCTION("""COMPUTED_VALUE"""),"-")</f>
        <v>-</v>
      </c>
      <c r="H116" s="2">
        <f>IFERROR(__xludf.DUMMYFUNCTION("""COMPUTED_VALUE"""),2)</f>
        <v>2</v>
      </c>
      <c r="I116" s="2">
        <f>IFERROR(__xludf.DUMMYFUNCTION("""COMPUTED_VALUE"""),1)</f>
        <v>1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IFERROR(__xludf.DUMMYFUNCTION("""COMPUTED_VALUE"""),"TIP (6 Expts)")</f>
        <v>TIP (6 Expts)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IFERROR(__xludf.DUMMYFUNCTION("""COMPUTED_VALUE"""),"CS4509")</f>
        <v>CS4509</v>
      </c>
      <c r="E117" s="2" t="str">
        <f>IFERROR(__xludf.DUMMYFUNCTION("""COMPUTED_VALUE"""),"19AM509")</f>
        <v>19AM509</v>
      </c>
      <c r="F117" s="7" t="str">
        <f>IFERROR(__xludf.DUMMYFUNCTION("""COMPUTED_VALUE"""),"Industrial Internet of Things")</f>
        <v>Industrial Internet of Things</v>
      </c>
      <c r="G117" s="2" t="str">
        <f>IFERROR(__xludf.DUMMYFUNCTION("""COMPUTED_VALUE"""),"-")</f>
        <v>-</v>
      </c>
      <c r="H117" s="2">
        <f>IFERROR(__xludf.DUMMYFUNCTION("""COMPUTED_VALUE"""),2)</f>
        <v>2</v>
      </c>
      <c r="I117" s="2">
        <f>IFERROR(__xludf.DUMMYFUNCTION("""COMPUTED_VALUE"""),1)</f>
        <v>1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IFERROR(__xludf.DUMMYFUNCTION("""COMPUTED_VALUE"""),"TIP (6 Expts)")</f>
        <v>TIP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IFERROR(__xludf.DUMMYFUNCTION("""COMPUTED_VALUE"""),"PE")</f>
        <v>PE</v>
      </c>
      <c r="D118" s="2" t="str">
        <f>IFERROR(__xludf.DUMMYFUNCTION("""COMPUTED_VALUE"""),"CS4510")</f>
        <v>CS4510</v>
      </c>
      <c r="E118" s="2" t="str">
        <f>IFERROR(__xludf.DUMMYFUNCTION("""COMPUTED_VALUE"""),"19AM510")</f>
        <v>19AM510</v>
      </c>
      <c r="F118" s="7" t="str">
        <f>IFERROR(__xludf.DUMMYFUNCTION("""COMPUTED_VALUE"""),"Software for Embedded Systems")</f>
        <v>Software for Embedded Systems</v>
      </c>
      <c r="G118" s="2" t="str">
        <f>IFERROR(__xludf.DUMMYFUNCTION("""COMPUTED_VALUE"""),"-")</f>
        <v>-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IFERROR(__xludf.DUMMYFUNCTION("""COMPUTED_VALUE"""),"PE")</f>
        <v>PE</v>
      </c>
      <c r="D119" s="2" t="str">
        <f>IFERROR(__xludf.DUMMYFUNCTION("""COMPUTED_VALUE"""),"CS4511")</f>
        <v>CS4511</v>
      </c>
      <c r="E119" s="2" t="str">
        <f>IFERROR(__xludf.DUMMYFUNCTION("""COMPUTED_VALUE"""),"19AM511")</f>
        <v>19AM511</v>
      </c>
      <c r="F119" s="7" t="str">
        <f>IFERROR(__xludf.DUMMYFUNCTION("""COMPUTED_VALUE"""),"IoT Architecture and Protocols")</f>
        <v>IoT Architecture and Protocols</v>
      </c>
      <c r="G119" s="2" t="str">
        <f>IFERROR(__xludf.DUMMYFUNCTION("""COMPUTED_VALUE"""),"-")</f>
        <v>-</v>
      </c>
      <c r="H119" s="2">
        <f>IFERROR(__xludf.DUMMYFUNCTION("""COMPUTED_VALUE"""),3)</f>
        <v>3</v>
      </c>
      <c r="I119" s="2">
        <f>IFERROR(__xludf.DUMMYFUNCTION("""COMPUTED_VALUE"""),0)</f>
        <v>0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IFERROR(__xludf.DUMMYFUNCTION("""COMPUTED_VALUE"""),"Theory")</f>
        <v>Theory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IFERROR(__xludf.DUMMYFUNCTION("""COMPUTED_VALUE"""),"CS4512")</f>
        <v>CS4512</v>
      </c>
      <c r="E120" s="2" t="str">
        <f>IFERROR(__xludf.DUMMYFUNCTION("""COMPUTED_VALUE"""),"19AM512")</f>
        <v>19AM512</v>
      </c>
      <c r="F120" s="7" t="str">
        <f>IFERROR(__xludf.DUMMYFUNCTION("""COMPUTED_VALUE"""),"Arduino for IoT")</f>
        <v>Arduino for IoT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IFERROR(__xludf.DUMMYFUNCTION("""COMPUTED_VALUE"""),"CS4513")</f>
        <v>CS4513</v>
      </c>
      <c r="E121" s="2" t="str">
        <f>IFERROR(__xludf.DUMMYFUNCTION("""COMPUTED_VALUE"""),"19AM513")</f>
        <v>19AM513</v>
      </c>
      <c r="F121" s="7" t="str">
        <f>IFERROR(__xludf.DUMMYFUNCTION("""COMPUTED_VALUE"""),"Raspberry Pi for IoT")</f>
        <v>Raspberry Pi for IoT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IFERROR(__xludf.DUMMYFUNCTION("""COMPUTED_VALUE"""),"CS4514")</f>
        <v>CS4514</v>
      </c>
      <c r="E122" s="2" t="str">
        <f>IFERROR(__xludf.DUMMYFUNCTION("""COMPUTED_VALUE"""),"19AM514")</f>
        <v>19AM514</v>
      </c>
      <c r="F122" s="7" t="str">
        <f>IFERROR(__xludf.DUMMYFUNCTION("""COMPUTED_VALUE"""),"Motion Planning Techniques")</f>
        <v>Motion Planning Techniques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IFERROR(__xludf.DUMMYFUNCTION("""COMPUTED_VALUE"""),"CS4515")</f>
        <v>CS4515</v>
      </c>
      <c r="E123" s="26" t="str">
        <f>IFERROR(__xludf.DUMMYFUNCTION("""COMPUTED_VALUE"""),"19AM515")</f>
        <v>19AM515</v>
      </c>
      <c r="F123" s="27" t="str">
        <f>IFERROR(__xludf.DUMMYFUNCTION("""COMPUTED_VALUE"""),"Advanced Java Programming")</f>
        <v>Advanced Java Programming</v>
      </c>
      <c r="G123" s="26" t="str">
        <f>IFERROR(__xludf.DUMMYFUNCTION("""COMPUTED_VALUE"""),"-")</f>
        <v>-</v>
      </c>
      <c r="H123" s="26">
        <f>IFERROR(__xludf.DUMMYFUNCTION("""COMPUTED_VALUE"""),2)</f>
        <v>2</v>
      </c>
      <c r="I123" s="26">
        <f>IFERROR(__xludf.DUMMYFUNCTION("""COMPUTED_VALUE"""),1)</f>
        <v>1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IFERROR(__xludf.DUMMYFUNCTION("""COMPUTED_VALUE"""),"CS4516")</f>
        <v>CS4516</v>
      </c>
      <c r="E124" s="26" t="str">
        <f>IFERROR(__xludf.DUMMYFUNCTION("""COMPUTED_VALUE"""),"19AM516")</f>
        <v>19AM516</v>
      </c>
      <c r="F124" s="27" t="str">
        <f>IFERROR(__xludf.DUMMYFUNCTION("""COMPUTED_VALUE"""),"Python Programming for IoT")</f>
        <v>Python Programming for IoT</v>
      </c>
      <c r="G124" s="26" t="str">
        <f>IFERROR(__xludf.DUMMYFUNCTION("""COMPUTED_VALUE"""),"-")</f>
        <v>-</v>
      </c>
      <c r="H124" s="26">
        <f>IFERROR(__xludf.DUMMYFUNCTION("""COMPUTED_VALUE"""),3)</f>
        <v>3</v>
      </c>
      <c r="I124" s="26">
        <f>IFERROR(__xludf.DUMMYFUNCTION("""COMPUTED_VALUE"""),0)</f>
        <v>0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IFERROR(__xludf.DUMMYFUNCTION("""COMPUTED_VALUE"""),"Theory")</f>
        <v>Theory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IFERROR(__xludf.DUMMYFUNCTION("""COMPUTED_VALUE"""),"CS4517")</f>
        <v>CS4517</v>
      </c>
      <c r="E125" s="26" t="str">
        <f>IFERROR(__xludf.DUMMYFUNCTION("""COMPUTED_VALUE"""),"19AM517")</f>
        <v>19AM517</v>
      </c>
      <c r="F125" s="27" t="str">
        <f>IFERROR(__xludf.DUMMYFUNCTION("""COMPUTED_VALUE"""),"Applications of IoT in Robotics")</f>
        <v>Applications of IoT in Robotics</v>
      </c>
      <c r="G125" s="26" t="str">
        <f>IFERROR(__xludf.DUMMYFUNCTION("""COMPUTED_VALUE"""),"-")</f>
        <v>-</v>
      </c>
      <c r="H125" s="26">
        <f>IFERROR(__xludf.DUMMYFUNCTION("""COMPUTED_VALUE"""),3)</f>
        <v>3</v>
      </c>
      <c r="I125" s="26">
        <f>IFERROR(__xludf.DUMMYFUNCTION("""COMPUTED_VALUE"""),0)</f>
        <v>0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IFERROR(__xludf.DUMMYFUNCTION("""COMPUTED_VALUE"""),"Theory")</f>
        <v>Theory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IFERROR(__xludf.DUMMYFUNCTION("""COMPUTED_VALUE"""),"CS4518")</f>
        <v>CS4518</v>
      </c>
      <c r="E126" s="26" t="str">
        <f>IFERROR(__xludf.DUMMYFUNCTION("""COMPUTED_VALUE"""),"19AM518")</f>
        <v>19AM518</v>
      </c>
      <c r="F126" s="27" t="str">
        <f>IFERROR(__xludf.DUMMYFUNCTION("""COMPUTED_VALUE"""),"Programming for IoT Boards")</f>
        <v>Programming for IoT Boards</v>
      </c>
      <c r="G126" s="26" t="str">
        <f>IFERROR(__xludf.DUMMYFUNCTION("""COMPUTED_VALUE"""),"-")</f>
        <v>-</v>
      </c>
      <c r="H126" s="26">
        <f>IFERROR(__xludf.DUMMYFUNCTION("""COMPUTED_VALUE"""),3)</f>
        <v>3</v>
      </c>
      <c r="I126" s="26">
        <f>IFERROR(__xludf.DUMMYFUNCTION("""COMPUTED_VALUE"""),0)</f>
        <v>0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IFERROR(__xludf.DUMMYFUNCTION("""COMPUTED_VALUE"""),"Theory")</f>
        <v>Theory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IFERROR(__xludf.DUMMYFUNCTION("""COMPUTED_VALUE"""),"CS4519")</f>
        <v>CS4519</v>
      </c>
      <c r="E127" s="26" t="str">
        <f>IFERROR(__xludf.DUMMYFUNCTION("""COMPUTED_VALUE"""),"19AM519")</f>
        <v>19AM519</v>
      </c>
      <c r="F127" s="27" t="str">
        <f>IFERROR(__xludf.DUMMYFUNCTION("""COMPUTED_VALUE"""),"Design of Smart Cities")</f>
        <v>Design of Smart Cities</v>
      </c>
      <c r="G127" s="26" t="str">
        <f>IFERROR(__xludf.DUMMYFUNCTION("""COMPUTED_VALUE"""),"-")</f>
        <v>-</v>
      </c>
      <c r="H127" s="26">
        <f>IFERROR(__xludf.DUMMYFUNCTION("""COMPUTED_VALUE"""),3)</f>
        <v>3</v>
      </c>
      <c r="I127" s="26">
        <f>IFERROR(__xludf.DUMMYFUNCTION("""COMPUTED_VALUE"""),0)</f>
        <v>0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IFERROR(__xludf.DUMMYFUNCTION("""COMPUTED_VALUE"""),"Theory")</f>
        <v>Theory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IFERROR(__xludf.DUMMYFUNCTION("""COMPUTED_VALUE"""),"CS4520")</f>
        <v>CS4520</v>
      </c>
      <c r="E128" s="26" t="str">
        <f>IFERROR(__xludf.DUMMYFUNCTION("""COMPUTED_VALUE"""),"19AM520")</f>
        <v>19AM520</v>
      </c>
      <c r="F128" s="27" t="str">
        <f>IFERROR(__xludf.DUMMYFUNCTION("""COMPUTED_VALUE"""),"IoT and Multimedia Technology")</f>
        <v>IoT and Multimedia Technology</v>
      </c>
      <c r="G128" s="26" t="str">
        <f>IFERROR(__xludf.DUMMYFUNCTION("""COMPUTED_VALUE"""),"-")</f>
        <v>-</v>
      </c>
      <c r="H128" s="26">
        <f>IFERROR(__xludf.DUMMYFUNCTION("""COMPUTED_VALUE"""),3)</f>
        <v>3</v>
      </c>
      <c r="I128" s="26">
        <f>IFERROR(__xludf.DUMMYFUNCTION("""COMPUTED_VALUE"""),0)</f>
        <v>0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IFERROR(__xludf.DUMMYFUNCTION("""COMPUTED_VALUE"""),"Theory")</f>
        <v>Theory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IFERROR(__xludf.DUMMYFUNCTION("""COMPUTED_VALUE"""),"CS4521")</f>
        <v>CS4521</v>
      </c>
      <c r="E129" s="26" t="str">
        <f>IFERROR(__xludf.DUMMYFUNCTION("""COMPUTED_VALUE"""),"19AM521")</f>
        <v>19AM521</v>
      </c>
      <c r="F129" s="27" t="str">
        <f>IFERROR(__xludf.DUMMYFUNCTION("""COMPUTED_VALUE"""),"Mobile Application Development for IoT")</f>
        <v>Mobile Application Development for IoT</v>
      </c>
      <c r="G129" s="26" t="str">
        <f>IFERROR(__xludf.DUMMYFUNCTION("""COMPUTED_VALUE"""),"-")</f>
        <v>-</v>
      </c>
      <c r="H129" s="26">
        <f>IFERROR(__xludf.DUMMYFUNCTION("""COMPUTED_VALUE"""),3)</f>
        <v>3</v>
      </c>
      <c r="I129" s="26">
        <f>IFERROR(__xludf.DUMMYFUNCTION("""COMPUTED_VALUE"""),0)</f>
        <v>0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IFERROR(__xludf.DUMMYFUNCTION("""COMPUTED_VALUE"""),"Theory")</f>
        <v>Theory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IFERROR(__xludf.DUMMYFUNCTION("""COMPUTED_VALUE"""),"CS4522")</f>
        <v>CS4522</v>
      </c>
      <c r="E130" s="26" t="str">
        <f>IFERROR(__xludf.DUMMYFUNCTION("""COMPUTED_VALUE"""),"19AM522")</f>
        <v>19AM522</v>
      </c>
      <c r="F130" s="27" t="str">
        <f>IFERROR(__xludf.DUMMYFUNCTION("""COMPUTED_VALUE"""),"Open Source Programming for IoT")</f>
        <v>Open Source Programming for IoT</v>
      </c>
      <c r="G130" s="26" t="str">
        <f>IFERROR(__xludf.DUMMYFUNCTION("""COMPUTED_VALUE"""),"-")</f>
        <v>-</v>
      </c>
      <c r="H130" s="26">
        <f>IFERROR(__xludf.DUMMYFUNCTION("""COMPUTED_VALUE"""),3)</f>
        <v>3</v>
      </c>
      <c r="I130" s="26">
        <f>IFERROR(__xludf.DUMMYFUNCTION("""COMPUTED_VALUE"""),0)</f>
        <v>0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IFERROR(__xludf.DUMMYFUNCTION("""COMPUTED_VALUE"""),"Theory")</f>
        <v>Theory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IFERROR(__xludf.DUMMYFUNCTION("""COMPUTED_VALUE"""),"CS1416")</f>
        <v>CS1416</v>
      </c>
      <c r="E131" s="26" t="str">
        <f>IFERROR(__xludf.DUMMYFUNCTION("""COMPUTED_VALUE"""),"19CS416")</f>
        <v>19CS416</v>
      </c>
      <c r="F131" s="27" t="str">
        <f>IFERROR(__xludf.DUMMYFUNCTION("""COMPUTED_VALUE"""),"Cloud Security")</f>
        <v>Cloud Security</v>
      </c>
      <c r="G131" s="26" t="str">
        <f>IFERROR(__xludf.DUMMYFUNCTION("""COMPUTED_VALUE"""),"-")</f>
        <v>-</v>
      </c>
      <c r="H131" s="26">
        <f>IFERROR(__xludf.DUMMYFUNCTION("""COMPUTED_VALUE"""),2)</f>
        <v>2</v>
      </c>
      <c r="I131" s="26">
        <f>IFERROR(__xludf.DUMMYFUNCTION("""COMPUTED_VALUE"""),1)</f>
        <v>1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IFERROR(__xludf.DUMMYFUNCTION("""COMPUTED_VALUE"""),"TIP (6 Expts)")</f>
        <v>TIP (6 Expts)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IFERROR(__xludf.DUMMYFUNCTION("""COMPUTED_VALUE"""),"CS1417")</f>
        <v>CS1417</v>
      </c>
      <c r="E132" s="26" t="str">
        <f>IFERROR(__xludf.DUMMYFUNCTION("""COMPUTED_VALUE"""),"19CS417")</f>
        <v>19CS417</v>
      </c>
      <c r="F132" s="27" t="str">
        <f>IFERROR(__xludf.DUMMYFUNCTION("""COMPUTED_VALUE"""),"Ethical Hacking Techniques")</f>
        <v>Ethical Hacking Techniques</v>
      </c>
      <c r="G132" s="26" t="str">
        <f>IFERROR(__xludf.DUMMYFUNCTION("""COMPUTED_VALUE"""),"-")</f>
        <v>-</v>
      </c>
      <c r="H132" s="26">
        <f>IFERROR(__xludf.DUMMYFUNCTION("""COMPUTED_VALUE"""),2)</f>
        <v>2</v>
      </c>
      <c r="I132" s="26">
        <f>IFERROR(__xludf.DUMMYFUNCTION("""COMPUTED_VALUE"""),1)</f>
        <v>1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IFERROR(__xludf.DUMMYFUNCTION("""COMPUTED_VALUE"""),"TIP (6 Expts)")</f>
        <v>TIP (6 Expts)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IFERROR(__xludf.DUMMYFUNCTION("""COMPUTED_VALUE"""),"CS1418")</f>
        <v>CS1418</v>
      </c>
      <c r="E133" s="26" t="str">
        <f>IFERROR(__xludf.DUMMYFUNCTION("""COMPUTED_VALUE"""),"19CS418")</f>
        <v>19CS418</v>
      </c>
      <c r="F133" s="27" t="str">
        <f>IFERROR(__xludf.DUMMYFUNCTION("""COMPUTED_VALUE"""),"Cyber Law and Compliance")</f>
        <v>Cyber Law and Compliance</v>
      </c>
      <c r="G133" s="26" t="str">
        <f>IFERROR(__xludf.DUMMYFUNCTION("""COMPUTED_VALUE"""),"-")</f>
        <v>-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IFERROR(__xludf.DUMMYFUNCTION("""COMPUTED_VALUE"""),"CS1419")</f>
        <v>CS1419</v>
      </c>
      <c r="E134" s="26" t="str">
        <f>IFERROR(__xludf.DUMMYFUNCTION("""COMPUTED_VALUE"""),"19CS419")</f>
        <v>19CS419</v>
      </c>
      <c r="F134" s="27" t="str">
        <f>IFERROR(__xludf.DUMMYFUNCTION("""COMPUTED_VALUE"""),"Digital Forensics and Digital Investigations")</f>
        <v>Digital Forensics and Digital Investigations</v>
      </c>
      <c r="G134" s="26" t="str">
        <f>IFERROR(__xludf.DUMMYFUNCTION("""COMPUTED_VALUE"""),"-")</f>
        <v>-</v>
      </c>
      <c r="H134" s="26">
        <f>IFERROR(__xludf.DUMMYFUNCTION("""COMPUTED_VALUE"""),2)</f>
        <v>2</v>
      </c>
      <c r="I134" s="26">
        <f>IFERROR(__xludf.DUMMYFUNCTION("""COMPUTED_VALUE"""),1)</f>
        <v>1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IFERROR(__xludf.DUMMYFUNCTION("""COMPUTED_VALUE"""),"CS1420")</f>
        <v>CS1420</v>
      </c>
      <c r="E135" s="26" t="str">
        <f>IFERROR(__xludf.DUMMYFUNCTION("""COMPUTED_VALUE"""),"19CS420")</f>
        <v>19CS420</v>
      </c>
      <c r="F135" s="27" t="str">
        <f>IFERROR(__xludf.DUMMYFUNCTION("""COMPUTED_VALUE"""),"Prototyping of IoT Systems")</f>
        <v>Prototyping of IoT Systems</v>
      </c>
      <c r="G135" s="26" t="str">
        <f>IFERROR(__xludf.DUMMYFUNCTION("""COMPUTED_VALUE"""),"-")</f>
        <v>-</v>
      </c>
      <c r="H135" s="26">
        <f>IFERROR(__xludf.DUMMYFUNCTION("""COMPUTED_VALUE"""),2)</f>
        <v>2</v>
      </c>
      <c r="I135" s="26">
        <f>IFERROR(__xludf.DUMMYFUNCTION("""COMPUTED_VALUE"""),1)</f>
        <v>1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IFERROR(__xludf.DUMMYFUNCTION("""COMPUTED_VALUE"""),"CS1421")</f>
        <v>CS1421</v>
      </c>
      <c r="E136" s="26" t="str">
        <f>IFERROR(__xludf.DUMMYFUNCTION("""COMPUTED_VALUE"""),"19CS421")</f>
        <v>19CS421</v>
      </c>
      <c r="F136" s="27" t="str">
        <f>IFERROR(__xludf.DUMMYFUNCTION("""COMPUTED_VALUE"""),"Edge Computing")</f>
        <v>Edge Computing</v>
      </c>
      <c r="G136" s="26" t="str">
        <f>IFERROR(__xludf.DUMMYFUNCTION("""COMPUTED_VALUE"""),"-")</f>
        <v>-</v>
      </c>
      <c r="H136" s="26">
        <f>IFERROR(__xludf.DUMMYFUNCTION("""COMPUTED_VALUE"""),2)</f>
        <v>2</v>
      </c>
      <c r="I136" s="26">
        <f>IFERROR(__xludf.DUMMYFUNCTION("""COMPUTED_VALUE"""),1)</f>
        <v>1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IFERROR(__xludf.DUMMYFUNCTION("""COMPUTED_VALUE"""),"TIP (6 Expts)")</f>
        <v>TIP (6 Expts)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IFERROR(__xludf.DUMMYFUNCTION("""COMPUTED_VALUE"""),"CS1422")</f>
        <v>CS1422</v>
      </c>
      <c r="E137" s="26" t="str">
        <f>IFERROR(__xludf.DUMMYFUNCTION("""COMPUTED_VALUE"""),"19CS422")</f>
        <v>19CS422</v>
      </c>
      <c r="F137" s="27" t="str">
        <f>IFERROR(__xludf.DUMMYFUNCTION("""COMPUTED_VALUE"""),"Security for IoT Systems")</f>
        <v>Security for IoT Systems</v>
      </c>
      <c r="G137" s="26" t="str">
        <f>IFERROR(__xludf.DUMMYFUNCTION("""COMPUTED_VALUE"""),"-")</f>
        <v>-</v>
      </c>
      <c r="H137" s="26">
        <f>IFERROR(__xludf.DUMMYFUNCTION("""COMPUTED_VALUE"""),3)</f>
        <v>3</v>
      </c>
      <c r="I137" s="26">
        <f>IFERROR(__xludf.DUMMYFUNCTION("""COMPUTED_VALUE"""),0)</f>
        <v>0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IFERROR(__xludf.DUMMYFUNCTION("""COMPUTED_VALUE"""),"Theory")</f>
        <v>Theory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IFERROR(__xludf.DUMMYFUNCTION("""COMPUTED_VALUE"""),"CS1501")</f>
        <v>CS1501</v>
      </c>
      <c r="E138" s="26" t="str">
        <f>IFERROR(__xludf.DUMMYFUNCTION("""COMPUTED_VALUE"""),"19CS501")</f>
        <v>19CS501</v>
      </c>
      <c r="F138" s="27" t="str">
        <f>IFERROR(__xludf.DUMMYFUNCTION("""COMPUTED_VALUE"""),"Machine Learning")</f>
        <v>Machine Learning</v>
      </c>
      <c r="G138" s="26" t="str">
        <f>IFERROR(__xludf.DUMMYFUNCTION("""COMPUTED_VALUE"""),"19MA212/ 19MA218")</f>
        <v>19MA212/ 19MA218</v>
      </c>
      <c r="H138" s="26">
        <f>IFERROR(__xludf.DUMMYFUNCTION("""COMPUTED_VALUE"""),3)</f>
        <v>3</v>
      </c>
      <c r="I138" s="26">
        <f>IFERROR(__xludf.DUMMYFUNCTION("""COMPUTED_VALUE"""),0)</f>
        <v>0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IFERROR(__xludf.DUMMYFUNCTION("""COMPUTED_VALUE"""),"Theory")</f>
        <v>Theory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IFERROR(__xludf.DUMMYFUNCTION("""COMPUTED_VALUE"""),"CS1502")</f>
        <v>CS1502</v>
      </c>
      <c r="E139" s="26" t="str">
        <f>IFERROR(__xludf.DUMMYFUNCTION("""COMPUTED_VALUE"""),"19CS502")</f>
        <v>19CS502</v>
      </c>
      <c r="F139" s="27" t="str">
        <f>IFERROR(__xludf.DUMMYFUNCTION("""COMPUTED_VALUE"""),"Computer Graphics and Multimedia")</f>
        <v>Computer Graphics and Multimedia</v>
      </c>
      <c r="G139" s="26" t="str">
        <f>IFERROR(__xludf.DUMMYFUNCTION("""COMPUTED_VALUE"""),"19CS401")</f>
        <v>19CS401</v>
      </c>
      <c r="H139" s="26">
        <f>IFERROR(__xludf.DUMMYFUNCTION("""COMPUTED_VALUE"""),3)</f>
        <v>3</v>
      </c>
      <c r="I139" s="26">
        <f>IFERROR(__xludf.DUMMYFUNCTION("""COMPUTED_VALUE"""),0)</f>
        <v>0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IFERROR(__xludf.DUMMYFUNCTION("""COMPUTED_VALUE"""),"Theory")</f>
        <v>Theory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IFERROR(__xludf.DUMMYFUNCTION("""COMPUTED_VALUE"""),"CS1503")</f>
        <v>CS1503</v>
      </c>
      <c r="E140" s="26" t="str">
        <f>IFERROR(__xludf.DUMMYFUNCTION("""COMPUTED_VALUE"""),"19CS503")</f>
        <v>19CS503</v>
      </c>
      <c r="F140" s="27" t="str">
        <f>IFERROR(__xludf.DUMMYFUNCTION("""COMPUTED_VALUE"""),"Developing Web Application in .Net")</f>
        <v>Developing Web Application in .Net</v>
      </c>
      <c r="G140" s="26" t="str">
        <f>IFERROR(__xludf.DUMMYFUNCTION("""COMPUTED_VALUE"""),"19CS404/19CS410")</f>
        <v>19CS404/19CS410</v>
      </c>
      <c r="H140" s="26">
        <f>IFERROR(__xludf.DUMMYFUNCTION("""COMPUTED_VALUE"""),3)</f>
        <v>3</v>
      </c>
      <c r="I140" s="26">
        <f>IFERROR(__xludf.DUMMYFUNCTION("""COMPUTED_VALUE"""),0)</f>
        <v>0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IFERROR(__xludf.DUMMYFUNCTION("""COMPUTED_VALUE"""),"Theory")</f>
        <v>Theory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IFERROR(__xludf.DUMMYFUNCTION("""COMPUTED_VALUE"""),"CS1504")</f>
        <v>CS1504</v>
      </c>
      <c r="E141" s="26" t="str">
        <f>IFERROR(__xludf.DUMMYFUNCTION("""COMPUTED_VALUE"""),"19CS504")</f>
        <v>19CS504</v>
      </c>
      <c r="F141" s="27" t="str">
        <f>IFERROR(__xludf.DUMMYFUNCTION("""COMPUTED_VALUE"""),"Software Project Management")</f>
        <v>Software Project Management</v>
      </c>
      <c r="G141" s="26" t="str">
        <f>IFERROR(__xludf.DUMMYFUNCTION("""COMPUTED_VALUE"""),"19CS408")</f>
        <v>19CS408</v>
      </c>
      <c r="H141" s="26">
        <f>IFERROR(__xludf.DUMMYFUNCTION("""COMPUTED_VALUE"""),3)</f>
        <v>3</v>
      </c>
      <c r="I141" s="26">
        <f>IFERROR(__xludf.DUMMYFUNCTION("""COMPUTED_VALUE"""),0)</f>
        <v>0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IFERROR(__xludf.DUMMYFUNCTION("""COMPUTED_VALUE"""),"Theory")</f>
        <v>Theory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IFERROR(__xludf.DUMMYFUNCTION("""COMPUTED_VALUE"""),"CS1505")</f>
        <v>CS1505</v>
      </c>
      <c r="E142" s="26" t="str">
        <f>IFERROR(__xludf.DUMMYFUNCTION("""COMPUTED_VALUE"""),"19CS505")</f>
        <v>19CS505</v>
      </c>
      <c r="F142" s="27" t="str">
        <f>IFERROR(__xludf.DUMMYFUNCTION("""COMPUTED_VALUE"""),"Service Oriented Architecture")</f>
        <v>Service Oriented Architecture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IFERROR(__xludf.DUMMYFUNCTION("""COMPUTED_VALUE"""),0)</f>
        <v>0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IFERROR(__xludf.DUMMYFUNCTION("""COMPUTED_VALUE"""),"Theory")</f>
        <v>Theory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IFERROR(__xludf.DUMMYFUNCTION("""COMPUTED_VALUE"""),"CS1506")</f>
        <v>CS1506</v>
      </c>
      <c r="E143" s="26" t="str">
        <f>IFERROR(__xludf.DUMMYFUNCTION("""COMPUTED_VALUE"""),"19CS506")</f>
        <v>19CS506</v>
      </c>
      <c r="F143" s="27" t="str">
        <f>IFERROR(__xludf.DUMMYFUNCTION("""COMPUTED_VALUE"""),"Multicore Architecture")</f>
        <v>Multicore Architecture</v>
      </c>
      <c r="G143" s="26" t="str">
        <f>IFERROR(__xludf.DUMMYFUNCTION("""COMPUTED_VALUE"""),"19CS305")</f>
        <v>19CS305</v>
      </c>
      <c r="H143" s="26">
        <f>IFERROR(__xludf.DUMMYFUNCTION("""COMPUTED_VALUE"""),3)</f>
        <v>3</v>
      </c>
      <c r="I143" s="26">
        <f>IFERROR(__xludf.DUMMYFUNCTION("""COMPUTED_VALUE"""),0)</f>
        <v>0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IFERROR(__xludf.DUMMYFUNCTION("""COMPUTED_VALUE"""),"Theory")</f>
        <v>Theory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IFERROR(__xludf.DUMMYFUNCTION("""COMPUTED_VALUE"""),"CS1507")</f>
        <v>CS1507</v>
      </c>
      <c r="E144" s="26" t="str">
        <f>IFERROR(__xludf.DUMMYFUNCTION("""COMPUTED_VALUE"""),"19CS507")</f>
        <v>19CS507</v>
      </c>
      <c r="F144" s="27" t="str">
        <f>IFERROR(__xludf.DUMMYFUNCTION("""COMPUTED_VALUE"""),"Human Computer Interaction")</f>
        <v>Human Computer Interaction</v>
      </c>
      <c r="G144" s="26" t="str">
        <f>IFERROR(__xludf.DUMMYFUNCTION("""COMPUTED_VALUE"""),"19CS502/19CS408")</f>
        <v>19CS502/19CS408</v>
      </c>
      <c r="H144" s="26">
        <f>IFERROR(__xludf.DUMMYFUNCTION("""COMPUTED_VALUE"""),3)</f>
        <v>3</v>
      </c>
      <c r="I144" s="26">
        <f>IFERROR(__xludf.DUMMYFUNCTION("""COMPUTED_VALUE"""),0)</f>
        <v>0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IFERROR(__xludf.DUMMYFUNCTION("""COMPUTED_VALUE"""),"CS1508")</f>
        <v>CS1508</v>
      </c>
      <c r="E145" s="26" t="str">
        <f>IFERROR(__xludf.DUMMYFUNCTION("""COMPUTED_VALUE"""),"19CS508")</f>
        <v>19CS508</v>
      </c>
      <c r="F145" s="27" t="str">
        <f>IFERROR(__xludf.DUMMYFUNCTION("""COMPUTED_VALUE"""),"Parallel and Distributed Systems")</f>
        <v>Parallel and Distributed Systems</v>
      </c>
      <c r="G145" s="26" t="str">
        <f>IFERROR(__xludf.DUMMYFUNCTION("""COMPUTED_VALUE"""),"19CS305/19CS401")</f>
        <v>19CS305/19CS401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IFERROR(__xludf.DUMMYFUNCTION("""COMPUTED_VALUE"""),"CS1509")</f>
        <v>CS1509</v>
      </c>
      <c r="E146" s="26" t="str">
        <f>IFERROR(__xludf.DUMMYFUNCTION("""COMPUTED_VALUE"""),"19CS509")</f>
        <v>19CS509</v>
      </c>
      <c r="F146" s="27" t="str">
        <f>IFERROR(__xludf.DUMMYFUNCTION("""COMPUTED_VALUE"""),"Graph Theory and Applications")</f>
        <v>Graph Theory and Applications</v>
      </c>
      <c r="G146" s="26" t="str">
        <f>IFERROR(__xludf.DUMMYFUNCTION("""COMPUTED_VALUE"""),"19MA206")</f>
        <v>19MA206</v>
      </c>
      <c r="H146" s="26">
        <f>IFERROR(__xludf.DUMMYFUNCTION("""COMPUTED_VALUE"""),3)</f>
        <v>3</v>
      </c>
      <c r="I146" s="26">
        <f>IFERROR(__xludf.DUMMYFUNCTION("""COMPUTED_VALUE"""),0)</f>
        <v>0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IFERROR(__xludf.DUMMYFUNCTION("""COMPUTED_VALUE"""),"CS1510")</f>
        <v>CS1510</v>
      </c>
      <c r="E147" s="26" t="str">
        <f>IFERROR(__xludf.DUMMYFUNCTION("""COMPUTED_VALUE"""),"19CS510")</f>
        <v>19CS510</v>
      </c>
      <c r="F147" s="27" t="str">
        <f>IFERROR(__xludf.DUMMYFUNCTION("""COMPUTED_VALUE"""),"Social Network Analysis")</f>
        <v>Social Network Analysis</v>
      </c>
      <c r="G147" s="26" t="str">
        <f>IFERROR(__xludf.DUMMYFUNCTION("""COMPUTED_VALUE"""),"19CS501/19CS413")</f>
        <v>19CS501/19CS413</v>
      </c>
      <c r="H147" s="26">
        <f>IFERROR(__xludf.DUMMYFUNCTION("""COMPUTED_VALUE"""),3)</f>
        <v>3</v>
      </c>
      <c r="I147" s="26">
        <f>IFERROR(__xludf.DUMMYFUNCTION("""COMPUTED_VALUE"""),0)</f>
        <v>0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IFERROR(__xludf.DUMMYFUNCTION("""COMPUTED_VALUE"""),"Theory")</f>
        <v>Theory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IFERROR(__xludf.DUMMYFUNCTION("""COMPUTED_VALUE"""),"CS1511")</f>
        <v>CS1511</v>
      </c>
      <c r="E148" s="26" t="str">
        <f>IFERROR(__xludf.DUMMYFUNCTION("""COMPUTED_VALUE"""),"19CS511")</f>
        <v>19CS511</v>
      </c>
      <c r="F148" s="27" t="str">
        <f>IFERROR(__xludf.DUMMYFUNCTION("""COMPUTED_VALUE"""),"Natural Language Processing")</f>
        <v>Natural Language Processing</v>
      </c>
      <c r="G148" s="26" t="str">
        <f>IFERROR(__xludf.DUMMYFUNCTION("""COMPUTED_VALUE"""),"19MA201")</f>
        <v>19MA201</v>
      </c>
      <c r="H148" s="26">
        <f>IFERROR(__xludf.DUMMYFUNCTION("""COMPUTED_VALUE"""),3)</f>
        <v>3</v>
      </c>
      <c r="I148" s="26">
        <f>IFERROR(__xludf.DUMMYFUNCTION("""COMPUTED_VALUE"""),0)</f>
        <v>0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IFERROR(__xludf.DUMMYFUNCTION("""COMPUTED_VALUE"""),"Theory")</f>
        <v>Theory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IFERROR(__xludf.DUMMYFUNCTION("""COMPUTED_VALUE"""),"CS1512")</f>
        <v>CS1512</v>
      </c>
      <c r="E149" s="26" t="str">
        <f>IFERROR(__xludf.DUMMYFUNCTION("""COMPUTED_VALUE"""),"19CS512")</f>
        <v>19CS512</v>
      </c>
      <c r="F149" s="27" t="str">
        <f>IFERROR(__xludf.DUMMYFUNCTION("""COMPUTED_VALUE"""),"Soft Computing")</f>
        <v>Soft Computing</v>
      </c>
      <c r="G149" s="26" t="str">
        <f>IFERROR(__xludf.DUMMYFUNCTION("""COMPUTED_VALUE"""),"19CS501/19AI410")</f>
        <v>19CS501/19AI410</v>
      </c>
      <c r="H149" s="26">
        <f>IFERROR(__xludf.DUMMYFUNCTION("""COMPUTED_VALUE"""),3)</f>
        <v>3</v>
      </c>
      <c r="I149" s="26">
        <f>IFERROR(__xludf.DUMMYFUNCTION("""COMPUTED_VALUE"""),0)</f>
        <v>0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IFERROR(__xludf.DUMMYFUNCTION("""COMPUTED_VALUE"""),"CS1513")</f>
        <v>CS1513</v>
      </c>
      <c r="E150" s="26" t="str">
        <f>IFERROR(__xludf.DUMMYFUNCTION("""COMPUTED_VALUE"""),"19CS513")</f>
        <v>19CS513</v>
      </c>
      <c r="F150" s="27" t="str">
        <f>IFERROR(__xludf.DUMMYFUNCTION("""COMPUTED_VALUE"""),"Green Computing")</f>
        <v>Green Computing</v>
      </c>
      <c r="G150" s="26" t="str">
        <f>IFERROR(__xludf.DUMMYFUNCTION("""COMPUTED_VALUE"""),"-")</f>
        <v>-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IFERROR(__xludf.DUMMYFUNCTION("""COMPUTED_VALUE"""),"CS1514")</f>
        <v>CS1514</v>
      </c>
      <c r="E151" s="26" t="str">
        <f>IFERROR(__xludf.DUMMYFUNCTION("""COMPUTED_VALUE"""),"19CS514")</f>
        <v>19CS514</v>
      </c>
      <c r="F151" s="27" t="str">
        <f>IFERROR(__xludf.DUMMYFUNCTION("""COMPUTED_VALUE"""),"Network Management Systems")</f>
        <v>Network Management Systems</v>
      </c>
      <c r="G151" s="26" t="str">
        <f>IFERROR(__xludf.DUMMYFUNCTION("""COMPUTED_VALUE"""),"19CS406")</f>
        <v>19CS406</v>
      </c>
      <c r="H151" s="26">
        <f>IFERROR(__xludf.DUMMYFUNCTION("""COMPUTED_VALUE"""),3)</f>
        <v>3</v>
      </c>
      <c r="I151" s="26">
        <f>IFERROR(__xludf.DUMMYFUNCTION("""COMPUTED_VALUE"""),0)</f>
        <v>0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IFERROR(__xludf.DUMMYFUNCTION("""COMPUTED_VALUE"""),"Theory")</f>
        <v>Theory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IFERROR(__xludf.DUMMYFUNCTION("""COMPUTED_VALUE"""),"CS1515")</f>
        <v>CS1515</v>
      </c>
      <c r="E152" s="26" t="str">
        <f>IFERROR(__xludf.DUMMYFUNCTION("""COMPUTED_VALUE"""),"19CS515")</f>
        <v>19CS515</v>
      </c>
      <c r="F152" s="27" t="str">
        <f>IFERROR(__xludf.DUMMYFUNCTION("""COMPUTED_VALUE"""),"Block Chain Architecture and its Use Cases")</f>
        <v>Block Chain Architecture and its Use Cases</v>
      </c>
      <c r="G152" s="26" t="str">
        <f>IFERROR(__xludf.DUMMYFUNCTION("""COMPUTED_VALUE"""),"19CS412")</f>
        <v>19CS412</v>
      </c>
      <c r="H152" s="26">
        <f>IFERROR(__xludf.DUMMYFUNCTION("""COMPUTED_VALUE"""),3)</f>
        <v>3</v>
      </c>
      <c r="I152" s="26">
        <f>IFERROR(__xludf.DUMMYFUNCTION("""COMPUTED_VALUE"""),0)</f>
        <v>0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IFERROR(__xludf.DUMMYFUNCTION("""COMPUTED_VALUE"""),"Theory")</f>
        <v>Theory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IFERROR(__xludf.DUMMYFUNCTION("""COMPUTED_VALUE"""),"CS1516")</f>
        <v>CS1516</v>
      </c>
      <c r="E153" s="26" t="str">
        <f>IFERROR(__xludf.DUMMYFUNCTION("""COMPUTED_VALUE"""),"19CS516")</f>
        <v>19CS516</v>
      </c>
      <c r="F153" s="27" t="str">
        <f>IFERROR(__xludf.DUMMYFUNCTION("""COMPUTED_VALUE"""),"Software Testing and Quality Assurance")</f>
        <v>Software Testing and Quality Assurance</v>
      </c>
      <c r="G153" s="26" t="str">
        <f>IFERROR(__xludf.DUMMYFUNCTION("""COMPUTED_VALUE"""),"-")</f>
        <v>-</v>
      </c>
      <c r="H153" s="26">
        <f>IFERROR(__xludf.DUMMYFUNCTION("""COMPUTED_VALUE"""),3)</f>
        <v>3</v>
      </c>
      <c r="I153" s="26">
        <f>IFERROR(__xludf.DUMMYFUNCTION("""COMPUTED_VALUE"""),0)</f>
        <v>0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IFERROR(__xludf.DUMMYFUNCTION("""COMPUTED_VALUE"""),"Theory")</f>
        <v>Theory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IFERROR(__xludf.DUMMYFUNCTION("""COMPUTED_VALUE"""),"CS1517")</f>
        <v>CS1517</v>
      </c>
      <c r="E154" s="26" t="str">
        <f>IFERROR(__xludf.DUMMYFUNCTION("""COMPUTED_VALUE"""),"19CS517")</f>
        <v>19CS517</v>
      </c>
      <c r="F154" s="27" t="str">
        <f>IFERROR(__xludf.DUMMYFUNCTION("""COMPUTED_VALUE"""),"Mobile Computing")</f>
        <v>Mobile Computing</v>
      </c>
      <c r="G154" s="26" t="str">
        <f>IFERROR(__xludf.DUMMYFUNCTION("""COMPUTED_VALUE"""),"19CS406")</f>
        <v>19CS406</v>
      </c>
      <c r="H154" s="26">
        <f>IFERROR(__xludf.DUMMYFUNCTION("""COMPUTED_VALUE"""),3)</f>
        <v>3</v>
      </c>
      <c r="I154" s="26">
        <f>IFERROR(__xludf.DUMMYFUNCTION("""COMPUTED_VALUE"""),0)</f>
        <v>0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IFERROR(__xludf.DUMMYFUNCTION("""COMPUTED_VALUE"""),"Theory")</f>
        <v>Theory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IFERROR(__xludf.DUMMYFUNCTION("""COMPUTED_VALUE"""),"CS1518")</f>
        <v>CS1518</v>
      </c>
      <c r="E155" s="26" t="str">
        <f>IFERROR(__xludf.DUMMYFUNCTION("""COMPUTED_VALUE"""),"19CS518")</f>
        <v>19CS518</v>
      </c>
      <c r="F155" s="27" t="str">
        <f>IFERROR(__xludf.DUMMYFUNCTION("""COMPUTED_VALUE"""),"Game Design and Development")</f>
        <v>Game Design and Development</v>
      </c>
      <c r="G155" s="26" t="str">
        <f>IFERROR(__xludf.DUMMYFUNCTION("""COMPUTED_VALUE"""),"19CS502")</f>
        <v>19CS502</v>
      </c>
      <c r="H155" s="26">
        <f>IFERROR(__xludf.DUMMYFUNCTION("""COMPUTED_VALUE"""),3)</f>
        <v>3</v>
      </c>
      <c r="I155" s="26">
        <f>IFERROR(__xludf.DUMMYFUNCTION("""COMPUTED_VALUE"""),0)</f>
        <v>0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IFERROR(__xludf.DUMMYFUNCTION("""COMPUTED_VALUE"""),"CS1519")</f>
        <v>CS1519</v>
      </c>
      <c r="E156" s="26" t="str">
        <f>IFERROR(__xludf.DUMMYFUNCTION("""COMPUTED_VALUE"""),"19CS519")</f>
        <v>19CS519</v>
      </c>
      <c r="F156" s="27" t="str">
        <f>IFERROR(__xludf.DUMMYFUNCTION("""COMPUTED_VALUE"""),"Data Science")</f>
        <v>Data Science</v>
      </c>
      <c r="G156" s="26" t="str">
        <f>IFERROR(__xludf.DUMMYFUNCTION("""COMPUTED_VALUE"""),"19CS301/19CS501")</f>
        <v>19CS301/19CS501</v>
      </c>
      <c r="H156" s="26">
        <f>IFERROR(__xludf.DUMMYFUNCTION("""COMPUTED_VALUE"""),3)</f>
        <v>3</v>
      </c>
      <c r="I156" s="26">
        <f>IFERROR(__xludf.DUMMYFUNCTION("""COMPUTED_VALUE"""),0)</f>
        <v>0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IFERROR(__xludf.DUMMYFUNCTION("""COMPUTED_VALUE"""),"CS1520")</f>
        <v>CS1520</v>
      </c>
      <c r="E157" s="26" t="str">
        <f>IFERROR(__xludf.DUMMYFUNCTION("""COMPUTED_VALUE"""),"19CS520")</f>
        <v>19CS520</v>
      </c>
      <c r="F157" s="27" t="str">
        <f>IFERROR(__xludf.DUMMYFUNCTION("""COMPUTED_VALUE"""),"Big Data Analytics")</f>
        <v>Big Data Analytics</v>
      </c>
      <c r="G157" s="26" t="str">
        <f>IFERROR(__xludf.DUMMYFUNCTION("""COMPUTED_VALUE"""),"19CS411/19CS519")</f>
        <v>19CS411/19CS519</v>
      </c>
      <c r="H157" s="26">
        <f>IFERROR(__xludf.DUMMYFUNCTION("""COMPUTED_VALUE"""),3)</f>
        <v>3</v>
      </c>
      <c r="I157" s="26">
        <f>IFERROR(__xludf.DUMMYFUNCTION("""COMPUTED_VALUE"""),0)</f>
        <v>0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IFERROR(__xludf.DUMMYFUNCTION("""COMPUTED_VALUE"""),"Theory")</f>
        <v>Theory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IFERROR(__xludf.DUMMYFUNCTION("""COMPUTED_VALUE"""),"CS1521")</f>
        <v>CS1521</v>
      </c>
      <c r="E158" s="26" t="str">
        <f>IFERROR(__xludf.DUMMYFUNCTION("""COMPUTED_VALUE"""),"19CS521")</f>
        <v>19CS521</v>
      </c>
      <c r="F158" s="27" t="str">
        <f>IFERROR(__xludf.DUMMYFUNCTION("""COMPUTED_VALUE"""),"Data Warehousing and Data Mining")</f>
        <v>Data Warehousing and Data Mining</v>
      </c>
      <c r="G158" s="26" t="str">
        <f>IFERROR(__xludf.DUMMYFUNCTION("""COMPUTED_VALUE"""),"19CS404")</f>
        <v>19CS404</v>
      </c>
      <c r="H158" s="26">
        <f>IFERROR(__xludf.DUMMYFUNCTION("""COMPUTED_VALUE"""),3)</f>
        <v>3</v>
      </c>
      <c r="I158" s="26">
        <f>IFERROR(__xludf.DUMMYFUNCTION("""COMPUTED_VALUE"""),0)</f>
        <v>0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IFERROR(__xludf.DUMMYFUNCTION("""COMPUTED_VALUE"""),"CS1522")</f>
        <v>CS1522</v>
      </c>
      <c r="E159" s="26" t="str">
        <f>IFERROR(__xludf.DUMMYFUNCTION("""COMPUTED_VALUE"""),"19CS522")</f>
        <v>19CS522</v>
      </c>
      <c r="F159" s="27" t="str">
        <f>IFERROR(__xludf.DUMMYFUNCTION("""COMPUTED_VALUE"""),"Advanced Database Management System")</f>
        <v>Advanced Database Management System</v>
      </c>
      <c r="G159" s="26" t="str">
        <f>IFERROR(__xludf.DUMMYFUNCTION("""COMPUTED_VALUE"""),"19CS404")</f>
        <v>19CS404</v>
      </c>
      <c r="H159" s="26">
        <f>IFERROR(__xludf.DUMMYFUNCTION("""COMPUTED_VALUE"""),3)</f>
        <v>3</v>
      </c>
      <c r="I159" s="26">
        <f>IFERROR(__xludf.DUMMYFUNCTION("""COMPUTED_VALUE"""),1)</f>
        <v>1</v>
      </c>
      <c r="J159" s="26">
        <f>IFERROR(__xludf.DUMMYFUNCTION("""COMPUTED_VALUE"""),4)</f>
        <v>4</v>
      </c>
      <c r="K159" s="26" t="str">
        <f>IFERROR(__xludf.DUMMYFUNCTION("""COMPUTED_VALUE"""),"CGPA")</f>
        <v>CGPA</v>
      </c>
      <c r="L159" s="26" t="str">
        <f>IFERROR(__xludf.DUMMYFUNCTION("""COMPUTED_VALUE"""),"TIP (6 Expts)")</f>
        <v>TIP (6 Expts)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IFERROR(__xludf.DUMMYFUNCTION("""COMPUTED_VALUE"""),"CS1523")</f>
        <v>CS1523</v>
      </c>
      <c r="E160" s="26" t="str">
        <f>IFERROR(__xludf.DUMMYFUNCTION("""COMPUTED_VALUE"""),"19CS523")</f>
        <v>19CS523</v>
      </c>
      <c r="F160" s="27" t="str">
        <f>IFERROR(__xludf.DUMMYFUNCTION("""COMPUTED_VALUE"""),"Information Retrieval")</f>
        <v>Information Retrieval</v>
      </c>
      <c r="G160" s="26" t="str">
        <f>IFERROR(__xludf.DUMMYFUNCTION("""COMPUTED_VALUE"""),"19AI410/ 19CS501/19CS413")</f>
        <v>19AI410/ 19CS501/19CS413</v>
      </c>
      <c r="H160" s="26">
        <f>IFERROR(__xludf.DUMMYFUNCTION("""COMPUTED_VALUE"""),3)</f>
        <v>3</v>
      </c>
      <c r="I160" s="26">
        <f>IFERROR(__xludf.DUMMYFUNCTION("""COMPUTED_VALUE"""),0)</f>
        <v>0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IFERROR(__xludf.DUMMYFUNCTION("""COMPUTED_VALUE"""),"Theory")</f>
        <v>Theory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IFERROR(__xludf.DUMMYFUNCTION("""COMPUTED_VALUE"""),"CS1524")</f>
        <v>CS1524</v>
      </c>
      <c r="E161" s="26" t="str">
        <f>IFERROR(__xludf.DUMMYFUNCTION("""COMPUTED_VALUE"""),"19CS524")</f>
        <v>19CS524</v>
      </c>
      <c r="F161" s="27" t="str">
        <f>IFERROR(__xludf.DUMMYFUNCTION("""COMPUTED_VALUE"""),"Deep Learning")</f>
        <v>Deep Learning</v>
      </c>
      <c r="G161" s="26" t="str">
        <f>IFERROR(__xludf.DUMMYFUNCTION("""COMPUTED_VALUE"""),"19CS501")</f>
        <v>19CS501</v>
      </c>
      <c r="H161" s="26">
        <f>IFERROR(__xludf.DUMMYFUNCTION("""COMPUTED_VALUE"""),3)</f>
        <v>3</v>
      </c>
      <c r="I161" s="26">
        <f>IFERROR(__xludf.DUMMYFUNCTION("""COMPUTED_VALUE"""),0)</f>
        <v>0</v>
      </c>
      <c r="J161" s="26">
        <f>IFERROR(__xludf.DUMMYFUNCTION("""COMPUTED_VALUE"""),3)</f>
        <v>3</v>
      </c>
      <c r="K161" s="26" t="str">
        <f>IFERROR(__xludf.DUMMYFUNCTION("""COMPUTED_VALUE"""),"CGPA")</f>
        <v>CGPA</v>
      </c>
      <c r="L161" s="26" t="str">
        <f>IFERROR(__xludf.DUMMYFUNCTION("""COMPUTED_VALUE"""),"Theory")</f>
        <v>Theory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IFERROR(__xludf.DUMMYFUNCTION("""COMPUTED_VALUE"""),"CS1526")</f>
        <v>CS1526</v>
      </c>
      <c r="E162" s="26" t="str">
        <f>IFERROR(__xludf.DUMMYFUNCTION("""COMPUTED_VALUE"""),"19CS526")</f>
        <v>19CS526</v>
      </c>
      <c r="F162" s="26" t="str">
        <f>IFERROR(__xludf.DUMMYFUNCTION("""COMPUTED_VALUE"""),"R Programming")</f>
        <v>R Programming</v>
      </c>
      <c r="G162" s="26" t="str">
        <f>IFERROR(__xludf.DUMMYFUNCTION("""COMPUTED_VALUE"""),"19CS301/19CS303")</f>
        <v>19CS301/19CS303</v>
      </c>
      <c r="H162" s="26">
        <f>IFERROR(__xludf.DUMMYFUNCTION("""COMPUTED_VALUE"""),2)</f>
        <v>2</v>
      </c>
      <c r="I162" s="26">
        <f>IFERROR(__xludf.DUMMYFUNCTION("""COMPUTED_VALUE"""),1)</f>
        <v>1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IFERROR(__xludf.DUMMYFUNCTION("""COMPUTED_VALUE"""),"TIP (6 Expts)")</f>
        <v>TIP (6 Expts)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IFERROR(__xludf.DUMMYFUNCTION("""COMPUTED_VALUE"""),"CS1528")</f>
        <v>CS1528</v>
      </c>
      <c r="E163" s="26" t="str">
        <f>IFERROR(__xludf.DUMMYFUNCTION("""COMPUTED_VALUE"""),"19CS528")</f>
        <v>19CS528</v>
      </c>
      <c r="F163" s="27" t="str">
        <f>IFERROR(__xludf.DUMMYFUNCTION("""COMPUTED_VALUE"""),"Robotics and its Applications")</f>
        <v>Robotics and its Applications</v>
      </c>
      <c r="G163" s="26" t="str">
        <f>IFERROR(__xludf.DUMMYFUNCTION("""COMPUTED_VALUE"""),"19CS302/19EC408")</f>
        <v>19CS302/19EC408</v>
      </c>
      <c r="H163" s="26">
        <f>IFERROR(__xludf.DUMMYFUNCTION("""COMPUTED_VALUE"""),3)</f>
        <v>3</v>
      </c>
      <c r="I163" s="26">
        <f>IFERROR(__xludf.DUMMYFUNCTION("""COMPUTED_VALUE"""),0)</f>
        <v>0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IFERROR(__xludf.DUMMYFUNCTION("""COMPUTED_VALUE"""),"Theory")</f>
        <v>Theory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IFERROR(__xludf.DUMMYFUNCTION("""COMPUTED_VALUE"""),"CS1529")</f>
        <v>CS1529</v>
      </c>
      <c r="E164" s="26" t="str">
        <f>IFERROR(__xludf.DUMMYFUNCTION("""COMPUTED_VALUE"""),"19CS529")</f>
        <v>19CS529</v>
      </c>
      <c r="F164" s="27" t="str">
        <f>IFERROR(__xludf.DUMMYFUNCTION("""COMPUTED_VALUE"""),"Quantum Computing")</f>
        <v>Quantum Computing</v>
      </c>
      <c r="G164" s="26" t="str">
        <f>IFERROR(__xludf.DUMMYFUNCTION("""COMPUTED_VALUE"""),"19CS301/19CS303")</f>
        <v>19CS301/19CS303</v>
      </c>
      <c r="H164" s="26">
        <f>IFERROR(__xludf.DUMMYFUNCTION("""COMPUTED_VALUE"""),3)</f>
        <v>3</v>
      </c>
      <c r="I164" s="26">
        <f>IFERROR(__xludf.DUMMYFUNCTION("""COMPUTED_VALUE"""),0)</f>
        <v>0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IFERROR(__xludf.DUMMYFUNCTION("""COMPUTED_VALUE"""),"Theory")</f>
        <v>Theory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IFERROR(__xludf.DUMMYFUNCTION("""COMPUTED_VALUE"""),"CS1530")</f>
        <v>CS1530</v>
      </c>
      <c r="E165" s="26" t="str">
        <f>IFERROR(__xludf.DUMMYFUNCTION("""COMPUTED_VALUE"""),"19CS530")</f>
        <v>19CS530</v>
      </c>
      <c r="F165" s="27" t="str">
        <f>IFERROR(__xludf.DUMMYFUNCTION("""COMPUTED_VALUE"""),"Cyber Security")</f>
        <v>Cyber Security</v>
      </c>
      <c r="G165" s="26" t="str">
        <f>IFERROR(__xludf.DUMMYFUNCTION("""COMPUTED_VALUE"""),"19CS412")</f>
        <v>19CS412</v>
      </c>
      <c r="H165" s="26">
        <f>IFERROR(__xludf.DUMMYFUNCTION("""COMPUTED_VALUE"""),3)</f>
        <v>3</v>
      </c>
      <c r="I165" s="26">
        <f>IFERROR(__xludf.DUMMYFUNCTION("""COMPUTED_VALUE"""),0)</f>
        <v>0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IFERROR(__xludf.DUMMYFUNCTION("""COMPUTED_VALUE"""),"Theory")</f>
        <v>Theory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IFERROR(__xludf.DUMMYFUNCTION("""COMPUTED_VALUE"""),"CS1531")</f>
        <v>CS1531</v>
      </c>
      <c r="E166" s="26" t="str">
        <f>IFERROR(__xludf.DUMMYFUNCTION("""COMPUTED_VALUE"""),"19CS531")</f>
        <v>19CS531</v>
      </c>
      <c r="F166" s="27" t="str">
        <f>IFERROR(__xludf.DUMMYFUNCTION("""COMPUTED_VALUE"""),"Virtual Reality")</f>
        <v>Virtual Reality</v>
      </c>
      <c r="G166" s="26" t="str">
        <f>IFERROR(__xludf.DUMMYFUNCTION("""COMPUTED_VALUE"""),"19CS401/19CS301")</f>
        <v>19CS401/19CS301</v>
      </c>
      <c r="H166" s="26">
        <f>IFERROR(__xludf.DUMMYFUNCTION("""COMPUTED_VALUE"""),3)</f>
        <v>3</v>
      </c>
      <c r="I166" s="26">
        <f>IFERROR(__xludf.DUMMYFUNCTION("""COMPUTED_VALUE"""),0)</f>
        <v>0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IFERROR(__xludf.DUMMYFUNCTION("""COMPUTED_VALUE"""),"Theory")</f>
        <v>Theory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IFERROR(__xludf.DUMMYFUNCTION("""COMPUTED_VALUE"""),"CS1532")</f>
        <v>CS1532</v>
      </c>
      <c r="E167" s="26" t="str">
        <f>IFERROR(__xludf.DUMMYFUNCTION("""COMPUTED_VALUE"""),"19CS532")</f>
        <v>19CS532</v>
      </c>
      <c r="F167" s="27" t="str">
        <f>IFERROR(__xludf.DUMMYFUNCTION("""COMPUTED_VALUE"""),"Professional Readiness for Innovation, Employability and Entrepreneurship")</f>
        <v>Professional Readiness for Innovation, Employability and Entrepreneurship</v>
      </c>
      <c r="G167" s="26" t="str">
        <f>IFERROR(__xludf.DUMMYFUNCTION("""COMPUTED_VALUE"""),"-")</f>
        <v>-</v>
      </c>
      <c r="H167" s="26">
        <f>IFERROR(__xludf.DUMMYFUNCTION("""COMPUTED_VALUE"""),0)</f>
        <v>0</v>
      </c>
      <c r="I167" s="26">
        <f>IFERROR(__xludf.DUMMYFUNCTION("""COMPUTED_VALUE"""),3)</f>
        <v>3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IFERROR(__xludf.DUMMYFUNCTION("""COMPUTED_VALUE"""),"Practical (10 Expts)")</f>
        <v>Practical (10 Expts)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IFERROR(__xludf.DUMMYFUNCTION("""COMPUTED_VALUE"""),"CS1533")</f>
        <v>CS1533</v>
      </c>
      <c r="E168" s="26" t="str">
        <f>IFERROR(__xludf.DUMMYFUNCTION("""COMPUTED_VALUE"""),"19CS533")</f>
        <v>19CS533</v>
      </c>
      <c r="F168" s="27" t="str">
        <f>IFERROR(__xludf.DUMMYFUNCTION("""COMPUTED_VALUE"""),"Information Security Intelligence and Analytics using Big Data")</f>
        <v>Information Security Intelligence and Analytics using Big Data</v>
      </c>
      <c r="G168" s="26" t="str">
        <f>IFERROR(__xludf.DUMMYFUNCTION("""COMPUTED_VALUE"""),"-")</f>
        <v>-</v>
      </c>
      <c r="H168" s="26">
        <f>IFERROR(__xludf.DUMMYFUNCTION("""COMPUTED_VALUE"""),2)</f>
        <v>2</v>
      </c>
      <c r="I168" s="26">
        <f>IFERROR(__xludf.DUMMYFUNCTION("""COMPUTED_VALUE"""),1)</f>
        <v>1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IFERROR(__xludf.DUMMYFUNCTION("""COMPUTED_VALUE"""),"TIP (6 Expts)")</f>
        <v>TIP (6 Expts)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IFERROR(__xludf.DUMMYFUNCTION("""COMPUTED_VALUE"""),"CS1534")</f>
        <v>CS1534</v>
      </c>
      <c r="E169" s="26" t="str">
        <f>IFERROR(__xludf.DUMMYFUNCTION("""COMPUTED_VALUE"""),"19CS534")</f>
        <v>19CS534</v>
      </c>
      <c r="F169" s="27" t="str">
        <f>IFERROR(__xludf.DUMMYFUNCTION("""COMPUTED_VALUE"""),"Prevention Methodology for Cybersecurity")</f>
        <v>Prevention Methodology for Cybersecurity</v>
      </c>
      <c r="G169" s="26" t="str">
        <f>IFERROR(__xludf.DUMMYFUNCTION("""COMPUTED_VALUE"""),"-")</f>
        <v>-</v>
      </c>
      <c r="H169" s="26">
        <f>IFERROR(__xludf.DUMMYFUNCTION("""COMPUTED_VALUE"""),2)</f>
        <v>2</v>
      </c>
      <c r="I169" s="26">
        <f>IFERROR(__xludf.DUMMYFUNCTION("""COMPUTED_VALUE"""),1)</f>
        <v>1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IFERROR(__xludf.DUMMYFUNCTION("""COMPUTED_VALUE"""),"TIP (6 Expts)")</f>
        <v>TIP (6 Expts)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IFERROR(__xludf.DUMMYFUNCTION("""COMPUTED_VALUE"""),"CS1535")</f>
        <v>CS1535</v>
      </c>
      <c r="E170" s="26" t="str">
        <f>IFERROR(__xludf.DUMMYFUNCTION("""COMPUTED_VALUE"""),"19CS535")</f>
        <v>19CS535</v>
      </c>
      <c r="F170" s="27" t="str">
        <f>IFERROR(__xludf.DUMMYFUNCTION("""COMPUTED_VALUE"""),"Trusted Network Systems")</f>
        <v>Trusted Network Systems</v>
      </c>
      <c r="G170" s="26" t="str">
        <f>IFERROR(__xludf.DUMMYFUNCTION("""COMPUTED_VALUE"""),"-")</f>
        <v>-</v>
      </c>
      <c r="H170" s="26">
        <f>IFERROR(__xludf.DUMMYFUNCTION("""COMPUTED_VALUE"""),3)</f>
        <v>3</v>
      </c>
      <c r="I170" s="26">
        <f>IFERROR(__xludf.DUMMYFUNCTION("""COMPUTED_VALUE"""),0)</f>
        <v>0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IFERROR(__xludf.DUMMYFUNCTION("""COMPUTED_VALUE"""),"Theory")</f>
        <v>Theory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IFERROR(__xludf.DUMMYFUNCTION("""COMPUTED_VALUE"""),"CS1536")</f>
        <v>CS1536</v>
      </c>
      <c r="E171" s="26" t="str">
        <f>IFERROR(__xludf.DUMMYFUNCTION("""COMPUTED_VALUE"""),"19CS536")</f>
        <v>19CS536</v>
      </c>
      <c r="F171" s="27" t="str">
        <f>IFERROR(__xludf.DUMMYFUNCTION("""COMPUTED_VALUE"""),"Firewalls and Intrusion Detection System")</f>
        <v>Firewalls and Intrusion Detection System</v>
      </c>
      <c r="G171" s="26" t="str">
        <f>IFERROR(__xludf.DUMMYFUNCTION("""COMPUTED_VALUE"""),"-")</f>
        <v>-</v>
      </c>
      <c r="H171" s="26">
        <f>IFERROR(__xludf.DUMMYFUNCTION("""COMPUTED_VALUE"""),2)</f>
        <v>2</v>
      </c>
      <c r="I171" s="26">
        <f>IFERROR(__xludf.DUMMYFUNCTION("""COMPUTED_VALUE"""),1)</f>
        <v>1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IFERROR(__xludf.DUMMYFUNCTION("""COMPUTED_VALUE"""),"TIP (6 Expts)")</f>
        <v>TIP (6 Expts)</v>
      </c>
      <c r="M171" s="26"/>
      <c r="N171" s="26"/>
      <c r="O171" s="26"/>
      <c r="P171" s="26"/>
      <c r="Q171" s="26"/>
      <c r="R171" s="26"/>
    </row>
    <row r="172" ht="13.2" spans="1:18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IFERROR(__xludf.DUMMYFUNCTION("""COMPUTED_VALUE"""),"CS1537")</f>
        <v>CS1537</v>
      </c>
      <c r="E172" s="26" t="str">
        <f>IFERROR(__xludf.DUMMYFUNCTION("""COMPUTED_VALUE"""),"19CS537")</f>
        <v>19CS537</v>
      </c>
      <c r="F172" s="27" t="str">
        <f>IFERROR(__xludf.DUMMYFUNCTION("""COMPUTED_VALUE"""),"Secure Software Engineering")</f>
        <v>Secure Software Engineering</v>
      </c>
      <c r="G172" s="26" t="str">
        <f>IFERROR(__xludf.DUMMYFUNCTION("""COMPUTED_VALUE"""),"-")</f>
        <v>-</v>
      </c>
      <c r="H172" s="26">
        <f>IFERROR(__xludf.DUMMYFUNCTION("""COMPUTED_VALUE"""),2)</f>
        <v>2</v>
      </c>
      <c r="I172" s="26">
        <f>IFERROR(__xludf.DUMMYFUNCTION("""COMPUTED_VALUE"""),1)</f>
        <v>1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IFERROR(__xludf.DUMMYFUNCTION("""COMPUTED_VALUE"""),"TIP (6 Expts)")</f>
        <v>TIP (6 Expts)</v>
      </c>
      <c r="M172" s="26"/>
      <c r="N172" s="26"/>
      <c r="O172" s="26"/>
      <c r="P172" s="26"/>
      <c r="Q172" s="26"/>
      <c r="R172" s="26"/>
    </row>
    <row r="173" ht="13.2" spans="1:18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IFERROR(__xludf.DUMMYFUNCTION("""COMPUTED_VALUE"""),"CS1538")</f>
        <v>CS1538</v>
      </c>
      <c r="E173" s="26" t="str">
        <f>IFERROR(__xludf.DUMMYFUNCTION("""COMPUTED_VALUE"""),"19CS538")</f>
        <v>19CS538</v>
      </c>
      <c r="F173" s="27" t="str">
        <f>IFERROR(__xludf.DUMMYFUNCTION("""COMPUTED_VALUE"""),"System Security")</f>
        <v>System Security</v>
      </c>
      <c r="G173" s="26" t="str">
        <f>IFERROR(__xludf.DUMMYFUNCTION("""COMPUTED_VALUE"""),"-")</f>
        <v>-</v>
      </c>
      <c r="H173" s="26">
        <f>IFERROR(__xludf.DUMMYFUNCTION("""COMPUTED_VALUE"""),3)</f>
        <v>3</v>
      </c>
      <c r="I173" s="26">
        <f>IFERROR(__xludf.DUMMYFUNCTION("""COMPUTED_VALUE"""),0)</f>
        <v>0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IFERROR(__xludf.DUMMYFUNCTION("""COMPUTED_VALUE"""),"Theory")</f>
        <v>Theory</v>
      </c>
      <c r="M173" s="26"/>
      <c r="N173" s="26"/>
      <c r="O173" s="26"/>
      <c r="P173" s="26"/>
      <c r="Q173" s="26"/>
      <c r="R173" s="26"/>
    </row>
    <row r="174" ht="13.2" spans="1:18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IFERROR(__xludf.DUMMYFUNCTION("""COMPUTED_VALUE"""),"CS1539")</f>
        <v>CS1539</v>
      </c>
      <c r="E174" s="26" t="str">
        <f>IFERROR(__xludf.DUMMYFUNCTION("""COMPUTED_VALUE"""),"19CS539")</f>
        <v>19CS539</v>
      </c>
      <c r="F174" s="27" t="str">
        <f>IFERROR(__xludf.DUMMYFUNCTION("""COMPUTED_VALUE"""),"Hardware Security")</f>
        <v>Hardware Security</v>
      </c>
      <c r="G174" s="26" t="str">
        <f>IFERROR(__xludf.DUMMYFUNCTION("""COMPUTED_VALUE"""),"-")</f>
        <v>-</v>
      </c>
      <c r="H174" s="26">
        <f>IFERROR(__xludf.DUMMYFUNCTION("""COMPUTED_VALUE"""),3)</f>
        <v>3</v>
      </c>
      <c r="I174" s="26">
        <f>IFERROR(__xludf.DUMMYFUNCTION("""COMPUTED_VALUE"""),0)</f>
        <v>0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IFERROR(__xludf.DUMMYFUNCTION("""COMPUTED_VALUE"""),"Theory")</f>
        <v>Theory</v>
      </c>
      <c r="M174" s="26"/>
      <c r="N174" s="26"/>
      <c r="O174" s="26"/>
      <c r="P174" s="26"/>
      <c r="Q174" s="26"/>
      <c r="R174" s="26"/>
    </row>
    <row r="175" ht="13.2" spans="1:18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IFERROR(__xludf.DUMMYFUNCTION("""COMPUTED_VALUE"""),"CS1540")</f>
        <v>CS1540</v>
      </c>
      <c r="E175" s="26" t="str">
        <f>IFERROR(__xludf.DUMMYFUNCTION("""COMPUTED_VALUE"""),"19CS540")</f>
        <v>19CS540</v>
      </c>
      <c r="F175" s="27" t="str">
        <f>IFERROR(__xludf.DUMMYFUNCTION("""COMPUTED_VALUE"""),"Fog Computing")</f>
        <v>Fog Computing</v>
      </c>
      <c r="G175" s="26" t="str">
        <f>IFERROR(__xludf.DUMMYFUNCTION("""COMPUTED_VALUE"""),"-")</f>
        <v>-</v>
      </c>
      <c r="H175" s="26">
        <f>IFERROR(__xludf.DUMMYFUNCTION("""COMPUTED_VALUE"""),3)</f>
        <v>3</v>
      </c>
      <c r="I175" s="26">
        <f>IFERROR(__xludf.DUMMYFUNCTION("""COMPUTED_VALUE"""),0)</f>
        <v>0</v>
      </c>
      <c r="J175" s="26">
        <f>IFERROR(__xludf.DUMMYFUNCTION("""COMPUTED_VALUE"""),3)</f>
        <v>3</v>
      </c>
      <c r="K175" s="26" t="str">
        <f>IFERROR(__xludf.DUMMYFUNCTION("""COMPUTED_VALUE"""),"CGPA")</f>
        <v>CGPA</v>
      </c>
      <c r="L175" s="26" t="str">
        <f>IFERROR(__xludf.DUMMYFUNCTION("""COMPUTED_VALUE"""),"Theory")</f>
        <v>Theory</v>
      </c>
      <c r="M175" s="26"/>
      <c r="N175" s="26"/>
      <c r="O175" s="26"/>
      <c r="P175" s="26"/>
      <c r="Q175" s="26"/>
      <c r="R175" s="26"/>
    </row>
    <row r="176" ht="13.2" spans="1:18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IFERROR(__xludf.DUMMYFUNCTION("""COMPUTED_VALUE"""),"CS4506")</f>
        <v>CS4506</v>
      </c>
      <c r="E176" s="26" t="str">
        <f>IFERROR(__xludf.DUMMYFUNCTION("""COMPUTED_VALUE"""),"19AM506")</f>
        <v>19AM506</v>
      </c>
      <c r="F176" s="27" t="str">
        <f>IFERROR(__xludf.DUMMYFUNCTION("""COMPUTED_VALUE"""),"Sensors and Actuators for IoT")</f>
        <v>Sensors and Actuators for IoT</v>
      </c>
      <c r="G176" s="26" t="str">
        <f>IFERROR(__xludf.DUMMYFUNCTION("""COMPUTED_VALUE"""),"-")</f>
        <v>-</v>
      </c>
      <c r="H176" s="26">
        <f>IFERROR(__xludf.DUMMYFUNCTION("""COMPUTED_VALUE"""),2)</f>
        <v>2</v>
      </c>
      <c r="I176" s="26">
        <f>IFERROR(__xludf.DUMMYFUNCTION("""COMPUTED_VALUE"""),1)</f>
        <v>1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IFERROR(__xludf.DUMMYFUNCTION("""COMPUTED_VALUE"""),"TIP (6 Expts)")</f>
        <v>TIP (6 Expts)</v>
      </c>
      <c r="M176" s="26"/>
      <c r="N176" s="26"/>
      <c r="O176" s="26"/>
      <c r="P176" s="26"/>
      <c r="Q176" s="26"/>
      <c r="R176" s="26"/>
    </row>
    <row r="177" ht="13.2" spans="1:18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IFERROR(__xludf.DUMMYFUNCTION("""COMPUTED_VALUE"""),"CS1542")</f>
        <v>CS1542</v>
      </c>
      <c r="E177" s="26" t="str">
        <f>IFERROR(__xludf.DUMMYFUNCTION("""COMPUTED_VALUE"""),"19CS542")</f>
        <v>19CS542</v>
      </c>
      <c r="F177" s="27" t="str">
        <f>IFERROR(__xludf.DUMMYFUNCTION("""COMPUTED_VALUE"""),"Embedded Board Design")</f>
        <v>Embedded Board Design</v>
      </c>
      <c r="G177" s="26" t="str">
        <f>IFERROR(__xludf.DUMMYFUNCTION("""COMPUTED_VALUE"""),"-")</f>
        <v>-</v>
      </c>
      <c r="H177" s="26">
        <f>IFERROR(__xludf.DUMMYFUNCTION("""COMPUTED_VALUE"""),2)</f>
        <v>2</v>
      </c>
      <c r="I177" s="26">
        <f>IFERROR(__xludf.DUMMYFUNCTION("""COMPUTED_VALUE"""),1)</f>
        <v>1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IFERROR(__xludf.DUMMYFUNCTION("""COMPUTED_VALUE"""),"TIP (6 Expts)")</f>
        <v>TIP (6 Expts)</v>
      </c>
      <c r="M177" s="26"/>
      <c r="N177" s="26"/>
      <c r="O177" s="26"/>
      <c r="P177" s="26"/>
      <c r="Q177" s="26"/>
      <c r="R177" s="26"/>
    </row>
    <row r="178" ht="13.2" spans="1:18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IFERROR(__xludf.DUMMYFUNCTION("""COMPUTED_VALUE"""),"CS1543")</f>
        <v>CS1543</v>
      </c>
      <c r="E178" s="26" t="str">
        <f>IFERROR(__xludf.DUMMYFUNCTION("""COMPUTED_VALUE"""),"19CS543")</f>
        <v>19CS543</v>
      </c>
      <c r="F178" s="27" t="str">
        <f>IFERROR(__xludf.DUMMYFUNCTION("""COMPUTED_VALUE"""),"Embedded Board Manufacturing")</f>
        <v>Embedded Board Manufacturing</v>
      </c>
      <c r="G178" s="26" t="str">
        <f>IFERROR(__xludf.DUMMYFUNCTION("""COMPUTED_VALUE"""),"-")</f>
        <v>-</v>
      </c>
      <c r="H178" s="26">
        <f>IFERROR(__xludf.DUMMYFUNCTION("""COMPUTED_VALUE"""),2)</f>
        <v>2</v>
      </c>
      <c r="I178" s="26">
        <f>IFERROR(__xludf.DUMMYFUNCTION("""COMPUTED_VALUE"""),1)</f>
        <v>1</v>
      </c>
      <c r="J178" s="26">
        <f>IFERROR(__xludf.DUMMYFUNCTION("""COMPUTED_VALUE"""),3)</f>
        <v>3</v>
      </c>
      <c r="K178" s="26" t="str">
        <f>IFERROR(__xludf.DUMMYFUNCTION("""COMPUTED_VALUE"""),"CGPA")</f>
        <v>CGPA</v>
      </c>
      <c r="L178" s="26" t="str">
        <f>IFERROR(__xludf.DUMMYFUNCTION("""COMPUTED_VALUE"""),"TIP (6 Expts)")</f>
        <v>TIP (6 Expts)</v>
      </c>
      <c r="M178" s="26"/>
      <c r="N178" s="26"/>
      <c r="O178" s="26"/>
      <c r="P178" s="26"/>
      <c r="Q178" s="26"/>
      <c r="R178" s="26"/>
    </row>
    <row r="179" ht="13.2" spans="1:18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IFERROR(__xludf.DUMMYFUNCTION("""COMPUTED_VALUE"""),"CS1544")</f>
        <v>CS1544</v>
      </c>
      <c r="E179" s="26" t="str">
        <f>IFERROR(__xludf.DUMMYFUNCTION("""COMPUTED_VALUE"""),"19CS544")</f>
        <v>19CS544</v>
      </c>
      <c r="F179" s="27" t="str">
        <f>IFERROR(__xludf.DUMMYFUNCTION("""COMPUTED_VALUE"""),"Realtime Operating System")</f>
        <v>Realtime Operating System</v>
      </c>
      <c r="G179" s="26" t="str">
        <f>IFERROR(__xludf.DUMMYFUNCTION("""COMPUTED_VALUE"""),"-")</f>
        <v>-</v>
      </c>
      <c r="H179" s="26">
        <f>IFERROR(__xludf.DUMMYFUNCTION("""COMPUTED_VALUE"""),2)</f>
        <v>2</v>
      </c>
      <c r="I179" s="26">
        <f>IFERROR(__xludf.DUMMYFUNCTION("""COMPUTED_VALUE"""),1)</f>
        <v>1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IFERROR(__xludf.DUMMYFUNCTION("""COMPUTED_VALUE"""),"TIP (6 Expts)")</f>
        <v>TIP (6 Expts)</v>
      </c>
      <c r="M179" s="26"/>
      <c r="N179" s="26"/>
      <c r="O179" s="26"/>
      <c r="P179" s="26"/>
      <c r="Q179" s="26"/>
      <c r="R179" s="26"/>
    </row>
    <row r="180" ht="13.2" spans="1:18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IFERROR(__xludf.DUMMYFUNCTION("""COMPUTED_VALUE"""),"CS1545")</f>
        <v>CS1545</v>
      </c>
      <c r="E180" s="26" t="str">
        <f>IFERROR(__xludf.DUMMYFUNCTION("""COMPUTED_VALUE"""),"19CS545")</f>
        <v>19CS545</v>
      </c>
      <c r="F180" s="27" t="str">
        <f>IFERROR(__xludf.DUMMYFUNCTION("""COMPUTED_VALUE"""),"Open Source Operating System")</f>
        <v>Open Source Operating System</v>
      </c>
      <c r="G180" s="26" t="str">
        <f>IFERROR(__xludf.DUMMYFUNCTION("""COMPUTED_VALUE"""),"-")</f>
        <v>-</v>
      </c>
      <c r="H180" s="26">
        <f>IFERROR(__xludf.DUMMYFUNCTION("""COMPUTED_VALUE"""),2)</f>
        <v>2</v>
      </c>
      <c r="I180" s="26">
        <f>IFERROR(__xludf.DUMMYFUNCTION("""COMPUTED_VALUE"""),1)</f>
        <v>1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IFERROR(__xludf.DUMMYFUNCTION("""COMPUTED_VALUE"""),"TIP (6 Expts)")</f>
        <v>TIP (6 Expts)</v>
      </c>
      <c r="M180" s="26"/>
      <c r="N180" s="26"/>
      <c r="O180" s="26"/>
      <c r="P180" s="26"/>
      <c r="Q180" s="26"/>
      <c r="R180" s="26"/>
    </row>
    <row r="181" ht="13.2" spans="1:18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IFERROR(__xludf.DUMMYFUNCTION("""COMPUTED_VALUE"""),"CS1546")</f>
        <v>CS1546</v>
      </c>
      <c r="E181" s="26" t="str">
        <f>IFERROR(__xludf.DUMMYFUNCTION("""COMPUTED_VALUE"""),"19CS546")</f>
        <v>19CS546</v>
      </c>
      <c r="F181" s="27" t="str">
        <f>IFERROR(__xludf.DUMMYFUNCTION("""COMPUTED_VALUE"""),"Kernel Programming")</f>
        <v>Kernel Programming</v>
      </c>
      <c r="G181" s="26" t="str">
        <f>IFERROR(__xludf.DUMMYFUNCTION("""COMPUTED_VALUE"""),"-")</f>
        <v>-</v>
      </c>
      <c r="H181" s="26">
        <f>IFERROR(__xludf.DUMMYFUNCTION("""COMPUTED_VALUE"""),2)</f>
        <v>2</v>
      </c>
      <c r="I181" s="26">
        <f>IFERROR(__xludf.DUMMYFUNCTION("""COMPUTED_VALUE"""),1)</f>
        <v>1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IFERROR(__xludf.DUMMYFUNCTION("""COMPUTED_VALUE"""),"TIP (6 Expts)")</f>
        <v>TIP (6 Expts)</v>
      </c>
      <c r="M181" s="26"/>
      <c r="N181" s="26"/>
      <c r="O181" s="26"/>
      <c r="P181" s="26"/>
      <c r="Q181" s="26"/>
      <c r="R181" s="26"/>
    </row>
    <row r="182" ht="13.2" spans="1:18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IFERROR(__xludf.DUMMYFUNCTION("""COMPUTED_VALUE"""),"CS1547")</f>
        <v>CS1547</v>
      </c>
      <c r="E182" s="26" t="str">
        <f>IFERROR(__xludf.DUMMYFUNCTION("""COMPUTED_VALUE"""),"19CS547")</f>
        <v>19CS547</v>
      </c>
      <c r="F182" s="27" t="str">
        <f>IFERROR(__xludf.DUMMYFUNCTION("""COMPUTED_VALUE"""),"Fundamentals of Cryptocurrency")</f>
        <v>Fundamentals of Cryptocurrency</v>
      </c>
      <c r="G182" s="26" t="str">
        <f>IFERROR(__xludf.DUMMYFUNCTION("""COMPUTED_VALUE"""),"-")</f>
        <v>-</v>
      </c>
      <c r="H182" s="26">
        <f>IFERROR(__xludf.DUMMYFUNCTION("""COMPUTED_VALUE"""),3)</f>
        <v>3</v>
      </c>
      <c r="I182" s="26">
        <f>IFERROR(__xludf.DUMMYFUNCTION("""COMPUTED_VALUE"""),0)</f>
        <v>0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IFERROR(__xludf.DUMMYFUNCTION("""COMPUTED_VALUE"""),"Theory")</f>
        <v>Theory</v>
      </c>
      <c r="M182" s="26"/>
      <c r="N182" s="26"/>
      <c r="O182" s="26"/>
      <c r="P182" s="26"/>
      <c r="Q182" s="26"/>
      <c r="R182" s="26"/>
    </row>
    <row r="183" ht="13.2" spans="1:18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IFERROR(__xludf.DUMMYFUNCTION("""COMPUTED_VALUE"""),"CS1565")</f>
        <v>CS1565</v>
      </c>
      <c r="E183" s="26" t="str">
        <f>IFERROR(__xludf.DUMMYFUNCTION("""COMPUTED_VALUE"""),"19CS565")</f>
        <v>19CS565</v>
      </c>
      <c r="F183" s="27" t="str">
        <f>IFERROR(__xludf.DUMMYFUNCTION("""COMPUTED_VALUE"""),"Robotic Process Automation")</f>
        <v>Robotic Process Automation</v>
      </c>
      <c r="G183" s="26" t="str">
        <f>IFERROR(__xludf.DUMMYFUNCTION("""COMPUTED_VALUE"""),"-")</f>
        <v>-</v>
      </c>
      <c r="H183" s="26">
        <f>IFERROR(__xludf.DUMMYFUNCTION("""COMPUTED_VALUE"""),2)</f>
        <v>2</v>
      </c>
      <c r="I183" s="26">
        <f>IFERROR(__xludf.DUMMYFUNCTION("""COMPUTED_VALUE"""),1)</f>
        <v>1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IFERROR(__xludf.DUMMYFUNCTION("""COMPUTED_VALUE"""),"TIP (6 Expts)")</f>
        <v>TIP (6 Expts)</v>
      </c>
      <c r="M183" s="26"/>
      <c r="N183" s="26"/>
      <c r="O183" s="26"/>
      <c r="P183" s="26"/>
      <c r="Q183" s="26"/>
      <c r="R183" s="26"/>
    </row>
    <row r="184" ht="13.2" spans="1:18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IFERROR(__xludf.DUMMYFUNCTION("""COMPUTED_VALUE"""),"CS1566")</f>
        <v>CS1566</v>
      </c>
      <c r="E184" s="26" t="str">
        <f>IFERROR(__xludf.DUMMYFUNCTION("""COMPUTED_VALUE"""),"19CS566")</f>
        <v>19CS566</v>
      </c>
      <c r="F184" s="27" t="str">
        <f>IFERROR(__xludf.DUMMYFUNCTION("""COMPUTED_VALUE"""),"Software Project Management and Version Control")</f>
        <v>Software Project Management and Version Control</v>
      </c>
      <c r="G184" s="26" t="str">
        <f>IFERROR(__xludf.DUMMYFUNCTION("""COMPUTED_VALUE"""),"-")</f>
        <v>-</v>
      </c>
      <c r="H184" s="26">
        <f>IFERROR(__xludf.DUMMYFUNCTION("""COMPUTED_VALUE"""),3)</f>
        <v>3</v>
      </c>
      <c r="I184" s="26">
        <f>IFERROR(__xludf.DUMMYFUNCTION("""COMPUTED_VALUE"""),0)</f>
        <v>0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IFERROR(__xludf.DUMMYFUNCTION("""COMPUTED_VALUE"""),"Theory")</f>
        <v>Theory</v>
      </c>
      <c r="M184" s="26"/>
      <c r="N184" s="26"/>
      <c r="O184" s="26"/>
      <c r="P184" s="26"/>
      <c r="Q184" s="26"/>
      <c r="R184" s="26"/>
    </row>
    <row r="185" ht="13.2" spans="1:18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IFERROR(__xludf.DUMMYFUNCTION("""COMPUTED_VALUE"""),"CS1579")</f>
        <v>CS1579</v>
      </c>
      <c r="E185" s="26" t="str">
        <f>IFERROR(__xludf.DUMMYFUNCTION("""COMPUTED_VALUE"""),"19CS579")</f>
        <v>19CS579</v>
      </c>
      <c r="F185" s="27" t="str">
        <f>IFERROR(__xludf.DUMMYFUNCTION("""COMPUTED_VALUE"""),"Generative AI Application Development")</f>
        <v>Generative AI Application Development</v>
      </c>
      <c r="G185" s="26" t="str">
        <f>IFERROR(__xludf.DUMMYFUNCTION("""COMPUTED_VALUE"""),"-")</f>
        <v>-</v>
      </c>
      <c r="H185" s="26">
        <f>IFERROR(__xludf.DUMMYFUNCTION("""COMPUTED_VALUE"""),2)</f>
        <v>2</v>
      </c>
      <c r="I185" s="26">
        <f>IFERROR(__xludf.DUMMYFUNCTION("""COMPUTED_VALUE"""),1)</f>
        <v>1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IFERROR(__xludf.DUMMYFUNCTION("""COMPUTED_VALUE"""),"TIP (6 Expts)")</f>
        <v>TIP (6 Expts)</v>
      </c>
      <c r="M185" s="26"/>
      <c r="N185" s="26"/>
      <c r="O185" s="26"/>
      <c r="P185" s="26"/>
      <c r="Q185" s="26"/>
      <c r="R185" s="26"/>
    </row>
    <row r="186" ht="13.2" spans="1:18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IFERROR(__xludf.DUMMYFUNCTION("""COMPUTED_VALUE"""),"CS1568")</f>
        <v>CS1568</v>
      </c>
      <c r="E186" s="26" t="str">
        <f>IFERROR(__xludf.DUMMYFUNCTION("""COMPUTED_VALUE"""),"19CS568")</f>
        <v>19CS568</v>
      </c>
      <c r="F186" s="27" t="str">
        <f>IFERROR(__xludf.DUMMYFUNCTION("""COMPUTED_VALUE"""),"Fine Tuning Large Language Models")</f>
        <v>Fine Tuning Large Language Models</v>
      </c>
      <c r="G186" s="26" t="str">
        <f>IFERROR(__xludf.DUMMYFUNCTION("""COMPUTED_VALUE"""),"-")</f>
        <v>-</v>
      </c>
      <c r="H186" s="26">
        <f>IFERROR(__xludf.DUMMYFUNCTION("""COMPUTED_VALUE"""),3)</f>
        <v>3</v>
      </c>
      <c r="I186" s="26">
        <f>IFERROR(__xludf.DUMMYFUNCTION("""COMPUTED_VALUE"""),0)</f>
        <v>0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IFERROR(__xludf.DUMMYFUNCTION("""COMPUTED_VALUE"""),"Theory")</f>
        <v>Theory</v>
      </c>
      <c r="M186" s="26"/>
      <c r="N186" s="26"/>
      <c r="O186" s="26"/>
      <c r="P186" s="26"/>
      <c r="Q186" s="26"/>
      <c r="R186" s="26"/>
    </row>
    <row r="187" ht="13.2" spans="1:18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IFERROR(__xludf.DUMMYFUNCTION("""COMPUTED_VALUE"""),"CS1569")</f>
        <v>CS1569</v>
      </c>
      <c r="E187" s="26" t="str">
        <f>IFERROR(__xludf.DUMMYFUNCTION("""COMPUTED_VALUE"""),"19CS569")</f>
        <v>19CS569</v>
      </c>
      <c r="F187" s="27" t="str">
        <f>IFERROR(__xludf.DUMMYFUNCTION("""COMPUTED_VALUE"""),"Applied Data Science")</f>
        <v>Applied Data Science</v>
      </c>
      <c r="G187" s="26" t="str">
        <f>IFERROR(__xludf.DUMMYFUNCTION("""COMPUTED_VALUE"""),"-")</f>
        <v>-</v>
      </c>
      <c r="H187" s="26">
        <f>IFERROR(__xludf.DUMMYFUNCTION("""COMPUTED_VALUE"""),2)</f>
        <v>2</v>
      </c>
      <c r="I187" s="26">
        <f>IFERROR(__xludf.DUMMYFUNCTION("""COMPUTED_VALUE"""),1)</f>
        <v>1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IFERROR(__xludf.DUMMYFUNCTION("""COMPUTED_VALUE"""),"TIP (6 Expts)")</f>
        <v>TIP (6 Expts)</v>
      </c>
      <c r="M187" s="26"/>
      <c r="N187" s="26"/>
      <c r="O187" s="26"/>
      <c r="P187" s="26"/>
      <c r="Q187" s="26"/>
      <c r="R187" s="26"/>
    </row>
    <row r="188" ht="13.2" spans="1:18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IFERROR(__xludf.DUMMYFUNCTION("""COMPUTED_VALUE"""),"CS1570")</f>
        <v>CS1570</v>
      </c>
      <c r="E188" s="26" t="str">
        <f>IFERROR(__xludf.DUMMYFUNCTION("""COMPUTED_VALUE"""),"19CS570")</f>
        <v>19CS570</v>
      </c>
      <c r="F188" s="27" t="str">
        <f>IFERROR(__xludf.DUMMYFUNCTION("""COMPUTED_VALUE"""),"Entrepreneurship and Small Business Development")</f>
        <v>Entrepreneurship and Small Business Development</v>
      </c>
      <c r="G188" s="26" t="str">
        <f>IFERROR(__xludf.DUMMYFUNCTION("""COMPUTED_VALUE"""),"-")</f>
        <v>-</v>
      </c>
      <c r="H188" s="26">
        <f>IFERROR(__xludf.DUMMYFUNCTION("""COMPUTED_VALUE"""),2)</f>
        <v>2</v>
      </c>
      <c r="I188" s="26">
        <f>IFERROR(__xludf.DUMMYFUNCTION("""COMPUTED_VALUE"""),1)</f>
        <v>1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  <c r="P188" s="26"/>
      <c r="Q188" s="26"/>
      <c r="R188" s="26"/>
    </row>
    <row r="189" ht="13.2" spans="1:18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IFERROR(__xludf.DUMMYFUNCTION("""COMPUTED_VALUE"""),"CS1571")</f>
        <v>CS1571</v>
      </c>
      <c r="E189" s="26" t="str">
        <f>IFERROR(__xludf.DUMMYFUNCTION("""COMPUTED_VALUE"""),"19CS571")</f>
        <v>19CS571</v>
      </c>
      <c r="F189" s="27" t="str">
        <f>IFERROR(__xludf.DUMMYFUNCTION("""COMPUTED_VALUE"""),"Software Development and Operations")</f>
        <v>Software Development and Operations</v>
      </c>
      <c r="G189" s="26" t="str">
        <f>IFERROR(__xludf.DUMMYFUNCTION("""COMPUTED_VALUE"""),"-")</f>
        <v>-</v>
      </c>
      <c r="H189" s="26">
        <f>IFERROR(__xludf.DUMMYFUNCTION("""COMPUTED_VALUE"""),3)</f>
        <v>3</v>
      </c>
      <c r="I189" s="26">
        <f>IFERROR(__xludf.DUMMYFUNCTION("""COMPUTED_VALUE"""),0)</f>
        <v>0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IFERROR(__xludf.DUMMYFUNCTION("""COMPUTED_VALUE"""),"Theory")</f>
        <v>Theory</v>
      </c>
      <c r="M189" s="26"/>
      <c r="N189" s="26"/>
      <c r="O189" s="26"/>
      <c r="P189" s="26"/>
      <c r="Q189" s="26"/>
      <c r="R189" s="26"/>
    </row>
    <row r="190" ht="13.2" spans="1:18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IFERROR(__xludf.DUMMYFUNCTION("""COMPUTED_VALUE"""),"CS1572")</f>
        <v>CS1572</v>
      </c>
      <c r="E190" s="26" t="str">
        <f>IFERROR(__xludf.DUMMYFUNCTION("""COMPUTED_VALUE"""),"19CS572")</f>
        <v>19CS572</v>
      </c>
      <c r="F190" s="27" t="str">
        <f>IFERROR(__xludf.DUMMYFUNCTION("""COMPUTED_VALUE"""),"Serverless App Development")</f>
        <v>Serverless App Development</v>
      </c>
      <c r="G190" s="26" t="str">
        <f>IFERROR(__xludf.DUMMYFUNCTION("""COMPUTED_VALUE"""),"-")</f>
        <v>-</v>
      </c>
      <c r="H190" s="26">
        <f>IFERROR(__xludf.DUMMYFUNCTION("""COMPUTED_VALUE"""),3)</f>
        <v>3</v>
      </c>
      <c r="I190" s="26">
        <f>IFERROR(__xludf.DUMMYFUNCTION("""COMPUTED_VALUE"""),0)</f>
        <v>0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IFERROR(__xludf.DUMMYFUNCTION("""COMPUTED_VALUE"""),"Theory")</f>
        <v>Theory</v>
      </c>
      <c r="M190" s="26"/>
      <c r="N190" s="26"/>
      <c r="O190" s="26"/>
      <c r="P190" s="26"/>
      <c r="Q190" s="26"/>
      <c r="R190" s="26"/>
    </row>
    <row r="191" ht="13.2" spans="1:18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IFERROR(__xludf.DUMMYFUNCTION("""COMPUTED_VALUE"""),"CS1573")</f>
        <v>CS1573</v>
      </c>
      <c r="E191" s="26" t="str">
        <f>IFERROR(__xludf.DUMMYFUNCTION("""COMPUTED_VALUE"""),"19CS573")</f>
        <v>19CS573</v>
      </c>
      <c r="F191" s="27" t="str">
        <f>IFERROR(__xludf.DUMMYFUNCTION("""COMPUTED_VALUE"""),"Enterprise Cloud Architecture")</f>
        <v>Enterprise Cloud Architecture</v>
      </c>
      <c r="G191" s="26" t="str">
        <f>IFERROR(__xludf.DUMMYFUNCTION("""COMPUTED_VALUE"""),"-")</f>
        <v>-</v>
      </c>
      <c r="H191" s="26">
        <f>IFERROR(__xludf.DUMMYFUNCTION("""COMPUTED_VALUE"""),3)</f>
        <v>3</v>
      </c>
      <c r="I191" s="26">
        <f>IFERROR(__xludf.DUMMYFUNCTION("""COMPUTED_VALUE"""),0)</f>
        <v>0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IFERROR(__xludf.DUMMYFUNCTION("""COMPUTED_VALUE"""),"Theory")</f>
        <v>Theory</v>
      </c>
      <c r="M191" s="26"/>
      <c r="N191" s="26"/>
      <c r="O191" s="26"/>
      <c r="P191" s="26"/>
      <c r="Q191" s="26"/>
      <c r="R191" s="26"/>
    </row>
    <row r="192" ht="13.2" spans="1:18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IFERROR(__xludf.DUMMYFUNCTION("""COMPUTED_VALUE"""),"CS1574")</f>
        <v>CS1574</v>
      </c>
      <c r="E192" s="26" t="str">
        <f>IFERROR(__xludf.DUMMYFUNCTION("""COMPUTED_VALUE"""),"19CS574")</f>
        <v>19CS574</v>
      </c>
      <c r="F192" s="27" t="str">
        <f>IFERROR(__xludf.DUMMYFUNCTION("""COMPUTED_VALUE"""),"Advanced Class Design and Object-Oriented Techniques")</f>
        <v>Advanced Class Design and Object-Oriented Techniques</v>
      </c>
      <c r="G192" s="26" t="str">
        <f>IFERROR(__xludf.DUMMYFUNCTION("""COMPUTED_VALUE"""),"-")</f>
        <v>-</v>
      </c>
      <c r="H192" s="26">
        <f>IFERROR(__xludf.DUMMYFUNCTION("""COMPUTED_VALUE"""),3)</f>
        <v>3</v>
      </c>
      <c r="I192" s="26">
        <f>IFERROR(__xludf.DUMMYFUNCTION("""COMPUTED_VALUE"""),0)</f>
        <v>0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IFERROR(__xludf.DUMMYFUNCTION("""COMPUTED_VALUE"""),"Theory")</f>
        <v>Theory</v>
      </c>
      <c r="M192" s="26"/>
      <c r="N192" s="26"/>
      <c r="O192" s="26"/>
      <c r="P192" s="26"/>
      <c r="Q192" s="26"/>
      <c r="R192" s="26"/>
    </row>
    <row r="193" ht="13.2" spans="1:18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IFERROR(__xludf.DUMMYFUNCTION("""COMPUTED_VALUE"""),"CS1575")</f>
        <v>CS1575</v>
      </c>
      <c r="E193" s="26" t="str">
        <f>IFERROR(__xludf.DUMMYFUNCTION("""COMPUTED_VALUE"""),"19CS575")</f>
        <v>19CS575</v>
      </c>
      <c r="F193" s="27" t="str">
        <f>IFERROR(__xludf.DUMMYFUNCTION("""COMPUTED_VALUE"""),"Low-Code App Development")</f>
        <v>Low-Code App Development</v>
      </c>
      <c r="G193" s="26" t="str">
        <f>IFERROR(__xludf.DUMMYFUNCTION("""COMPUTED_VALUE"""),"-")</f>
        <v>-</v>
      </c>
      <c r="H193" s="26">
        <f>IFERROR(__xludf.DUMMYFUNCTION("""COMPUTED_VALUE"""),3)</f>
        <v>3</v>
      </c>
      <c r="I193" s="26">
        <f>IFERROR(__xludf.DUMMYFUNCTION("""COMPUTED_VALUE"""),0)</f>
        <v>0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IFERROR(__xludf.DUMMYFUNCTION("""COMPUTED_VALUE"""),"Theory")</f>
        <v>Theory</v>
      </c>
      <c r="M193" s="26"/>
      <c r="N193" s="26"/>
      <c r="O193" s="26"/>
      <c r="P193" s="26"/>
      <c r="Q193" s="26"/>
      <c r="R193" s="26"/>
    </row>
    <row r="194" ht="13.2" spans="1:18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IFERROR(__xludf.DUMMYFUNCTION("""COMPUTED_VALUE"""),"CS1577")</f>
        <v>CS1577</v>
      </c>
      <c r="E194" s="26" t="str">
        <f>IFERROR(__xludf.DUMMYFUNCTION("""COMPUTED_VALUE"""),"19CS577")</f>
        <v>19CS577</v>
      </c>
      <c r="F194" s="27" t="str">
        <f>IFERROR(__xludf.DUMMYFUNCTION("""COMPUTED_VALUE"""),"Cloud System Administration")</f>
        <v>Cloud System Administration</v>
      </c>
      <c r="G194" s="26" t="str">
        <f>IFERROR(__xludf.DUMMYFUNCTION("""COMPUTED_VALUE"""),"-")</f>
        <v>-</v>
      </c>
      <c r="H194" s="26">
        <f>IFERROR(__xludf.DUMMYFUNCTION("""COMPUTED_VALUE"""),3)</f>
        <v>3</v>
      </c>
      <c r="I194" s="26">
        <f>IFERROR(__xludf.DUMMYFUNCTION("""COMPUTED_VALUE"""),0)</f>
        <v>0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IFERROR(__xludf.DUMMYFUNCTION("""COMPUTED_VALUE"""),"Theory")</f>
        <v>Theory</v>
      </c>
      <c r="M194" s="26"/>
      <c r="N194" s="26"/>
      <c r="O194" s="26"/>
      <c r="P194" s="26"/>
      <c r="Q194" s="26"/>
      <c r="R194" s="26"/>
    </row>
    <row r="195" ht="13.2" spans="1:18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IFERROR(__xludf.DUMMYFUNCTION("""COMPUTED_VALUE"""),"CS1578")</f>
        <v>CS1578</v>
      </c>
      <c r="E195" s="26" t="str">
        <f>IFERROR(__xludf.DUMMYFUNCTION("""COMPUTED_VALUE"""),"19CS578")</f>
        <v>19CS578</v>
      </c>
      <c r="F195" s="27" t="str">
        <f>IFERROR(__xludf.DUMMYFUNCTION("""COMPUTED_VALUE"""),"Machine Learning Operations")</f>
        <v>Machine Learning Operations</v>
      </c>
      <c r="G195" s="26" t="str">
        <f>IFERROR(__xludf.DUMMYFUNCTION("""COMPUTED_VALUE"""),"-")</f>
        <v>-</v>
      </c>
      <c r="H195" s="26">
        <f>IFERROR(__xludf.DUMMYFUNCTION("""COMPUTED_VALUE"""),3)</f>
        <v>3</v>
      </c>
      <c r="I195" s="26">
        <f>IFERROR(__xludf.DUMMYFUNCTION("""COMPUTED_VALUE"""),0)</f>
        <v>0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IFERROR(__xludf.DUMMYFUNCTION("""COMPUTED_VALUE"""),"Theory")</f>
        <v>Theory</v>
      </c>
      <c r="M195" s="26"/>
      <c r="N195" s="26"/>
      <c r="O195" s="26"/>
      <c r="P195" s="26"/>
      <c r="Q195" s="26"/>
      <c r="R195" s="26"/>
    </row>
    <row r="196" ht="13.2" spans="1:18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IFERROR(__xludf.DUMMYFUNCTION("""COMPUTED_VALUE"""),"NA")</f>
        <v>NA</v>
      </c>
      <c r="E196" s="26" t="str">
        <f>IFERROR(__xludf.DUMMYFUNCTION("""COMPUTED_VALUE"""),"19EC414")</f>
        <v>19EC414</v>
      </c>
      <c r="F196" s="27" t="str">
        <f>IFERROR(__xludf.DUMMYFUNCTION("""COMPUTED_VALUE"""),"Embedded Systems")</f>
        <v>Embedded Systems</v>
      </c>
      <c r="G196" s="26" t="str">
        <f>IFERROR(__xludf.DUMMYFUNCTION("""COMPUTED_VALUE"""),"19EC408")</f>
        <v>19EC408</v>
      </c>
      <c r="H196" s="26">
        <f>IFERROR(__xludf.DUMMYFUNCTION("""COMPUTED_VALUE"""),2)</f>
        <v>2</v>
      </c>
      <c r="I196" s="26">
        <f>IFERROR(__xludf.DUMMYFUNCTION("""COMPUTED_VALUE"""),1)</f>
        <v>1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IFERROR(__xludf.DUMMYFUNCTION("""COMPUTED_VALUE"""),"TIP (6 Expts)")</f>
        <v>TIP (6 Expts)</v>
      </c>
      <c r="M196" s="26"/>
      <c r="N196" s="26"/>
      <c r="O196" s="26"/>
      <c r="P196" s="26"/>
      <c r="Q196" s="26"/>
      <c r="R196" s="26"/>
    </row>
    <row r="197" ht="13.2" spans="1:18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IFERROR(__xludf.DUMMYFUNCTION("""COMPUTED_VALUE"""),"NA")</f>
        <v>NA</v>
      </c>
      <c r="E197" s="26" t="str">
        <f>IFERROR(__xludf.DUMMYFUNCTION("""COMPUTED_VALUE"""),"19EC416")</f>
        <v>19EC416</v>
      </c>
      <c r="F197" s="27" t="str">
        <f>IFERROR(__xludf.DUMMYFUNCTION("""COMPUTED_VALUE"""),"Principles of Digital Signal Processing")</f>
        <v>Principles of Digital Signal Processing</v>
      </c>
      <c r="G197" s="26" t="str">
        <f>IFERROR(__xludf.DUMMYFUNCTION("""COMPUTED_VALUE"""),"19EC307")</f>
        <v>19EC307</v>
      </c>
      <c r="H197" s="26">
        <f>IFERROR(__xludf.DUMMYFUNCTION("""COMPUTED_VALUE"""),3)</f>
        <v>3</v>
      </c>
      <c r="I197" s="26">
        <f>IFERROR(__xludf.DUMMYFUNCTION("""COMPUTED_VALUE"""),0)</f>
        <v>0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IFERROR(__xludf.DUMMYFUNCTION("""COMPUTED_VALUE"""),"Theory")</f>
        <v>Theory</v>
      </c>
      <c r="M197" s="26"/>
      <c r="N197" s="26"/>
      <c r="O197" s="26"/>
      <c r="P197" s="26"/>
      <c r="Q197" s="26"/>
      <c r="R197" s="26"/>
    </row>
    <row r="198" ht="13.2" spans="1:18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IFERROR(__xludf.DUMMYFUNCTION("""COMPUTED_VALUE"""),"EC1503")</f>
        <v>EC1503</v>
      </c>
      <c r="E198" s="26" t="str">
        <f>IFERROR(__xludf.DUMMYFUNCTION("""COMPUTED_VALUE"""),"19EC503")</f>
        <v>19EC503</v>
      </c>
      <c r="F198" s="27" t="str">
        <f>IFERROR(__xludf.DUMMYFUNCTION("""COMPUTED_VALUE"""),"Digital Image Processing")</f>
        <v>Digital Image Processing</v>
      </c>
      <c r="G198" s="26" t="str">
        <f>IFERROR(__xludf.DUMMYFUNCTION("""COMPUTED_VALUE"""),"19EC409 / EC1409")</f>
        <v>19EC409 / EC1409</v>
      </c>
      <c r="H198" s="26">
        <f>IFERROR(__xludf.DUMMYFUNCTION("""COMPUTED_VALUE"""),3)</f>
        <v>3</v>
      </c>
      <c r="I198" s="26">
        <f>IFERROR(__xludf.DUMMYFUNCTION("""COMPUTED_VALUE"""),0)</f>
        <v>0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IFERROR(__xludf.DUMMYFUNCTION("""COMPUTED_VALUE"""),"Theory")</f>
        <v>Theory</v>
      </c>
      <c r="M198" s="26"/>
      <c r="N198" s="26"/>
      <c r="O198" s="26"/>
      <c r="P198" s="26"/>
      <c r="Q198" s="26"/>
      <c r="R198" s="26"/>
    </row>
    <row r="199" ht="13.2" spans="1:18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IFERROR(__xludf.DUMMYFUNCTION("""COMPUTED_VALUE"""),"NA")</f>
        <v>NA</v>
      </c>
      <c r="E199" s="26" t="str">
        <f>IFERROR(__xludf.DUMMYFUNCTION("""COMPUTED_VALUE"""),"19EC508")</f>
        <v>19EC508</v>
      </c>
      <c r="F199" s="27" t="str">
        <f>IFERROR(__xludf.DUMMYFUNCTION("""COMPUTED_VALUE"""),"Ad Hoc and Wireless Sensor Networks")</f>
        <v>Ad Hoc and Wireless Sensor Networks</v>
      </c>
      <c r="G199" s="26" t="str">
        <f>IFERROR(__xludf.DUMMYFUNCTION("""COMPUTED_VALUE"""),"19EC412")</f>
        <v>19EC412</v>
      </c>
      <c r="H199" s="26">
        <f>IFERROR(__xludf.DUMMYFUNCTION("""COMPUTED_VALUE"""),3)</f>
        <v>3</v>
      </c>
      <c r="I199" s="26">
        <f>IFERROR(__xludf.DUMMYFUNCTION("""COMPUTED_VALUE"""),0)</f>
        <v>0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IFERROR(__xludf.DUMMYFUNCTION("""COMPUTED_VALUE"""),"Theory")</f>
        <v>Theory</v>
      </c>
      <c r="M199" s="26"/>
      <c r="N199" s="26"/>
      <c r="O199" s="26"/>
      <c r="P199" s="26"/>
      <c r="Q199" s="26"/>
      <c r="R199" s="26"/>
    </row>
    <row r="200" ht="13.2" spans="1:18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IFERROR(__xludf.DUMMYFUNCTION("""COMPUTED_VALUE"""),"CS2401")</f>
        <v>CS2401</v>
      </c>
      <c r="E200" s="26" t="str">
        <f>IFERROR(__xludf.DUMMYFUNCTION("""COMPUTED_VALUE"""),"19IT401")</f>
        <v>19IT401</v>
      </c>
      <c r="F200" s="27" t="str">
        <f>IFERROR(__xludf.DUMMYFUNCTION("""COMPUTED_VALUE"""),"Information Technology Essentials")</f>
        <v>Information Technology Essentials</v>
      </c>
      <c r="G200" s="26" t="str">
        <f>IFERROR(__xludf.DUMMYFUNCTION("""COMPUTED_VALUE"""),"-")</f>
        <v>-</v>
      </c>
      <c r="H200" s="26">
        <f>IFERROR(__xludf.DUMMYFUNCTION("""COMPUTED_VALUE"""),3)</f>
        <v>3</v>
      </c>
      <c r="I200" s="26">
        <f>IFERROR(__xludf.DUMMYFUNCTION("""COMPUTED_VALUE"""),1)</f>
        <v>1</v>
      </c>
      <c r="J200" s="26">
        <f>IFERROR(__xludf.DUMMYFUNCTION("""COMPUTED_VALUE"""),4)</f>
        <v>4</v>
      </c>
      <c r="K200" s="26" t="str">
        <f>IFERROR(__xludf.DUMMYFUNCTION("""COMPUTED_VALUE"""),"CGPA")</f>
        <v>CGPA</v>
      </c>
      <c r="L200" s="26" t="str">
        <f>IFERROR(__xludf.DUMMYFUNCTION("""COMPUTED_VALUE"""),"TIP (6 Expts)")</f>
        <v>TIP (6 Expts)</v>
      </c>
      <c r="M200" s="26"/>
      <c r="N200" s="26"/>
      <c r="O200" s="26"/>
      <c r="P200" s="26"/>
      <c r="Q200" s="26"/>
      <c r="R200" s="26"/>
    </row>
    <row r="201" ht="13.2" spans="1:18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IFERROR(__xludf.DUMMYFUNCTION("""COMPUTED_VALUE"""),"CS2402")</f>
        <v>CS2402</v>
      </c>
      <c r="E201" s="26" t="str">
        <f>IFERROR(__xludf.DUMMYFUNCTION("""COMPUTED_VALUE"""),"19IT402")</f>
        <v>19IT402</v>
      </c>
      <c r="F201" s="27" t="str">
        <f>IFERROR(__xludf.DUMMYFUNCTION("""COMPUTED_VALUE"""),"Game Development Technologies")</f>
        <v>Game Development Technologies</v>
      </c>
      <c r="G201" s="26" t="str">
        <f>IFERROR(__xludf.DUMMYFUNCTION("""COMPUTED_VALUE"""),"-")</f>
        <v>-</v>
      </c>
      <c r="H201" s="26">
        <f>IFERROR(__xludf.DUMMYFUNCTION("""COMPUTED_VALUE"""),3)</f>
        <v>3</v>
      </c>
      <c r="I201" s="26">
        <f>IFERROR(__xludf.DUMMYFUNCTION("""COMPUTED_VALUE"""),1)</f>
        <v>1</v>
      </c>
      <c r="J201" s="26">
        <f>IFERROR(__xludf.DUMMYFUNCTION("""COMPUTED_VALUE"""),4)</f>
        <v>4</v>
      </c>
      <c r="K201" s="26" t="str">
        <f>IFERROR(__xludf.DUMMYFUNCTION("""COMPUTED_VALUE"""),"CGPA")</f>
        <v>CGPA</v>
      </c>
      <c r="L201" s="26" t="str">
        <f>IFERROR(__xludf.DUMMYFUNCTION("""COMPUTED_VALUE"""),"TIP (6 Expts)")</f>
        <v>TIP (6 Expts)</v>
      </c>
      <c r="M201" s="26"/>
      <c r="N201" s="26"/>
      <c r="O201" s="26"/>
      <c r="P201" s="26"/>
      <c r="Q201" s="26"/>
      <c r="R201" s="26"/>
    </row>
    <row r="202" ht="13.2" spans="1:18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IFERROR(__xludf.DUMMYFUNCTION("""COMPUTED_VALUE"""),"CS2404")</f>
        <v>CS2404</v>
      </c>
      <c r="E202" s="26" t="str">
        <f>IFERROR(__xludf.DUMMYFUNCTION("""COMPUTED_VALUE"""),"19IT404")</f>
        <v>19IT404</v>
      </c>
      <c r="F202" s="27" t="str">
        <f>IFERROR(__xludf.DUMMYFUNCTION("""COMPUTED_VALUE"""),"Web Technology")</f>
        <v>Web Technology</v>
      </c>
      <c r="G202" s="26" t="str">
        <f>IFERROR(__xludf.DUMMYFUNCTION("""COMPUTED_VALUE"""),"-")</f>
        <v>-</v>
      </c>
      <c r="H202" s="26">
        <f>IFERROR(__xludf.DUMMYFUNCTION("""COMPUTED_VALUE"""),3)</f>
        <v>3</v>
      </c>
      <c r="I202" s="26">
        <f>IFERROR(__xludf.DUMMYFUNCTION("""COMPUTED_VALUE"""),1)</f>
        <v>1</v>
      </c>
      <c r="J202" s="26">
        <f>IFERROR(__xludf.DUMMYFUNCTION("""COMPUTED_VALUE"""),4)</f>
        <v>4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  <c r="P202" s="26"/>
      <c r="Q202" s="26"/>
      <c r="R202" s="26"/>
    </row>
    <row r="203" ht="13.2" spans="1:18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IFERROR(__xludf.DUMMYFUNCTION("""COMPUTED_VALUE"""),"CS2405")</f>
        <v>CS2405</v>
      </c>
      <c r="E203" s="26" t="str">
        <f>IFERROR(__xludf.DUMMYFUNCTION("""COMPUTED_VALUE"""),"19IT405")</f>
        <v>19IT405</v>
      </c>
      <c r="F203" s="27" t="str">
        <f>IFERROR(__xludf.DUMMYFUNCTION("""COMPUTED_VALUE"""),"Data Structures using Python")</f>
        <v>Data Structures using Python</v>
      </c>
      <c r="G203" s="26" t="str">
        <f>IFERROR(__xludf.DUMMYFUNCTION("""COMPUTED_VALUE"""),"-")</f>
        <v>-</v>
      </c>
      <c r="H203" s="26">
        <f>IFERROR(__xludf.DUMMYFUNCTION("""COMPUTED_VALUE"""),3)</f>
        <v>3</v>
      </c>
      <c r="I203" s="26">
        <f>IFERROR(__xludf.DUMMYFUNCTION("""COMPUTED_VALUE"""),1)</f>
        <v>1</v>
      </c>
      <c r="J203" s="26">
        <f>IFERROR(__xludf.DUMMYFUNCTION("""COMPUTED_VALUE"""),4)</f>
        <v>4</v>
      </c>
      <c r="K203" s="26" t="str">
        <f>IFERROR(__xludf.DUMMYFUNCTION("""COMPUTED_VALUE"""),"CGPA")</f>
        <v>CGPA</v>
      </c>
      <c r="L203" s="26" t="str">
        <f>IFERROR(__xludf.DUMMYFUNCTION("""COMPUTED_VALUE"""),"TIP (6 Expts)")</f>
        <v>TIP (6 Expts)</v>
      </c>
      <c r="M203" s="26"/>
      <c r="N203" s="26"/>
      <c r="O203" s="26"/>
      <c r="P203" s="26"/>
      <c r="Q203" s="26"/>
      <c r="R203" s="26"/>
    </row>
    <row r="204" ht="13.2" spans="1:18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IFERROR(__xludf.DUMMYFUNCTION("""COMPUTED_VALUE"""),"CS2406")</f>
        <v>CS2406</v>
      </c>
      <c r="E204" s="26" t="str">
        <f>IFERROR(__xludf.DUMMYFUNCTION("""COMPUTED_VALUE"""),"19IT406")</f>
        <v>19IT406</v>
      </c>
      <c r="F204" s="27" t="str">
        <f>IFERROR(__xludf.DUMMYFUNCTION("""COMPUTED_VALUE"""),"Grid and Cloud Computing")</f>
        <v>Grid and Cloud Computing</v>
      </c>
      <c r="G204" s="26" t="str">
        <f>IFERROR(__xludf.DUMMYFUNCTION("""COMPUTED_VALUE"""),"-")</f>
        <v>-</v>
      </c>
      <c r="H204" s="26">
        <f>IFERROR(__xludf.DUMMYFUNCTION("""COMPUTED_VALUE"""),3)</f>
        <v>3</v>
      </c>
      <c r="I204" s="26">
        <f>IFERROR(__xludf.DUMMYFUNCTION("""COMPUTED_VALUE"""),1)</f>
        <v>1</v>
      </c>
      <c r="J204" s="26">
        <f>IFERROR(__xludf.DUMMYFUNCTION("""COMPUTED_VALUE"""),4)</f>
        <v>4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  <c r="P204" s="26"/>
      <c r="Q204" s="26"/>
      <c r="R204" s="26"/>
    </row>
    <row r="205" ht="13.2" spans="1:18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IFERROR(__xludf.DUMMYFUNCTION("""COMPUTED_VALUE"""),"CS2408")</f>
        <v>CS2408</v>
      </c>
      <c r="E205" s="26" t="str">
        <f>IFERROR(__xludf.DUMMYFUNCTION("""COMPUTED_VALUE"""),"19IT408")</f>
        <v>19IT408</v>
      </c>
      <c r="F205" s="27" t="str">
        <f>IFERROR(__xludf.DUMMYFUNCTION("""COMPUTED_VALUE"""),"Distributed Computing")</f>
        <v>Distributed Computing</v>
      </c>
      <c r="G205" s="26" t="str">
        <f>IFERROR(__xludf.DUMMYFUNCTION("""COMPUTED_VALUE"""),"-")</f>
        <v>-</v>
      </c>
      <c r="H205" s="26">
        <f>IFERROR(__xludf.DUMMYFUNCTION("""COMPUTED_VALUE"""),3)</f>
        <v>3</v>
      </c>
      <c r="I205" s="26">
        <f>IFERROR(__xludf.DUMMYFUNCTION("""COMPUTED_VALUE"""),0)</f>
        <v>0</v>
      </c>
      <c r="J205" s="26">
        <f>IFERROR(__xludf.DUMMYFUNCTION("""COMPUTED_VALUE"""),3)</f>
        <v>3</v>
      </c>
      <c r="K205" s="26" t="str">
        <f>IFERROR(__xludf.DUMMYFUNCTION("""COMPUTED_VALUE"""),"CGPA")</f>
        <v>CGPA</v>
      </c>
      <c r="L205" s="26" t="str">
        <f>IFERROR(__xludf.DUMMYFUNCTION("""COMPUTED_VALUE"""),"Theory")</f>
        <v>Theory</v>
      </c>
      <c r="M205" s="26"/>
      <c r="N205" s="26"/>
      <c r="O205" s="26"/>
      <c r="P205" s="26"/>
      <c r="Q205" s="26"/>
      <c r="R205" s="26"/>
    </row>
    <row r="206" ht="13.2" spans="1:18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IFERROR(__xludf.DUMMYFUNCTION("""COMPUTED_VALUE"""),"CS2501")</f>
        <v>CS2501</v>
      </c>
      <c r="E206" s="26" t="str">
        <f>IFERROR(__xludf.DUMMYFUNCTION("""COMPUTED_VALUE"""),"19IT501")</f>
        <v>19IT501</v>
      </c>
      <c r="F206" s="27" t="str">
        <f>IFERROR(__xludf.DUMMYFUNCTION("""COMPUTED_VALUE"""),"Information Theory and Coding Techniques")</f>
        <v>Information Theory and Coding Techniques</v>
      </c>
      <c r="G206" s="26" t="str">
        <f>IFERROR(__xludf.DUMMYFUNCTION("""COMPUTED_VALUE"""),"-")</f>
        <v>-</v>
      </c>
      <c r="H206" s="26">
        <f>IFERROR(__xludf.DUMMYFUNCTION("""COMPUTED_VALUE"""),3)</f>
        <v>3</v>
      </c>
      <c r="I206" s="26">
        <f>IFERROR(__xludf.DUMMYFUNCTION("""COMPUTED_VALUE"""),0)</f>
        <v>0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IFERROR(__xludf.DUMMYFUNCTION("""COMPUTED_VALUE"""),"Theory")</f>
        <v>Theory</v>
      </c>
      <c r="M206" s="26"/>
      <c r="N206" s="26"/>
      <c r="O206" s="26"/>
      <c r="P206" s="26"/>
      <c r="Q206" s="26"/>
      <c r="R206" s="26"/>
    </row>
    <row r="207" ht="13.2" spans="1:18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IFERROR(__xludf.DUMMYFUNCTION("""COMPUTED_VALUE"""),"CS2502")</f>
        <v>CS2502</v>
      </c>
      <c r="E207" s="26" t="str">
        <f>IFERROR(__xludf.DUMMYFUNCTION("""COMPUTED_VALUE"""),"19IT502")</f>
        <v>19IT502</v>
      </c>
      <c r="F207" s="27" t="str">
        <f>IFERROR(__xludf.DUMMYFUNCTION("""COMPUTED_VALUE"""),"Enterprise Resource Planning")</f>
        <v>Enterprise Resource Planning</v>
      </c>
      <c r="G207" s="26" t="str">
        <f>IFERROR(__xludf.DUMMYFUNCTION("""COMPUTED_VALUE"""),"-")</f>
        <v>-</v>
      </c>
      <c r="H207" s="26">
        <f>IFERROR(__xludf.DUMMYFUNCTION("""COMPUTED_VALUE"""),3)</f>
        <v>3</v>
      </c>
      <c r="I207" s="26">
        <f>IFERROR(__xludf.DUMMYFUNCTION("""COMPUTED_VALUE"""),0)</f>
        <v>0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IFERROR(__xludf.DUMMYFUNCTION("""COMPUTED_VALUE"""),"Theory")</f>
        <v>Theory</v>
      </c>
      <c r="M207" s="26"/>
      <c r="N207" s="26"/>
      <c r="O207" s="26"/>
      <c r="P207" s="26"/>
      <c r="Q207" s="26"/>
      <c r="R207" s="26"/>
    </row>
    <row r="208" ht="13.2" spans="1:18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IFERROR(__xludf.DUMMYFUNCTION("""COMPUTED_VALUE"""),"CS2503")</f>
        <v>CS2503</v>
      </c>
      <c r="E208" s="26" t="str">
        <f>IFERROR(__xludf.DUMMYFUNCTION("""COMPUTED_VALUE"""),"19IT503")</f>
        <v>19IT503</v>
      </c>
      <c r="F208" s="27" t="str">
        <f>IFERROR(__xludf.DUMMYFUNCTION("""COMPUTED_VALUE"""),"User Interface Design")</f>
        <v>User Interface Design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IFERROR(__xludf.DUMMYFUNCTION("""COMPUTED_VALUE"""),0)</f>
        <v>0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  <c r="P208" s="26"/>
      <c r="Q208" s="26"/>
      <c r="R208" s="26"/>
    </row>
    <row r="209" ht="13.2" spans="1:18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IFERROR(__xludf.DUMMYFUNCTION("""COMPUTED_VALUE"""),"CS2504")</f>
        <v>CS2504</v>
      </c>
      <c r="E209" s="26" t="str">
        <f>IFERROR(__xludf.DUMMYFUNCTION("""COMPUTED_VALUE"""),"19IT504")</f>
        <v>19IT504</v>
      </c>
      <c r="F209" s="27" t="str">
        <f>IFERROR(__xludf.DUMMYFUNCTION("""COMPUTED_VALUE"""),"Information Storage Management")</f>
        <v>Information Storage Management</v>
      </c>
      <c r="G209" s="26" t="str">
        <f>IFERROR(__xludf.DUMMYFUNCTION("""COMPUTED_VALUE"""),"-")</f>
        <v>-</v>
      </c>
      <c r="H209" s="26">
        <f>IFERROR(__xludf.DUMMYFUNCTION("""COMPUTED_VALUE"""),3)</f>
        <v>3</v>
      </c>
      <c r="I209" s="26">
        <f>IFERROR(__xludf.DUMMYFUNCTION("""COMPUTED_VALUE"""),0)</f>
        <v>0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IFERROR(__xludf.DUMMYFUNCTION("""COMPUTED_VALUE"""),"Theory")</f>
        <v>Theory</v>
      </c>
      <c r="M209" s="26"/>
      <c r="N209" s="26"/>
      <c r="O209" s="26"/>
      <c r="P209" s="26"/>
      <c r="Q209" s="26"/>
      <c r="R209" s="26"/>
    </row>
    <row r="210" ht="13.2" spans="1:18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IFERROR(__xludf.DUMMYFUNCTION("""COMPUTED_VALUE"""),"CS2505")</f>
        <v>CS2505</v>
      </c>
      <c r="E210" s="26" t="str">
        <f>IFERROR(__xludf.DUMMYFUNCTION("""COMPUTED_VALUE"""),"19IT505")</f>
        <v>19IT505</v>
      </c>
      <c r="F210" s="27" t="str">
        <f>IFERROR(__xludf.DUMMYFUNCTION("""COMPUTED_VALUE"""),"Software Design Patterns")</f>
        <v>Software Design Patterns</v>
      </c>
      <c r="G210" s="26" t="str">
        <f>IFERROR(__xludf.DUMMYFUNCTION("""COMPUTED_VALUE"""),"-")</f>
        <v>-</v>
      </c>
      <c r="H210" s="26">
        <f>IFERROR(__xludf.DUMMYFUNCTION("""COMPUTED_VALUE"""),3)</f>
        <v>3</v>
      </c>
      <c r="I210" s="26">
        <f>IFERROR(__xludf.DUMMYFUNCTION("""COMPUTED_VALUE"""),0)</f>
        <v>0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IFERROR(__xludf.DUMMYFUNCTION("""COMPUTED_VALUE"""),"Theory")</f>
        <v>Theory</v>
      </c>
      <c r="M210" s="26"/>
      <c r="N210" s="26"/>
      <c r="O210" s="26"/>
      <c r="P210" s="26"/>
      <c r="Q210" s="26"/>
      <c r="R210" s="26"/>
    </row>
    <row r="211" ht="13.2" spans="1:18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IFERROR(__xludf.DUMMYFUNCTION("""COMPUTED_VALUE"""),"CS2506")</f>
        <v>CS2506</v>
      </c>
      <c r="E211" s="26" t="str">
        <f>IFERROR(__xludf.DUMMYFUNCTION("""COMPUTED_VALUE"""),"19IT506")</f>
        <v>19IT506</v>
      </c>
      <c r="F211" s="27" t="str">
        <f>IFERROR(__xludf.DUMMYFUNCTION("""COMPUTED_VALUE"""),"E-Learning Techniques")</f>
        <v>E-Learning Techniques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IFERROR(__xludf.DUMMYFUNCTION("""COMPUTED_VALUE"""),0)</f>
        <v>0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  <c r="P211" s="26"/>
      <c r="Q211" s="26"/>
      <c r="R211" s="26"/>
    </row>
    <row r="212" ht="13.2" spans="1:18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IFERROR(__xludf.DUMMYFUNCTION("""COMPUTED_VALUE"""),"CS2508")</f>
        <v>CS2508</v>
      </c>
      <c r="E212" s="26" t="str">
        <f>IFERROR(__xludf.DUMMYFUNCTION("""COMPUTED_VALUE"""),"19IT508")</f>
        <v>19IT508</v>
      </c>
      <c r="F212" s="27" t="str">
        <f>IFERROR(__xludf.DUMMYFUNCTION("""COMPUTED_VALUE"""),"TCP/IP Design and Implementation")</f>
        <v>TCP/IP Design and Implementation</v>
      </c>
      <c r="G212" s="26" t="str">
        <f>IFERROR(__xludf.DUMMYFUNCTION("""COMPUTED_VALUE"""),"-")</f>
        <v>-</v>
      </c>
      <c r="H212" s="26">
        <f>IFERROR(__xludf.DUMMYFUNCTION("""COMPUTED_VALUE"""),3)</f>
        <v>3</v>
      </c>
      <c r="I212" s="26">
        <f>IFERROR(__xludf.DUMMYFUNCTION("""COMPUTED_VALUE"""),0)</f>
        <v>0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IFERROR(__xludf.DUMMYFUNCTION("""COMPUTED_VALUE"""),"Theory")</f>
        <v>Theory</v>
      </c>
      <c r="M212" s="26"/>
      <c r="N212" s="26"/>
      <c r="O212" s="26"/>
      <c r="P212" s="26"/>
      <c r="Q212" s="26"/>
      <c r="R212" s="26"/>
    </row>
    <row r="213" ht="13.2" spans="1:18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IFERROR(__xludf.DUMMYFUNCTION("""COMPUTED_VALUE"""),"CS2509")</f>
        <v>CS2509</v>
      </c>
      <c r="E213" s="26" t="str">
        <f>IFERROR(__xludf.DUMMYFUNCTION("""COMPUTED_VALUE"""),"19IT509")</f>
        <v>19IT509</v>
      </c>
      <c r="F213" s="27" t="str">
        <f>IFERROR(__xludf.DUMMYFUNCTION("""COMPUTED_VALUE"""),"Advanced Algorithms")</f>
        <v>Advanced Algorithms</v>
      </c>
      <c r="G213" s="26" t="str">
        <f>IFERROR(__xludf.DUMMYFUNCTION("""COMPUTED_VALUE"""),"-")</f>
        <v>-</v>
      </c>
      <c r="H213" s="26">
        <f>IFERROR(__xludf.DUMMYFUNCTION("""COMPUTED_VALUE"""),3)</f>
        <v>3</v>
      </c>
      <c r="I213" s="26">
        <f>IFERROR(__xludf.DUMMYFUNCTION("""COMPUTED_VALUE"""),0)</f>
        <v>0</v>
      </c>
      <c r="J213" s="26">
        <f>IFERROR(__xludf.DUMMYFUNCTION("""COMPUTED_VALUE"""),3)</f>
        <v>3</v>
      </c>
      <c r="K213" s="26" t="str">
        <f>IFERROR(__xludf.DUMMYFUNCTION("""COMPUTED_VALUE"""),"CGPA")</f>
        <v>CGPA</v>
      </c>
      <c r="L213" s="26" t="str">
        <f>IFERROR(__xludf.DUMMYFUNCTION("""COMPUTED_VALUE"""),"Theory")</f>
        <v>Theory</v>
      </c>
      <c r="M213" s="26"/>
      <c r="N213" s="26"/>
      <c r="O213" s="26"/>
      <c r="P213" s="26"/>
      <c r="Q213" s="26"/>
      <c r="R213" s="26"/>
    </row>
    <row r="214" ht="13.2" spans="1:18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IFERROR(__xludf.DUMMYFUNCTION("""COMPUTED_VALUE"""),"CS2510")</f>
        <v>CS2510</v>
      </c>
      <c r="E214" s="26" t="str">
        <f>IFERROR(__xludf.DUMMYFUNCTION("""COMPUTED_VALUE"""),"19IT510")</f>
        <v>19IT510</v>
      </c>
      <c r="F214" s="27" t="str">
        <f>IFERROR(__xludf.DUMMYFUNCTION("""COMPUTED_VALUE"""),"Ethical Hacking")</f>
        <v>Ethical Hacking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IFERROR(__xludf.DUMMYFUNCTION("""COMPUTED_VALUE"""),0)</f>
        <v>0</v>
      </c>
      <c r="J214" s="26">
        <f>IFERROR(__xludf.DUMMYFUNCTION("""COMPUTED_VALUE"""),3)</f>
        <v>3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  <c r="P214" s="26"/>
      <c r="Q214" s="26"/>
      <c r="R214" s="26"/>
    </row>
    <row r="215" ht="13.2" spans="1:18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IFERROR(__xludf.DUMMYFUNCTION("""COMPUTED_VALUE"""),"CS2511")</f>
        <v>CS2511</v>
      </c>
      <c r="E215" s="26" t="str">
        <f>IFERROR(__xludf.DUMMYFUNCTION("""COMPUTED_VALUE"""),"19IT511")</f>
        <v>19IT511</v>
      </c>
      <c r="F215" s="27" t="str">
        <f>IFERROR(__xludf.DUMMYFUNCTION("""COMPUTED_VALUE"""),"DHTML and XML")</f>
        <v>DHTML and XML</v>
      </c>
      <c r="G215" s="26" t="str">
        <f>IFERROR(__xludf.DUMMYFUNCTION("""COMPUTED_VALUE"""),"-")</f>
        <v>-</v>
      </c>
      <c r="H215" s="26">
        <f>IFERROR(__xludf.DUMMYFUNCTION("""COMPUTED_VALUE"""),3)</f>
        <v>3</v>
      </c>
      <c r="I215" s="26">
        <f>IFERROR(__xludf.DUMMYFUNCTION("""COMPUTED_VALUE"""),0)</f>
        <v>0</v>
      </c>
      <c r="J215" s="26">
        <f>IFERROR(__xludf.DUMMYFUNCTION("""COMPUTED_VALUE"""),3)</f>
        <v>3</v>
      </c>
      <c r="K215" s="26" t="str">
        <f>IFERROR(__xludf.DUMMYFUNCTION("""COMPUTED_VALUE"""),"CGPA")</f>
        <v>CGPA</v>
      </c>
      <c r="L215" s="26" t="str">
        <f>IFERROR(__xludf.DUMMYFUNCTION("""COMPUTED_VALUE"""),"Theory")</f>
        <v>Theory</v>
      </c>
      <c r="M215" s="26"/>
      <c r="N215" s="26"/>
      <c r="O215" s="26"/>
      <c r="P215" s="26"/>
      <c r="Q215" s="26"/>
      <c r="R215" s="26"/>
    </row>
    <row r="216" ht="13.2" spans="1:18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IFERROR(__xludf.DUMMYFUNCTION("""COMPUTED_VALUE"""),"CS2512")</f>
        <v>CS2512</v>
      </c>
      <c r="E216" s="26" t="str">
        <f>IFERROR(__xludf.DUMMYFUNCTION("""COMPUTED_VALUE"""),"19IT512")</f>
        <v>19IT512</v>
      </c>
      <c r="F216" s="27" t="str">
        <f>IFERROR(__xludf.DUMMYFUNCTION("""COMPUTED_VALUE"""),"E-Commerce")</f>
        <v>E-Commerce</v>
      </c>
      <c r="G216" s="26" t="str">
        <f>IFERROR(__xludf.DUMMYFUNCTION("""COMPUTED_VALUE"""),"-")</f>
        <v>-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  <c r="P216" s="26"/>
      <c r="Q216" s="26"/>
      <c r="R216" s="26"/>
    </row>
    <row r="217" ht="13.2" spans="1:18">
      <c r="A217" s="26">
        <f>IFERROR(__xludf.DUMMYFUNCTION("""COMPUTED_VALUE"""),215)</f>
        <v>215</v>
      </c>
      <c r="B217" s="26"/>
      <c r="C217" s="26" t="str">
        <f>IFERROR(__xludf.DUMMYFUNCTION("""COMPUTED_VALUE"""),"PE")</f>
        <v>PE</v>
      </c>
      <c r="D217" s="26" t="str">
        <f>IFERROR(__xludf.DUMMYFUNCTION("""COMPUTED_VALUE"""),"CS2513")</f>
        <v>CS2513</v>
      </c>
      <c r="E217" s="26" t="str">
        <f>IFERROR(__xludf.DUMMYFUNCTION("""COMPUTED_VALUE"""),"19IT513")</f>
        <v>19IT513</v>
      </c>
      <c r="F217" s="27" t="str">
        <f>IFERROR(__xludf.DUMMYFUNCTION("""COMPUTED_VALUE"""),"Free Open Source Software")</f>
        <v>Free Open Source Software</v>
      </c>
      <c r="G217" s="26" t="str">
        <f>IFERROR(__xludf.DUMMYFUNCTION("""COMPUTED_VALUE"""),"-")</f>
        <v>-</v>
      </c>
      <c r="H217" s="26">
        <f>IFERROR(__xludf.DUMMYFUNCTION("""COMPUTED_VALUE"""),3)</f>
        <v>3</v>
      </c>
      <c r="I217" s="26">
        <f>IFERROR(__xludf.DUMMYFUNCTION("""COMPUTED_VALUE"""),0)</f>
        <v>0</v>
      </c>
      <c r="J217" s="26">
        <f>IFERROR(__xludf.DUMMYFUNCTION("""COMPUTED_VALUE"""),3)</f>
        <v>3</v>
      </c>
      <c r="K217" s="26" t="str">
        <f>IFERROR(__xludf.DUMMYFUNCTION("""COMPUTED_VALUE"""),"CGPA")</f>
        <v>CGPA</v>
      </c>
      <c r="L217" s="26" t="str">
        <f>IFERROR(__xludf.DUMMYFUNCTION("""COMPUTED_VALUE"""),"Theory")</f>
        <v>Theory</v>
      </c>
      <c r="M217" s="26"/>
      <c r="N217" s="26"/>
      <c r="O217" s="26"/>
      <c r="P217" s="26"/>
      <c r="Q217" s="26"/>
      <c r="R217" s="26"/>
    </row>
    <row r="218" ht="13.2" spans="1:18">
      <c r="A218" s="26">
        <f>IFERROR(__xludf.DUMMYFUNCTION("""COMPUTED_VALUE"""),216)</f>
        <v>216</v>
      </c>
      <c r="B218" s="26"/>
      <c r="C218" s="26" t="str">
        <f>IFERROR(__xludf.DUMMYFUNCTION("""COMPUTED_VALUE"""),"PE")</f>
        <v>PE</v>
      </c>
      <c r="D218" s="26" t="str">
        <f>IFERROR(__xludf.DUMMYFUNCTION("""COMPUTED_VALUE"""),"CS2514")</f>
        <v>CS2514</v>
      </c>
      <c r="E218" s="26" t="str">
        <f>IFERROR(__xludf.DUMMYFUNCTION("""COMPUTED_VALUE"""),"19IT514")</f>
        <v>19IT514</v>
      </c>
      <c r="F218" s="27" t="str">
        <f>IFERROR(__xludf.DUMMYFUNCTION("""COMPUTED_VALUE"""),"Real Time Operating Systems")</f>
        <v>Real Time Operating Systems</v>
      </c>
      <c r="G218" s="26" t="str">
        <f>IFERROR(__xludf.DUMMYFUNCTION("""COMPUTED_VALUE"""),"-")</f>
        <v>-</v>
      </c>
      <c r="H218" s="26">
        <f>IFERROR(__xludf.DUMMYFUNCTION("""COMPUTED_VALUE"""),3)</f>
        <v>3</v>
      </c>
      <c r="I218" s="26">
        <f>IFERROR(__xludf.DUMMYFUNCTION("""COMPUTED_VALUE"""),0)</f>
        <v>0</v>
      </c>
      <c r="J218" s="26">
        <f>IFERROR(__xludf.DUMMYFUNCTION("""COMPUTED_VALUE"""),3)</f>
        <v>3</v>
      </c>
      <c r="K218" s="26" t="str">
        <f>IFERROR(__xludf.DUMMYFUNCTION("""COMPUTED_VALUE"""),"CGPA")</f>
        <v>CGPA</v>
      </c>
      <c r="L218" s="26" t="str">
        <f>IFERROR(__xludf.DUMMYFUNCTION("""COMPUTED_VALUE"""),"Theory")</f>
        <v>Theory</v>
      </c>
      <c r="M218" s="26"/>
      <c r="N218" s="26"/>
      <c r="O218" s="26"/>
      <c r="P218" s="26"/>
      <c r="Q218" s="26"/>
      <c r="R218" s="26"/>
    </row>
    <row r="219" ht="13.2" spans="1:18">
      <c r="A219" s="26">
        <f>IFERROR(__xludf.DUMMYFUNCTION("""COMPUTED_VALUE"""),217)</f>
        <v>217</v>
      </c>
      <c r="B219" s="26"/>
      <c r="C219" s="26" t="str">
        <f>IFERROR(__xludf.DUMMYFUNCTION("""COMPUTED_VALUE"""),"PE")</f>
        <v>PE</v>
      </c>
      <c r="D219" s="26" t="str">
        <f>IFERROR(__xludf.DUMMYFUNCTION("""COMPUTED_VALUE"""),"CS2515")</f>
        <v>CS2515</v>
      </c>
      <c r="E219" s="26" t="str">
        <f>IFERROR(__xludf.DUMMYFUNCTION("""COMPUTED_VALUE"""),"19IT515")</f>
        <v>19IT515</v>
      </c>
      <c r="F219" s="27" t="str">
        <f>IFERROR(__xludf.DUMMYFUNCTION("""COMPUTED_VALUE"""),"Software Agents")</f>
        <v>Software Agents</v>
      </c>
      <c r="G219" s="26" t="str">
        <f>IFERROR(__xludf.DUMMYFUNCTION("""COMPUTED_VALUE"""),"-")</f>
        <v>-</v>
      </c>
      <c r="H219" s="26">
        <f>IFERROR(__xludf.DUMMYFUNCTION("""COMPUTED_VALUE"""),3)</f>
        <v>3</v>
      </c>
      <c r="I219" s="26">
        <f>IFERROR(__xludf.DUMMYFUNCTION("""COMPUTED_VALUE"""),0)</f>
        <v>0</v>
      </c>
      <c r="J219" s="26">
        <f>IFERROR(__xludf.DUMMYFUNCTION("""COMPUTED_VALUE"""),3)</f>
        <v>3</v>
      </c>
      <c r="K219" s="26" t="str">
        <f>IFERROR(__xludf.DUMMYFUNCTION("""COMPUTED_VALUE"""),"CGPA")</f>
        <v>CGPA</v>
      </c>
      <c r="L219" s="26" t="str">
        <f>IFERROR(__xludf.DUMMYFUNCTION("""COMPUTED_VALUE"""),"Theory")</f>
        <v>Theory</v>
      </c>
      <c r="M219" s="26"/>
      <c r="N219" s="26"/>
      <c r="O219" s="26"/>
      <c r="P219" s="26"/>
      <c r="Q219" s="26"/>
      <c r="R219" s="26"/>
    </row>
    <row r="220" ht="13.2" spans="1:18">
      <c r="A220" s="26">
        <f>IFERROR(__xludf.DUMMYFUNCTION("""COMPUTED_VALUE"""),218)</f>
        <v>218</v>
      </c>
      <c r="B220" s="26"/>
      <c r="C220" s="26" t="str">
        <f>IFERROR(__xludf.DUMMYFUNCTION("""COMPUTED_VALUE"""),"PE")</f>
        <v>PE</v>
      </c>
      <c r="D220" s="26" t="str">
        <f>IFERROR(__xludf.DUMMYFUNCTION("""COMPUTED_VALUE"""),"CS2516")</f>
        <v>CS2516</v>
      </c>
      <c r="E220" s="26" t="str">
        <f>IFERROR(__xludf.DUMMYFUNCTION("""COMPUTED_VALUE"""),"19IT516")</f>
        <v>19IT516</v>
      </c>
      <c r="F220" s="27" t="str">
        <f>IFERROR(__xludf.DUMMYFUNCTION("""COMPUTED_VALUE"""),"Business Intelligence and Analytics")</f>
        <v>Business Intelligence and Analytics</v>
      </c>
      <c r="G220" s="26" t="str">
        <f>IFERROR(__xludf.DUMMYFUNCTION("""COMPUTED_VALUE"""),"-")</f>
        <v>-</v>
      </c>
      <c r="H220" s="26">
        <f>IFERROR(__xludf.DUMMYFUNCTION("""COMPUTED_VALUE"""),3)</f>
        <v>3</v>
      </c>
      <c r="I220" s="26">
        <f>IFERROR(__xludf.DUMMYFUNCTION("""COMPUTED_VALUE"""),0)</f>
        <v>0</v>
      </c>
      <c r="J220" s="26">
        <f>IFERROR(__xludf.DUMMYFUNCTION("""COMPUTED_VALUE"""),3)</f>
        <v>3</v>
      </c>
      <c r="K220" s="26" t="str">
        <f>IFERROR(__xludf.DUMMYFUNCTION("""COMPUTED_VALUE"""),"CGPA")</f>
        <v>CGPA</v>
      </c>
      <c r="L220" s="26" t="str">
        <f>IFERROR(__xludf.DUMMYFUNCTION("""COMPUTED_VALUE"""),"Theory")</f>
        <v>Theory</v>
      </c>
      <c r="M220" s="26"/>
      <c r="N220" s="26"/>
      <c r="O220" s="26"/>
      <c r="P220" s="26"/>
      <c r="Q220" s="26"/>
      <c r="R220" s="26"/>
    </row>
    <row r="221" ht="13.2" spans="1:18">
      <c r="A221" s="26">
        <f>IFERROR(__xludf.DUMMYFUNCTION("""COMPUTED_VALUE"""),219)</f>
        <v>219</v>
      </c>
      <c r="B221" s="26"/>
      <c r="C221" s="26" t="str">
        <f>IFERROR(__xludf.DUMMYFUNCTION("""COMPUTED_VALUE"""),"OE")</f>
        <v>OE</v>
      </c>
      <c r="D221" s="26" t="str">
        <f>IFERROR(__xludf.DUMMYFUNCTION("""COMPUTED_VALUE"""),"XXXXXX")</f>
        <v>XXXXXX</v>
      </c>
      <c r="E221" s="26" t="str">
        <f>IFERROR(__xludf.DUMMYFUNCTION("""COMPUTED_VALUE"""),"19XXXXX")</f>
        <v>19XXXXX</v>
      </c>
      <c r="F221" s="26" t="str">
        <f>IFERROR(__xludf.DUMMYFUNCTION("""COMPUTED_VALUE"""),"Open Electives")</f>
        <v>Open Electives</v>
      </c>
      <c r="G221" s="26" t="str">
        <f>IFERROR(__xludf.DUMMYFUNCTION("""COMPUTED_VALUE"""),"-")</f>
        <v>-</v>
      </c>
      <c r="H221" s="26">
        <f>IFERROR(__xludf.DUMMYFUNCTION("""COMPUTED_VALUE"""),0)</f>
        <v>0</v>
      </c>
      <c r="I221" s="26">
        <f>IFERROR(__xludf.DUMMYFUNCTION("""COMPUTED_VALUE"""),0)</f>
        <v>0</v>
      </c>
      <c r="J221" s="26">
        <f>IFERROR(__xludf.DUMMYFUNCTION("""COMPUTED_VALUE"""),0)</f>
        <v>0</v>
      </c>
      <c r="K221" s="26" t="str">
        <f>IFERROR(__xludf.DUMMYFUNCTION("""COMPUTED_VALUE"""),"CGPA")</f>
        <v>CGPA</v>
      </c>
      <c r="L221" s="26" t="str">
        <f>IFERROR(__xludf.DUMMYFUNCTION("""COMPUTED_VALUE"""),"Theory")</f>
        <v>Theory</v>
      </c>
      <c r="M221" s="26"/>
      <c r="N221" s="26"/>
      <c r="O221" s="26"/>
      <c r="P221" s="26"/>
      <c r="Q221" s="26"/>
      <c r="R221" s="26"/>
    </row>
    <row r="222" ht="13.2" spans="1:18">
      <c r="A222" s="26">
        <f>IFERROR(__xludf.DUMMYFUNCTION("""COMPUTED_VALUE"""),220)</f>
        <v>220</v>
      </c>
      <c r="B222" s="26"/>
      <c r="C222" s="26" t="str">
        <f>IFERROR(__xludf.DUMMYFUNCTION("""COMPUTED_VALUE"""),"OE")</f>
        <v>OE</v>
      </c>
      <c r="D222" s="26" t="str">
        <f>IFERROR(__xludf.DUMMYFUNCTION("""COMPUTED_VALUE"""),"XXXXXX")</f>
        <v>XXXXXX</v>
      </c>
      <c r="E222" s="26" t="str">
        <f>IFERROR(__xludf.DUMMYFUNCTION("""COMPUTED_VALUE"""),"19XXXXX")</f>
        <v>19XXXXX</v>
      </c>
      <c r="F222" s="26" t="str">
        <f>IFERROR(__xludf.DUMMYFUNCTION("""COMPUTED_VALUE"""),"Online Courses")</f>
        <v>Online Courses</v>
      </c>
      <c r="G222" s="26" t="str">
        <f>IFERROR(__xludf.DUMMYFUNCTION("""COMPUTED_VALUE"""),"-")</f>
        <v>-</v>
      </c>
      <c r="H222" s="26">
        <f>IFERROR(__xludf.DUMMYFUNCTION("""COMPUTED_VALUE"""),0)</f>
        <v>0</v>
      </c>
      <c r="I222" s="26">
        <f>IFERROR(__xludf.DUMMYFUNCTION("""COMPUTED_VALUE"""),0)</f>
        <v>0</v>
      </c>
      <c r="J222" s="26">
        <f>IFERROR(__xludf.DUMMYFUNCTION("""COMPUTED_VALUE"""),0)</f>
        <v>0</v>
      </c>
      <c r="K222" s="26" t="str">
        <f>IFERROR(__xludf.DUMMYFUNCTION("""COMPUTED_VALUE"""),"CGPA")</f>
        <v>CGPA</v>
      </c>
      <c r="L222" s="26" t="str">
        <f>IFERROR(__xludf.DUMMYFUNCTION("""COMPUTED_VALUE"""),"Experiential Learning")</f>
        <v>Experiential Learning</v>
      </c>
      <c r="M222" s="26"/>
      <c r="N222" s="26"/>
      <c r="O222" s="26"/>
      <c r="P222" s="26"/>
      <c r="Q222" s="26"/>
      <c r="R222" s="26"/>
    </row>
    <row r="223" ht="13.2" spans="1:18">
      <c r="A223" s="26">
        <f>IFERROR(__xludf.DUMMYFUNCTION("""COMPUTED_VALUE"""),221)</f>
        <v>221</v>
      </c>
      <c r="B223" s="26"/>
      <c r="C223" s="26" t="str">
        <f>IFERROR(__xludf.DUMMYFUNCTION("""COMPUTED_VALUE"""),"EEC")</f>
        <v>EEC</v>
      </c>
      <c r="D223" s="26" t="str">
        <f>IFERROR(__xludf.DUMMYFUNCTION("""COMPUTED_VALUE"""),"CS1701")</f>
        <v>CS1701</v>
      </c>
      <c r="E223" s="26" t="str">
        <f>IFERROR(__xludf.DUMMYFUNCTION("""COMPUTED_VALUE"""),"19CS701")</f>
        <v>19CS701</v>
      </c>
      <c r="F223" s="27" t="str">
        <f>IFERROR(__xludf.DUMMYFUNCTION("""COMPUTED_VALUE"""),"Mini Project")</f>
        <v>Mini Project</v>
      </c>
      <c r="G223" s="26" t="str">
        <f>IFERROR(__xludf.DUMMYFUNCTION("""COMPUTED_VALUE"""),"-")</f>
        <v>-</v>
      </c>
      <c r="H223" s="26">
        <f>IFERROR(__xludf.DUMMYFUNCTION("""COMPUTED_VALUE"""),0)</f>
        <v>0</v>
      </c>
      <c r="I223" s="26">
        <f>IFERROR(__xludf.DUMMYFUNCTION("""COMPUTED_VALUE"""),2)</f>
        <v>2</v>
      </c>
      <c r="J223" s="26">
        <f>IFERROR(__xludf.DUMMYFUNCTION("""COMPUTED_VALUE"""),2)</f>
        <v>2</v>
      </c>
      <c r="K223" s="26" t="str">
        <f>IFERROR(__xludf.DUMMYFUNCTION("""COMPUTED_VALUE"""),"CGPA")</f>
        <v>CGPA</v>
      </c>
      <c r="L223" s="26" t="str">
        <f>IFERROR(__xludf.DUMMYFUNCTION("""COMPUTED_VALUE"""),"Project (Int Only)")</f>
        <v>Project (Int Only)</v>
      </c>
      <c r="M223" s="26"/>
      <c r="N223" s="26"/>
      <c r="O223" s="26"/>
      <c r="P223" s="26"/>
      <c r="Q223" s="26"/>
      <c r="R223" s="26"/>
    </row>
    <row r="224" ht="13.2" spans="1:18">
      <c r="A224" s="26">
        <f>IFERROR(__xludf.DUMMYFUNCTION("""COMPUTED_VALUE"""),222)</f>
        <v>222</v>
      </c>
      <c r="B224" s="26"/>
      <c r="C224" s="26" t="str">
        <f>IFERROR(__xludf.DUMMYFUNCTION("""COMPUTED_VALUE"""),"EEC")</f>
        <v>EEC</v>
      </c>
      <c r="D224" s="26" t="str">
        <f>IFERROR(__xludf.DUMMYFUNCTION("""COMPUTED_VALUE"""),"CS1702")</f>
        <v>CS1702</v>
      </c>
      <c r="E224" s="26" t="str">
        <f>IFERROR(__xludf.DUMMYFUNCTION("""COMPUTED_VALUE"""),"19CS702")</f>
        <v>19CS702</v>
      </c>
      <c r="F224" s="27" t="str">
        <f>IFERROR(__xludf.DUMMYFUNCTION("""COMPUTED_VALUE"""),"Project Work Phase I")</f>
        <v>Project Work Phase I</v>
      </c>
      <c r="G224" s="26" t="str">
        <f>IFERROR(__xludf.DUMMYFUNCTION("""COMPUTED_VALUE"""),"-")</f>
        <v>-</v>
      </c>
      <c r="H224" s="26">
        <f>IFERROR(__xludf.DUMMYFUNCTION("""COMPUTED_VALUE"""),0)</f>
        <v>0</v>
      </c>
      <c r="I224" s="26">
        <f>IFERROR(__xludf.DUMMYFUNCTION("""COMPUTED_VALUE"""),2)</f>
        <v>2</v>
      </c>
      <c r="J224" s="26">
        <f>IFERROR(__xludf.DUMMYFUNCTION("""COMPUTED_VALUE"""),2)</f>
        <v>2</v>
      </c>
      <c r="K224" s="26" t="str">
        <f>IFERROR(__xludf.DUMMYFUNCTION("""COMPUTED_VALUE"""),"CGPA")</f>
        <v>CGPA</v>
      </c>
      <c r="L224" s="26" t="str">
        <f>IFERROR(__xludf.DUMMYFUNCTION("""COMPUTED_VALUE"""),"Project (Int Only)")</f>
        <v>Project (Int Only)</v>
      </c>
      <c r="M224" s="26"/>
      <c r="N224" s="26"/>
      <c r="O224" s="26"/>
      <c r="P224" s="26"/>
      <c r="Q224" s="26"/>
      <c r="R224" s="26"/>
    </row>
    <row r="225" ht="13.2" spans="1:18">
      <c r="A225" s="26">
        <f>IFERROR(__xludf.DUMMYFUNCTION("""COMPUTED_VALUE"""),223)</f>
        <v>223</v>
      </c>
      <c r="B225" s="26"/>
      <c r="C225" s="26" t="str">
        <f>IFERROR(__xludf.DUMMYFUNCTION("""COMPUTED_VALUE"""),"EEC")</f>
        <v>EEC</v>
      </c>
      <c r="D225" s="26" t="str">
        <f>IFERROR(__xludf.DUMMYFUNCTION("""COMPUTED_VALUE"""),"CS1703")</f>
        <v>CS1703</v>
      </c>
      <c r="E225" s="26" t="str">
        <f>IFERROR(__xludf.DUMMYFUNCTION("""COMPUTED_VALUE"""),"19CS703")</f>
        <v>19CS703</v>
      </c>
      <c r="F225" s="27" t="str">
        <f>IFERROR(__xludf.DUMMYFUNCTION("""COMPUTED_VALUE"""),"Project Work Phase II")</f>
        <v>Project Work Phase II</v>
      </c>
      <c r="G225" s="26" t="str">
        <f>IFERROR(__xludf.DUMMYFUNCTION("""COMPUTED_VALUE"""),"19CS702")</f>
        <v>19CS702</v>
      </c>
      <c r="H225" s="26">
        <f>IFERROR(__xludf.DUMMYFUNCTION("""COMPUTED_VALUE"""),0)</f>
        <v>0</v>
      </c>
      <c r="I225" s="26">
        <f>IFERROR(__xludf.DUMMYFUNCTION("""COMPUTED_VALUE"""),6)</f>
        <v>6</v>
      </c>
      <c r="J225" s="26">
        <f>IFERROR(__xludf.DUMMYFUNCTION("""COMPUTED_VALUE"""),6)</f>
        <v>6</v>
      </c>
      <c r="K225" s="26" t="str">
        <f>IFERROR(__xludf.DUMMYFUNCTION("""COMPUTED_VALUE"""),"CGPA")</f>
        <v>CGPA</v>
      </c>
      <c r="L225" s="26" t="str">
        <f>IFERROR(__xludf.DUMMYFUNCTION("""COMPUTED_VALUE"""),"Project")</f>
        <v>Project</v>
      </c>
      <c r="M225" s="26"/>
      <c r="N225" s="26"/>
      <c r="O225" s="26"/>
      <c r="P225" s="26"/>
      <c r="Q225" s="26"/>
      <c r="R225" s="26"/>
    </row>
    <row r="226" ht="13.2" spans="1:18">
      <c r="A226" s="26">
        <f>IFERROR(__xludf.DUMMYFUNCTION("""COMPUTED_VALUE"""),224)</f>
        <v>224</v>
      </c>
      <c r="B226" s="26" t="str">
        <f>IFERROR(__xludf.DUMMYFUNCTION("""COMPUTED_VALUE"""),"Any 1")</f>
        <v>Any 1</v>
      </c>
      <c r="C226" s="26" t="str">
        <f>IFERROR(__xludf.DUMMYFUNCTION("""COMPUTED_VALUE"""),"EEC")</f>
        <v>EEC</v>
      </c>
      <c r="D226" s="26" t="str">
        <f>IFERROR(__xludf.DUMMYFUNCTION("""COMPUTED_VALUE"""),"NA")</f>
        <v>NA</v>
      </c>
      <c r="E226" s="26" t="str">
        <f>IFERROR(__xludf.DUMMYFUNCTION("""COMPUTED_VALUE"""),"19EY701")</f>
        <v>19EY701</v>
      </c>
      <c r="F226" s="27" t="str">
        <f>IFERROR(__xludf.DUMMYFUNCTION("""COMPUTED_VALUE"""),"Softskills")</f>
        <v>Softskills</v>
      </c>
      <c r="G226" s="26" t="str">
        <f>IFERROR(__xludf.DUMMYFUNCTION("""COMPUTED_VALUE"""),"-")</f>
        <v>-</v>
      </c>
      <c r="H226" s="26">
        <f>IFERROR(__xludf.DUMMYFUNCTION("""COMPUTED_VALUE"""),0)</f>
        <v>0</v>
      </c>
      <c r="I226" s="26">
        <f>IFERROR(__xludf.DUMMYFUNCTION("""COMPUTED_VALUE"""),1)</f>
        <v>1</v>
      </c>
      <c r="J226" s="26">
        <f>IFERROR(__xludf.DUMMYFUNCTION("""COMPUTED_VALUE"""),1)</f>
        <v>1</v>
      </c>
      <c r="K226" s="26" t="str">
        <f>IFERROR(__xludf.DUMMYFUNCTION("""COMPUTED_VALUE"""),"CGPA")</f>
        <v>CGPA</v>
      </c>
      <c r="L226" s="26" t="str">
        <f>IFERROR(__xludf.DUMMYFUNCTION("""COMPUTED_VALUE"""),"Practical (6 Expts)")</f>
        <v>Practical (6 Expts)</v>
      </c>
      <c r="M226" s="26"/>
      <c r="N226" s="26"/>
      <c r="O226" s="26"/>
      <c r="P226" s="26"/>
      <c r="Q226" s="26"/>
      <c r="R226" s="26"/>
    </row>
    <row r="227" ht="13.2" spans="1:18">
      <c r="A227" s="26">
        <f>IFERROR(__xludf.DUMMYFUNCTION("""COMPUTED_VALUE"""),225)</f>
        <v>225</v>
      </c>
      <c r="B227" s="26" t="str">
        <f>IFERROR(__xludf.DUMMYFUNCTION("""COMPUTED_VALUE"""),"Any 1")</f>
        <v>Any 1</v>
      </c>
      <c r="C227" s="26" t="str">
        <f>IFERROR(__xludf.DUMMYFUNCTION("""COMPUTED_VALUE"""),"EEC")</f>
        <v>EEC</v>
      </c>
      <c r="D227" s="26" t="str">
        <f>IFERROR(__xludf.DUMMYFUNCTION("""COMPUTED_VALUE"""),"SH6708")</f>
        <v>SH6708</v>
      </c>
      <c r="E227" s="26" t="str">
        <f>IFERROR(__xludf.DUMMYFUNCTION("""COMPUTED_VALUE"""),"19EY708")</f>
        <v>19EY708</v>
      </c>
      <c r="F227" s="27" t="str">
        <f>IFERROR(__xludf.DUMMYFUNCTION("""COMPUTED_VALUE"""),"Career Development Skills")</f>
        <v>Career Development Skills</v>
      </c>
      <c r="G227" s="26" t="str">
        <f>IFERROR(__xludf.DUMMYFUNCTION("""COMPUTED_VALUE"""),"NIL")</f>
        <v>NIL</v>
      </c>
      <c r="H227" s="26">
        <f>IFERROR(__xludf.DUMMYFUNCTION("""COMPUTED_VALUE"""),1)</f>
        <v>1</v>
      </c>
      <c r="I227" s="26">
        <f>IFERROR(__xludf.DUMMYFUNCTION("""COMPUTED_VALUE"""),0)</f>
        <v>0</v>
      </c>
      <c r="J227" s="26">
        <f>IFERROR(__xludf.DUMMYFUNCTION("""COMPUTED_VALUE"""),1)</f>
        <v>1</v>
      </c>
      <c r="K227" s="26" t="str">
        <f>IFERROR(__xludf.DUMMYFUNCTION("""COMPUTED_VALUE"""),"CGPA")</f>
        <v>CGPA</v>
      </c>
      <c r="L227" s="26" t="str">
        <f>IFERROR(__xludf.DUMMYFUNCTION("""COMPUTED_VALUE"""),"Theory (Int Only)")</f>
        <v>Theory (Int Only)</v>
      </c>
      <c r="M227" s="26"/>
      <c r="N227" s="26"/>
      <c r="O227" s="26"/>
      <c r="P227" s="26"/>
      <c r="Q227" s="26"/>
      <c r="R227" s="26"/>
    </row>
    <row r="228" ht="13.2" spans="1:18">
      <c r="A228" s="26">
        <f>IFERROR(__xludf.DUMMYFUNCTION("""COMPUTED_VALUE"""),226)</f>
        <v>226</v>
      </c>
      <c r="B228" s="26" t="str">
        <f>IFERROR(__xludf.DUMMYFUNCTION("""COMPUTED_VALUE"""),"Any 1")</f>
        <v>Any 1</v>
      </c>
      <c r="C228" s="26" t="str">
        <f>IFERROR(__xludf.DUMMYFUNCTION("""COMPUTED_VALUE"""),"EEC")</f>
        <v>EEC</v>
      </c>
      <c r="D228" s="26" t="str">
        <f>IFERROR(__xludf.DUMMYFUNCTION("""COMPUTED_VALUE"""),"NA")</f>
        <v>NA</v>
      </c>
      <c r="E228" s="26" t="str">
        <f>IFERROR(__xludf.DUMMYFUNCTION("""COMPUTED_VALUE"""),"19EY702")</f>
        <v>19EY702</v>
      </c>
      <c r="F228" s="27" t="str">
        <f>IFERROR(__xludf.DUMMYFUNCTION("""COMPUTED_VALUE"""),"Creative Skills for Communication")</f>
        <v>Creative Skills for Communication</v>
      </c>
      <c r="G228" s="26" t="str">
        <f>IFERROR(__xludf.DUMMYFUNCTION("""COMPUTED_VALUE"""),"-")</f>
        <v>-</v>
      </c>
      <c r="H228" s="26">
        <f>IFERROR(__xludf.DUMMYFUNCTION("""COMPUTED_VALUE"""),0)</f>
        <v>0</v>
      </c>
      <c r="I228" s="26">
        <f>IFERROR(__xludf.DUMMYFUNCTION("""COMPUTED_VALUE"""),1)</f>
        <v>1</v>
      </c>
      <c r="J228" s="26">
        <f>IFERROR(__xludf.DUMMYFUNCTION("""COMPUTED_VALUE"""),1)</f>
        <v>1</v>
      </c>
      <c r="K228" s="26" t="str">
        <f>IFERROR(__xludf.DUMMYFUNCTION("""COMPUTED_VALUE"""),"CGPA")</f>
        <v>CGPA</v>
      </c>
      <c r="L228" s="26" t="str">
        <f>IFERROR(__xludf.DUMMYFUNCTION("""COMPUTED_VALUE"""),"Practical (6 Expts)")</f>
        <v>Practical (6 Expts)</v>
      </c>
      <c r="M228" s="26"/>
      <c r="N228" s="26"/>
      <c r="O228" s="26"/>
      <c r="P228" s="26"/>
      <c r="Q228" s="26"/>
      <c r="R228" s="26"/>
    </row>
    <row r="229" ht="13.2" spans="1:18">
      <c r="A229" s="26">
        <f>IFERROR(__xludf.DUMMYFUNCTION("""COMPUTED_VALUE"""),227)</f>
        <v>227</v>
      </c>
      <c r="B229" s="26" t="str">
        <f>IFERROR(__xludf.DUMMYFUNCTION("""COMPUTED_VALUE"""),"Any 1")</f>
        <v>Any 1</v>
      </c>
      <c r="C229" s="26" t="str">
        <f>IFERROR(__xludf.DUMMYFUNCTION("""COMPUTED_VALUE"""),"EEC")</f>
        <v>EEC</v>
      </c>
      <c r="D229" s="26" t="str">
        <f>IFERROR(__xludf.DUMMYFUNCTION("""COMPUTED_VALUE"""),"SH6709")</f>
        <v>SH6709</v>
      </c>
      <c r="E229" s="26" t="str">
        <f>IFERROR(__xludf.DUMMYFUNCTION("""COMPUTED_VALUE"""),"19EY709")</f>
        <v>19EY709</v>
      </c>
      <c r="F229" s="27" t="str">
        <f>IFERROR(__xludf.DUMMYFUNCTION("""COMPUTED_VALUE"""),"Reasoning Ability")</f>
        <v>Reasoning Ability</v>
      </c>
      <c r="G229" s="26" t="str">
        <f>IFERROR(__xludf.DUMMYFUNCTION("""COMPUTED_VALUE"""),"NIL")</f>
        <v>NIL</v>
      </c>
      <c r="H229" s="26">
        <f>IFERROR(__xludf.DUMMYFUNCTION("""COMPUTED_VALUE"""),1)</f>
        <v>1</v>
      </c>
      <c r="I229" s="26">
        <f>IFERROR(__xludf.DUMMYFUNCTION("""COMPUTED_VALUE"""),0)</f>
        <v>0</v>
      </c>
      <c r="J229" s="26">
        <f>IFERROR(__xludf.DUMMYFUNCTION("""COMPUTED_VALUE"""),1)</f>
        <v>1</v>
      </c>
      <c r="K229" s="26" t="str">
        <f>IFERROR(__xludf.DUMMYFUNCTION("""COMPUTED_VALUE"""),"CGPA")</f>
        <v>CGPA</v>
      </c>
      <c r="L229" s="26" t="str">
        <f>IFERROR(__xludf.DUMMYFUNCTION("""COMPUTED_VALUE"""),"Theory (Int Only)")</f>
        <v>Theory (Int Only)</v>
      </c>
      <c r="M229" s="26"/>
      <c r="N229" s="26"/>
      <c r="O229" s="26"/>
      <c r="P229" s="26"/>
      <c r="Q229" s="26"/>
      <c r="R229" s="26"/>
    </row>
    <row r="230" ht="13.2" spans="1:18">
      <c r="A230" s="26">
        <f>IFERROR(__xludf.DUMMYFUNCTION("""COMPUTED_VALUE"""),228)</f>
        <v>228</v>
      </c>
      <c r="B230" s="26" t="str">
        <f>IFERROR(__xludf.DUMMYFUNCTION("""COMPUTED_VALUE"""),"Option 1")</f>
        <v>Option 1</v>
      </c>
      <c r="C230" s="26" t="str">
        <f>IFERROR(__xludf.DUMMYFUNCTION("""COMPUTED_VALUE"""),"EEC")</f>
        <v>EEC</v>
      </c>
      <c r="D230" s="26" t="str">
        <f>IFERROR(__xludf.DUMMYFUNCTION("""COMPUTED_VALUE"""),"NA")</f>
        <v>NA</v>
      </c>
      <c r="E230" s="26" t="str">
        <f>IFERROR(__xludf.DUMMYFUNCTION("""COMPUTED_VALUE"""),"19EY703")</f>
        <v>19EY703</v>
      </c>
      <c r="F230" s="27" t="str">
        <f>IFERROR(__xludf.DUMMYFUNCTION("""COMPUTED_VALUE"""),"System of Numerical and Logical Terminologies")</f>
        <v>System of Numerical and Logical Terminologies</v>
      </c>
      <c r="G230" s="26" t="str">
        <f>IFERROR(__xludf.DUMMYFUNCTION("""COMPUTED_VALUE"""),"-")</f>
        <v>-</v>
      </c>
      <c r="H230" s="26">
        <f>IFERROR(__xludf.DUMMYFUNCTION("""COMPUTED_VALUE"""),0)</f>
        <v>0</v>
      </c>
      <c r="I230" s="26">
        <f>IFERROR(__xludf.DUMMYFUNCTION("""COMPUTED_VALUE"""),1)</f>
        <v>1</v>
      </c>
      <c r="J230" s="26">
        <f>IFERROR(__xludf.DUMMYFUNCTION("""COMPUTED_VALUE"""),1)</f>
        <v>1</v>
      </c>
      <c r="K230" s="26" t="str">
        <f>IFERROR(__xludf.DUMMYFUNCTION("""COMPUTED_VALUE"""),"CGPA")</f>
        <v>CGPA</v>
      </c>
      <c r="L230" s="26" t="str">
        <f>IFERROR(__xludf.DUMMYFUNCTION("""COMPUTED_VALUE"""),"Practical (6 Expts)")</f>
        <v>Practical (6 Expts)</v>
      </c>
      <c r="M230" s="26"/>
      <c r="N230" s="26"/>
      <c r="O230" s="26"/>
      <c r="P230" s="26"/>
      <c r="Q230" s="26"/>
      <c r="R230" s="26"/>
    </row>
    <row r="231" ht="13.2" spans="1:18">
      <c r="A231" s="26">
        <f>IFERROR(__xludf.DUMMYFUNCTION("""COMPUTED_VALUE"""),229)</f>
        <v>229</v>
      </c>
      <c r="B231" s="26" t="str">
        <f>IFERROR(__xludf.DUMMYFUNCTION("""COMPUTED_VALUE"""),"Option 1")</f>
        <v>Option 1</v>
      </c>
      <c r="C231" s="26" t="str">
        <f>IFERROR(__xludf.DUMMYFUNCTION("""COMPUTED_VALUE"""),"EEC")</f>
        <v>EEC</v>
      </c>
      <c r="D231" s="26" t="str">
        <f>IFERROR(__xludf.DUMMYFUNCTION("""COMPUTED_VALUE"""),"NA")</f>
        <v>NA</v>
      </c>
      <c r="E231" s="26" t="str">
        <f>IFERROR(__xludf.DUMMYFUNCTION("""COMPUTED_VALUE"""),"19EY704")</f>
        <v>19EY704</v>
      </c>
      <c r="F231" s="27" t="str">
        <f>IFERROR(__xludf.DUMMYFUNCTION("""COMPUTED_VALUE"""),"Advanced Quantitative and Logical Reasoning")</f>
        <v>Advanced Quantitative and Logical Reasoning</v>
      </c>
      <c r="G231" s="26" t="str">
        <f>IFERROR(__xludf.DUMMYFUNCTION("""COMPUTED_VALUE"""),"-")</f>
        <v>-</v>
      </c>
      <c r="H231" s="26">
        <f>IFERROR(__xludf.DUMMYFUNCTION("""COMPUTED_VALUE"""),0)</f>
        <v>0</v>
      </c>
      <c r="I231" s="26">
        <f>IFERROR(__xludf.DUMMYFUNCTION("""COMPUTED_VALUE"""),1)</f>
        <v>1</v>
      </c>
      <c r="J231" s="26">
        <f>IFERROR(__xludf.DUMMYFUNCTION("""COMPUTED_VALUE"""),1)</f>
        <v>1</v>
      </c>
      <c r="K231" s="26" t="str">
        <f>IFERROR(__xludf.DUMMYFUNCTION("""COMPUTED_VALUE"""),"CGPA")</f>
        <v>CGPA</v>
      </c>
      <c r="L231" s="26" t="str">
        <f>IFERROR(__xludf.DUMMYFUNCTION("""COMPUTED_VALUE"""),"Practical (6 Expts)")</f>
        <v>Practical (6 Expts)</v>
      </c>
      <c r="M231" s="26"/>
      <c r="N231" s="26"/>
      <c r="O231" s="26"/>
      <c r="P231" s="26"/>
      <c r="Q231" s="26"/>
      <c r="R231" s="26"/>
    </row>
    <row r="232" ht="13.2" spans="1:18">
      <c r="A232" s="26">
        <f>IFERROR(__xludf.DUMMYFUNCTION("""COMPUTED_VALUE"""),230)</f>
        <v>230</v>
      </c>
      <c r="B232" s="26" t="str">
        <f>IFERROR(__xludf.DUMMYFUNCTION("""COMPUTED_VALUE"""),"Option 2")</f>
        <v>Option 2</v>
      </c>
      <c r="C232" s="26" t="str">
        <f>IFERROR(__xludf.DUMMYFUNCTION("""COMPUTED_VALUE"""),"EEC")</f>
        <v>EEC</v>
      </c>
      <c r="D232" s="26" t="str">
        <f>IFERROR(__xludf.DUMMYFUNCTION("""COMPUTED_VALUE"""),"SH6710")</f>
        <v>SH6710</v>
      </c>
      <c r="E232" s="26" t="str">
        <f>IFERROR(__xludf.DUMMYFUNCTION("""COMPUTED_VALUE"""),"19EY710")</f>
        <v>19EY710</v>
      </c>
      <c r="F232" s="27" t="str">
        <f>IFERROR(__xludf.DUMMYFUNCTION("""COMPUTED_VALUE"""),"Quantitative Ability I")</f>
        <v>Quantitative Ability I</v>
      </c>
      <c r="G232" s="26" t="str">
        <f>IFERROR(__xludf.DUMMYFUNCTION("""COMPUTED_VALUE"""),"NIL")</f>
        <v>NIL</v>
      </c>
      <c r="H232" s="26">
        <f>IFERROR(__xludf.DUMMYFUNCTION("""COMPUTED_VALUE"""),1)</f>
        <v>1</v>
      </c>
      <c r="I232" s="26">
        <f>IFERROR(__xludf.DUMMYFUNCTION("""COMPUTED_VALUE"""),0)</f>
        <v>0</v>
      </c>
      <c r="J232" s="26">
        <f>IFERROR(__xludf.DUMMYFUNCTION("""COMPUTED_VALUE"""),1)</f>
        <v>1</v>
      </c>
      <c r="K232" s="26" t="str">
        <f>IFERROR(__xludf.DUMMYFUNCTION("""COMPUTED_VALUE"""),"CGPA")</f>
        <v>CGPA</v>
      </c>
      <c r="L232" s="26" t="str">
        <f>IFERROR(__xludf.DUMMYFUNCTION("""COMPUTED_VALUE"""),"Theory (Int Only)")</f>
        <v>Theory (Int Only)</v>
      </c>
      <c r="M232" s="26"/>
      <c r="N232" s="26"/>
      <c r="O232" s="26"/>
      <c r="P232" s="26"/>
      <c r="Q232" s="26"/>
      <c r="R232" s="26"/>
    </row>
    <row r="233" ht="13.2" spans="1:18">
      <c r="A233" s="26">
        <f>IFERROR(__xludf.DUMMYFUNCTION("""COMPUTED_VALUE"""),231)</f>
        <v>231</v>
      </c>
      <c r="B233" s="26" t="str">
        <f>IFERROR(__xludf.DUMMYFUNCTION("""COMPUTED_VALUE"""),"Option 2")</f>
        <v>Option 2</v>
      </c>
      <c r="C233" s="26" t="str">
        <f>IFERROR(__xludf.DUMMYFUNCTION("""COMPUTED_VALUE"""),"EEC")</f>
        <v>EEC</v>
      </c>
      <c r="D233" s="26" t="str">
        <f>IFERROR(__xludf.DUMMYFUNCTION("""COMPUTED_VALUE"""),"SH6711")</f>
        <v>SH6711</v>
      </c>
      <c r="E233" s="26" t="str">
        <f>IFERROR(__xludf.DUMMYFUNCTION("""COMPUTED_VALUE"""),"19EY711")</f>
        <v>19EY711</v>
      </c>
      <c r="F233" s="27" t="str">
        <f>IFERROR(__xludf.DUMMYFUNCTION("""COMPUTED_VALUE"""),"Quantitative Ability II")</f>
        <v>Quantitative Ability II</v>
      </c>
      <c r="G233" s="26" t="str">
        <f>IFERROR(__xludf.DUMMYFUNCTION("""COMPUTED_VALUE"""),"SH6710 /19EY710")</f>
        <v>SH6710 /19EY710</v>
      </c>
      <c r="H233" s="26">
        <f>IFERROR(__xludf.DUMMYFUNCTION("""COMPUTED_VALUE"""),1)</f>
        <v>1</v>
      </c>
      <c r="I233" s="26">
        <f>IFERROR(__xludf.DUMMYFUNCTION("""COMPUTED_VALUE"""),0)</f>
        <v>0</v>
      </c>
      <c r="J233" s="26">
        <f>IFERROR(__xludf.DUMMYFUNCTION("""COMPUTED_VALUE"""),1)</f>
        <v>1</v>
      </c>
      <c r="K233" s="26" t="str">
        <f>IFERROR(__xludf.DUMMYFUNCTION("""COMPUTED_VALUE"""),"CGPA")</f>
        <v>CGPA</v>
      </c>
      <c r="L233" s="26" t="str">
        <f>IFERROR(__xludf.DUMMYFUNCTION("""COMPUTED_VALUE"""),"Theory (Int Only)")</f>
        <v>Theory (Int Only)</v>
      </c>
      <c r="M233" s="26"/>
      <c r="N233" s="26"/>
      <c r="O233" s="26"/>
      <c r="P233" s="26"/>
      <c r="Q233" s="26"/>
      <c r="R233" s="26"/>
    </row>
    <row r="234" ht="13.2" spans="1:18">
      <c r="A234" s="26">
        <f>IFERROR(__xludf.DUMMYFUNCTION("""COMPUTED_VALUE"""),232)</f>
        <v>232</v>
      </c>
      <c r="B234" s="26" t="str">
        <f>IFERROR(__xludf.DUMMYFUNCTION("""COMPUTED_VALUE"""),"Any 1")</f>
        <v>Any 1</v>
      </c>
      <c r="C234" s="26" t="str">
        <f>IFERROR(__xludf.DUMMYFUNCTION("""COMPUTED_VALUE"""),"EEC")</f>
        <v>EEC</v>
      </c>
      <c r="D234" s="26" t="str">
        <f>IFERROR(__xludf.DUMMYFUNCTION("""COMPUTED_VALUE"""),"NA")</f>
        <v>NA</v>
      </c>
      <c r="E234" s="26" t="str">
        <f>IFERROR(__xludf.DUMMYFUNCTION("""COMPUTED_VALUE"""),"19EY705")</f>
        <v>19EY705</v>
      </c>
      <c r="F234" s="27" t="str">
        <f>IFERROR(__xludf.DUMMYFUNCTION("""COMPUTED_VALUE"""),"Employment Enhancement Skills")</f>
        <v>Employment Enhancement Skills</v>
      </c>
      <c r="G234" s="26" t="str">
        <f>IFERROR(__xludf.DUMMYFUNCTION("""COMPUTED_VALUE"""),"-")</f>
        <v>-</v>
      </c>
      <c r="H234" s="26">
        <f>IFERROR(__xludf.DUMMYFUNCTION("""COMPUTED_VALUE"""),0)</f>
        <v>0</v>
      </c>
      <c r="I234" s="26">
        <f>IFERROR(__xludf.DUMMYFUNCTION("""COMPUTED_VALUE"""),1)</f>
        <v>1</v>
      </c>
      <c r="J234" s="26">
        <f>IFERROR(__xludf.DUMMYFUNCTION("""COMPUTED_VALUE"""),1)</f>
        <v>1</v>
      </c>
      <c r="K234" s="26" t="str">
        <f>IFERROR(__xludf.DUMMYFUNCTION("""COMPUTED_VALUE"""),"CGPA")</f>
        <v>CGPA</v>
      </c>
      <c r="L234" s="26" t="str">
        <f>IFERROR(__xludf.DUMMYFUNCTION("""COMPUTED_VALUE"""),"Practical (6 Expts)")</f>
        <v>Practical (6 Expts)</v>
      </c>
      <c r="M234" s="26"/>
      <c r="N234" s="26"/>
      <c r="O234" s="26"/>
      <c r="P234" s="26"/>
      <c r="Q234" s="26"/>
      <c r="R234" s="26"/>
    </row>
    <row r="235" ht="13.2" spans="1:18">
      <c r="A235" s="26">
        <f>IFERROR(__xludf.DUMMYFUNCTION("""COMPUTED_VALUE"""),233)</f>
        <v>233</v>
      </c>
      <c r="B235" s="26" t="str">
        <f>IFERROR(__xludf.DUMMYFUNCTION("""COMPUTED_VALUE"""),"Any 1")</f>
        <v>Any 1</v>
      </c>
      <c r="C235" s="26" t="str">
        <f>IFERROR(__xludf.DUMMYFUNCTION("""COMPUTED_VALUE"""),"EEC")</f>
        <v>EEC</v>
      </c>
      <c r="D235" s="26" t="str">
        <f>IFERROR(__xludf.DUMMYFUNCTION("""COMPUTED_VALUE"""),"SH6712")</f>
        <v>SH6712</v>
      </c>
      <c r="E235" s="26" t="str">
        <f>IFERROR(__xludf.DUMMYFUNCTION("""COMPUTED_VALUE"""),"19EY712")</f>
        <v>19EY712</v>
      </c>
      <c r="F235" s="27" t="str">
        <f>IFERROR(__xludf.DUMMYFUNCTION("""COMPUTED_VALUE"""),"Employment Enrichment Skills")</f>
        <v>Employment Enrichment Skills</v>
      </c>
      <c r="G235" s="26" t="str">
        <f>IFERROR(__xludf.DUMMYFUNCTION("""COMPUTED_VALUE"""),"19EY702 / 19EY709 / SH6709")</f>
        <v>19EY702 / 19EY709 / SH6709</v>
      </c>
      <c r="H235" s="26">
        <f>IFERROR(__xludf.DUMMYFUNCTION("""COMPUTED_VALUE"""),1)</f>
        <v>1</v>
      </c>
      <c r="I235" s="26">
        <f>IFERROR(__xludf.DUMMYFUNCTION("""COMPUTED_VALUE"""),0)</f>
        <v>0</v>
      </c>
      <c r="J235" s="26">
        <f>IFERROR(__xludf.DUMMYFUNCTION("""COMPUTED_VALUE"""),1)</f>
        <v>1</v>
      </c>
      <c r="K235" s="26" t="str">
        <f>IFERROR(__xludf.DUMMYFUNCTION("""COMPUTED_VALUE"""),"CGPA")</f>
        <v>CGPA</v>
      </c>
      <c r="L235" s="26" t="str">
        <f>IFERROR(__xludf.DUMMYFUNCTION("""COMPUTED_VALUE"""),"Theory (Int Only)")</f>
        <v>Theory (Int Only)</v>
      </c>
      <c r="M235" s="26"/>
      <c r="N235" s="26"/>
      <c r="O235" s="26"/>
      <c r="P235" s="26"/>
      <c r="Q235" s="26"/>
      <c r="R235" s="26"/>
    </row>
    <row r="236" ht="13.2" spans="1:18">
      <c r="A236" s="26">
        <f>IFERROR(__xludf.DUMMYFUNCTION("""COMPUTED_VALUE"""),234)</f>
        <v>234</v>
      </c>
      <c r="B236" s="26" t="str">
        <f>IFERROR(__xludf.DUMMYFUNCTION("""COMPUTED_VALUE"""),"Any 1")</f>
        <v>Any 1</v>
      </c>
      <c r="C236" s="26" t="str">
        <f>IFERROR(__xludf.DUMMYFUNCTION("""COMPUTED_VALUE"""),"EEC")</f>
        <v>EEC</v>
      </c>
      <c r="D236" s="26" t="str">
        <f>IFERROR(__xludf.DUMMYFUNCTION("""COMPUTED_VALUE"""),"NA")</f>
        <v>NA</v>
      </c>
      <c r="E236" s="26" t="str">
        <f>IFERROR(__xludf.DUMMYFUNCTION("""COMPUTED_VALUE"""),"19EY706")</f>
        <v>19EY706</v>
      </c>
      <c r="F236" s="27" t="str">
        <f>IFERROR(__xludf.DUMMYFUNCTION("""COMPUTED_VALUE"""),"Company Specific Assessments For Employability")</f>
        <v>Company Specific Assessments For Employability</v>
      </c>
      <c r="G236" s="26" t="str">
        <f>IFERROR(__xludf.DUMMYFUNCTION("""COMPUTED_VALUE"""),"-")</f>
        <v>-</v>
      </c>
      <c r="H236" s="26">
        <f>IFERROR(__xludf.DUMMYFUNCTION("""COMPUTED_VALUE"""),0)</f>
        <v>0</v>
      </c>
      <c r="I236" s="26">
        <f>IFERROR(__xludf.DUMMYFUNCTION("""COMPUTED_VALUE"""),1)</f>
        <v>1</v>
      </c>
      <c r="J236" s="26">
        <f>IFERROR(__xludf.DUMMYFUNCTION("""COMPUTED_VALUE"""),1)</f>
        <v>1</v>
      </c>
      <c r="K236" s="26" t="str">
        <f>IFERROR(__xludf.DUMMYFUNCTION("""COMPUTED_VALUE"""),"CGPA")</f>
        <v>CGPA</v>
      </c>
      <c r="L236" s="26" t="str">
        <f>IFERROR(__xludf.DUMMYFUNCTION("""COMPUTED_VALUE"""),"Practical (6 Expts)")</f>
        <v>Practical (6 Expts)</v>
      </c>
      <c r="M236" s="26"/>
      <c r="N236" s="26"/>
      <c r="O236" s="26"/>
      <c r="P236" s="26"/>
      <c r="Q236" s="26"/>
      <c r="R236" s="26"/>
    </row>
    <row r="237" ht="13.2" spans="1:18">
      <c r="A237" s="26">
        <f>IFERROR(__xludf.DUMMYFUNCTION("""COMPUTED_VALUE"""),235)</f>
        <v>235</v>
      </c>
      <c r="B237" s="26" t="str">
        <f>IFERROR(__xludf.DUMMYFUNCTION("""COMPUTED_VALUE"""),"Any 1")</f>
        <v>Any 1</v>
      </c>
      <c r="C237" s="26" t="str">
        <f>IFERROR(__xludf.DUMMYFUNCTION("""COMPUTED_VALUE"""),"EEC")</f>
        <v>EEC</v>
      </c>
      <c r="D237" s="26" t="str">
        <f>IFERROR(__xludf.DUMMYFUNCTION("""COMPUTED_VALUE"""),"SH6713")</f>
        <v>SH6713</v>
      </c>
      <c r="E237" s="26" t="str">
        <f>IFERROR(__xludf.DUMMYFUNCTION("""COMPUTED_VALUE"""),"19EY713")</f>
        <v>19EY713</v>
      </c>
      <c r="F237" s="27" t="str">
        <f>IFERROR(__xludf.DUMMYFUNCTION("""COMPUTED_VALUE"""),"Placement Readiness Assessment")</f>
        <v>Placement Readiness Assessment</v>
      </c>
      <c r="G237" s="26" t="str">
        <f>IFERROR(__xludf.DUMMYFUNCTION("""COMPUTED_VALUE"""),"19EY704 / 19EY711/SH6711")</f>
        <v>19EY704 / 19EY711/SH6711</v>
      </c>
      <c r="H237" s="26">
        <f>IFERROR(__xludf.DUMMYFUNCTION("""COMPUTED_VALUE"""),1)</f>
        <v>1</v>
      </c>
      <c r="I237" s="26">
        <f>IFERROR(__xludf.DUMMYFUNCTION("""COMPUTED_VALUE"""),0)</f>
        <v>0</v>
      </c>
      <c r="J237" s="26">
        <f>IFERROR(__xludf.DUMMYFUNCTION("""COMPUTED_VALUE"""),1)</f>
        <v>1</v>
      </c>
      <c r="K237" s="26" t="str">
        <f>IFERROR(__xludf.DUMMYFUNCTION("""COMPUTED_VALUE"""),"CGPA")</f>
        <v>CGPA</v>
      </c>
      <c r="L237" s="26" t="str">
        <f>IFERROR(__xludf.DUMMYFUNCTION("""COMPUTED_VALUE"""),"Theory (Int Only)")</f>
        <v>Theory (Int Only)</v>
      </c>
      <c r="M237" s="26"/>
      <c r="N237" s="26"/>
      <c r="O237" s="26"/>
      <c r="P237" s="26"/>
      <c r="Q237" s="26"/>
      <c r="R237" s="26"/>
    </row>
    <row r="238" ht="13.2" spans="1:18">
      <c r="A238" s="26">
        <f>IFERROR(__xludf.DUMMYFUNCTION("""COMPUTED_VALUE"""),236)</f>
        <v>236</v>
      </c>
      <c r="B238" s="26"/>
      <c r="C238" s="26" t="str">
        <f>IFERROR(__xludf.DUMMYFUNCTION("""COMPUTED_VALUE"""),"EEC")</f>
        <v>EEC</v>
      </c>
      <c r="D238" s="26" t="str">
        <f>IFERROR(__xludf.DUMMYFUNCTION("""COMPUTED_VALUE"""),"SH6707")</f>
        <v>SH6707</v>
      </c>
      <c r="E238" s="26" t="str">
        <f>IFERROR(__xludf.DUMMYFUNCTION("""COMPUTED_VALUE"""),"19EY707")</f>
        <v>19EY707</v>
      </c>
      <c r="F238" s="27" t="str">
        <f>IFERROR(__xludf.DUMMYFUNCTION("""COMPUTED_VALUE"""),"Paper Publication")</f>
        <v>Paper Publication</v>
      </c>
      <c r="G238" s="26" t="str">
        <f>IFERROR(__xludf.DUMMYFUNCTION("""COMPUTED_VALUE"""),"-")</f>
        <v>-</v>
      </c>
      <c r="H238" s="26">
        <f>IFERROR(__xludf.DUMMYFUNCTION("""COMPUTED_VALUE"""),0)</f>
        <v>0</v>
      </c>
      <c r="I238" s="26">
        <f>IFERROR(__xludf.DUMMYFUNCTION("""COMPUTED_VALUE"""),0)</f>
        <v>0</v>
      </c>
      <c r="J238" s="26">
        <f>IFERROR(__xludf.DUMMYFUNCTION("""COMPUTED_VALUE"""),1)</f>
        <v>1</v>
      </c>
      <c r="K238" s="26" t="str">
        <f>IFERROR(__xludf.DUMMYFUNCTION("""COMPUTED_VALUE"""),"NON-CGPA")</f>
        <v>NON-CGPA</v>
      </c>
      <c r="L238" s="26" t="str">
        <f>IFERROR(__xludf.DUMMYFUNCTION("""COMPUTED_VALUE"""),"Experiential Learning (Int Only)")</f>
        <v>Experiential Learning (Int Only)</v>
      </c>
      <c r="M238" s="26"/>
      <c r="N238" s="26"/>
      <c r="O238" s="26"/>
      <c r="P238" s="26"/>
      <c r="Q238" s="26"/>
      <c r="R238" s="26"/>
    </row>
    <row r="239" ht="13.2" spans="1:18">
      <c r="A239" s="26">
        <f>IFERROR(__xludf.DUMMYFUNCTION("""COMPUTED_VALUE"""),237)</f>
        <v>237</v>
      </c>
      <c r="B239" s="26"/>
      <c r="C239" s="26" t="str">
        <f>IFERROR(__xludf.DUMMYFUNCTION("""COMPUTED_VALUE"""),"MC")</f>
        <v>MC</v>
      </c>
      <c r="D239" s="26" t="str">
        <f>IFERROR(__xludf.DUMMYFUNCTION("""COMPUTED_VALUE"""),"NA")</f>
        <v>NA</v>
      </c>
      <c r="E239" s="26" t="str">
        <f>IFERROR(__xludf.DUMMYFUNCTION("""COMPUTED_VALUE"""),"19MC801")</f>
        <v>19MC801</v>
      </c>
      <c r="F239" s="27" t="str">
        <f>IFERROR(__xludf.DUMMYFUNCTION("""COMPUTED_VALUE"""),"Professional Ethics")</f>
        <v>Professional Ethics</v>
      </c>
      <c r="G239" s="26" t="str">
        <f>IFERROR(__xludf.DUMMYFUNCTION("""COMPUTED_VALUE"""),"-")</f>
        <v>-</v>
      </c>
      <c r="H239" s="26">
        <f>IFERROR(__xludf.DUMMYFUNCTION("""COMPUTED_VALUE"""),0)</f>
        <v>0</v>
      </c>
      <c r="I239" s="26">
        <f>IFERROR(__xludf.DUMMYFUNCTION("""COMPUTED_VALUE"""),0)</f>
        <v>0</v>
      </c>
      <c r="J239" s="26">
        <f>IFERROR(__xludf.DUMMYFUNCTION("""COMPUTED_VALUE"""),0)</f>
        <v>0</v>
      </c>
      <c r="K239" s="26" t="str">
        <f>IFERROR(__xludf.DUMMYFUNCTION("""COMPUTED_VALUE"""),"NON - CGPA")</f>
        <v>NON - CGPA</v>
      </c>
      <c r="L239" s="26" t="str">
        <f>IFERROR(__xludf.DUMMYFUNCTION("""COMPUTED_VALUE"""),"Theory (Int Only)")</f>
        <v>Theory (Int Only)</v>
      </c>
      <c r="M239" s="26"/>
      <c r="N239" s="26"/>
      <c r="O239" s="26"/>
      <c r="P239" s="26"/>
      <c r="Q239" s="26"/>
      <c r="R239" s="26"/>
    </row>
    <row r="240" ht="13.2" spans="1:18">
      <c r="A240" s="26">
        <f>IFERROR(__xludf.DUMMYFUNCTION("""COMPUTED_VALUE"""),238)</f>
        <v>238</v>
      </c>
      <c r="B240" s="26"/>
      <c r="C240" s="26" t="str">
        <f>IFERROR(__xludf.DUMMYFUNCTION("""COMPUTED_VALUE"""),"MC")</f>
        <v>MC</v>
      </c>
      <c r="D240" s="26" t="str">
        <f>IFERROR(__xludf.DUMMYFUNCTION("""COMPUTED_VALUE"""),"NA")</f>
        <v>NA</v>
      </c>
      <c r="E240" s="26" t="str">
        <f>IFERROR(__xludf.DUMMYFUNCTION("""COMPUTED_VALUE"""),"19MC802")</f>
        <v>19MC802</v>
      </c>
      <c r="F240" s="27" t="str">
        <f>IFERROR(__xludf.DUMMYFUNCTION("""COMPUTED_VALUE"""),"Environmental Science")</f>
        <v>Environmental Science</v>
      </c>
      <c r="G240" s="26" t="str">
        <f>IFERROR(__xludf.DUMMYFUNCTION("""COMPUTED_VALUE"""),"-")</f>
        <v>-</v>
      </c>
      <c r="H240" s="26">
        <f>IFERROR(__xludf.DUMMYFUNCTION("""COMPUTED_VALUE"""),0)</f>
        <v>0</v>
      </c>
      <c r="I240" s="26">
        <f>IFERROR(__xludf.DUMMYFUNCTION("""COMPUTED_VALUE"""),0)</f>
        <v>0</v>
      </c>
      <c r="J240" s="26">
        <f>IFERROR(__xludf.DUMMYFUNCTION("""COMPUTED_VALUE"""),0)</f>
        <v>0</v>
      </c>
      <c r="K240" s="26" t="str">
        <f>IFERROR(__xludf.DUMMYFUNCTION("""COMPUTED_VALUE"""),"CGPA")</f>
        <v>CGPA</v>
      </c>
      <c r="L240" s="26" t="str">
        <f>IFERROR(__xludf.DUMMYFUNCTION("""COMPUTED_VALUE"""),"Theory (Int Only)")</f>
        <v>Theory (Int Only)</v>
      </c>
      <c r="M240" s="26"/>
      <c r="N240" s="26"/>
      <c r="O240" s="26"/>
      <c r="P240" s="26"/>
      <c r="Q240" s="26"/>
      <c r="R240" s="26"/>
    </row>
    <row r="241" ht="13.2" spans="1:18">
      <c r="A241" s="26">
        <f>IFERROR(__xludf.DUMMYFUNCTION("""COMPUTED_VALUE"""),239)</f>
        <v>239</v>
      </c>
      <c r="B241" s="26"/>
      <c r="C241" s="26" t="str">
        <f>IFERROR(__xludf.DUMMYFUNCTION("""COMPUTED_VALUE"""),"MC")</f>
        <v>MC</v>
      </c>
      <c r="D241" s="26" t="str">
        <f>IFERROR(__xludf.DUMMYFUNCTION("""COMPUTED_VALUE"""),"NA")</f>
        <v>NA</v>
      </c>
      <c r="E241" s="26" t="str">
        <f>IFERROR(__xludf.DUMMYFUNCTION("""COMPUTED_VALUE"""),"19MC803")</f>
        <v>19MC803</v>
      </c>
      <c r="F241" s="27" t="str">
        <f>IFERROR(__xludf.DUMMYFUNCTION("""COMPUTED_VALUE"""),"Constitution of India")</f>
        <v>Constitution of India</v>
      </c>
      <c r="G241" s="26" t="str">
        <f>IFERROR(__xludf.DUMMYFUNCTION("""COMPUTED_VALUE"""),"-")</f>
        <v>-</v>
      </c>
      <c r="H241" s="26">
        <f>IFERROR(__xludf.DUMMYFUNCTION("""COMPUTED_VALUE"""),0)</f>
        <v>0</v>
      </c>
      <c r="I241" s="26">
        <f>IFERROR(__xludf.DUMMYFUNCTION("""COMPUTED_VALUE"""),0)</f>
        <v>0</v>
      </c>
      <c r="J241" s="26">
        <f>IFERROR(__xludf.DUMMYFUNCTION("""COMPUTED_VALUE"""),0)</f>
        <v>0</v>
      </c>
      <c r="K241" s="26" t="str">
        <f>IFERROR(__xludf.DUMMYFUNCTION("""COMPUTED_VALUE"""),"CGPA")</f>
        <v>CGPA</v>
      </c>
      <c r="L241" s="26" t="str">
        <f>IFERROR(__xludf.DUMMYFUNCTION("""COMPUTED_VALUE"""),"Theory (Int Only)")</f>
        <v>Theory (Int Only)</v>
      </c>
      <c r="M241" s="26"/>
      <c r="N241" s="26"/>
      <c r="O241" s="26"/>
      <c r="P241" s="26"/>
      <c r="Q241" s="26"/>
      <c r="R241" s="26"/>
    </row>
    <row r="242" ht="13.2" spans="1:18">
      <c r="A242" s="26">
        <f>IFERROR(__xludf.DUMMYFUNCTION("""COMPUTED_VALUE"""),240)</f>
        <v>240</v>
      </c>
      <c r="B242" s="26"/>
      <c r="C242" s="26" t="str">
        <f>IFERROR(__xludf.DUMMYFUNCTION("""COMPUTED_VALUE"""),"MC")</f>
        <v>MC</v>
      </c>
      <c r="D242" s="26" t="str">
        <f>IFERROR(__xludf.DUMMYFUNCTION("""COMPUTED_VALUE"""),"NA")</f>
        <v>NA</v>
      </c>
      <c r="E242" s="26" t="str">
        <f>IFERROR(__xludf.DUMMYFUNCTION("""COMPUTED_VALUE"""),"19MC804")</f>
        <v>19MC804</v>
      </c>
      <c r="F242" s="26" t="str">
        <f>IFERROR(__xludf.DUMMYFUNCTION("""COMPUTED_VALUE"""),"Internship/Entrepreneurship/Consultancy")</f>
        <v>Internship/Entrepreneurship/Consultancy</v>
      </c>
      <c r="G242" s="26" t="str">
        <f>IFERROR(__xludf.DUMMYFUNCTION("""COMPUTED_VALUE"""),"-")</f>
        <v>-</v>
      </c>
      <c r="H242" s="26">
        <f>IFERROR(__xludf.DUMMYFUNCTION("""COMPUTED_VALUE"""),0)</f>
        <v>0</v>
      </c>
      <c r="I242" s="26">
        <f>IFERROR(__xludf.DUMMYFUNCTION("""COMPUTED_VALUE"""),0)</f>
        <v>0</v>
      </c>
      <c r="J242" s="26">
        <f>IFERROR(__xludf.DUMMYFUNCTION("""COMPUTED_VALUE"""),2)</f>
        <v>2</v>
      </c>
      <c r="K242" s="26" t="str">
        <f>IFERROR(__xludf.DUMMYFUNCTION("""COMPUTED_VALUE"""),"NON-CGPA")</f>
        <v>NON-CGPA</v>
      </c>
      <c r="L242" s="26" t="str">
        <f>IFERROR(__xludf.DUMMYFUNCTION("""COMPUTED_VALUE"""),"Experiential Learning (Int Only)")</f>
        <v>Experiential Learning (Int Only)</v>
      </c>
      <c r="M242" s="26"/>
      <c r="N242" s="26"/>
      <c r="O242" s="26"/>
      <c r="P242" s="26"/>
      <c r="Q242" s="26"/>
      <c r="R242" s="26"/>
    </row>
    <row r="243" ht="13.2" spans="1:18">
      <c r="A243" s="26">
        <f>IFERROR(__xludf.DUMMYFUNCTION("""COMPUTED_VALUE"""),241)</f>
        <v>241</v>
      </c>
      <c r="B243" s="26"/>
      <c r="C243" s="26" t="str">
        <f>IFERROR(__xludf.DUMMYFUNCTION("""COMPUTED_VALUE"""),"MC")</f>
        <v>MC</v>
      </c>
      <c r="D243" s="26" t="str">
        <f>IFERROR(__xludf.DUMMYFUNCTION("""COMPUTED_VALUE"""),"NA")</f>
        <v>NA</v>
      </c>
      <c r="E243" s="26" t="str">
        <f>IFERROR(__xludf.DUMMYFUNCTION("""COMPUTED_VALUE"""),"19MC805")</f>
        <v>19MC805</v>
      </c>
      <c r="F243" s="27" t="str">
        <f>IFERROR(__xludf.DUMMYFUNCTION("""COMPUTED_VALUE"""),"Inplant Training")</f>
        <v>Inplant Training</v>
      </c>
      <c r="G243" s="26" t="str">
        <f>IFERROR(__xludf.DUMMYFUNCTION("""COMPUTED_VALUE"""),"-")</f>
        <v>-</v>
      </c>
      <c r="H243" s="26">
        <f>IFERROR(__xludf.DUMMYFUNCTION("""COMPUTED_VALUE"""),0)</f>
        <v>0</v>
      </c>
      <c r="I243" s="26">
        <f>IFERROR(__xludf.DUMMYFUNCTION("""COMPUTED_VALUE"""),0)</f>
        <v>0</v>
      </c>
      <c r="J243" s="26">
        <f>IFERROR(__xludf.DUMMYFUNCTION("""COMPUTED_VALUE"""),1)</f>
        <v>1</v>
      </c>
      <c r="K243" s="26" t="str">
        <f>IFERROR(__xludf.DUMMYFUNCTION("""COMPUTED_VALUE"""),"Non - CGPA")</f>
        <v>Non - CGPA</v>
      </c>
      <c r="L243" s="26" t="str">
        <f>IFERROR(__xludf.DUMMYFUNCTION("""COMPUTED_VALUE"""),"Experiential Learning (Int Only)")</f>
        <v>Experiential Learning (Int Only)</v>
      </c>
      <c r="M243" s="26"/>
      <c r="N243" s="26"/>
      <c r="O243" s="26"/>
      <c r="P243" s="26"/>
      <c r="Q243" s="26"/>
      <c r="R243" s="26"/>
    </row>
    <row r="244" ht="13.2" spans="1:18">
      <c r="A244" s="26">
        <f>IFERROR(__xludf.DUMMYFUNCTION("""COMPUTED_VALUE"""),242)</f>
        <v>242</v>
      </c>
      <c r="B244" s="26" t="str">
        <f>IFERROR(__xludf.DUMMYFUNCTION("""COMPUTED_VALUE"""),"Any 1")</f>
        <v>Any 1</v>
      </c>
      <c r="C244" s="26" t="str">
        <f>IFERROR(__xludf.DUMMYFUNCTION("""COMPUTED_VALUE"""),"MC")</f>
        <v>MC</v>
      </c>
      <c r="D244" s="26" t="str">
        <f>IFERROR(__xludf.DUMMYFUNCTION("""COMPUTED_VALUE"""),"SH6803")</f>
        <v>SH6803</v>
      </c>
      <c r="E244" s="26" t="str">
        <f>IFERROR(__xludf.DUMMYFUNCTION("""COMPUTED_VALUE"""),"19MC807")</f>
        <v>19MC807</v>
      </c>
      <c r="F244" s="26" t="str">
        <f>IFERROR(__xludf.DUMMYFUNCTION("""COMPUTED_VALUE"""),"National Service Scheme")</f>
        <v>National Service Scheme</v>
      </c>
      <c r="G244" s="26" t="str">
        <f>IFERROR(__xludf.DUMMYFUNCTION("""COMPUTED_VALUE"""),"-")</f>
        <v>-</v>
      </c>
      <c r="H244" s="26">
        <f>IFERROR(__xludf.DUMMYFUNCTION("""COMPUTED_VALUE"""),0)</f>
        <v>0</v>
      </c>
      <c r="I244" s="26">
        <f>IFERROR(__xludf.DUMMYFUNCTION("""COMPUTED_VALUE"""),0)</f>
        <v>0</v>
      </c>
      <c r="J244" s="26">
        <f>IFERROR(__xludf.DUMMYFUNCTION("""COMPUTED_VALUE"""),0)</f>
        <v>0</v>
      </c>
      <c r="K244" s="26" t="str">
        <f>IFERROR(__xludf.DUMMYFUNCTION("""COMPUTED_VALUE"""),"NON-CGPA")</f>
        <v>NON-CGPA</v>
      </c>
      <c r="L244" s="26" t="str">
        <f>IFERROR(__xludf.DUMMYFUNCTION("""COMPUTED_VALUE"""),"Experiential Learning (Int Only)")</f>
        <v>Experiential Learning (Int Only)</v>
      </c>
      <c r="M244" s="26"/>
      <c r="N244" s="26"/>
      <c r="O244" s="26"/>
      <c r="P244" s="26"/>
      <c r="Q244" s="26"/>
      <c r="R244" s="26"/>
    </row>
    <row r="245" ht="13.2" spans="1:18">
      <c r="A245" s="26">
        <f>IFERROR(__xludf.DUMMYFUNCTION("""COMPUTED_VALUE"""),243)</f>
        <v>243</v>
      </c>
      <c r="B245" s="26" t="str">
        <f>IFERROR(__xludf.DUMMYFUNCTION("""COMPUTED_VALUE"""),"Any 1")</f>
        <v>Any 1</v>
      </c>
      <c r="C245" s="26" t="str">
        <f>IFERROR(__xludf.DUMMYFUNCTION("""COMPUTED_VALUE"""),"MC")</f>
        <v>MC</v>
      </c>
      <c r="D245" s="26" t="str">
        <f>IFERROR(__xludf.DUMMYFUNCTION("""COMPUTED_VALUE"""),"SH8807")</f>
        <v>SH8807</v>
      </c>
      <c r="E245" s="26" t="str">
        <f>IFERROR(__xludf.DUMMYFUNCTION("""COMPUTED_VALUE"""),"19MC808")</f>
        <v>19MC808</v>
      </c>
      <c r="F245" s="26" t="str">
        <f>IFERROR(__xludf.DUMMYFUNCTION("""COMPUTED_VALUE"""),"National Sports Organization ")</f>
        <v>National Sports Organization </v>
      </c>
      <c r="G245" s="26" t="str">
        <f>IFERROR(__xludf.DUMMYFUNCTION("""COMPUTED_VALUE"""),"-")</f>
        <v>-</v>
      </c>
      <c r="H245" s="26">
        <f>IFERROR(__xludf.DUMMYFUNCTION("""COMPUTED_VALUE"""),0)</f>
        <v>0</v>
      </c>
      <c r="I245" s="26">
        <f>IFERROR(__xludf.DUMMYFUNCTION("""COMPUTED_VALUE"""),0)</f>
        <v>0</v>
      </c>
      <c r="J245" s="26">
        <f>IFERROR(__xludf.DUMMYFUNCTION("""COMPUTED_VALUE"""),0)</f>
        <v>0</v>
      </c>
      <c r="K245" s="26" t="str">
        <f>IFERROR(__xludf.DUMMYFUNCTION("""COMPUTED_VALUE"""),"NON-CGPA")</f>
        <v>NON-CGPA</v>
      </c>
      <c r="L245" s="26" t="str">
        <f>IFERROR(__xludf.DUMMYFUNCTION("""COMPUTED_VALUE"""),"Experiential Learning (Int Only)")</f>
        <v>Experiential Learning (Int Only)</v>
      </c>
      <c r="M245" s="26"/>
      <c r="N245" s="26"/>
      <c r="O245" s="26"/>
      <c r="P245" s="26"/>
      <c r="Q245" s="26"/>
      <c r="R245" s="26"/>
    </row>
    <row r="246" ht="13.2" spans="1:18">
      <c r="A246" s="26">
        <f>IFERROR(__xludf.DUMMYFUNCTION("""COMPUTED_VALUE"""),244)</f>
        <v>244</v>
      </c>
      <c r="B246" s="26" t="str">
        <f>IFERROR(__xludf.DUMMYFUNCTION("""COMPUTED_VALUE"""),"Any 1")</f>
        <v>Any 1</v>
      </c>
      <c r="C246" s="26" t="str">
        <f>IFERROR(__xludf.DUMMYFUNCTION("""COMPUTED_VALUE"""),"MC")</f>
        <v>MC</v>
      </c>
      <c r="D246" s="26" t="str">
        <f>IFERROR(__xludf.DUMMYFUNCTION("""COMPUTED_VALUE"""),"SH8808")</f>
        <v>SH8808</v>
      </c>
      <c r="E246" s="26" t="str">
        <f>IFERROR(__xludf.DUMMYFUNCTION("""COMPUTED_VALUE"""),"19MC809")</f>
        <v>19MC809</v>
      </c>
      <c r="F246" s="26" t="str">
        <f>IFERROR(__xludf.DUMMYFUNCTION("""COMPUTED_VALUE"""),"Youth Red Cross")</f>
        <v>Youth Red Cross</v>
      </c>
      <c r="G246" s="26" t="str">
        <f>IFERROR(__xludf.DUMMYFUNCTION("""COMPUTED_VALUE"""),"-")</f>
        <v>-</v>
      </c>
      <c r="H246" s="26">
        <f>IFERROR(__xludf.DUMMYFUNCTION("""COMPUTED_VALUE"""),0)</f>
        <v>0</v>
      </c>
      <c r="I246" s="26">
        <f>IFERROR(__xludf.DUMMYFUNCTION("""COMPUTED_VALUE"""),0)</f>
        <v>0</v>
      </c>
      <c r="J246" s="26">
        <f>IFERROR(__xludf.DUMMYFUNCTION("""COMPUTED_VALUE"""),0)</f>
        <v>0</v>
      </c>
      <c r="K246" s="26" t="str">
        <f>IFERROR(__xludf.DUMMYFUNCTION("""COMPUTED_VALUE"""),"NON-CGPA")</f>
        <v>NON-CGPA</v>
      </c>
      <c r="L246" s="26" t="str">
        <f>IFERROR(__xludf.DUMMYFUNCTION("""COMPUTED_VALUE"""),"Experiential Learning (Int Only)")</f>
        <v>Experiential Learning (Int Only)</v>
      </c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English&quot;)"/>
    <hyperlink ref="F4" r:id="rId3" display="=IFERROR(@__xludf.DUMMYFUNCTION(&quot;&quot;&quot;COMPUTED_VALUE&quot;&quot;&quot;),&quot;Communicative English&quot;)"/>
    <hyperlink ref="F5" r:id="rId4" display="=IFERROR(@__xludf.DUMMYFUNCTION(&quot;&quot;&quot;COMPUTED_VALUE&quot;&quot;&quot;),&quot;Principles of Management&quot;)"/>
    <hyperlink ref="F6" r:id="rId5" display="=IFERROR(@__xludf.DUMMYFUNCTION(&quot;&quot;&quot;COMPUTED_VALUE&quot;&quot;&quot;),&quot;Total Quality Management&quot;)"/>
    <hyperlink ref="F7" r:id="rId6" display="=IFERROR(@__xludf.DUMMYFUNCTION(&quot;&quot;&quot;COMPUTED_VALUE&quot;&quot;&quot;),&quot;Management and Quality Principles for Engineering&quot;)"/>
    <hyperlink ref="F8" r:id="rId7" display="=IFERROR(@__xludf.DUMMYFUNCTION(&quot;&quot;&quot;COMPUTED_VALUE&quot;&quot;&quot;),&quot;தமிழர் மரபு/ Heritage of Tamils&quot;)"/>
    <hyperlink ref="F9" r:id="rId8" display="=IFERROR(@__xludf.DUMMYFUNCTION(&quot;&quot;&quot;COMPUTED_VALUE&quot;&quot;&quot;),&quot;தமிழரும் தொழில்நுட்பமும்/ Tamils and Technology&quot;)"/>
    <hyperlink ref="F10" r:id="rId9" display="=IFERROR(@__xludf.DUMMYFUNCTION(&quot;&quot;&quot;COMPUTED_VALUE&quot;&quot;&quot;),&quot;Calculus and Matrix Algebra&quot;)"/>
    <hyperlink ref="F11" r:id="rId10" display="=IFERROR(@__xludf.DUMMYFUNCTION(&quot;&quot;&quot;COMPUTED_VALUE&quot;&quot;&quot;),&quot;Logic and Combinatorics&quot;)"/>
    <hyperlink ref="F12" r:id="rId11" display="=IFERROR(@__xludf.DUMMYFUNCTION(&quot;&quot;&quot;COMPUTED_VALUE&quot;&quot;&quot;),&quot;Algebra and Number Theory&quot;)"/>
    <hyperlink ref="F13" r:id="rId12" display="=IFERROR(@__xludf.DUMMYFUNCTION(&quot;&quot;&quot;COMPUTED_VALUE&quot;&quot;&quot;),&quot;Probability and Queueing Theory&quot;)"/>
    <hyperlink ref="F14" r:id="rId13" display="=IFERROR(@__xludf.DUMMYFUNCTION(&quot;&quot;&quot;COMPUTED_VALUE&quot;&quot;&quot;),&quot;Computational Physics&quot;)"/>
    <hyperlink ref="F15" r:id="rId14" display="=IFERROR(@__xludf.DUMMYFUNCTION(&quot;&quot;&quot;COMPUTED_VALUE&quot;&quot;&quot;),&quot;Principles of Chemistry in Engineering&quot;)"/>
    <hyperlink ref="F16" r:id="rId15" display="=IFERROR(@__xludf.DUMMYFUNCTION(&quot;&quot;&quot;COMPUTED_VALUE&quot;&quot;&quot;),&quot;Problem Solving and Python Programming&quot;)"/>
    <hyperlink ref="F17" r:id="rId16" display="=IFERROR(@__xludf.DUMMYFUNCTION(&quot;&quot;&quot;COMPUTED_VALUE&quot;&quot;&quot;),&quot;Basic Electrical, Electronics and Measurement Engineering&quot;)"/>
    <hyperlink ref="F18" r:id="rId17" display="=IFERROR(@__xludf.DUMMYFUNCTION(&quot;&quot;&quot;COMPUTED_VALUE&quot;&quot;&quot;),&quot;Engineering Drawing&quot;)"/>
    <hyperlink ref="F19" r:id="rId18" display="=IFERROR(@__xludf.DUMMYFUNCTION(&quot;&quot;&quot;COMPUTED_VALUE&quot;&quot;&quot;),&quot;Digital Principles and System Design&quot;)"/>
    <hyperlink ref="F20" r:id="rId19" display="=IFERROR(@__xludf.DUMMYFUNCTION(&quot;&quot;&quot;COMPUTED_VALUE&quot;&quot;&quot;),&quot;Communication Engineering&quot;)"/>
    <hyperlink ref="F21" r:id="rId20" display="=IFERROR(@__xludf.DUMMYFUNCTION(&quot;&quot;&quot;COMPUTED_VALUE&quot;&quot;&quot;),&quot;Programming in C&quot;)"/>
    <hyperlink ref="F22" r:id="rId21" display="=IFERROR(@__xludf.DUMMYFUNCTION(&quot;&quot;&quot;COMPUTED_VALUE&quot;&quot;&quot;),&quot;Computer Architecture&quot;)"/>
    <hyperlink ref="F23" r:id="rId22" display="=IFERROR(@__xludf.DUMMYFUNCTION(&quot;&quot;&quot;COMPUTED_VALUE&quot;&quot;&quot;),&quot;Software Testing Laboratory&quot;)"/>
    <hyperlink ref="F24" r:id="rId23" display="=IFERROR(@__xludf.DUMMYFUNCTION(&quot;&quot;&quot;COMPUTED_VALUE&quot;&quot;&quot;),&quot;Data Structures and Object Oriented Programming using C++&quot;)"/>
    <hyperlink ref="F25" r:id="rId24" display="=IFERROR(@__xludf.DUMMYFUNCTION(&quot;&quot;&quot;COMPUTED_VALUE&quot;&quot;&quot;),&quot;Design and Analysis of Algorithms&quot;)"/>
    <hyperlink ref="F26" r:id="rId25" display="=IFERROR(@__xludf.DUMMYFUNCTION(&quot;&quot;&quot;COMPUTED_VALUE&quot;&quot;&quot;),&quot;Programming Paradigms&quot;)"/>
    <hyperlink ref="F28" r:id="rId26" display="=IFERROR(@__xludf.DUMMYFUNCTION(&quot;&quot;&quot;COMPUTED_VALUE&quot;&quot;&quot;),&quot;Operating System&quot;)"/>
    <hyperlink ref="F29" r:id="rId27" display="=IFERROR(@__xludf.DUMMYFUNCTION(&quot;&quot;&quot;COMPUTED_VALUE&quot;&quot;&quot;),&quot;Computer Networks&quot;)"/>
    <hyperlink ref="F30" r:id="rId28" display="=IFERROR(@__xludf.DUMMYFUNCTION(&quot;&quot;&quot;COMPUTED_VALUE&quot;&quot;&quot;),&quot;Theory of Computation&quot;)"/>
    <hyperlink ref="F31" r:id="rId29" display="=IFERROR(@__xludf.DUMMYFUNCTION(&quot;&quot;&quot;COMPUTED_VALUE&quot;&quot;&quot;),&quot;Software Engineering&quot;)"/>
    <hyperlink ref="F32" r:id="rId30" display="=IFERROR(@__xludf.DUMMYFUNCTION(&quot;&quot;&quot;COMPUTED_VALUE&quot;&quot;&quot;),&quot;Compiler Design&quot;)"/>
    <hyperlink ref="F33" r:id="rId31" display="=IFERROR(@__xludf.DUMMYFUNCTION(&quot;&quot;&quot;COMPUTED_VALUE&quot;&quot;&quot;),&quot;Web Programming&quot;)"/>
    <hyperlink ref="F34" r:id="rId32" display="=IFERROR(@__xludf.DUMMYFUNCTION(&quot;&quot;&quot;COMPUTED_VALUE&quot;&quot;&quot;),&quot;Fundamentals of Web Technology&quot;)"/>
    <hyperlink ref="F35" r:id="rId33" display="=IFERROR(@__xludf.DUMMYFUNCTION(&quot;&quot;&quot;COMPUTED_VALUE&quot;&quot;&quot;),&quot;Web Technology Laboratory&quot;)"/>
    <hyperlink ref="F36" r:id="rId34" display="=IFERROR(@__xludf.DUMMYFUNCTION(&quot;&quot;&quot;COMPUTED_VALUE&quot;&quot;&quot;),&quot;Fundamentals of Web Application Development&quot;)"/>
    <hyperlink ref="F37" r:id="rId35" display="=IFERROR(@__xludf.DUMMYFUNCTION(&quot;&quot;&quot;COMPUTED_VALUE&quot;&quot;&quot;),&quot;Virtualization and Cloud Computing&quot;)"/>
    <hyperlink ref="F38" r:id="rId36" display="=IFERROR(@__xludf.DUMMYFUNCTION(&quot;&quot;&quot;COMPUTED_VALUE&quot;&quot;&quot;),&quot;Cryptography and Network Security&quot;)"/>
    <hyperlink ref="F39" r:id="rId37" display="=IFERROR(@__xludf.DUMMYFUNCTION(&quot;&quot;&quot;COMPUTED_VALUE&quot;&quot;&quot;),&quot;Artificial Intelligence&quot;)"/>
    <hyperlink ref="F40" r:id="rId38" display="=IFERROR(@__xludf.DUMMYFUNCTION(&quot;&quot;&quot;COMPUTED_VALUE&quot;&quot;&quot;),&quot;Microprocessor and Microcontroller&quot;)"/>
    <hyperlink ref="F41" r:id="rId39" display="=IFERROR(@__xludf.DUMMYFUNCTION(&quot;&quot;&quot;COMPUTED_VALUE&quot;&quot;&quot;),&quot;Mobile Application Development&quot;)"/>
    <hyperlink ref="F42" r:id="rId40" display="=IFERROR(@__xludf.DUMMYFUNCTION(&quot;&quot;&quot;COMPUTED_VALUE&quot;&quot;&quot;),&quot;Engineering Mechanics and Product Development&quot;)"/>
    <hyperlink ref="F43" r:id="rId41" display="=IFERROR(@__xludf.DUMMYFUNCTION(&quot;&quot;&quot;COMPUTED_VALUE&quot;&quot;&quot;),&quot;Object Oriented Programming using C++&quot;)"/>
    <hyperlink ref="F44" r:id="rId42" display="=IFERROR(@__xludf.DUMMYFUNCTION(&quot;&quot;&quot;COMPUTED_VALUE&quot;&quot;&quot;),&quot;Object Oriented Programming using C#&quot;)"/>
    <hyperlink ref="F45" r:id="rId43" display="=IFERROR(@__xludf.DUMMYFUNCTION(&quot;&quot;&quot;COMPUTED_VALUE&quot;&quot;&quot;),&quot;Introduction to Data Science&quot;)"/>
    <hyperlink ref="F46" r:id="rId44" display="=IFERROR(@__xludf.DUMMYFUNCTION(&quot;&quot;&quot;COMPUTED_VALUE&quot;&quot;&quot;),&quot;Fundamentals of Artificial Intelligence&quot;)"/>
    <hyperlink ref="F47" r:id="rId45" display="=IFERROR(@__xludf.DUMMYFUNCTION(&quot;&quot;&quot;COMPUTED_VALUE&quot;&quot;&quot;),&quot;Digital Image Processing Techniques&quot;)"/>
    <hyperlink ref="F48" r:id="rId46" display="=IFERROR(@__xludf.DUMMYFUNCTION(&quot;&quot;&quot;COMPUTED_VALUE&quot;&quot;&quot;),&quot;Parallel Computing Architecture&quot;)"/>
    <hyperlink ref="F49" r:id="rId47" display="=IFERROR(@__xludf.DUMMYFUNCTION(&quot;&quot;&quot;COMPUTED_VALUE&quot;&quot;&quot;),&quot;Applied Artificial Intelligence&quot;)"/>
    <hyperlink ref="F50" r:id="rId48" display="=IFERROR(@__xludf.DUMMYFUNCTION(&quot;&quot;&quot;COMPUTED_VALUE&quot;&quot;&quot;),&quot;Introduction to Machine Learning&quot;)"/>
    <hyperlink ref="F51" r:id="rId49" display="=IFERROR(@__xludf.DUMMYFUNCTION(&quot;&quot;&quot;COMPUTED_VALUE&quot;&quot;&quot;),&quot;Neural Networks&quot;)"/>
    <hyperlink ref="F52" r:id="rId50" display="=IFERROR(@__xludf.DUMMYFUNCTION(&quot;&quot;&quot;COMPUTED_VALUE&quot;&quot;&quot;),&quot;Web Data Mining&quot;)"/>
    <hyperlink ref="F53" r:id="rId51" display="=IFERROR(@__xludf.DUMMYFUNCTION(&quot;&quot;&quot;COMPUTED_VALUE&quot;&quot;&quot;),&quot;Deep Learning and its Applications&quot;)"/>
    <hyperlink ref="F55" r:id="rId52" display="=IFERROR(@__xludf.DUMMYFUNCTION(&quot;&quot;&quot;COMPUTED_VALUE&quot;&quot;&quot;),&quot;Applied Natural Language Processing&quot;)"/>
    <hyperlink ref="F56" r:id="rId53" display="=IFERROR(@__xludf.DUMMYFUNCTION(&quot;&quot;&quot;COMPUTED_VALUE&quot;&quot;&quot;),&quot;Computer Vision&quot;)"/>
    <hyperlink ref="F57" r:id="rId54" display="=IFERROR(@__xludf.DUMMYFUNCTION(&quot;&quot;&quot;COMPUTED_VALUE&quot;&quot;&quot;),&quot;Mobile Robotics&quot;)"/>
    <hyperlink ref="F60" r:id="rId55" display="=IFERROR(@__xludf.DUMMYFUNCTION(&quot;&quot;&quot;COMPUTED_VALUE&quot;&quot;&quot;),&quot;Special Topics in Artificial Intelligence&quot;)"/>
    <hyperlink ref="F62" r:id="rId56" display="=IFERROR(@__xludf.DUMMYFUNCTION(&quot;&quot;&quot;COMPUTED_VALUE&quot;&quot;&quot;),&quot;Concepts of Virtual And Augmented Reality&quot;)"/>
    <hyperlink ref="F63" r:id="rId57" display="=IFERROR(@__xludf.DUMMYFUNCTION(&quot;&quot;&quot;COMPUTED_VALUE&quot;&quot;&quot;),&quot;Mobile VR And AI In Unity&quot;)"/>
    <hyperlink ref="F64" r:id="rId58" display="=IFERROR(@__xludf.DUMMYFUNCTION(&quot;&quot;&quot;COMPUTED_VALUE&quot;&quot;&quot;),&quot;Scientific and Engineering Data Visualization&quot;)"/>
    <hyperlink ref="F65" r:id="rId59" display="=IFERROR(@__xludf.DUMMYFUNCTION(&quot;&quot;&quot;COMPUTED_VALUE&quot;&quot;&quot;),&quot;NoSQL Database Design&quot;)"/>
    <hyperlink ref="F66" r:id="rId60" display="=IFERROR(@__xludf.DUMMYFUNCTION(&quot;&quot;&quot;COMPUTED_VALUE&quot;&quot;&quot;),&quot;Game Programming&quot;)"/>
    <hyperlink ref="F67" r:id="rId61" display="=IFERROR(@__xludf.DUMMYFUNCTION(&quot;&quot;&quot;COMPUTED_VALUE&quot;&quot;&quot;),&quot;Self Driving Car&quot;)"/>
    <hyperlink ref="F68" r:id="rId62" display="=IFERROR(@__xludf.DUMMYFUNCTION(&quot;&quot;&quot;COMPUTED_VALUE&quot;&quot;&quot;),&quot;Smart Manufacturing Technology&quot;)"/>
    <hyperlink ref="F69" r:id="rId63" display="=IFERROR(@__xludf.DUMMYFUNCTION(&quot;&quot;&quot;COMPUTED_VALUE&quot;&quot;&quot;),&quot;Big Data Mining and Analysis&quot;)"/>
    <hyperlink ref="F70" r:id="rId64" display="=IFERROR(@__xludf.DUMMYFUNCTION(&quot;&quot;&quot;COMPUTED_VALUE&quot;&quot;&quot;),&quot;Business Analytics&quot;)"/>
    <hyperlink ref="F71" r:id="rId65" display="=IFERROR(@__xludf.DUMMYFUNCTION(&quot;&quot;&quot;COMPUTED_VALUE&quot;&quot;&quot;),&quot;Cognitive Systems&quot;)"/>
    <hyperlink ref="F72" r:id="rId66" display="=IFERROR(@__xludf.DUMMYFUNCTION(&quot;&quot;&quot;COMPUTED_VALUE&quot;&quot;&quot;),&quot;Distributed Database&quot;)"/>
    <hyperlink ref="F73" r:id="rId67" display="=IFERROR(@__xludf.DUMMYFUNCTION(&quot;&quot;&quot;COMPUTED_VALUE&quot;&quot;&quot;),&quot;Data Mining and Warehousing&quot;)"/>
    <hyperlink ref="F74" r:id="rId68" display="=IFERROR(@__xludf.DUMMYFUNCTION(&quot;&quot;&quot;COMPUTED_VALUE&quot;&quot;&quot;),&quot;Expert Systems&quot;)"/>
    <hyperlink ref="F75" r:id="rId69" display="=IFERROR(@__xludf.DUMMYFUNCTION(&quot;&quot;&quot;COMPUTED_VALUE&quot;&quot;&quot;),&quot;Knowledge Engineering&quot;)"/>
    <hyperlink ref="F76" r:id="rId70" display="=IFERROR(@__xludf.DUMMYFUNCTION(&quot;&quot;&quot;COMPUTED_VALUE&quot;&quot;&quot;),&quot;Mobile Database&quot;)"/>
    <hyperlink ref="F77" r:id="rId71" display="=IFERROR(@__xludf.DUMMYFUNCTION(&quot;&quot;&quot;COMPUTED_VALUE&quot;&quot;&quot;),&quot;Multimedia Database&quot;)"/>
    <hyperlink ref="F78" r:id="rId72" display="=IFERROR(@__xludf.DUMMYFUNCTION(&quot;&quot;&quot;COMPUTED_VALUE&quot;&quot;&quot;),&quot;Video Processing&quot;)"/>
    <hyperlink ref="F79" r:id="rId73" display="=IFERROR(@__xludf.DUMMYFUNCTION(&quot;&quot;&quot;COMPUTED_VALUE&quot;&quot;&quot;),&quot;Information Security and Access Control&quot;)"/>
    <hyperlink ref="F80" r:id="rId74" display="=IFERROR(@__xludf.DUMMYFUNCTION(&quot;&quot;&quot;COMPUTED_VALUE&quot;&quot;&quot;),&quot;Security Assessment and Risk Analysis&quot;)"/>
    <hyperlink ref="F81" r:id="rId75" display="=IFERROR(@__xludf.DUMMYFUNCTION(&quot;&quot;&quot;COMPUTED_VALUE&quot;&quot;&quot;),&quot;Advanced Graph Theory and Applications&quot;)"/>
    <hyperlink ref="F82" r:id="rId76" display="=IFERROR(@__xludf.DUMMYFUNCTION(&quot;&quot;&quot;COMPUTED_VALUE&quot;&quot;&quot;),&quot;Advanced Data Structures&quot;)"/>
    <hyperlink ref="F83" r:id="rId77" display="=IFERROR(@__xludf.DUMMYFUNCTION(&quot;&quot;&quot;COMPUTED_VALUE&quot;&quot;&quot;),&quot;Control of Robotic Systems&quot;)"/>
    <hyperlink ref="F84" r:id="rId78" display="=IFERROR(@__xludf.DUMMYFUNCTION(&quot;&quot;&quot;COMPUTED_VALUE&quot;&quot;&quot;),&quot;Cryptography and Security&quot;)"/>
    <hyperlink ref="F85" r:id="rId79" display="=IFERROR(@__xludf.DUMMYFUNCTION(&quot;&quot;&quot;COMPUTED_VALUE&quot;&quot;&quot;),&quot;Information Theory for Cyber Security&quot;)"/>
    <hyperlink ref="F86" r:id="rId80" display="=IFERROR(@__xludf.DUMMYFUNCTION(&quot;&quot;&quot;COMPUTED_VALUE&quot;&quot;&quot;),&quot;Introduction to Robotics&quot;)"/>
    <hyperlink ref="F87" r:id="rId81" display="=IFERROR(@__xludf.DUMMYFUNCTION(&quot;&quot;&quot;COMPUTED_VALUE&quot;&quot;&quot;),&quot;Kinematics and Dynamics of Robots&quot;)"/>
    <hyperlink ref="F88" r:id="rId82" display="=IFERROR(@__xludf.DUMMYFUNCTION(&quot;&quot;&quot;COMPUTED_VALUE&quot;&quot;&quot;),&quot;Robotic Sensors&quot;)"/>
    <hyperlink ref="F89" r:id="rId83" display="=IFERROR(@__xludf.DUMMYFUNCTION(&quot;&quot;&quot;COMPUTED_VALUE&quot;&quot;&quot;),&quot;Steganography and Digital Watermarking&quot;)"/>
    <hyperlink ref="F90" r:id="rId84" display="=IFERROR(@__xludf.DUMMYFUNCTION(&quot;&quot;&quot;COMPUTED_VALUE&quot;&quot;&quot;),&quot;Computer Graphics for Virtual Reality&quot;)"/>
    <hyperlink ref="F91" r:id="rId85" display="=IFERROR(@__xludf.DUMMYFUNCTION(&quot;&quot;&quot;COMPUTED_VALUE&quot;&quot;&quot;),&quot;Mathematical Modelling and Computer Aided Engineering&quot;)"/>
    <hyperlink ref="F92" r:id="rId86" display="=IFERROR(@__xludf.DUMMYFUNCTION(&quot;&quot;&quot;COMPUTED_VALUE&quot;&quot;&quot;),&quot;Mobile User Interface Development&quot;)"/>
    <hyperlink ref="F93" r:id="rId87" display="=IFERROR(@__xludf.DUMMYFUNCTION(&quot;&quot;&quot;COMPUTED_VALUE&quot;&quot;&quot;),&quot;Programming Mobile Devices&quot;)"/>
    <hyperlink ref="F94" r:id="rId88" display="=IFERROR(@__xludf.DUMMYFUNCTION(&quot;&quot;&quot;COMPUTED_VALUE&quot;&quot;&quot;),&quot;Cloud Computing&quot;)"/>
    <hyperlink ref="F95" r:id="rId89" display="=IFERROR(@__xludf.DUMMYFUNCTION(&quot;&quot;&quot;COMPUTED_VALUE&quot;&quot;&quot;),&quot;Agile Software Development&quot;)"/>
    <hyperlink ref="F96" r:id="rId90" display="=IFERROR(@__xludf.DUMMYFUNCTION(&quot;&quot;&quot;COMPUTED_VALUE&quot;&quot;&quot;),&quot;Software Testing&quot;)"/>
    <hyperlink ref="F97" r:id="rId91" display="=IFERROR(@__xludf.DUMMYFUNCTION(&quot;&quot;&quot;COMPUTED_VALUE&quot;&quot;&quot;),&quot;Virtualization and Containerization&quot;)"/>
    <hyperlink ref="F98" r:id="rId92" display="=IFERROR(@__xludf.DUMMYFUNCTION(&quot;&quot;&quot;COMPUTED_VALUE&quot;&quot;&quot;),&quot;Modern Web Application Development&quot;)"/>
    <hyperlink ref="F99" r:id="rId93" display="=IFERROR(@__xludf.DUMMYFUNCTION(&quot;&quot;&quot;COMPUTED_VALUE&quot;&quot;&quot;),&quot;Web Server Programming&quot;)"/>
    <hyperlink ref="F100" r:id="rId94" display="=IFERROR(@__xludf.DUMMYFUNCTION(&quot;&quot;&quot;COMPUTED_VALUE&quot;&quot;&quot;),&quot;Blockchain for Business&quot;)"/>
    <hyperlink ref="F101" r:id="rId95" display="=IFERROR(@__xludf.DUMMYFUNCTION(&quot;&quot;&quot;COMPUTED_VALUE&quot;&quot;&quot;),&quot;Robot Programming&quot;)"/>
    <hyperlink ref="F102" r:id="rId96" display="=IFERROR(@__xludf.DUMMYFUNCTION(&quot;&quot;&quot;COMPUTED_VALUE&quot;&quot;&quot;),&quot;Drone Assembly and Applications&quot;)"/>
    <hyperlink ref="F103" r:id="rId97" display="=IFERROR(@__xludf.DUMMYFUNCTION(&quot;&quot;&quot;COMPUTED_VALUE&quot;&quot;&quot;),&quot;Artificial Intelligence for Games&quot;)"/>
    <hyperlink ref="F104" r:id="rId98" display="=IFERROR(@__xludf.DUMMYFUNCTION(&quot;&quot;&quot;COMPUTED_VALUE&quot;&quot;&quot;),&quot;Drone Design and Control&quot;)"/>
    <hyperlink ref="F105" r:id="rId99" display="=IFERROR(@__xludf.DUMMYFUNCTION(&quot;&quot;&quot;COMPUTED_VALUE&quot;&quot;&quot;),&quot;Web Application User Interface Development&quot;)"/>
    <hyperlink ref="F110" r:id="rId100" display="=IFERROR(@__xludf.DUMMYFUNCTION(&quot;&quot;&quot;COMPUTED_VALUE&quot;&quot;&quot;),&quot;Genetic Algorithms&quot;)"/>
    <hyperlink ref="F112" r:id="rId101" display="=IFERROR(@__xludf.DUMMYFUNCTION(&quot;&quot;&quot;COMPUTED_VALUE&quot;&quot;&quot;),&quot;Brain Computer Interaction&quot;)"/>
    <hyperlink ref="F113" r:id="rId102" display="=IFERROR(@__xludf.DUMMYFUNCTION(&quot;&quot;&quot;COMPUTED_VALUE&quot;&quot;&quot;),&quot;Statistical Learning Theory&quot;)"/>
    <hyperlink ref="F114" r:id="rId103" display="=IFERROR(@__xludf.DUMMYFUNCTION(&quot;&quot;&quot;COMPUTED_VALUE&quot;&quot;&quot;),&quot;Sensors and Actuators for IoT&quot;)"/>
    <hyperlink ref="F115" r:id="rId104" display="=IFERROR(@__xludf.DUMMYFUNCTION(&quot;&quot;&quot;COMPUTED_VALUE&quot;&quot;&quot;),&quot;Security and Trust in IoT&quot;)"/>
    <hyperlink ref="F116" r:id="rId105" display="=IFERROR(@__xludf.DUMMYFUNCTION(&quot;&quot;&quot;COMPUTED_VALUE&quot;&quot;&quot;),&quot;Introduction to IoT&quot;)"/>
    <hyperlink ref="F117" r:id="rId106" display="=IFERROR(@__xludf.DUMMYFUNCTION(&quot;&quot;&quot;COMPUTED_VALUE&quot;&quot;&quot;),&quot;Industrial Internet of Things&quot;)"/>
    <hyperlink ref="F118" r:id="rId107" display="=IFERROR(@__xludf.DUMMYFUNCTION(&quot;&quot;&quot;COMPUTED_VALUE&quot;&quot;&quot;),&quot;Software for Embedded Systems&quot;)"/>
    <hyperlink ref="F119" r:id="rId108" display="=IFERROR(@__xludf.DUMMYFUNCTION(&quot;&quot;&quot;COMPUTED_VALUE&quot;&quot;&quot;),&quot;IoT Architecture and Protocols&quot;)"/>
    <hyperlink ref="F120" r:id="rId109" display="=IFERROR(@__xludf.DUMMYFUNCTION(&quot;&quot;&quot;COMPUTED_VALUE&quot;&quot;&quot;),&quot;Arduino for IoT&quot;)"/>
    <hyperlink ref="F121" r:id="rId110" display="=IFERROR(@__xludf.DUMMYFUNCTION(&quot;&quot;&quot;COMPUTED_VALUE&quot;&quot;&quot;),&quot;Raspberry Pi for IoT&quot;)"/>
    <hyperlink ref="F122" r:id="rId111" display="=IFERROR(@__xludf.DUMMYFUNCTION(&quot;&quot;&quot;COMPUTED_VALUE&quot;&quot;&quot;),&quot;Motion Planning Techniques&quot;)"/>
    <hyperlink ref="F123" r:id="rId112" display="=IFERROR(@__xludf.DUMMYFUNCTION(&quot;&quot;&quot;COMPUTED_VALUE&quot;&quot;&quot;),&quot;Advanced Java Programming&quot;)"/>
    <hyperlink ref="F124" r:id="rId113" display="=IFERROR(@__xludf.DUMMYFUNCTION(&quot;&quot;&quot;COMPUTED_VALUE&quot;&quot;&quot;),&quot;Python Programming for IoT&quot;)"/>
    <hyperlink ref="F125" r:id="rId114" display="=IFERROR(@__xludf.DUMMYFUNCTION(&quot;&quot;&quot;COMPUTED_VALUE&quot;&quot;&quot;),&quot;Applications of IoT in Robotics&quot;)"/>
    <hyperlink ref="F126" r:id="rId115" display="=IFERROR(@__xludf.DUMMYFUNCTION(&quot;&quot;&quot;COMPUTED_VALUE&quot;&quot;&quot;),&quot;Programming for IoT Boards&quot;)"/>
    <hyperlink ref="F127" r:id="rId116" display="=IFERROR(@__xludf.DUMMYFUNCTION(&quot;&quot;&quot;COMPUTED_VALUE&quot;&quot;&quot;),&quot;Design of Smart Cities&quot;)"/>
    <hyperlink ref="F128" r:id="rId117" display="=IFERROR(@__xludf.DUMMYFUNCTION(&quot;&quot;&quot;COMPUTED_VALUE&quot;&quot;&quot;),&quot;IoT and Multimedia Technology&quot;)"/>
    <hyperlink ref="F129" r:id="rId118" display="=IFERROR(@__xludf.DUMMYFUNCTION(&quot;&quot;&quot;COMPUTED_VALUE&quot;&quot;&quot;),&quot;Mobile Application Development for IoT&quot;)"/>
    <hyperlink ref="F130" r:id="rId118" display="=IFERROR(@__xludf.DUMMYFUNCTION(&quot;&quot;&quot;COMPUTED_VALUE&quot;&quot;&quot;),&quot;Open Source Programming for IoT&quot;)"/>
    <hyperlink ref="F131" r:id="rId119" display="=IFERROR(@__xludf.DUMMYFUNCTION(&quot;&quot;&quot;COMPUTED_VALUE&quot;&quot;&quot;),&quot;Cloud Security&quot;)"/>
    <hyperlink ref="F132" r:id="rId120" display="=IFERROR(@__xludf.DUMMYFUNCTION(&quot;&quot;&quot;COMPUTED_VALUE&quot;&quot;&quot;),&quot;Ethical Hacking Techniques&quot;)"/>
    <hyperlink ref="F133" r:id="rId121" display="=IFERROR(@__xludf.DUMMYFUNCTION(&quot;&quot;&quot;COMPUTED_VALUE&quot;&quot;&quot;),&quot;Cyber Law and Compliance&quot;)"/>
    <hyperlink ref="F134" r:id="rId122" display="=IFERROR(@__xludf.DUMMYFUNCTION(&quot;&quot;&quot;COMPUTED_VALUE&quot;&quot;&quot;),&quot;Digital Forensics and Digital Investigations&quot;)"/>
    <hyperlink ref="F135" r:id="rId123" display="=IFERROR(@__xludf.DUMMYFUNCTION(&quot;&quot;&quot;COMPUTED_VALUE&quot;&quot;&quot;),&quot;Prototyping of IoT Systems&quot;)"/>
    <hyperlink ref="F136" r:id="rId124" display="=IFERROR(@__xludf.DUMMYFUNCTION(&quot;&quot;&quot;COMPUTED_VALUE&quot;&quot;&quot;),&quot;Edge Computing&quot;)"/>
    <hyperlink ref="F137" r:id="rId125" display="=IFERROR(@__xludf.DUMMYFUNCTION(&quot;&quot;&quot;COMPUTED_VALUE&quot;&quot;&quot;),&quot;Security for IoT Systems&quot;)"/>
    <hyperlink ref="F138" r:id="rId126" display="=IFERROR(@__xludf.DUMMYFUNCTION(&quot;&quot;&quot;COMPUTED_VALUE&quot;&quot;&quot;),&quot;Machine Learning&quot;)"/>
    <hyperlink ref="F139" r:id="rId127" display="=IFERROR(@__xludf.DUMMYFUNCTION(&quot;&quot;&quot;COMPUTED_VALUE&quot;&quot;&quot;),&quot;Computer Graphics and Multimedia&quot;)"/>
    <hyperlink ref="F140" r:id="rId128" display="=IFERROR(@__xludf.DUMMYFUNCTION(&quot;&quot;&quot;COMPUTED_VALUE&quot;&quot;&quot;),&quot;Developing Web Application in .Net&quot;)"/>
    <hyperlink ref="F141" r:id="rId129" display="=IFERROR(@__xludf.DUMMYFUNCTION(&quot;&quot;&quot;COMPUTED_VALUE&quot;&quot;&quot;),&quot;Software Project Management&quot;)"/>
    <hyperlink ref="F142" r:id="rId130" display="=IFERROR(@__xludf.DUMMYFUNCTION(&quot;&quot;&quot;COMPUTED_VALUE&quot;&quot;&quot;),&quot;Service Oriented Architecture&quot;)"/>
    <hyperlink ref="F143" r:id="rId131" display="=IFERROR(@__xludf.DUMMYFUNCTION(&quot;&quot;&quot;COMPUTED_VALUE&quot;&quot;&quot;),&quot;Multicore Architecture&quot;)"/>
    <hyperlink ref="F144" r:id="rId132" display="=IFERROR(@__xludf.DUMMYFUNCTION(&quot;&quot;&quot;COMPUTED_VALUE&quot;&quot;&quot;),&quot;Human Computer Interaction&quot;)"/>
    <hyperlink ref="F145" r:id="rId133" display="=IFERROR(@__xludf.DUMMYFUNCTION(&quot;&quot;&quot;COMPUTED_VALUE&quot;&quot;&quot;),&quot;Parallel and Distributed Systems&quot;)"/>
    <hyperlink ref="F146" r:id="rId134" display="=IFERROR(@__xludf.DUMMYFUNCTION(&quot;&quot;&quot;COMPUTED_VALUE&quot;&quot;&quot;),&quot;Graph Theory and Applications&quot;)"/>
    <hyperlink ref="F147" r:id="rId135" display="=IFERROR(@__xludf.DUMMYFUNCTION(&quot;&quot;&quot;COMPUTED_VALUE&quot;&quot;&quot;),&quot;Social Network Analysis&quot;)"/>
    <hyperlink ref="F148" r:id="rId136" display="=IFERROR(@__xludf.DUMMYFUNCTION(&quot;&quot;&quot;COMPUTED_VALUE&quot;&quot;&quot;),&quot;Natural Language Processing&quot;)"/>
    <hyperlink ref="F149" r:id="rId137" display="=IFERROR(@__xludf.DUMMYFUNCTION(&quot;&quot;&quot;COMPUTED_VALUE&quot;&quot;&quot;),&quot;Soft Computing&quot;)"/>
    <hyperlink ref="F150" r:id="rId138" display="=IFERROR(@__xludf.DUMMYFUNCTION(&quot;&quot;&quot;COMPUTED_VALUE&quot;&quot;&quot;),&quot;Green Computing&quot;)"/>
    <hyperlink ref="F151" r:id="rId139" display="=IFERROR(@__xludf.DUMMYFUNCTION(&quot;&quot;&quot;COMPUTED_VALUE&quot;&quot;&quot;),&quot;Network Management Systems&quot;)"/>
    <hyperlink ref="F152" r:id="rId140" display="=IFERROR(@__xludf.DUMMYFUNCTION(&quot;&quot;&quot;COMPUTED_VALUE&quot;&quot;&quot;),&quot;Block Chain Architecture and its Use Cases&quot;)"/>
    <hyperlink ref="F153" r:id="rId141" display="=IFERROR(@__xludf.DUMMYFUNCTION(&quot;&quot;&quot;COMPUTED_VALUE&quot;&quot;&quot;),&quot;Software Testing and Quality Assurance&quot;)"/>
    <hyperlink ref="F154" r:id="rId142" display="=IFERROR(@__xludf.DUMMYFUNCTION(&quot;&quot;&quot;COMPUTED_VALUE&quot;&quot;&quot;),&quot;Mobile Computing&quot;)"/>
    <hyperlink ref="F155" r:id="rId143" display="=IFERROR(@__xludf.DUMMYFUNCTION(&quot;&quot;&quot;COMPUTED_VALUE&quot;&quot;&quot;),&quot;Game Design and Development&quot;)"/>
    <hyperlink ref="F156" r:id="rId144" display="=IFERROR(@__xludf.DUMMYFUNCTION(&quot;&quot;&quot;COMPUTED_VALUE&quot;&quot;&quot;),&quot;Data Science&quot;)"/>
    <hyperlink ref="F157" r:id="rId145" display="=IFERROR(@__xludf.DUMMYFUNCTION(&quot;&quot;&quot;COMPUTED_VALUE&quot;&quot;&quot;),&quot;Big Data Analytics&quot;)"/>
    <hyperlink ref="F158" r:id="rId146" display="=IFERROR(@__xludf.DUMMYFUNCTION(&quot;&quot;&quot;COMPUTED_VALUE&quot;&quot;&quot;),&quot;Data Warehousing and Data Mining&quot;)"/>
    <hyperlink ref="F159" r:id="rId147" display="=IFERROR(@__xludf.DUMMYFUNCTION(&quot;&quot;&quot;COMPUTED_VALUE&quot;&quot;&quot;),&quot;Advanced Database Management System&quot;)"/>
    <hyperlink ref="F160" r:id="rId148" display="=IFERROR(@__xludf.DUMMYFUNCTION(&quot;&quot;&quot;COMPUTED_VALUE&quot;&quot;&quot;),&quot;Information Retrieval&quot;)"/>
    <hyperlink ref="F161" r:id="rId149" display="=IFERROR(@__xludf.DUMMYFUNCTION(&quot;&quot;&quot;COMPUTED_VALUE&quot;&quot;&quot;),&quot;Deep Learning&quot;)"/>
    <hyperlink ref="F163" r:id="rId150" display="=IFERROR(@__xludf.DUMMYFUNCTION(&quot;&quot;&quot;COMPUTED_VALUE&quot;&quot;&quot;),&quot;Robotics and its Applications&quot;)"/>
    <hyperlink ref="F164" r:id="rId151" display="=IFERROR(@__xludf.DUMMYFUNCTION(&quot;&quot;&quot;COMPUTED_VALUE&quot;&quot;&quot;),&quot;Quantum Computing&quot;)"/>
    <hyperlink ref="F165" r:id="rId152" display="=IFERROR(@__xludf.DUMMYFUNCTION(&quot;&quot;&quot;COMPUTED_VALUE&quot;&quot;&quot;),&quot;Cyber Security&quot;)"/>
    <hyperlink ref="F166" r:id="rId153" display="=IFERROR(@__xludf.DUMMYFUNCTION(&quot;&quot;&quot;COMPUTED_VALUE&quot;&quot;&quot;),&quot;Virtual Reality&quot;)"/>
    <hyperlink ref="F167" r:id="rId154" display="=IFERROR(@__xludf.DUMMYFUNCTION(&quot;&quot;&quot;COMPUTED_VALUE&quot;&quot;&quot;),&quot;Professional Readiness for Innovation, Employability and Entrepreneurship&quot;)"/>
    <hyperlink ref="F168" r:id="rId155" display="=IFERROR(@__xludf.DUMMYFUNCTION(&quot;&quot;&quot;COMPUTED_VALUE&quot;&quot;&quot;),&quot;Information Security Intelligence and Analytics using Big Data&quot;)"/>
    <hyperlink ref="F169" r:id="rId156" display="=IFERROR(@__xludf.DUMMYFUNCTION(&quot;&quot;&quot;COMPUTED_VALUE&quot;&quot;&quot;),&quot;Prevention Methodology for Cybersecurity&quot;)"/>
    <hyperlink ref="F170" r:id="rId157" display="=IFERROR(@__xludf.DUMMYFUNCTION(&quot;&quot;&quot;COMPUTED_VALUE&quot;&quot;&quot;),&quot;Trusted Network Systems&quot;)"/>
    <hyperlink ref="F171" r:id="rId158" display="=IFERROR(@__xludf.DUMMYFUNCTION(&quot;&quot;&quot;COMPUTED_VALUE&quot;&quot;&quot;),&quot;Firewalls and Intrusion Detection System&quot;)"/>
    <hyperlink ref="F172" r:id="rId159" display="=IFERROR(@__xludf.DUMMYFUNCTION(&quot;&quot;&quot;COMPUTED_VALUE&quot;&quot;&quot;),&quot;Secure Software Engineering&quot;)"/>
    <hyperlink ref="F173" r:id="rId160" display="=IFERROR(@__xludf.DUMMYFUNCTION(&quot;&quot;&quot;COMPUTED_VALUE&quot;&quot;&quot;),&quot;System Security&quot;)"/>
    <hyperlink ref="F174" r:id="rId161" display="=IFERROR(@__xludf.DUMMYFUNCTION(&quot;&quot;&quot;COMPUTED_VALUE&quot;&quot;&quot;),&quot;Hardware Security&quot;)"/>
    <hyperlink ref="F175" r:id="rId162" display="=IFERROR(@__xludf.DUMMYFUNCTION(&quot;&quot;&quot;COMPUTED_VALUE&quot;&quot;&quot;),&quot;Fog Computing&quot;)"/>
    <hyperlink ref="F176" r:id="rId103" display="=IFERROR(@__xludf.DUMMYFUNCTION(&quot;&quot;&quot;COMPUTED_VALUE&quot;&quot;&quot;),&quot;Sensors and Actuators for IoT&quot;)"/>
    <hyperlink ref="F177" r:id="rId163" display="=IFERROR(@__xludf.DUMMYFUNCTION(&quot;&quot;&quot;COMPUTED_VALUE&quot;&quot;&quot;),&quot;Embedded Board Design&quot;)"/>
    <hyperlink ref="F178" r:id="rId156" display="=IFERROR(@__xludf.DUMMYFUNCTION(&quot;&quot;&quot;COMPUTED_VALUE&quot;&quot;&quot;),&quot;Embedded Board Manufacturing&quot;)"/>
    <hyperlink ref="F179" r:id="rId164" display="=IFERROR(@__xludf.DUMMYFUNCTION(&quot;&quot;&quot;COMPUTED_VALUE&quot;&quot;&quot;),&quot;Realtime Operating System&quot;)"/>
    <hyperlink ref="F180" r:id="rId165" display="=IFERROR(@__xludf.DUMMYFUNCTION(&quot;&quot;&quot;COMPUTED_VALUE&quot;&quot;&quot;),&quot;Open Source Operating System&quot;)"/>
    <hyperlink ref="F181" r:id="rId166" display="=IFERROR(@__xludf.DUMMYFUNCTION(&quot;&quot;&quot;COMPUTED_VALUE&quot;&quot;&quot;),&quot;Kernel Programming&quot;)"/>
    <hyperlink ref="F182" r:id="rId167" display="=IFERROR(@__xludf.DUMMYFUNCTION(&quot;&quot;&quot;COMPUTED_VALUE&quot;&quot;&quot;),&quot;Fundamentals of Cryptocurrency&quot;)"/>
    <hyperlink ref="F183" r:id="rId168" display="=IFERROR(@__xludf.DUMMYFUNCTION(&quot;&quot;&quot;COMPUTED_VALUE&quot;&quot;&quot;),&quot;Robotic Process Automation&quot;)"/>
    <hyperlink ref="F184" r:id="rId169" display="=IFERROR(@__xludf.DUMMYFUNCTION(&quot;&quot;&quot;COMPUTED_VALUE&quot;&quot;&quot;),&quot;Software Project Management and Version Control&quot;)"/>
    <hyperlink ref="F185" r:id="rId170" display="=IFERROR(@__xludf.DUMMYFUNCTION(&quot;&quot;&quot;COMPUTED_VALUE&quot;&quot;&quot;),&quot;Generative AI Application Development&quot;)"/>
    <hyperlink ref="F186" r:id="rId171" display="=IFERROR(@__xludf.DUMMYFUNCTION(&quot;&quot;&quot;COMPUTED_VALUE&quot;&quot;&quot;),&quot;Fine Tuning Large Language Models&quot;)"/>
    <hyperlink ref="F187" r:id="rId172" display="=IFERROR(@__xludf.DUMMYFUNCTION(&quot;&quot;&quot;COMPUTED_VALUE&quot;&quot;&quot;),&quot;Applied Data Science&quot;)"/>
    <hyperlink ref="F188" r:id="rId173" display="=IFERROR(@__xludf.DUMMYFUNCTION(&quot;&quot;&quot;COMPUTED_VALUE&quot;&quot;&quot;),&quot;Entrepreneurship and Small Business Development&quot;)"/>
    <hyperlink ref="F189" r:id="rId174" display="=IFERROR(@__xludf.DUMMYFUNCTION(&quot;&quot;&quot;COMPUTED_VALUE&quot;&quot;&quot;),&quot;Software Development and Operations&quot;)"/>
    <hyperlink ref="F190" r:id="rId175" display="=IFERROR(@__xludf.DUMMYFUNCTION(&quot;&quot;&quot;COMPUTED_VALUE&quot;&quot;&quot;),&quot;Serverless App Development&quot;)"/>
    <hyperlink ref="F191" r:id="rId176" display="=IFERROR(@__xludf.DUMMYFUNCTION(&quot;&quot;&quot;COMPUTED_VALUE&quot;&quot;&quot;),&quot;Enterprise Cloud Architecture&quot;)"/>
    <hyperlink ref="F192" r:id="rId177" display="=IFERROR(@__xludf.DUMMYFUNCTION(&quot;&quot;&quot;COMPUTED_VALUE&quot;&quot;&quot;),&quot;Advanced Class Design and Object-Oriented Techniques&quot;)"/>
    <hyperlink ref="F193" r:id="rId178" display="=IFERROR(@__xludf.DUMMYFUNCTION(&quot;&quot;&quot;COMPUTED_VALUE&quot;&quot;&quot;),&quot;Low-Code App Development&quot;)"/>
    <hyperlink ref="F194" r:id="rId179" display="=IFERROR(@__xludf.DUMMYFUNCTION(&quot;&quot;&quot;COMPUTED_VALUE&quot;&quot;&quot;),&quot;Cloud System Administration&quot;)"/>
    <hyperlink ref="F195" r:id="rId180" display="=IFERROR(@__xludf.DUMMYFUNCTION(&quot;&quot;&quot;COMPUTED_VALUE&quot;&quot;&quot;),&quot;Machine Learning Operations&quot;)"/>
    <hyperlink ref="F196" r:id="rId181" display="=IFERROR(@__xludf.DUMMYFUNCTION(&quot;&quot;&quot;COMPUTED_VALUE&quot;&quot;&quot;),&quot;Embedded Systems&quot;)"/>
    <hyperlink ref="F197" r:id="rId182" display="=IFERROR(@__xludf.DUMMYFUNCTION(&quot;&quot;&quot;COMPUTED_VALUE&quot;&quot;&quot;),&quot;Principles of Digital Signal Processing&quot;)"/>
    <hyperlink ref="F198" r:id="rId183" display="=IFERROR(@__xludf.DUMMYFUNCTION(&quot;&quot;&quot;COMPUTED_VALUE&quot;&quot;&quot;),&quot;Digital Image Processing&quot;)"/>
    <hyperlink ref="F199" r:id="rId184" display="=IFERROR(@__xludf.DUMMYFUNCTION(&quot;&quot;&quot;COMPUTED_VALUE&quot;&quot;&quot;),&quot;Ad Hoc and Wireless Sensor Networks&quot;)"/>
    <hyperlink ref="F200" r:id="rId185" display="=IFERROR(@__xludf.DUMMYFUNCTION(&quot;&quot;&quot;COMPUTED_VALUE&quot;&quot;&quot;),&quot;Information Technology Essentials&quot;)"/>
    <hyperlink ref="F201" r:id="rId186" display="=IFERROR(@__xludf.DUMMYFUNCTION(&quot;&quot;&quot;COMPUTED_VALUE&quot;&quot;&quot;),&quot;Game Development Technologies&quot;)"/>
    <hyperlink ref="F202" r:id="rId187" display="=IFERROR(@__xludf.DUMMYFUNCTION(&quot;&quot;&quot;COMPUTED_VALUE&quot;&quot;&quot;),&quot;Web Technology&quot;)"/>
    <hyperlink ref="F203" r:id="rId188" display="=IFERROR(@__xludf.DUMMYFUNCTION(&quot;&quot;&quot;COMPUTED_VALUE&quot;&quot;&quot;),&quot;Data Structures using Python&quot;)"/>
    <hyperlink ref="F204" r:id="rId189" display="=IFERROR(@__xludf.DUMMYFUNCTION(&quot;&quot;&quot;COMPUTED_VALUE&quot;&quot;&quot;),&quot;Grid and Cloud Computing&quot;)"/>
    <hyperlink ref="F205" r:id="rId190" display="=IFERROR(@__xludf.DUMMYFUNCTION(&quot;&quot;&quot;COMPUTED_VALUE&quot;&quot;&quot;),&quot;Distributed Computing&quot;)"/>
    <hyperlink ref="F206" r:id="rId191" display="=IFERROR(@__xludf.DUMMYFUNCTION(&quot;&quot;&quot;COMPUTED_VALUE&quot;&quot;&quot;),&quot;Information Theory and Coding Techniques&quot;)"/>
    <hyperlink ref="F207" r:id="rId192" display="=IFERROR(@__xludf.DUMMYFUNCTION(&quot;&quot;&quot;COMPUTED_VALUE&quot;&quot;&quot;),&quot;Enterprise Resource Planning&quot;)"/>
    <hyperlink ref="F208" r:id="rId193" display="=IFERROR(@__xludf.DUMMYFUNCTION(&quot;&quot;&quot;COMPUTED_VALUE&quot;&quot;&quot;),&quot;User Interface Design&quot;)"/>
    <hyperlink ref="F209" r:id="rId194" display="=IFERROR(@__xludf.DUMMYFUNCTION(&quot;&quot;&quot;COMPUTED_VALUE&quot;&quot;&quot;),&quot;Information Storage Management&quot;)"/>
    <hyperlink ref="F210" r:id="rId195" display="=IFERROR(@__xludf.DUMMYFUNCTION(&quot;&quot;&quot;COMPUTED_VALUE&quot;&quot;&quot;),&quot;Software Design Patterns&quot;)"/>
    <hyperlink ref="F211" r:id="rId196" display="=IFERROR(@__xludf.DUMMYFUNCTION(&quot;&quot;&quot;COMPUTED_VALUE&quot;&quot;&quot;),&quot;E-Learning Techniques&quot;)"/>
    <hyperlink ref="F212" r:id="rId197" display="=IFERROR(@__xludf.DUMMYFUNCTION(&quot;&quot;&quot;COMPUTED_VALUE&quot;&quot;&quot;),&quot;TCP/IP Design and Implementation&quot;)"/>
    <hyperlink ref="F213" r:id="rId198" display="=IFERROR(@__xludf.DUMMYFUNCTION(&quot;&quot;&quot;COMPUTED_VALUE&quot;&quot;&quot;),&quot;Advanced Algorithms&quot;)"/>
    <hyperlink ref="F214" r:id="rId199" display="=IFERROR(@__xludf.DUMMYFUNCTION(&quot;&quot;&quot;COMPUTED_VALUE&quot;&quot;&quot;),&quot;Ethical Hacking&quot;)"/>
    <hyperlink ref="F215" r:id="rId200" display="=IFERROR(@__xludf.DUMMYFUNCTION(&quot;&quot;&quot;COMPUTED_VALUE&quot;&quot;&quot;),&quot;DHTML and XML&quot;)"/>
    <hyperlink ref="F216" r:id="rId201" display="=IFERROR(@__xludf.DUMMYFUNCTION(&quot;&quot;&quot;COMPUTED_VALUE&quot;&quot;&quot;),&quot;E-Commerce&quot;)"/>
    <hyperlink ref="F217" r:id="rId202" display="=IFERROR(@__xludf.DUMMYFUNCTION(&quot;&quot;&quot;COMPUTED_VALUE&quot;&quot;&quot;),&quot;Free Open Source Software&quot;)"/>
    <hyperlink ref="F218" r:id="rId203" display="=IFERROR(@__xludf.DUMMYFUNCTION(&quot;&quot;&quot;COMPUTED_VALUE&quot;&quot;&quot;),&quot;Real Time Operating Systems&quot;)"/>
    <hyperlink ref="F219" r:id="rId204" display="=IFERROR(@__xludf.DUMMYFUNCTION(&quot;&quot;&quot;COMPUTED_VALUE&quot;&quot;&quot;),&quot;Software Agents&quot;)"/>
    <hyperlink ref="F220" r:id="rId205" display="=IFERROR(@__xludf.DUMMYFUNCTION(&quot;&quot;&quot;COMPUTED_VALUE&quot;&quot;&quot;),&quot;Business Intelligence and Analytics&quot;)"/>
    <hyperlink ref="F223" r:id="rId206" display="=IFERROR(@__xludf.DUMMYFUNCTION(&quot;&quot;&quot;COMPUTED_VALUE&quot;&quot;&quot;),&quot;Mini Project&quot;)"/>
    <hyperlink ref="F224" r:id="rId207" display="=IFERROR(@__xludf.DUMMYFUNCTION(&quot;&quot;&quot;COMPUTED_VALUE&quot;&quot;&quot;),&quot;Project Work Phase I&quot;)"/>
    <hyperlink ref="F225" r:id="rId208" display="=IFERROR(@__xludf.DUMMYFUNCTION(&quot;&quot;&quot;COMPUTED_VALUE&quot;&quot;&quot;),&quot;Project Work Phase II&quot;)"/>
    <hyperlink ref="F226" r:id="rId209" display="=IFERROR(@__xludf.DUMMYFUNCTION(&quot;&quot;&quot;COMPUTED_VALUE&quot;&quot;&quot;),&quot;Softskills&quot;)"/>
    <hyperlink ref="F227" r:id="rId210" display="=IFERROR(@__xludf.DUMMYFUNCTION(&quot;&quot;&quot;COMPUTED_VALUE&quot;&quot;&quot;),&quot;Career Development Skills&quot;)"/>
    <hyperlink ref="F228" r:id="rId211" display="=IFERROR(@__xludf.DUMMYFUNCTION(&quot;&quot;&quot;COMPUTED_VALUE&quot;&quot;&quot;),&quot;Creative Skills for Communication&quot;)"/>
    <hyperlink ref="F229" r:id="rId212" display="=IFERROR(@__xludf.DUMMYFUNCTION(&quot;&quot;&quot;COMPUTED_VALUE&quot;&quot;&quot;),&quot;Reasoning Ability&quot;)"/>
    <hyperlink ref="F230" r:id="rId213" display="=IFERROR(@__xludf.DUMMYFUNCTION(&quot;&quot;&quot;COMPUTED_VALUE&quot;&quot;&quot;),&quot;System of Numerical and Logical Terminologies&quot;)"/>
    <hyperlink ref="F231" r:id="rId214" display="=IFERROR(@__xludf.DUMMYFUNCTION(&quot;&quot;&quot;COMPUTED_VALUE&quot;&quot;&quot;),&quot;Advanced Quantitative and Logical Reasoning&quot;)"/>
    <hyperlink ref="F232" r:id="rId215" display="=IFERROR(@__xludf.DUMMYFUNCTION(&quot;&quot;&quot;COMPUTED_VALUE&quot;&quot;&quot;),&quot;Quantitative Ability I&quot;)"/>
    <hyperlink ref="F233" r:id="rId216" display="=IFERROR(@__xludf.DUMMYFUNCTION(&quot;&quot;&quot;COMPUTED_VALUE&quot;&quot;&quot;),&quot;Quantitative Ability II&quot;)"/>
    <hyperlink ref="F234" r:id="rId217" display="=IFERROR(@__xludf.DUMMYFUNCTION(&quot;&quot;&quot;COMPUTED_VALUE&quot;&quot;&quot;),&quot;Employment Enhancement Skills&quot;)"/>
    <hyperlink ref="F235" r:id="rId218" display="=IFERROR(@__xludf.DUMMYFUNCTION(&quot;&quot;&quot;COMPUTED_VALUE&quot;&quot;&quot;),&quot;Employment Enrichment Skills&quot;)"/>
    <hyperlink ref="F236" r:id="rId219" display="=IFERROR(@__xludf.DUMMYFUNCTION(&quot;&quot;&quot;COMPUTED_VALUE&quot;&quot;&quot;),&quot;Company Specific Assessments For Employability&quot;)"/>
    <hyperlink ref="F237" r:id="rId220" display="=IFERROR(@__xludf.DUMMYFUNCTION(&quot;&quot;&quot;COMPUTED_VALUE&quot;&quot;&quot;),&quot;Placement Readiness Assessment&quot;)"/>
    <hyperlink ref="F238" r:id="rId221" display="=IFERROR(@__xludf.DUMMYFUNCTION(&quot;&quot;&quot;COMPUTED_VALUE&quot;&quot;&quot;),&quot;Paper Publication&quot;)"/>
    <hyperlink ref="F239" r:id="rId222" display="=IFERROR(@__xludf.DUMMYFUNCTION(&quot;&quot;&quot;COMPUTED_VALUE&quot;&quot;&quot;),&quot;Professional Ethics&quot;)"/>
    <hyperlink ref="F240" r:id="rId223" display="=IFERROR(@__xludf.DUMMYFUNCTION(&quot;&quot;&quot;COMPUTED_VALUE&quot;&quot;&quot;),&quot;Environmental Science&quot;)"/>
    <hyperlink ref="F241" r:id="rId224" display="=IFERROR(@__xludf.DUMMYFUNCTION(&quot;&quot;&quot;COMPUTED_VALUE&quot;&quot;&quot;),&quot;Constitution of India&quot;)"/>
    <hyperlink ref="F243" r:id="rId225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1000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""2023-CSE!A:A""),
IMPORTRANGE(""https://docs.google.com/spreadsheets/d/1UvPg-G_Bj-UNhLC2uL8tntfYsnld_PABqE3impzOchM/edit"", ""2023-CS"&amp;"E!D:D""),
IMPORTRANGE(""https://docs.google.com/spreadsheets/d/1UvPg-G_Bj-UNhLC2uL8tntfYsnld_PABqE3impzOchM/edit"", ""2023-CSE!E:E""),
IMPORTRANGE(""https://docs.google.com/spreadsheets/d/1UvPg-G_Bj-UNhLC2uL8tntfYsnld_PABqE3impzOchM/edit"", ""2023-CSE!F:F"&amp;"""),
IMPORTRANGE(""https://docs.google.com/spreadsheets/d/1UvPg-G_Bj-UNhLC2uL8tntfYsnld_PABqE3impzOchM/edit"", ""2023-CSE!G:G""),
IMPORTRANGE(""https://docs.google.com/spreadsheets/d/1UvPg-G_Bj-UNhLC2uL8tntfYsnld_PABqE3impzOchM/edit"", ""2023-CSE!I:I""),
"&amp;"IMPORTRANGE(""https://docs.google.com/spreadsheets/d/1UvPg-G_Bj-UNhLC2uL8tntfYsnld_PABqE3impzOchM/edit"", ""2023-CSE!N:N""),
IMPORTRANGE(""https://docs.google.com/spreadsheets/d/1UvPg-G_Bj-UNhLC2uL8tntfYsnld_PABqE3impzOchM/edit"", ""2023-CSE!O:O""),
IMPOR"&amp;"TRANGE(""https://docs.google.com/spreadsheets/d/1UvPg-G_Bj-UNhLC2uL8tntfYsnld_PABqE3impzOchM/edit"", ""2023-CSE!P:P""),
IMPORTRANGE(""https://docs.google.com/spreadsheets/d/1UvPg-G_Bj-UNhLC2uL8tntfYsnld_PABqE3impzOchM/edit"", ""2023-CSE!Q:Q""),
IMPORTRANG"&amp;"E(""https://docs.google.com/spreadsheets/d/1UvPg-G_Bj-UNhLC2uL8tntfYsnld_PABqE3impzOchM/edit"", ""2023-CSE!R:R""),
IMPORTRANGE(""https://docs.google.com/spreadsheets/d/1UvPg-G_Bj-UNhLC2uL8tntfYsnld_PABqE3impzOchM/edit"", ""2023-CSE!S:S""),
IMPORTRANGE(""h"&amp;"ttps://docs.google.com/spreadsheets/d/1UvPg-G_Bj-UNhLC2uL8tntfYsnld_PABqE3impzOchM/edit"", ""2023-CSE!V:V""),
IMPORTRANGE(""https://docs.google.com/spreadsheets/d/1UvPg-G_Bj-UNhLC2uL8tntfYsnld_PABqE3impzOchM/edit"", ""2023-CSE!X:X""),
IMPORTRANGE(""https:"&amp;"//docs.google.com/spreadsheets/d/1UvPg-G_Bj-UNhLC2uL8tntfYsnld_PABqE3impzOchM/edit"", ""2023-CSE!Y:Y""),
IMPORTRANGE(""https://docs.google.com/spreadsheets/d/1UvPg-G_Bj-UNhLC2uL8tntfYsnld_PABqE3impzOchM/edit"", ""2023-CSE!AA:AA""),
IMPORTRANGE(""https://d"&amp;"ocs.google.com/spreadsheets/d/1UvPg-G_Bj-UNhLC2uL8tntfYsnld_PABqE3impzOchM/edit"", ""2023-CSE!AC:AC""),
IMPORTRANGE(""https://docs.google.com/spreadsheets/d/1UvPg-G_Bj-UNhLC2uL8tntfYsnld_PABqE3impzOchM/edit"", ""2023-CSE!AD:AD"")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2023- 2027")</f>
        <v>BATCH: 2023- 2027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IFERROR(__xludf.DUMMYFUNCTION("""COMPUTED_VALUE"""),23)</f>
        <v>23</v>
      </c>
      <c r="O4" s="20">
        <f>IFERROR(__xludf.DUMMYFUNCTION("""COMPUTED_VALUE"""),8)</f>
        <v>8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IFERROR(__xludf.DUMMYFUNCTION("""COMPUTED_VALUE"""),25)</f>
        <v>25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IFERROR(__xludf.DUMMYFUNCTION("""COMPUTED_VALUE"""),58)</f>
        <v>58</v>
      </c>
      <c r="O6" s="20">
        <f>IFERROR(__xludf.DUMMYFUNCTION("""COMPUTED_VALUE"""),58)</f>
        <v>58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IFERROR(__xludf.DUMMYFUNCTION("""COMPUTED_VALUE"""),16)</f>
        <v>16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IFERROR(__xludf.DUMMYFUNCTION("""COMPUTED_VALUE"""),"SH2201")</f>
        <v>SH2201</v>
      </c>
      <c r="E11" s="2" t="str">
        <f>IFERROR(__xludf.DUMMYFUNCTION("""COMPUTED_VALUE"""),"19MA201")</f>
        <v>19MA201</v>
      </c>
      <c r="F11" s="7" t="str">
        <f>IFERROR(__xludf.DUMMYFUNCTION("""COMPUTED_VALUE"""),"Calculus and Matrix Algebra")</f>
        <v>Calculus and Matrix Algebra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IFERROR(__xludf.DUMMYFUNCTION("""COMPUTED_VALUE"""),164)</f>
        <v>164</v>
      </c>
      <c r="O11" s="23">
        <f>IFERROR(__xludf.DUMMYFUNCTION("""COMPUTED_VALUE"""),128)</f>
        <v>128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IFERROR(__xludf.DUMMYFUNCTION("""COMPUTED_VALUE"""),"SH2206")</f>
        <v>SH2206</v>
      </c>
      <c r="E12" s="2" t="str">
        <f>IFERROR(__xludf.DUMMYFUNCTION("""COMPUTED_VALUE"""),"19MA206")</f>
        <v>19MA206</v>
      </c>
      <c r="F12" s="7" t="str">
        <f>IFERROR(__xludf.DUMMYFUNCTION("""COMPUTED_VALUE"""),"Logic and Combinatorics")</f>
        <v>Logic and Combinatorics</v>
      </c>
      <c r="G12" s="2" t="str">
        <f>IFERROR(__xludf.DUMMYFUNCTION("""COMPUTED_VALUE"""),"19MA201")</f>
        <v>19MA201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IFERROR(__xludf.DUMMYFUNCTION("""COMPUTED_VALUE"""),"SH2212")</f>
        <v>SH2212</v>
      </c>
      <c r="E13" s="2" t="str">
        <f>IFERROR(__xludf.DUMMYFUNCTION("""COMPUTED_VALUE"""),"19MA212")</f>
        <v>19MA212</v>
      </c>
      <c r="F13" s="7" t="str">
        <f>IFERROR(__xludf.DUMMYFUNCTION("""COMPUTED_VALUE"""),"Algebra and Number Theory")</f>
        <v>Algebra and Number Theory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IFERROR(__xludf.DUMMYFUNCTION("""COMPUTED_VALUE"""),"SH2222")</f>
        <v>SH2222</v>
      </c>
      <c r="E14" s="2" t="str">
        <f>IFERROR(__xludf.DUMMYFUNCTION("""COMPUTED_VALUE"""),"19MA222")</f>
        <v>19MA222</v>
      </c>
      <c r="F14" s="7" t="str">
        <f>IFERROR(__xludf.DUMMYFUNCTION("""COMPUTED_VALUE"""),"Probability and Queueing Models")</f>
        <v>Probability and Queueing Models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IFERROR(__xludf.DUMMYFUNCTION("""COMPUTED_VALUE"""),1)</f>
        <v>1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IFERROR(__xludf.DUMMYFUNCTION("""COMPUTED_VALUE"""),"19PH214")</f>
        <v>19PH214</v>
      </c>
      <c r="F15" s="7" t="str">
        <f>IFERROR(__xludf.DUMMYFUNCTION("""COMPUTED_VALUE"""),"Physics for Quantum Computing")</f>
        <v>Physics for Quantum Computing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IFERROR(__xludf.DUMMYFUNCTION("""COMPUTED_VALUE"""),0)</f>
        <v>0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IFERROR(__xludf.DUMMYFUNCTION("""COMPUTED_VALUE"""),"SH4205")</f>
        <v>SH4205</v>
      </c>
      <c r="E16" s="2" t="str">
        <f>IFERROR(__xludf.DUMMYFUNCTION("""COMPUTED_VALUE"""),"19CY205")</f>
        <v>19CY205</v>
      </c>
      <c r="F16" s="7" t="str">
        <f>IFERROR(__xludf.DUMMYFUNCTION("""COMPUTED_VALUE"""),"Principles of Chemistry in Engineering")</f>
        <v>Principles of Chemistry in Engineering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IFERROR(__xludf.DUMMYFUNCTION("""COMPUTED_VALUE"""),"ES")</f>
        <v>ES</v>
      </c>
      <c r="D17" s="2" t="str">
        <f>IFERROR(__xludf.DUMMYFUNCTION("""COMPUTED_VALUE"""),"CS3301")</f>
        <v>CS3301</v>
      </c>
      <c r="E17" s="2" t="str">
        <f>IFERROR(__xludf.DUMMYFUNCTION("""COMPUTED_VALUE"""),"19AI301")</f>
        <v>19AI301</v>
      </c>
      <c r="F17" s="7" t="str">
        <f>IFERROR(__xludf.DUMMYFUNCTION("""COMPUTED_VALUE"""),"Python Programming")</f>
        <v>Python Programming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IFERROR(__xludf.DUMMYFUNCTION("""COMPUTED_VALUE"""),"CS3302")</f>
        <v>CS3302</v>
      </c>
      <c r="E18" s="2" t="str">
        <f>IFERROR(__xludf.DUMMYFUNCTION("""COMPUTED_VALUE"""),"19AI302")</f>
        <v>19AI302</v>
      </c>
      <c r="F18" s="7" t="str">
        <f>IFERROR(__xludf.DUMMYFUNCTION("""COMPUTED_VALUE"""),"Engineering Design and Modelling")</f>
        <v>Engineering Design and Modelling</v>
      </c>
      <c r="G18" s="2" t="str">
        <f>IFERROR(__xludf.DUMMYFUNCTION("""COMPUTED_VALUE"""),"-")</f>
        <v>-</v>
      </c>
      <c r="H18" s="2">
        <f>IFERROR(__xludf.DUMMYFUNCTION("""COMPUTED_VALUE"""),0)</f>
        <v>0</v>
      </c>
      <c r="I18" s="2">
        <f>IFERROR(__xludf.DUMMYFUNCTION("""COMPUTED_VALUE"""),3)</f>
        <v>3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IFERROR(__xludf.DUMMYFUNCTION("""COMPUTED_VALUE"""),"Practical (10 Expts)")</f>
        <v>Practical (10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IFERROR(__xludf.DUMMYFUNCTION("""COMPUTED_VALUE"""),"EC2404")</f>
        <v>EC2404</v>
      </c>
      <c r="E19" s="2" t="str">
        <f>IFERROR(__xludf.DUMMYFUNCTION("""COMPUTED_VALUE"""),"19EE404")</f>
        <v>19EE404</v>
      </c>
      <c r="F19" s="7" t="str">
        <f>IFERROR(__xludf.DUMMYFUNCTION("""COMPUTED_VALUE"""),"Digital Electronics")</f>
        <v>Digital Electronics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IFERROR(__xludf.DUMMYFUNCTION("""COMPUTED_VALUE"""),"EC2305")</f>
        <v>EC2305</v>
      </c>
      <c r="E20" s="2" t="str">
        <f>IFERROR(__xludf.DUMMYFUNCTION("""COMPUTED_VALUE"""),"19EE305")</f>
        <v>19EE305</v>
      </c>
      <c r="F20" s="7" t="str">
        <f>IFERROR(__xludf.DUMMYFUNCTION("""COMPUTED_VALUE"""),"Basic Electrical, Electronics and Measurement Engineering")</f>
        <v>Basic Electrical, Electronics and Measurement Engineering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IFERROR(__xludf.DUMMYFUNCTION("""COMPUTED_VALUE"""),"EC2309")</f>
        <v>EC2309</v>
      </c>
      <c r="E21" s="2" t="str">
        <f>IFERROR(__xludf.DUMMYFUNCTION("""COMPUTED_VALUE"""),"19EE309")</f>
        <v>19EE309</v>
      </c>
      <c r="F21" s="7" t="str">
        <f>IFERROR(__xludf.DUMMYFUNCTION("""COMPUTED_VALUE"""),"Programming Microcontrollers")</f>
        <v>Programming Microcontrollers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IFERROR(__xludf.DUMMYFUNCTION("""COMPUTED_VALUE"""),"CS3304")</f>
        <v>CS3304</v>
      </c>
      <c r="E22" s="2" t="str">
        <f>IFERROR(__xludf.DUMMYFUNCTION("""COMPUTED_VALUE"""),"19AI304")</f>
        <v>19AI304</v>
      </c>
      <c r="F22" s="7" t="str">
        <f>IFERROR(__xludf.DUMMYFUNCTION("""COMPUTED_VALUE"""),"Fundamentals of C Programming")</f>
        <v>Fundamentals of C Programming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IFERROR(__xludf.DUMMYFUNCTION("""COMPUTED_VALUE"""),"CS3305")</f>
        <v>CS3305</v>
      </c>
      <c r="E23" s="2" t="str">
        <f>IFERROR(__xludf.DUMMYFUNCTION("""COMPUTED_VALUE"""),"19AI305")</f>
        <v>19AI305</v>
      </c>
      <c r="F23" s="7" t="str">
        <f>IFERROR(__xludf.DUMMYFUNCTION("""COMPUTED_VALUE"""),"Advanced C Programming")</f>
        <v>Advanced C Programming</v>
      </c>
      <c r="G23" s="2" t="str">
        <f>IFERROR(__xludf.DUMMYFUNCTION("""COMPUTED_VALUE"""),"19AI304 / CS3304")</f>
        <v>19AI304 / CS3304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IFERROR(__xludf.DUMMYFUNCTION("""COMPUTED_VALUE"""),"CS1305")</f>
        <v>CS1305</v>
      </c>
      <c r="E24" s="2" t="str">
        <f>IFERROR(__xludf.DUMMYFUNCTION("""COMPUTED_VALUE"""),"19CS305")</f>
        <v>19CS305</v>
      </c>
      <c r="F24" s="7" t="str">
        <f>IFERROR(__xludf.DUMMYFUNCTION("""COMPUTED_VALUE"""),"Computer Architecture")</f>
        <v>Computer Architecture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IFERROR(__xludf.DUMMYFUNCTION("""COMPUTED_VALUE"""),0)</f>
        <v>0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IFERROR(__xludf.DUMMYFUNCTION("""COMPUTED_VALUE"""),"CS3307")</f>
        <v>CS3307</v>
      </c>
      <c r="E25" s="2" t="str">
        <f>IFERROR(__xludf.DUMMYFUNCTION("""COMPUTED_VALUE"""),"19AI307")</f>
        <v>19AI307</v>
      </c>
      <c r="F25" s="7" t="str">
        <f>IFERROR(__xludf.DUMMYFUNCTION("""COMPUTED_VALUE"""),"Object Oriented Programming using Java")</f>
        <v>Object Oriented Programming using Java</v>
      </c>
      <c r="G25" s="2" t="str">
        <f>IFERROR(__xludf.DUMMYFUNCTION("""COMPUTED_VALUE"""),"19AI304")</f>
        <v>19AI304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IFERROR(__xludf.DUMMYFUNCTION("""COMPUTED_VALUE"""),"CS3404")</f>
        <v>CS3404</v>
      </c>
      <c r="E26" s="2" t="str">
        <f>IFERROR(__xludf.DUMMYFUNCTION("""COMPUTED_VALUE"""),"19AI404")</f>
        <v>19AI404</v>
      </c>
      <c r="F26" s="7" t="str">
        <f>IFERROR(__xludf.DUMMYFUNCTION("""COMPUTED_VALUE"""),"Analysis of Algorithms")</f>
        <v>Analysis of Algorithms</v>
      </c>
      <c r="G26" s="2" t="str">
        <f>IFERROR(__xludf.DUMMYFUNCTION("""COMPUTED_VALUE"""),"19AI301")</f>
        <v>19AI301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IFERROR(__xludf.DUMMYFUNCTION("""COMPUTED_VALUE"""),"CS3405")</f>
        <v>CS3405</v>
      </c>
      <c r="E27" s="2" t="str">
        <f>IFERROR(__xludf.DUMMYFUNCTION("""COMPUTED_VALUE"""),"19AI405")</f>
        <v>19AI405</v>
      </c>
      <c r="F27" s="7" t="str">
        <f>IFERROR(__xludf.DUMMYFUNCTION("""COMPUTED_VALUE"""),"Fundamentals of Artificial Intelligence")</f>
        <v>Fundamentals of Artificial Intelligence</v>
      </c>
      <c r="G27" s="2" t="str">
        <f>IFERROR(__xludf.DUMMYFUNCTION("""COMPUTED_VALUE"""),"19CS301")</f>
        <v>19CS301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IFERROR(__xludf.DUMMYFUNCTION("""COMPUTED_VALUE"""),"CS3408")</f>
        <v>CS3408</v>
      </c>
      <c r="E28" s="2" t="str">
        <f>IFERROR(__xludf.DUMMYFUNCTION("""COMPUTED_VALUE"""),"19AI408")</f>
        <v>19AI408</v>
      </c>
      <c r="F28" s="7" t="str">
        <f>IFERROR(__xludf.DUMMYFUNCTION("""COMPUTED_VALUE"""),"Data Structures")</f>
        <v>Data Structures</v>
      </c>
      <c r="G28" s="2" t="str">
        <f>IFERROR(__xludf.DUMMYFUNCTION("""COMPUTED_VALUE"""),"19AI304 / CS3304")</f>
        <v>19AI304 / CS3304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IFERROR(__xludf.DUMMYFUNCTION("""COMPUTED_VALUE"""),"CS3410")</f>
        <v>CS3410</v>
      </c>
      <c r="E29" s="2" t="str">
        <f>IFERROR(__xludf.DUMMYFUNCTION("""COMPUTED_VALUE"""),"19AI410")</f>
        <v>19AI410</v>
      </c>
      <c r="F29" s="7" t="str">
        <f>IFERROR(__xludf.DUMMYFUNCTION("""COMPUTED_VALUE"""),"Introduction to Machine Learning")</f>
        <v>Introduction to Machine Learning</v>
      </c>
      <c r="G29" s="2" t="str">
        <f>IFERROR(__xludf.DUMMYFUNCTION("""COMPUTED_VALUE"""),"-")</f>
        <v>-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IFERROR(__xludf.DUMMYFUNCTION("""COMPUTED_VALUE"""),"CS3414")</f>
        <v>CS3414</v>
      </c>
      <c r="E30" s="2" t="str">
        <f>IFERROR(__xludf.DUMMYFUNCTION("""COMPUTED_VALUE"""),"19AI414")</f>
        <v>19AI414</v>
      </c>
      <c r="F30" s="7" t="str">
        <f>IFERROR(__xludf.DUMMYFUNCTION("""COMPUTED_VALUE"""),"Fundamentals of Web Application Development")</f>
        <v>Fundamentals of Web Application Development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IFERROR(__xludf.DUMMYFUNCTION("""COMPUTED_VALUE"""),2)</f>
        <v>2</v>
      </c>
      <c r="J30" s="2">
        <f>IFERROR(__xludf.DUMMYFUNCTION("""COMPUTED_VALUE"""),5)</f>
        <v>5</v>
      </c>
      <c r="K30" s="2" t="str">
        <f>IFERROR(__xludf.DUMMYFUNCTION("""COMPUTED_VALUE"""),"CGPA")</f>
        <v>CGPA</v>
      </c>
      <c r="L30" s="2" t="str">
        <f>IFERROR(__xludf.DUMMYFUNCTION("""COMPUTED_VALUE"""),"TIP (10 Expts)")</f>
        <v>TIP (10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IFERROR(__xludf.DUMMYFUNCTION("""COMPUTED_VALUE"""),"CS3541")</f>
        <v>CS3541</v>
      </c>
      <c r="E31" s="2" t="str">
        <f>IFERROR(__xludf.DUMMYFUNCTION("""COMPUTED_VALUE"""),"19AI541")</f>
        <v>19AI541</v>
      </c>
      <c r="F31" s="7" t="str">
        <f>IFERROR(__xludf.DUMMYFUNCTION("""COMPUTED_VALUE"""),"Cloud Computing")</f>
        <v>Cloud Computing</v>
      </c>
      <c r="G31" s="2" t="str">
        <f>IFERROR(__xludf.DUMMYFUNCTION("""COMPUTED_VALUE"""),"19CS406")</f>
        <v>19CS406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IFERROR(__xludf.DUMMYFUNCTION("""COMPUTED_VALUE"""),"CS3553")</f>
        <v>CS3553</v>
      </c>
      <c r="E32" s="2" t="str">
        <f>IFERROR(__xludf.DUMMYFUNCTION("""COMPUTED_VALUE"""),"19AI553")</f>
        <v>19AI553</v>
      </c>
      <c r="F32" s="7" t="str">
        <f>IFERROR(__xludf.DUMMYFUNCTION("""COMPUTED_VALUE"""),"Advanced Java Web Applications")</f>
        <v>Advanced Java Web Applications</v>
      </c>
      <c r="G32" s="2" t="str">
        <f>IFERROR(__xludf.DUMMYFUNCTION("""COMPUTED_VALUE"""),"19AI307")</f>
        <v>19AI307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IFERROR(__xludf.DUMMYFUNCTION("""COMPUTED_VALUE"""),"Any 1")</f>
        <v>Any 1</v>
      </c>
      <c r="C33" s="2" t="str">
        <f>IFERROR(__xludf.DUMMYFUNCTION("""COMPUTED_VALUE"""),"PC")</f>
        <v>PC</v>
      </c>
      <c r="D33" s="2" t="str">
        <f>IFERROR(__xludf.DUMMYFUNCTION("""COMPUTED_VALUE"""),"CS1567")</f>
        <v>CS1567</v>
      </c>
      <c r="E33" s="2" t="str">
        <f>IFERROR(__xludf.DUMMYFUNCTION("""COMPUTED_VALUE"""),"19CS567")</f>
        <v>19CS567</v>
      </c>
      <c r="F33" s="7" t="str">
        <f>IFERROR(__xludf.DUMMYFUNCTION("""COMPUTED_VALUE"""),"Cloud Native App Development")</f>
        <v>Cloud Native App Development</v>
      </c>
      <c r="G33" s="2" t="str">
        <f>IFERROR(__xludf.DUMMYFUNCTION("""COMPUTED_VALUE"""),"-")</f>
        <v>-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IFERROR(__xludf.DUMMYFUNCTION("""COMPUTED_VALUE"""),"Any 1")</f>
        <v>Any 1</v>
      </c>
      <c r="C34" s="2" t="str">
        <f>IFERROR(__xludf.DUMMYFUNCTION("""COMPUTED_VALUE"""),"PC")</f>
        <v>PC</v>
      </c>
      <c r="D34" s="2" t="str">
        <f>IFERROR(__xludf.DUMMYFUNCTION("""COMPUTED_VALUE"""),"CS3545")</f>
        <v>CS3545</v>
      </c>
      <c r="E34" s="2" t="str">
        <f>IFERROR(__xludf.DUMMYFUNCTION("""COMPUTED_VALUE"""),"19AI545")</f>
        <v>19AI545</v>
      </c>
      <c r="F34" s="7" t="str">
        <f>IFERROR(__xludf.DUMMYFUNCTION("""COMPUTED_VALUE"""),"Modern Web Application Development")</f>
        <v>Modern Web Application Development</v>
      </c>
      <c r="G34" s="2" t="str">
        <f>IFERROR(__xludf.DUMMYFUNCTION("""COMPUTED_VALUE"""),"19CS410")</f>
        <v>19CS410</v>
      </c>
      <c r="H34" s="2">
        <f>IFERROR(__xludf.DUMMYFUNCTION("""COMPUTED_VALUE"""),2)</f>
        <v>2</v>
      </c>
      <c r="I34" s="2">
        <f>IFERROR(__xludf.DUMMYFUNCTION("""COMPUTED_VALUE"""),1)</f>
        <v>1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 t="str">
        <f>IFERROR(__xludf.DUMMYFUNCTION("""COMPUTED_VALUE"""),"Any 1")</f>
        <v>Any 1</v>
      </c>
      <c r="C35" s="2" t="str">
        <f>IFERROR(__xludf.DUMMYFUNCTION("""COMPUTED_VALUE"""),"PC")</f>
        <v>PC</v>
      </c>
      <c r="D35" s="2" t="str">
        <f>IFERROR(__xludf.DUMMYFUNCTION("""COMPUTED_VALUE"""),"CS3546")</f>
        <v>CS3546</v>
      </c>
      <c r="E35" s="2" t="str">
        <f>IFERROR(__xludf.DUMMYFUNCTION("""COMPUTED_VALUE"""),"19AI546")</f>
        <v>19AI546</v>
      </c>
      <c r="F35" s="7" t="str">
        <f>IFERROR(__xludf.DUMMYFUNCTION("""COMPUTED_VALUE"""),"Web Server Programming")</f>
        <v>Web Server Programming</v>
      </c>
      <c r="G35" s="2" t="str">
        <f>IFERROR(__xludf.DUMMYFUNCTION("""COMPUTED_VALUE"""),"19CS401")</f>
        <v>19CS401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IFERROR(__xludf.DUMMYFUNCTION("""COMPUTED_VALUE"""),"CS4508")</f>
        <v>CS4508</v>
      </c>
      <c r="E36" s="2" t="str">
        <f>IFERROR(__xludf.DUMMYFUNCTION("""COMPUTED_VALUE"""),"19AM508")</f>
        <v>19AM508</v>
      </c>
      <c r="F36" s="7" t="str">
        <f>IFERROR(__xludf.DUMMYFUNCTION("""COMPUTED_VALUE"""),"Introduction to IoT")</f>
        <v>Introduction to IoT</v>
      </c>
      <c r="G36" s="2" t="str">
        <f>IFERROR(__xludf.DUMMYFUNCTION("""COMPUTED_VALUE"""),"-")</f>
        <v>-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IFERROR(__xludf.DUMMYFUNCTION("""COMPUTED_VALUE"""),"CS1404")</f>
        <v>CS1404</v>
      </c>
      <c r="E37" s="2" t="str">
        <f>IFERROR(__xludf.DUMMYFUNCTION("""COMPUTED_VALUE"""),"19CS404")</f>
        <v>19CS404</v>
      </c>
      <c r="F37" s="3" t="str">
        <f>IFERROR(__xludf.DUMMYFUNCTION("""COMPUTED_VALUE"""),"Database Management System and its Applications")</f>
        <v>Database Management System and its Applications</v>
      </c>
      <c r="G37" s="2" t="str">
        <f>IFERROR(__xludf.DUMMYFUNCTION("""COMPUTED_VALUE"""),"19AI301/19AI304/19CS301/19CS302/19CS303")</f>
        <v>19AI301/19AI304/19CS301/19CS302/19CS303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IFERROR(__xludf.DUMMYFUNCTION("""COMPUTED_VALUE"""),"CS1405")</f>
        <v>CS1405</v>
      </c>
      <c r="E38" s="2" t="str">
        <f>IFERROR(__xludf.DUMMYFUNCTION("""COMPUTED_VALUE"""),"19CS405")</f>
        <v>19CS405</v>
      </c>
      <c r="F38" s="7" t="str">
        <f>IFERROR(__xludf.DUMMYFUNCTION("""COMPUTED_VALUE"""),"Operating System")</f>
        <v>Operating System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IFERROR(__xludf.DUMMYFUNCTION("""COMPUTED_VALUE"""),"CS1406")</f>
        <v>CS1406</v>
      </c>
      <c r="E39" s="2" t="str">
        <f>IFERROR(__xludf.DUMMYFUNCTION("""COMPUTED_VALUE"""),"19CS406")</f>
        <v>19CS406</v>
      </c>
      <c r="F39" s="7" t="str">
        <f>IFERROR(__xludf.DUMMYFUNCTION("""COMPUTED_VALUE"""),"Computer Networks")</f>
        <v>Computer Networks</v>
      </c>
      <c r="G39" s="2" t="str">
        <f>IFERROR(__xludf.DUMMYFUNCTION("""COMPUTED_VALUE"""),"-")</f>
        <v>-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IFERROR(__xludf.DUMMYFUNCTION("""COMPUTED_VALUE"""),"CS1407")</f>
        <v>CS1407</v>
      </c>
      <c r="E40" s="2" t="str">
        <f>IFERROR(__xludf.DUMMYFUNCTION("""COMPUTED_VALUE"""),"19CS407")</f>
        <v>19CS407</v>
      </c>
      <c r="F40" s="7" t="str">
        <f>IFERROR(__xludf.DUMMYFUNCTION("""COMPUTED_VALUE"""),"Theory of Computation")</f>
        <v>Theory of Computation</v>
      </c>
      <c r="G40" s="2" t="str">
        <f>IFERROR(__xludf.DUMMYFUNCTION("""COMPUTED_VALUE"""),"19MA206")</f>
        <v>19MA206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IFERROR(__xludf.DUMMYFUNCTION("""COMPUTED_VALUE"""),"CS1408")</f>
        <v>CS1408</v>
      </c>
      <c r="E41" s="2" t="str">
        <f>IFERROR(__xludf.DUMMYFUNCTION("""COMPUTED_VALUE"""),"19CS408")</f>
        <v>19CS408</v>
      </c>
      <c r="F41" s="7" t="str">
        <f>IFERROR(__xludf.DUMMYFUNCTION("""COMPUTED_VALUE"""),"Software Engineering")</f>
        <v>Software Engineering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IFERROR(__xludf.DUMMYFUNCTION("""COMPUTED_VALUE"""),1)</f>
        <v>1</v>
      </c>
      <c r="J41" s="2">
        <f>IFERROR(__xludf.DUMMYFUNCTION("""COMPUTED_VALUE"""),4)</f>
        <v>4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IFERROR(__xludf.DUMMYFUNCTION("""COMPUTED_VALUE"""),"CS1409")</f>
        <v>CS1409</v>
      </c>
      <c r="E42" s="2" t="str">
        <f>IFERROR(__xludf.DUMMYFUNCTION("""COMPUTED_VALUE"""),"19CS409")</f>
        <v>19CS409</v>
      </c>
      <c r="F42" s="7" t="str">
        <f>IFERROR(__xludf.DUMMYFUNCTION("""COMPUTED_VALUE"""),"Compiler Design")</f>
        <v>Compiler Design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IFERROR(__xludf.DUMMYFUNCTION("""COMPUTED_VALUE"""),"CS1415")</f>
        <v>CS1415</v>
      </c>
      <c r="E43" s="2" t="str">
        <f>IFERROR(__xludf.DUMMYFUNCTION("""COMPUTED_VALUE"""),"19CS415")</f>
        <v>19CS415</v>
      </c>
      <c r="F43" s="7" t="str">
        <f>IFERROR(__xludf.DUMMYFUNCTION("""COMPUTED_VALUE"""),"Cryptography")</f>
        <v>Cryptography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IFERROR(__xludf.DUMMYFUNCTION("""COMPUTED_VALUE"""),"CS3303")</f>
        <v>CS3303</v>
      </c>
      <c r="E44" s="2" t="str">
        <f>IFERROR(__xludf.DUMMYFUNCTION("""COMPUTED_VALUE"""),"19AI303")</f>
        <v>19AI303</v>
      </c>
      <c r="F44" s="7" t="str">
        <f>IFERROR(__xludf.DUMMYFUNCTION("""COMPUTED_VALUE"""),"Engineering Mechanics and Product Development")</f>
        <v>Engineering Mechanics and Product Development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IFERROR(__xludf.DUMMYFUNCTION("""COMPUTED_VALUE"""),"CS3306")</f>
        <v>CS3306</v>
      </c>
      <c r="E45" s="2" t="str">
        <f>IFERROR(__xludf.DUMMYFUNCTION("""COMPUTED_VALUE"""),"19AI306")</f>
        <v>19AI306</v>
      </c>
      <c r="F45" s="7" t="str">
        <f>IFERROR(__xludf.DUMMYFUNCTION("""COMPUTED_VALUE"""),"Object Oriented Programming using C++")</f>
        <v>Object Oriented Programming using C++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IFERROR(__xludf.DUMMYFUNCTION("""COMPUTED_VALUE"""),"CS3308")</f>
        <v>CS3308</v>
      </c>
      <c r="E46" s="2" t="str">
        <f>IFERROR(__xludf.DUMMYFUNCTION("""COMPUTED_VALUE"""),"19AI308")</f>
        <v>19AI308</v>
      </c>
      <c r="F46" s="7" t="str">
        <f>IFERROR(__xludf.DUMMYFUNCTION("""COMPUTED_VALUE"""),"Object Oriented Programming using C#")</f>
        <v>Object Oriented Programming using C#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IFERROR(__xludf.DUMMYFUNCTION("""COMPUTED_VALUE"""),"CS3403")</f>
        <v>CS3403</v>
      </c>
      <c r="E47" s="2" t="str">
        <f>IFERROR(__xludf.DUMMYFUNCTION("""COMPUTED_VALUE"""),"19AI403")</f>
        <v>19AI403</v>
      </c>
      <c r="F47" s="7" t="str">
        <f>IFERROR(__xludf.DUMMYFUNCTION("""COMPUTED_VALUE"""),"Introduction to Data Science")</f>
        <v>Introduction to Data Science</v>
      </c>
      <c r="G47" s="2" t="str">
        <f>IFERROR(__xludf.DUMMYFUNCTION("""COMPUTED_VALUE"""),"19CS301")</f>
        <v>19CS301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IFERROR(__xludf.DUMMYFUNCTION("""COMPUTED_VALUE"""),"CS3406")</f>
        <v>CS3406</v>
      </c>
      <c r="E48" s="2" t="str">
        <f>IFERROR(__xludf.DUMMYFUNCTION("""COMPUTED_VALUE"""),"19AI406")</f>
        <v>19AI406</v>
      </c>
      <c r="F48" s="7" t="str">
        <f>IFERROR(__xludf.DUMMYFUNCTION("""COMPUTED_VALUE"""),"Digital Image Processing Techniques")</f>
        <v>Digital Image Processing Techniques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IFERROR(__xludf.DUMMYFUNCTION("""COMPUTED_VALUE"""),"CS3407")</f>
        <v>CS3407</v>
      </c>
      <c r="E49" s="2" t="str">
        <f>IFERROR(__xludf.DUMMYFUNCTION("""COMPUTED_VALUE"""),"19AI407")</f>
        <v>19AI407</v>
      </c>
      <c r="F49" s="7" t="str">
        <f>IFERROR(__xludf.DUMMYFUNCTION("""COMPUTED_VALUE"""),"Parallel Computing Architecture")</f>
        <v>Parallel Computing Architecture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IFERROR(__xludf.DUMMYFUNCTION("""COMPUTED_VALUE"""),1)</f>
        <v>1</v>
      </c>
      <c r="J49" s="2">
        <f>IFERROR(__xludf.DUMMYFUNCTION("""COMPUTED_VALUE"""),4)</f>
        <v>4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IFERROR(__xludf.DUMMYFUNCTION("""COMPUTED_VALUE"""),"CS3409")</f>
        <v>CS3409</v>
      </c>
      <c r="E50" s="2" t="str">
        <f>IFERROR(__xludf.DUMMYFUNCTION("""COMPUTED_VALUE"""),"19AI409")</f>
        <v>19AI409</v>
      </c>
      <c r="F50" s="7" t="str">
        <f>IFERROR(__xludf.DUMMYFUNCTION("""COMPUTED_VALUE"""),"Applied Artificial Intelligence")</f>
        <v>Applied Artificial Intelligence</v>
      </c>
      <c r="G50" s="2" t="str">
        <f>IFERROR(__xludf.DUMMYFUNCTION("""COMPUTED_VALUE"""),"19AI405/19CS301")</f>
        <v>19AI405/19CS301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IFERROR(__xludf.DUMMYFUNCTION("""COMPUTED_VALUE"""),"CS3411")</f>
        <v>CS3411</v>
      </c>
      <c r="E51" s="2" t="str">
        <f>IFERROR(__xludf.DUMMYFUNCTION("""COMPUTED_VALUE"""),"19AI411")</f>
        <v>19AI411</v>
      </c>
      <c r="F51" s="7" t="str">
        <f>IFERROR(__xludf.DUMMYFUNCTION("""COMPUTED_VALUE"""),"Neural Networks")</f>
        <v>Neural Networks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IFERROR(__xludf.DUMMYFUNCTION("""COMPUTED_VALUE"""),"CS3412")</f>
        <v>CS3412</v>
      </c>
      <c r="E52" s="2" t="str">
        <f>IFERROR(__xludf.DUMMYFUNCTION("""COMPUTED_VALUE"""),"19AI412")</f>
        <v>19AI412</v>
      </c>
      <c r="F52" s="7" t="str">
        <f>IFERROR(__xludf.DUMMYFUNCTION("""COMPUTED_VALUE"""),"Web Data Mining")</f>
        <v>Web Data Mining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IFERROR(__xludf.DUMMYFUNCTION("""COMPUTED_VALUE"""),1)</f>
        <v>1</v>
      </c>
      <c r="J52" s="2">
        <f>IFERROR(__xludf.DUMMYFUNCTION("""COMPUTED_VALUE"""),4)</f>
        <v>4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IFERROR(__xludf.DUMMYFUNCTION("""COMPUTED_VALUE"""),"CS3413")</f>
        <v>CS3413</v>
      </c>
      <c r="E53" s="2" t="str">
        <f>IFERROR(__xludf.DUMMYFUNCTION("""COMPUTED_VALUE"""),"19AI413")</f>
        <v>19AI413</v>
      </c>
      <c r="F53" s="7" t="str">
        <f>IFERROR(__xludf.DUMMYFUNCTION("""COMPUTED_VALUE"""),"Deep Learning and its Applications")</f>
        <v>Deep Learning and its Applications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IFERROR(__xludf.DUMMYFUNCTION("""COMPUTED_VALUE"""),"CS3501")</f>
        <v>CS3501</v>
      </c>
      <c r="E54" s="2" t="str">
        <f>IFERROR(__xludf.DUMMYFUNCTION("""COMPUTED_VALUE"""),"19AI501")</f>
        <v>19AI501</v>
      </c>
      <c r="F54" s="3" t="str">
        <f>IFERROR(__xludf.DUMMYFUNCTION("""COMPUTED_VALUE"""),"Applications of Artificial Intelligence")</f>
        <v>Applications of Artificial Intelligence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IFERROR(__xludf.DUMMYFUNCTION("""COMPUTED_VALUE"""),"CS3502")</f>
        <v>CS3502</v>
      </c>
      <c r="E55" s="2" t="str">
        <f>IFERROR(__xludf.DUMMYFUNCTION("""COMPUTED_VALUE"""),"19AI502")</f>
        <v>19AI502</v>
      </c>
      <c r="F55" s="7" t="str">
        <f>IFERROR(__xludf.DUMMYFUNCTION("""COMPUTED_VALUE"""),"Applied Natural Language Processing")</f>
        <v>Applied Natural Language Processing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IFERROR(__xludf.DUMMYFUNCTION("""COMPUTED_VALUE"""),"CS3503")</f>
        <v>CS3503</v>
      </c>
      <c r="E56" s="2" t="str">
        <f>IFERROR(__xludf.DUMMYFUNCTION("""COMPUTED_VALUE"""),"19AI503")</f>
        <v>19AI503</v>
      </c>
      <c r="F56" s="7" t="str">
        <f>IFERROR(__xludf.DUMMYFUNCTION("""COMPUTED_VALUE"""),"Computer Vision")</f>
        <v>Computer Vision</v>
      </c>
      <c r="G56" s="2" t="str">
        <f>IFERROR(__xludf.DUMMYFUNCTION("""COMPUTED_VALUE"""),"19CS301")</f>
        <v>19CS301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IFERROR(__xludf.DUMMYFUNCTION("""COMPUTED_VALUE"""),"CS3504")</f>
        <v>CS3504</v>
      </c>
      <c r="E57" s="2" t="str">
        <f>IFERROR(__xludf.DUMMYFUNCTION("""COMPUTED_VALUE"""),"19AI504")</f>
        <v>19AI504</v>
      </c>
      <c r="F57" s="7" t="str">
        <f>IFERROR(__xludf.DUMMYFUNCTION("""COMPUTED_VALUE"""),"Mobile Robotics")</f>
        <v>Mobile Robotics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IFERROR(__xludf.DUMMYFUNCTION("""COMPUTED_VALUE"""),"CS3505")</f>
        <v>CS3505</v>
      </c>
      <c r="E58" s="2" t="str">
        <f>IFERROR(__xludf.DUMMYFUNCTION("""COMPUTED_VALUE"""),"19AI505")</f>
        <v>19AI505</v>
      </c>
      <c r="F58" s="3" t="str">
        <f>IFERROR(__xludf.DUMMYFUNCTION("""COMPUTED_VALUE"""),"Reinforcement Learning")</f>
        <v>Reinforcement Learning</v>
      </c>
      <c r="G58" s="2" t="str">
        <f>IFERROR(__xludf.DUMMYFUNCTION("""COMPUTED_VALUE"""),"19CS301")</f>
        <v>19CS301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IFERROR(__xludf.DUMMYFUNCTION("""COMPUTED_VALUE"""),"CS3506")</f>
        <v>CS3506</v>
      </c>
      <c r="E59" s="2" t="str">
        <f>IFERROR(__xludf.DUMMYFUNCTION("""COMPUTED_VALUE"""),"19AI506")</f>
        <v>19AI506</v>
      </c>
      <c r="F59" s="3" t="str">
        <f>IFERROR(__xludf.DUMMYFUNCTION("""COMPUTED_VALUE"""),"Speech Analysis and Processing")</f>
        <v>Speech Analysis and Processing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IFERROR(__xludf.DUMMYFUNCTION("""COMPUTED_VALUE"""),"CS3507")</f>
        <v>CS3507</v>
      </c>
      <c r="E60" s="2" t="str">
        <f>IFERROR(__xludf.DUMMYFUNCTION("""COMPUTED_VALUE"""),"19AI507")</f>
        <v>19AI507</v>
      </c>
      <c r="F60" s="7" t="str">
        <f>IFERROR(__xludf.DUMMYFUNCTION("""COMPUTED_VALUE"""),"Special Topics in Artificial Intelligence")</f>
        <v>Special Topics in Artificial Intelligence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IFERROR(__xludf.DUMMYFUNCTION("""COMPUTED_VALUE"""),"CS3508")</f>
        <v>CS3508</v>
      </c>
      <c r="E61" s="2" t="str">
        <f>IFERROR(__xludf.DUMMYFUNCTION("""COMPUTED_VALUE"""),"19AI508")</f>
        <v>19AI508</v>
      </c>
      <c r="F61" s="3" t="str">
        <f>IFERROR(__xludf.DUMMYFUNCTION("""COMPUTED_VALUE"""),"Soft Computing Techniques")</f>
        <v>Soft Computing Techniques</v>
      </c>
      <c r="G61" s="2" t="str">
        <f>IFERROR(__xludf.DUMMYFUNCTION("""COMPUTED_VALUE"""),"-")</f>
        <v>-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IFERROR(__xludf.DUMMYFUNCTION("""COMPUTED_VALUE"""),"CS3509")</f>
        <v>CS3509</v>
      </c>
      <c r="E62" s="2" t="str">
        <f>IFERROR(__xludf.DUMMYFUNCTION("""COMPUTED_VALUE"""),"19AI509")</f>
        <v>19AI509</v>
      </c>
      <c r="F62" s="7" t="str">
        <f>IFERROR(__xludf.DUMMYFUNCTION("""COMPUTED_VALUE"""),"Concepts of Virtual And Augmented Reality")</f>
        <v>Concepts of Virtual And Augmented Reality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IFERROR(__xludf.DUMMYFUNCTION("""COMPUTED_VALUE"""),"CS3510")</f>
        <v>CS3510</v>
      </c>
      <c r="E63" s="2" t="str">
        <f>IFERROR(__xludf.DUMMYFUNCTION("""COMPUTED_VALUE"""),"19AI510")</f>
        <v>19AI510</v>
      </c>
      <c r="F63" s="7" t="str">
        <f>IFERROR(__xludf.DUMMYFUNCTION("""COMPUTED_VALUE"""),"Mobile VR And AI In Unity")</f>
        <v>Mobile VR And AI In Unity</v>
      </c>
      <c r="G63" s="2" t="str">
        <f>IFERROR(__xludf.DUMMYFUNCTION("""COMPUTED_VALUE"""),"19AI410/19CS302")</f>
        <v>19AI410/19CS302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IFERROR(__xludf.DUMMYFUNCTION("""COMPUTED_VALUE"""),"CS3511")</f>
        <v>CS3511</v>
      </c>
      <c r="E64" s="2" t="str">
        <f>IFERROR(__xludf.DUMMYFUNCTION("""COMPUTED_VALUE"""),"19AI511")</f>
        <v>19AI511</v>
      </c>
      <c r="F64" s="7" t="str">
        <f>IFERROR(__xludf.DUMMYFUNCTION("""COMPUTED_VALUE"""),"Scientific and Engineering Data Visualization")</f>
        <v>Scientific and Engineering Data Visualization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IFERROR(__xludf.DUMMYFUNCTION("""COMPUTED_VALUE"""),"CS3512")</f>
        <v>CS3512</v>
      </c>
      <c r="E65" s="2" t="str">
        <f>IFERROR(__xludf.DUMMYFUNCTION("""COMPUTED_VALUE"""),"19AI512")</f>
        <v>19AI512</v>
      </c>
      <c r="F65" s="7" t="str">
        <f>IFERROR(__xludf.DUMMYFUNCTION("""COMPUTED_VALUE"""),"NoSQL Database Design")</f>
        <v>NoSQL Database Design</v>
      </c>
      <c r="G65" s="2" t="str">
        <f>IFERROR(__xludf.DUMMYFUNCTION("""COMPUTED_VALUE"""),"19CS301")</f>
        <v>19CS301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IFERROR(__xludf.DUMMYFUNCTION("""COMPUTED_VALUE"""),"CS3513")</f>
        <v>CS3513</v>
      </c>
      <c r="E66" s="2" t="str">
        <f>IFERROR(__xludf.DUMMYFUNCTION("""COMPUTED_VALUE"""),"19AI513")</f>
        <v>19AI513</v>
      </c>
      <c r="F66" s="7" t="str">
        <f>IFERROR(__xludf.DUMMYFUNCTION("""COMPUTED_VALUE"""),"Game Programming")</f>
        <v>Game Programming</v>
      </c>
      <c r="G66" s="2" t="str">
        <f>IFERROR(__xludf.DUMMYFUNCTION("""COMPUTED_VALUE"""),"19CS401")</f>
        <v>19CS401</v>
      </c>
      <c r="H66" s="2">
        <f>IFERROR(__xludf.DUMMYFUNCTION("""COMPUTED_VALUE"""),2)</f>
        <v>2</v>
      </c>
      <c r="I66" s="2">
        <f>IFERROR(__xludf.DUMMYFUNCTION("""COMPUTED_VALUE"""),2)</f>
        <v>2</v>
      </c>
      <c r="J66" s="2">
        <f>IFERROR(__xludf.DUMMYFUNCTION("""COMPUTED_VALUE"""),4)</f>
        <v>4</v>
      </c>
      <c r="K66" s="2" t="str">
        <f>IFERROR(__xludf.DUMMYFUNCTION("""COMPUTED_VALUE"""),"CGPA")</f>
        <v>CGPA</v>
      </c>
      <c r="L66" s="2" t="str">
        <f>IFERROR(__xludf.DUMMYFUNCTION("""COMPUTED_VALUE"""),"TIP (10 Expts)")</f>
        <v>TIP (10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IFERROR(__xludf.DUMMYFUNCTION("""COMPUTED_VALUE"""),"CS3514")</f>
        <v>CS3514</v>
      </c>
      <c r="E67" s="2" t="str">
        <f>IFERROR(__xludf.DUMMYFUNCTION("""COMPUTED_VALUE"""),"19AI514")</f>
        <v>19AI514</v>
      </c>
      <c r="F67" s="7" t="str">
        <f>IFERROR(__xludf.DUMMYFUNCTION("""COMPUTED_VALUE"""),"Self Driving Car")</f>
        <v>Self Driving Car</v>
      </c>
      <c r="G67" s="2" t="str">
        <f>IFERROR(__xludf.DUMMYFUNCTION("""COMPUTED_VALUE"""),"19CS301/19AI410")</f>
        <v>19CS301/19AI410</v>
      </c>
      <c r="H67" s="2">
        <f>IFERROR(__xludf.DUMMYFUNCTION("""COMPUTED_VALUE"""),2)</f>
        <v>2</v>
      </c>
      <c r="I67" s="2">
        <f>IFERROR(__xludf.DUMMYFUNCTION("""COMPUTED_VALUE"""),2)</f>
        <v>2</v>
      </c>
      <c r="J67" s="2">
        <f>IFERROR(__xludf.DUMMYFUNCTION("""COMPUTED_VALUE"""),4)</f>
        <v>4</v>
      </c>
      <c r="K67" s="2" t="str">
        <f>IFERROR(__xludf.DUMMYFUNCTION("""COMPUTED_VALUE"""),"CGPA")</f>
        <v>CGPA</v>
      </c>
      <c r="L67" s="2" t="str">
        <f>IFERROR(__xludf.DUMMYFUNCTION("""COMPUTED_VALUE"""),"TIP (10 Expts)")</f>
        <v>TIP (10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IFERROR(__xludf.DUMMYFUNCTION("""COMPUTED_VALUE"""),"CS3515")</f>
        <v>CS3515</v>
      </c>
      <c r="E68" s="2" t="str">
        <f>IFERROR(__xludf.DUMMYFUNCTION("""COMPUTED_VALUE"""),"19AI515")</f>
        <v>19AI515</v>
      </c>
      <c r="F68" s="7" t="str">
        <f>IFERROR(__xludf.DUMMYFUNCTION("""COMPUTED_VALUE"""),"Smart Manufacturing Technology")</f>
        <v>Smart Manufacturing Technology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IFERROR(__xludf.DUMMYFUNCTION("""COMPUTED_VALUE"""),"CS1520")</f>
        <v>CS1520</v>
      </c>
      <c r="E69" s="2" t="str">
        <f>IFERROR(__xludf.DUMMYFUNCTION("""COMPUTED_VALUE"""),"19CS520")</f>
        <v>19CS520</v>
      </c>
      <c r="F69" s="7" t="str">
        <f>IFERROR(__xludf.DUMMYFUNCTION("""COMPUTED_VALUE"""),"Big Data Analytics")</f>
        <v>Big Data Analytics</v>
      </c>
      <c r="G69" s="2" t="str">
        <f>IFERROR(__xludf.DUMMYFUNCTION("""COMPUTED_VALUE"""),"19CS411/19CS519")</f>
        <v>19CS411/19CS519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IFERROR(__xludf.DUMMYFUNCTION("""COMPUTED_VALUE"""),"CS3517")</f>
        <v>CS3517</v>
      </c>
      <c r="E70" s="2" t="str">
        <f>IFERROR(__xludf.DUMMYFUNCTION("""COMPUTED_VALUE"""),"19AI517")</f>
        <v>19AI517</v>
      </c>
      <c r="F70" s="7" t="str">
        <f>IFERROR(__xludf.DUMMYFUNCTION("""COMPUTED_VALUE"""),"Business Analytics")</f>
        <v>Business Analytics</v>
      </c>
      <c r="G70" s="2" t="str">
        <f>IFERROR(__xludf.DUMMYFUNCTION("""COMPUTED_VALUE"""),"-")</f>
        <v>-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IFERROR(__xludf.DUMMYFUNCTION("""COMPUTED_VALUE"""),"CS3518")</f>
        <v>CS3518</v>
      </c>
      <c r="E71" s="2" t="str">
        <f>IFERROR(__xludf.DUMMYFUNCTION("""COMPUTED_VALUE"""),"19AI518")</f>
        <v>19AI518</v>
      </c>
      <c r="F71" s="7" t="str">
        <f>IFERROR(__xludf.DUMMYFUNCTION("""COMPUTED_VALUE"""),"Cognitive Systems")</f>
        <v>Cognitive Systems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IFERROR(__xludf.DUMMYFUNCTION("""COMPUTED_VALUE"""),"CS3519")</f>
        <v>CS3519</v>
      </c>
      <c r="E72" s="2" t="str">
        <f>IFERROR(__xludf.DUMMYFUNCTION("""COMPUTED_VALUE"""),"19AI519")</f>
        <v>19AI519</v>
      </c>
      <c r="F72" s="7" t="str">
        <f>IFERROR(__xludf.DUMMYFUNCTION("""COMPUTED_VALUE"""),"Distributed Database")</f>
        <v>Distributed Database</v>
      </c>
      <c r="G72" s="2" t="str">
        <f>IFERROR(__xludf.DUMMYFUNCTION("""COMPUTED_VALUE"""),"19CS404")</f>
        <v>19CS404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IFERROR(__xludf.DUMMYFUNCTION("""COMPUTED_VALUE"""),"CS1521")</f>
        <v>CS1521</v>
      </c>
      <c r="E73" s="2" t="str">
        <f>IFERROR(__xludf.DUMMYFUNCTION("""COMPUTED_VALUE"""),"19CS521")</f>
        <v>19CS521</v>
      </c>
      <c r="F73" s="7" t="str">
        <f>IFERROR(__xludf.DUMMYFUNCTION("""COMPUTED_VALUE"""),"Data Warehousing and Data Mining")</f>
        <v>Data Warehousing and Data Mining</v>
      </c>
      <c r="G73" s="2" t="str">
        <f>IFERROR(__xludf.DUMMYFUNCTION("""COMPUTED_VALUE"""),"19CS404")</f>
        <v>19CS404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IFERROR(__xludf.DUMMYFUNCTION("""COMPUTED_VALUE"""),"CS3521")</f>
        <v>CS3521</v>
      </c>
      <c r="E74" s="2" t="str">
        <f>IFERROR(__xludf.DUMMYFUNCTION("""COMPUTED_VALUE"""),"19AI521")</f>
        <v>19AI521</v>
      </c>
      <c r="F74" s="7" t="str">
        <f>IFERROR(__xludf.DUMMYFUNCTION("""COMPUTED_VALUE"""),"Expert Systems")</f>
        <v>Expert Systems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IFERROR(__xludf.DUMMYFUNCTION("""COMPUTED_VALUE"""),"CS3522")</f>
        <v>CS3522</v>
      </c>
      <c r="E75" s="2" t="str">
        <f>IFERROR(__xludf.DUMMYFUNCTION("""COMPUTED_VALUE"""),"19AI522")</f>
        <v>19AI522</v>
      </c>
      <c r="F75" s="7" t="str">
        <f>IFERROR(__xludf.DUMMYFUNCTION("""COMPUTED_VALUE"""),"Knowledge Engineering")</f>
        <v>Knowledge Engineering</v>
      </c>
      <c r="G75" s="2" t="str">
        <f>IFERROR(__xludf.DUMMYFUNCTION("""COMPUTED_VALUE"""),"19CS410")</f>
        <v>19CS410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IFERROR(__xludf.DUMMYFUNCTION("""COMPUTED_VALUE"""),"CS3523")</f>
        <v>CS3523</v>
      </c>
      <c r="E76" s="2" t="str">
        <f>IFERROR(__xludf.DUMMYFUNCTION("""COMPUTED_VALUE"""),"19AI523")</f>
        <v>19AI523</v>
      </c>
      <c r="F76" s="7" t="str">
        <f>IFERROR(__xludf.DUMMYFUNCTION("""COMPUTED_VALUE"""),"Mobile Database")</f>
        <v>Mobile Database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IFERROR(__xludf.DUMMYFUNCTION("""COMPUTED_VALUE"""),"CS3524")</f>
        <v>CS3524</v>
      </c>
      <c r="E77" s="2" t="str">
        <f>IFERROR(__xludf.DUMMYFUNCTION("""COMPUTED_VALUE"""),"19AI524")</f>
        <v>19AI524</v>
      </c>
      <c r="F77" s="7" t="str">
        <f>IFERROR(__xludf.DUMMYFUNCTION("""COMPUTED_VALUE"""),"Multimedia Database")</f>
        <v>Multimedia Database</v>
      </c>
      <c r="G77" s="2" t="str">
        <f>IFERROR(__xludf.DUMMYFUNCTION("""COMPUTED_VALUE"""),"19CS410")</f>
        <v>19CS410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IFERROR(__xludf.DUMMYFUNCTION("""COMPUTED_VALUE"""),"CS3525")</f>
        <v>CS3525</v>
      </c>
      <c r="E78" s="2" t="str">
        <f>IFERROR(__xludf.DUMMYFUNCTION("""COMPUTED_VALUE"""),"19AI525")</f>
        <v>19AI525</v>
      </c>
      <c r="F78" s="7" t="str">
        <f>IFERROR(__xludf.DUMMYFUNCTION("""COMPUTED_VALUE"""),"Video Processing")</f>
        <v>Video Processing</v>
      </c>
      <c r="G78" s="2" t="str">
        <f>IFERROR(__xludf.DUMMYFUNCTION("""COMPUTED_VALUE"""),"19CS301")</f>
        <v>19CS301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IFERROR(__xludf.DUMMYFUNCTION("""COMPUTED_VALUE"""),"CS3526")</f>
        <v>CS3526</v>
      </c>
      <c r="E79" s="2" t="str">
        <f>IFERROR(__xludf.DUMMYFUNCTION("""COMPUTED_VALUE"""),"19AI526")</f>
        <v>19AI526</v>
      </c>
      <c r="F79" s="7" t="str">
        <f>IFERROR(__xludf.DUMMYFUNCTION("""COMPUTED_VALUE"""),"Information Security and Access Control")</f>
        <v>Information Security and Access Control</v>
      </c>
      <c r="G79" s="2" t="str">
        <f>IFERROR(__xludf.DUMMYFUNCTION("""COMPUTED_VALUE"""),"19AI527")</f>
        <v>19AI527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IFERROR(__xludf.DUMMYFUNCTION("""COMPUTED_VALUE"""),"CS3527")</f>
        <v>CS3527</v>
      </c>
      <c r="E80" s="2" t="str">
        <f>IFERROR(__xludf.DUMMYFUNCTION("""COMPUTED_VALUE"""),"19AI527")</f>
        <v>19AI527</v>
      </c>
      <c r="F80" s="7" t="str">
        <f>IFERROR(__xludf.DUMMYFUNCTION("""COMPUTED_VALUE"""),"Security Assessment and Risk Analysis")</f>
        <v>Security Assessment and Risk Analysis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IFERROR(__xludf.DUMMYFUNCTION("""COMPUTED_VALUE"""),1)</f>
        <v>1</v>
      </c>
      <c r="J80" s="2">
        <f>IFERROR(__xludf.DUMMYFUNCTION("""COMPUTED_VALUE"""),4)</f>
        <v>4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IFERROR(__xludf.DUMMYFUNCTION("""COMPUTED_VALUE"""),"CS3528")</f>
        <v>CS3528</v>
      </c>
      <c r="E81" s="2" t="str">
        <f>IFERROR(__xludf.DUMMYFUNCTION("""COMPUTED_VALUE"""),"19AI528")</f>
        <v>19AI528</v>
      </c>
      <c r="F81" s="7" t="str">
        <f>IFERROR(__xludf.DUMMYFUNCTION("""COMPUTED_VALUE"""),"Advanced Graph Theory and Applications")</f>
        <v>Advanced Graph Theory and Applications</v>
      </c>
      <c r="G81" s="2" t="str">
        <f>IFERROR(__xludf.DUMMYFUNCTION("""COMPUTED_VALUE"""),"19CS402")</f>
        <v>19CS402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IFERROR(__xludf.DUMMYFUNCTION("""COMPUTED_VALUE"""),"CS3529")</f>
        <v>CS3529</v>
      </c>
      <c r="E82" s="2" t="str">
        <f>IFERROR(__xludf.DUMMYFUNCTION("""COMPUTED_VALUE"""),"19AI529")</f>
        <v>19AI529</v>
      </c>
      <c r="F82" s="7" t="str">
        <f>IFERROR(__xludf.DUMMYFUNCTION("""COMPUTED_VALUE"""),"Advanced Data Structures")</f>
        <v>Advanced Data Structures</v>
      </c>
      <c r="G82" s="2" t="str">
        <f>IFERROR(__xludf.DUMMYFUNCTION("""COMPUTED_VALUE"""),"19CS401")</f>
        <v>19CS401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IFERROR(__xludf.DUMMYFUNCTION("""COMPUTED_VALUE"""),"CS3530")</f>
        <v>CS3530</v>
      </c>
      <c r="E83" s="2" t="str">
        <f>IFERROR(__xludf.DUMMYFUNCTION("""COMPUTED_VALUE"""),"19AI530")</f>
        <v>19AI530</v>
      </c>
      <c r="F83" s="7" t="str">
        <f>IFERROR(__xludf.DUMMYFUNCTION("""COMPUTED_VALUE"""),"Control of Robotic Systems")</f>
        <v>Control of Robotic Systems</v>
      </c>
      <c r="G83" s="2" t="str">
        <f>IFERROR(__xludf.DUMMYFUNCTION("""COMPUTED_VALUE"""),"-")</f>
        <v>-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IFERROR(__xludf.DUMMYFUNCTION("""COMPUTED_VALUE"""),"CS3531")</f>
        <v>CS3531</v>
      </c>
      <c r="E84" s="2" t="str">
        <f>IFERROR(__xludf.DUMMYFUNCTION("""COMPUTED_VALUE"""),"19AI531")</f>
        <v>19AI531</v>
      </c>
      <c r="F84" s="7" t="str">
        <f>IFERROR(__xludf.DUMMYFUNCTION("""COMPUTED_VALUE"""),"Cryptography and Security")</f>
        <v>Cryptography and Security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IFERROR(__xludf.DUMMYFUNCTION("""COMPUTED_VALUE"""),"CS3532")</f>
        <v>CS3532</v>
      </c>
      <c r="E85" s="2" t="str">
        <f>IFERROR(__xludf.DUMMYFUNCTION("""COMPUTED_VALUE"""),"19AI532")</f>
        <v>19AI532</v>
      </c>
      <c r="F85" s="7" t="str">
        <f>IFERROR(__xludf.DUMMYFUNCTION("""COMPUTED_VALUE"""),"Information Theory for Cyber Security")</f>
        <v>Information Theory for Cyber Security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IFERROR(__xludf.DUMMYFUNCTION("""COMPUTED_VALUE"""),"CS3533")</f>
        <v>CS3533</v>
      </c>
      <c r="E86" s="2" t="str">
        <f>IFERROR(__xludf.DUMMYFUNCTION("""COMPUTED_VALUE"""),"19AI533")</f>
        <v>19AI533</v>
      </c>
      <c r="F86" s="7" t="str">
        <f>IFERROR(__xludf.DUMMYFUNCTION("""COMPUTED_VALUE"""),"Introduction to Robotics")</f>
        <v>Introduction to Robotics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IFERROR(__xludf.DUMMYFUNCTION("""COMPUTED_VALUE"""),"CS3534")</f>
        <v>CS3534</v>
      </c>
      <c r="E87" s="2" t="str">
        <f>IFERROR(__xludf.DUMMYFUNCTION("""COMPUTED_VALUE"""),"19AI534")</f>
        <v>19AI534</v>
      </c>
      <c r="F87" s="7" t="str">
        <f>IFERROR(__xludf.DUMMYFUNCTION("""COMPUTED_VALUE"""),"Kinematics and Dynamics of Robots")</f>
        <v>Kinematics and Dynamics of Robots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IFERROR(__xludf.DUMMYFUNCTION("""COMPUTED_VALUE"""),"CS3535")</f>
        <v>CS3535</v>
      </c>
      <c r="E88" s="2" t="str">
        <f>IFERROR(__xludf.DUMMYFUNCTION("""COMPUTED_VALUE"""),"19AI535")</f>
        <v>19AI535</v>
      </c>
      <c r="F88" s="7" t="str">
        <f>IFERROR(__xludf.DUMMYFUNCTION("""COMPUTED_VALUE"""),"Robotic Sensors")</f>
        <v>Robotic Sensors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IFERROR(__xludf.DUMMYFUNCTION("""COMPUTED_VALUE"""),"CS3536")</f>
        <v>CS3536</v>
      </c>
      <c r="E89" s="2" t="str">
        <f>IFERROR(__xludf.DUMMYFUNCTION("""COMPUTED_VALUE"""),"19AI536")</f>
        <v>19AI536</v>
      </c>
      <c r="F89" s="7" t="str">
        <f>IFERROR(__xludf.DUMMYFUNCTION("""COMPUTED_VALUE"""),"Steganography and Digital Watermarking")</f>
        <v>Steganography and Digital Watermarking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IFERROR(__xludf.DUMMYFUNCTION("""COMPUTED_VALUE"""),"CS3537")</f>
        <v>CS3537</v>
      </c>
      <c r="E90" s="2" t="str">
        <f>IFERROR(__xludf.DUMMYFUNCTION("""COMPUTED_VALUE"""),"19AI537")</f>
        <v>19AI537</v>
      </c>
      <c r="F90" s="7" t="str">
        <f>IFERROR(__xludf.DUMMYFUNCTION("""COMPUTED_VALUE"""),"Computer Graphics for Virtual Reality")</f>
        <v>Computer Graphics for Virtual Reality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IFERROR(__xludf.DUMMYFUNCTION("""COMPUTED_VALUE"""),"CS3538")</f>
        <v>CS3538</v>
      </c>
      <c r="E91" s="2" t="str">
        <f>IFERROR(__xludf.DUMMYFUNCTION("""COMPUTED_VALUE"""),"19AI538")</f>
        <v>19AI538</v>
      </c>
      <c r="F91" s="7" t="str">
        <f>IFERROR(__xludf.DUMMYFUNCTION("""COMPUTED_VALUE"""),"Mathematical Modelling and Computer Aided Engineering")</f>
        <v>Mathematical Modelling and Computer Aided Engineering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IFERROR(__xludf.DUMMYFUNCTION("""COMPUTED_VALUE"""),"CS3539")</f>
        <v>CS3539</v>
      </c>
      <c r="E92" s="2" t="str">
        <f>IFERROR(__xludf.DUMMYFUNCTION("""COMPUTED_VALUE"""),"19AI539")</f>
        <v>19AI539</v>
      </c>
      <c r="F92" s="7" t="str">
        <f>IFERROR(__xludf.DUMMYFUNCTION("""COMPUTED_VALUE"""),"Mobile User Interface Development")</f>
        <v>Mobile User Interface Development</v>
      </c>
      <c r="G92" s="2" t="str">
        <f>IFERROR(__xludf.DUMMYFUNCTION("""COMPUTED_VALUE"""),"19CS401")</f>
        <v>19CS401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IFERROR(__xludf.DUMMYFUNCTION("""COMPUTED_VALUE"""),"CS3540")</f>
        <v>CS3540</v>
      </c>
      <c r="E93" s="2" t="str">
        <f>IFERROR(__xludf.DUMMYFUNCTION("""COMPUTED_VALUE"""),"19AI540")</f>
        <v>19AI540</v>
      </c>
      <c r="F93" s="7" t="str">
        <f>IFERROR(__xludf.DUMMYFUNCTION("""COMPUTED_VALUE"""),"Programming Mobile Devices")</f>
        <v>Programming Mobile Devices</v>
      </c>
      <c r="G93" s="2" t="str">
        <f>IFERROR(__xludf.DUMMYFUNCTION("""COMPUTED_VALUE"""),"19CS401")</f>
        <v>19CS401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IFERROR(__xludf.DUMMYFUNCTION("""COMPUTED_VALUE"""),"CS3542")</f>
        <v>CS3542</v>
      </c>
      <c r="E94" s="2" t="str">
        <f>IFERROR(__xludf.DUMMYFUNCTION("""COMPUTED_VALUE"""),"19AI542")</f>
        <v>19AI542</v>
      </c>
      <c r="F94" s="7" t="str">
        <f>IFERROR(__xludf.DUMMYFUNCTION("""COMPUTED_VALUE"""),"Agile Software Development")</f>
        <v>Agile Software Development</v>
      </c>
      <c r="G94" s="2" t="str">
        <f>IFERROR(__xludf.DUMMYFUNCTION("""COMPUTED_VALUE"""),"19CS301")</f>
        <v>19CS301</v>
      </c>
      <c r="H94" s="2">
        <f>IFERROR(__xludf.DUMMYFUNCTION("""COMPUTED_VALUE"""),3)</f>
        <v>3</v>
      </c>
      <c r="I94" s="2">
        <f>IFERROR(__xludf.DUMMYFUNCTION("""COMPUTED_VALUE"""),1)</f>
        <v>1</v>
      </c>
      <c r="J94" s="2">
        <f>IFERROR(__xludf.DUMMYFUNCTION("""COMPUTED_VALUE"""),4)</f>
        <v>4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IFERROR(__xludf.DUMMYFUNCTION("""COMPUTED_VALUE"""),"CS3543")</f>
        <v>CS3543</v>
      </c>
      <c r="E95" s="2" t="str">
        <f>IFERROR(__xludf.DUMMYFUNCTION("""COMPUTED_VALUE"""),"19AI543")</f>
        <v>19AI543</v>
      </c>
      <c r="F95" s="7" t="str">
        <f>IFERROR(__xludf.DUMMYFUNCTION("""COMPUTED_VALUE"""),"Software Testing")</f>
        <v>Software Testing</v>
      </c>
      <c r="G95" s="2" t="str">
        <f>IFERROR(__xludf.DUMMYFUNCTION("""COMPUTED_VALUE"""),"19CS301")</f>
        <v>19CS301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IFERROR(__xludf.DUMMYFUNCTION("""COMPUTED_VALUE"""),"CS3544")</f>
        <v>CS3544</v>
      </c>
      <c r="E96" s="2" t="str">
        <f>IFERROR(__xludf.DUMMYFUNCTION("""COMPUTED_VALUE"""),"19AI544")</f>
        <v>19AI544</v>
      </c>
      <c r="F96" s="7" t="str">
        <f>IFERROR(__xludf.DUMMYFUNCTION("""COMPUTED_VALUE"""),"Virtualization and Containerization")</f>
        <v>Virtualization and Containerization</v>
      </c>
      <c r="G96" s="2" t="str">
        <f>IFERROR(__xludf.DUMMYFUNCTION("""COMPUTED_VALUE"""),"19CS405/19CS406")</f>
        <v>19CS405/19CS406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IFERROR(__xludf.DUMMYFUNCTION("""COMPUTED_VALUE"""),"CS3547")</f>
        <v>CS3547</v>
      </c>
      <c r="E97" s="2" t="str">
        <f>IFERROR(__xludf.DUMMYFUNCTION("""COMPUTED_VALUE"""),"19AI547")</f>
        <v>19AI547</v>
      </c>
      <c r="F97" s="7" t="str">
        <f>IFERROR(__xludf.DUMMYFUNCTION("""COMPUTED_VALUE"""),"Blockchain for Business")</f>
        <v>Blockchain for Business</v>
      </c>
      <c r="G97" s="2" t="str">
        <f>IFERROR(__xludf.DUMMYFUNCTION("""COMPUTED_VALUE"""),"19CS301")</f>
        <v>19CS301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IFERROR(__xludf.DUMMYFUNCTION("""COMPUTED_VALUE"""),"PE")</f>
        <v>PE</v>
      </c>
      <c r="D98" s="2" t="str">
        <f>IFERROR(__xludf.DUMMYFUNCTION("""COMPUTED_VALUE"""),"CS3548")</f>
        <v>CS3548</v>
      </c>
      <c r="E98" s="2" t="str">
        <f>IFERROR(__xludf.DUMMYFUNCTION("""COMPUTED_VALUE"""),"19AI548")</f>
        <v>19AI548</v>
      </c>
      <c r="F98" s="7" t="str">
        <f>IFERROR(__xludf.DUMMYFUNCTION("""COMPUTED_VALUE"""),"Robot Programming")</f>
        <v>Robot Programming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IFERROR(__xludf.DUMMYFUNCTION("""COMPUTED_VALUE"""),"CS3549")</f>
        <v>CS3549</v>
      </c>
      <c r="E99" s="2" t="str">
        <f>IFERROR(__xludf.DUMMYFUNCTION("""COMPUTED_VALUE"""),"19AI549")</f>
        <v>19AI549</v>
      </c>
      <c r="F99" s="7" t="str">
        <f>IFERROR(__xludf.DUMMYFUNCTION("""COMPUTED_VALUE"""),"Drone Assembly and Applications")</f>
        <v>Drone Assembly and Applications</v>
      </c>
      <c r="G99" s="2" t="str">
        <f>IFERROR(__xludf.DUMMYFUNCTION("""COMPUTED_VALUE"""),"-")</f>
        <v>-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IFERROR(__xludf.DUMMYFUNCTION("""COMPUTED_VALUE"""),"PE")</f>
        <v>PE</v>
      </c>
      <c r="D100" s="2" t="str">
        <f>IFERROR(__xludf.DUMMYFUNCTION("""COMPUTED_VALUE"""),"CS3550")</f>
        <v>CS3550</v>
      </c>
      <c r="E100" s="2" t="str">
        <f>IFERROR(__xludf.DUMMYFUNCTION("""COMPUTED_VALUE"""),"19AI550")</f>
        <v>19AI550</v>
      </c>
      <c r="F100" s="7" t="str">
        <f>IFERROR(__xludf.DUMMYFUNCTION("""COMPUTED_VALUE"""),"Artificial Intelligence for Games")</f>
        <v>Artificial Intelligence for Games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IFERROR(__xludf.DUMMYFUNCTION("""COMPUTED_VALUE"""),"PE")</f>
        <v>PE</v>
      </c>
      <c r="D101" s="2" t="str">
        <f>IFERROR(__xludf.DUMMYFUNCTION("""COMPUTED_VALUE"""),"CS3551")</f>
        <v>CS3551</v>
      </c>
      <c r="E101" s="2" t="str">
        <f>IFERROR(__xludf.DUMMYFUNCTION("""COMPUTED_VALUE"""),"19AI551")</f>
        <v>19AI551</v>
      </c>
      <c r="F101" s="7" t="str">
        <f>IFERROR(__xludf.DUMMYFUNCTION("""COMPUTED_VALUE"""),"Drone Design and Control")</f>
        <v>Drone Design and Control</v>
      </c>
      <c r="G101" s="2" t="str">
        <f>IFERROR(__xludf.DUMMYFUNCTION("""COMPUTED_VALUE"""),"-")</f>
        <v>-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IFERROR(__xludf.DUMMYFUNCTION("""COMPUTED_VALUE"""),"CS3552")</f>
        <v>CS3552</v>
      </c>
      <c r="E102" s="2" t="str">
        <f>IFERROR(__xludf.DUMMYFUNCTION("""COMPUTED_VALUE"""),"19AI552")</f>
        <v>19AI552</v>
      </c>
      <c r="F102" s="7" t="str">
        <f>IFERROR(__xludf.DUMMYFUNCTION("""COMPUTED_VALUE"""),"Web Application User Interface Development")</f>
        <v>Web Application User Interface Development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IFERROR(__xludf.DUMMYFUNCTION("""COMPUTED_VALUE"""),"CS3554")</f>
        <v>CS3554</v>
      </c>
      <c r="E103" s="2" t="str">
        <f>IFERROR(__xludf.DUMMYFUNCTION("""COMPUTED_VALUE"""),"19AI554")</f>
        <v>19AI554</v>
      </c>
      <c r="F103" s="7" t="str">
        <f>IFERROR(__xludf.DUMMYFUNCTION("""COMPUTED_VALUE"""),"Fundamentals of Large Language Models")</f>
        <v>Fundamentals of Large Language Models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IFERROR(__xludf.DUMMYFUNCTION("""COMPUTED_VALUE"""),"CS3555")</f>
        <v>CS3555</v>
      </c>
      <c r="E104" s="2" t="str">
        <f>IFERROR(__xludf.DUMMYFUNCTION("""COMPUTED_VALUE"""),"19AI555")</f>
        <v>19AI555</v>
      </c>
      <c r="F104" s="7" t="str">
        <f>IFERROR(__xludf.DUMMYFUNCTION("""COMPUTED_VALUE"""),"Exploratory Data Analysis")</f>
        <v>Exploratory Data Analysis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IFERROR(__xludf.DUMMYFUNCTION("""COMPUTED_VALUE"""),"CS3556")</f>
        <v>CS3556</v>
      </c>
      <c r="E105" s="2" t="str">
        <f>IFERROR(__xludf.DUMMYFUNCTION("""COMPUTED_VALUE"""),"19AI556")</f>
        <v>19AI556</v>
      </c>
      <c r="F105" s="7" t="str">
        <f>IFERROR(__xludf.DUMMYFUNCTION("""COMPUTED_VALUE"""),"Recommender Systems")</f>
        <v>Recommender Systems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IFERROR(__xludf.DUMMYFUNCTION("""COMPUTED_VALUE"""),"CS3557")</f>
        <v>CS3557</v>
      </c>
      <c r="E106" s="2" t="str">
        <f>IFERROR(__xludf.DUMMYFUNCTION("""COMPUTED_VALUE"""),"19AI557")</f>
        <v>19AI557</v>
      </c>
      <c r="F106" s="7" t="str">
        <f>IFERROR(__xludf.DUMMYFUNCTION("""COMPUTED_VALUE"""),"Neural Networks and Deep Learning")</f>
        <v>Neural Networks and Deep Learning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IFERROR(__xludf.DUMMYFUNCTION("""COMPUTED_VALUE"""),"CS3558")</f>
        <v>CS3558</v>
      </c>
      <c r="E107" s="2" t="str">
        <f>IFERROR(__xludf.DUMMYFUNCTION("""COMPUTED_VALUE"""),"19AI558")</f>
        <v>19AI558</v>
      </c>
      <c r="F107" s="7" t="str">
        <f>IFERROR(__xludf.DUMMYFUNCTION("""COMPUTED_VALUE"""),"Text and Speech Analysis")</f>
        <v>Text and Speech Analysis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IFERROR(__xludf.DUMMYFUNCTION("""COMPUTED_VALUE"""),"CS3559")</f>
        <v>CS3559</v>
      </c>
      <c r="E108" s="2" t="str">
        <f>IFERROR(__xludf.DUMMYFUNCTION("""COMPUTED_VALUE"""),"19AI559")</f>
        <v>19AI559</v>
      </c>
      <c r="F108" s="7" t="str">
        <f>IFERROR(__xludf.DUMMYFUNCTION("""COMPUTED_VALUE"""),"Image and Video Analytics")</f>
        <v>Image and Video Analytics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IFERROR(__xludf.DUMMYFUNCTION("""COMPUTED_VALUE"""),"CS3560")</f>
        <v>CS3560</v>
      </c>
      <c r="E109" s="2" t="str">
        <f>IFERROR(__xludf.DUMMYFUNCTION("""COMPUTED_VALUE"""),"19AI560")</f>
        <v>19AI560</v>
      </c>
      <c r="F109" s="3" t="str">
        <f>IFERROR(__xludf.DUMMYFUNCTION("""COMPUTED_VALUE"""),"Augmented Reality and ARCore")</f>
        <v>Augmented Reality and ARCore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IFERROR(__xludf.DUMMYFUNCTION("""COMPUTED_VALUE"""),"CS3561")</f>
        <v>CS3561</v>
      </c>
      <c r="E110" s="2" t="str">
        <f>IFERROR(__xludf.DUMMYFUNCTION("""COMPUTED_VALUE"""),"19AI561")</f>
        <v>19AI561</v>
      </c>
      <c r="F110" s="3" t="str">
        <f>IFERROR(__xludf.DUMMYFUNCTION("""COMPUTED_VALUE"""),"Extended Reality")</f>
        <v>Extended Reality</v>
      </c>
      <c r="G110" s="2" t="str">
        <f>IFERROR(__xludf.DUMMYFUNCTION("""COMPUTED_VALUE"""),"CS3307")</f>
        <v>CS3307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IFERROR(__xludf.DUMMYFUNCTION("""COMPUTED_VALUE"""),"CS4401")</f>
        <v>CS4401</v>
      </c>
      <c r="E111" s="2" t="str">
        <f>IFERROR(__xludf.DUMMYFUNCTION("""COMPUTED_VALUE"""),"19AM401")</f>
        <v>19AM401</v>
      </c>
      <c r="F111" s="3" t="str">
        <f>IFERROR(__xludf.DUMMYFUNCTION("""COMPUTED_VALUE"""),"Time Series Analysis and Forecasting")</f>
        <v>Time Series Analysis and Forecasting</v>
      </c>
      <c r="G111" s="2" t="str">
        <f>IFERROR(__xludf.DUMMYFUNCTION("""COMPUTED_VALUE"""),"-")</f>
        <v>-</v>
      </c>
      <c r="H111" s="2">
        <f>IFERROR(__xludf.DUMMYFUNCTION("""COMPUTED_VALUE"""),3)</f>
        <v>3</v>
      </c>
      <c r="I111" s="2">
        <f>IFERROR(__xludf.DUMMYFUNCTION("""COMPUTED_VALUE"""),1)</f>
        <v>1</v>
      </c>
      <c r="J111" s="2">
        <f>IFERROR(__xludf.DUMMYFUNCTION("""COMPUTED_VALUE"""),4)</f>
        <v>4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IFERROR(__xludf.DUMMYFUNCTION("""COMPUTED_VALUE"""),"CS4406")</f>
        <v>CS4406</v>
      </c>
      <c r="E112" s="2" t="str">
        <f>IFERROR(__xludf.DUMMYFUNCTION("""COMPUTED_VALUE"""),"19AM406")</f>
        <v>19AM406</v>
      </c>
      <c r="F112" s="3" t="str">
        <f>IFERROR(__xludf.DUMMYFUNCTION("""COMPUTED_VALUE"""),"Blockchain and Cryptocurrency")</f>
        <v>Blockchain and Cryptocurrency</v>
      </c>
      <c r="G112" s="2" t="str">
        <f>IFERROR(__xludf.DUMMYFUNCTION("""COMPUTED_VALUE"""),"-")</f>
        <v>-</v>
      </c>
      <c r="H112" s="2">
        <f>IFERROR(__xludf.DUMMYFUNCTION("""COMPUTED_VALUE"""),3)</f>
        <v>3</v>
      </c>
      <c r="I112" s="2">
        <f>IFERROR(__xludf.DUMMYFUNCTION("""COMPUTED_VALUE"""),0)</f>
        <v>0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IFERROR(__xludf.DUMMYFUNCTION("""COMPUTED_VALUE"""),"Theory")</f>
        <v>Theory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IFERROR(__xludf.DUMMYFUNCTION("""COMPUTED_VALUE"""),"CS4407")</f>
        <v>CS4407</v>
      </c>
      <c r="E113" s="2" t="str">
        <f>IFERROR(__xludf.DUMMYFUNCTION("""COMPUTED_VALUE"""),"19AM407")</f>
        <v>19AM407</v>
      </c>
      <c r="F113" s="3" t="str">
        <f>IFERROR(__xludf.DUMMYFUNCTION("""COMPUTED_VALUE"""),"Cyber Forensics")</f>
        <v>Cyber Forensics</v>
      </c>
      <c r="G113" s="2" t="str">
        <f>IFERROR(__xludf.DUMMYFUNCTION("""COMPUTED_VALUE"""),"-")</f>
        <v>-</v>
      </c>
      <c r="H113" s="2">
        <f>IFERROR(__xludf.DUMMYFUNCTION("""COMPUTED_VALUE"""),3)</f>
        <v>3</v>
      </c>
      <c r="I113" s="2">
        <f>IFERROR(__xludf.DUMMYFUNCTION("""COMPUTED_VALUE"""),0)</f>
        <v>0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IFERROR(__xludf.DUMMYFUNCTION("""COMPUTED_VALUE"""),"Theory")</f>
        <v>Theory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IFERROR(__xludf.DUMMYFUNCTION("""COMPUTED_VALUE"""),"CS4501")</f>
        <v>CS4501</v>
      </c>
      <c r="E114" s="2" t="str">
        <f>IFERROR(__xludf.DUMMYFUNCTION("""COMPUTED_VALUE"""),"19AM501")</f>
        <v>19AM501</v>
      </c>
      <c r="F114" s="3" t="str">
        <f>IFERROR(__xludf.DUMMYFUNCTION("""COMPUTED_VALUE"""),"Machine Learning for Bioinformatics")</f>
        <v>Machine Learning for Bioinformatics</v>
      </c>
      <c r="G114" s="2" t="str">
        <f>IFERROR(__xludf.DUMMYFUNCTION("""COMPUTED_VALUE"""),"-")</f>
        <v>-</v>
      </c>
      <c r="H114" s="2">
        <f>IFERROR(__xludf.DUMMYFUNCTION("""COMPUTED_VALUE"""),3)</f>
        <v>3</v>
      </c>
      <c r="I114" s="2">
        <f>IFERROR(__xludf.DUMMYFUNCTION("""COMPUTED_VALUE"""),0)</f>
        <v>0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IFERROR(__xludf.DUMMYFUNCTION("""COMPUTED_VALUE"""),"Theory")</f>
        <v>Theory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IFERROR(__xludf.DUMMYFUNCTION("""COMPUTED_VALUE"""),"CS4502")</f>
        <v>CS4502</v>
      </c>
      <c r="E115" s="2" t="str">
        <f>IFERROR(__xludf.DUMMYFUNCTION("""COMPUTED_VALUE"""),"19AM502")</f>
        <v>19AM502</v>
      </c>
      <c r="F115" s="7" t="str">
        <f>IFERROR(__xludf.DUMMYFUNCTION("""COMPUTED_VALUE"""),"Genetic Algorithms")</f>
        <v>Genetic Algorithms</v>
      </c>
      <c r="G115" s="2" t="str">
        <f>IFERROR(__xludf.DUMMYFUNCTION("""COMPUTED_VALUE"""),"-")</f>
        <v>-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IFERROR(__xludf.DUMMYFUNCTION("""COMPUTED_VALUE"""),"PE")</f>
        <v>PE</v>
      </c>
      <c r="D116" s="2" t="str">
        <f>IFERROR(__xludf.DUMMYFUNCTION("""COMPUTED_VALUE"""),"CS4503")</f>
        <v>CS4503</v>
      </c>
      <c r="E116" s="2" t="str">
        <f>IFERROR(__xludf.DUMMYFUNCTION("""COMPUTED_VALUE"""),"19AM503")</f>
        <v>19AM503</v>
      </c>
      <c r="F116" s="3" t="str">
        <f>IFERROR(__xludf.DUMMYFUNCTION("""COMPUTED_VALUE"""),"Data Modeling")</f>
        <v>Data Modeling</v>
      </c>
      <c r="G116" s="2" t="str">
        <f>IFERROR(__xludf.DUMMYFUNCTION("""COMPUTED_VALUE"""),"-")</f>
        <v>-</v>
      </c>
      <c r="H116" s="2">
        <f>IFERROR(__xludf.DUMMYFUNCTION("""COMPUTED_VALUE"""),3)</f>
        <v>3</v>
      </c>
      <c r="I116" s="2">
        <f>IFERROR(__xludf.DUMMYFUNCTION("""COMPUTED_VALUE"""),0)</f>
        <v>0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IFERROR(__xludf.DUMMYFUNCTION("""COMPUTED_VALUE"""),"CS4504")</f>
        <v>CS4504</v>
      </c>
      <c r="E117" s="2" t="str">
        <f>IFERROR(__xludf.DUMMYFUNCTION("""COMPUTED_VALUE"""),"19AM504")</f>
        <v>19AM504</v>
      </c>
      <c r="F117" s="7" t="str">
        <f>IFERROR(__xludf.DUMMYFUNCTION("""COMPUTED_VALUE"""),"Brain Computer Interaction")</f>
        <v>Brain Computer Interaction</v>
      </c>
      <c r="G117" s="2" t="str">
        <f>IFERROR(__xludf.DUMMYFUNCTION("""COMPUTED_VALUE"""),"-")</f>
        <v>-</v>
      </c>
      <c r="H117" s="2">
        <f>IFERROR(__xludf.DUMMYFUNCTION("""COMPUTED_VALUE"""),3)</f>
        <v>3</v>
      </c>
      <c r="I117" s="2">
        <f>IFERROR(__xludf.DUMMYFUNCTION("""COMPUTED_VALUE"""),0)</f>
        <v>0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IFERROR(__xludf.DUMMYFUNCTION("""COMPUTED_VALUE"""),"Theory")</f>
        <v>Theory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IFERROR(__xludf.DUMMYFUNCTION("""COMPUTED_VALUE"""),"PE")</f>
        <v>PE</v>
      </c>
      <c r="D118" s="2" t="str">
        <f>IFERROR(__xludf.DUMMYFUNCTION("""COMPUTED_VALUE"""),"CS4505")</f>
        <v>CS4505</v>
      </c>
      <c r="E118" s="2" t="str">
        <f>IFERROR(__xludf.DUMMYFUNCTION("""COMPUTED_VALUE"""),"19AM505")</f>
        <v>19AM505</v>
      </c>
      <c r="F118" s="7" t="str">
        <f>IFERROR(__xludf.DUMMYFUNCTION("""COMPUTED_VALUE"""),"Statistical Learning Theory")</f>
        <v>Statistical Learning Theory</v>
      </c>
      <c r="G118" s="2" t="str">
        <f>IFERROR(__xludf.DUMMYFUNCTION("""COMPUTED_VALUE"""),"-")</f>
        <v>-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IFERROR(__xludf.DUMMYFUNCTION("""COMPUTED_VALUE"""),"PE")</f>
        <v>PE</v>
      </c>
      <c r="D119" s="2" t="str">
        <f>IFERROR(__xludf.DUMMYFUNCTION("""COMPUTED_VALUE"""),"CS4506")</f>
        <v>CS4506</v>
      </c>
      <c r="E119" s="2" t="str">
        <f>IFERROR(__xludf.DUMMYFUNCTION("""COMPUTED_VALUE"""),"19AM506")</f>
        <v>19AM506</v>
      </c>
      <c r="F119" s="7" t="str">
        <f>IFERROR(__xludf.DUMMYFUNCTION("""COMPUTED_VALUE"""),"Sensors and Actuators for IoT")</f>
        <v>Sensors and Actuators for IoT</v>
      </c>
      <c r="G119" s="2" t="str">
        <f>IFERROR(__xludf.DUMMYFUNCTION("""COMPUTED_VALUE"""),"-")</f>
        <v>-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IFERROR(__xludf.DUMMYFUNCTION("""COMPUTED_VALUE"""),"CS4507")</f>
        <v>CS4507</v>
      </c>
      <c r="E120" s="2" t="str">
        <f>IFERROR(__xludf.DUMMYFUNCTION("""COMPUTED_VALUE"""),"19AM507")</f>
        <v>19AM507</v>
      </c>
      <c r="F120" s="7" t="str">
        <f>IFERROR(__xludf.DUMMYFUNCTION("""COMPUTED_VALUE"""),"Security and Trust in IoT")</f>
        <v>Security and Trust in IoT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IFERROR(__xludf.DUMMYFUNCTION("""COMPUTED_VALUE"""),"CS4509")</f>
        <v>CS4509</v>
      </c>
      <c r="E121" s="2" t="str">
        <f>IFERROR(__xludf.DUMMYFUNCTION("""COMPUTED_VALUE"""),"19AM509")</f>
        <v>19AM509</v>
      </c>
      <c r="F121" s="7" t="str">
        <f>IFERROR(__xludf.DUMMYFUNCTION("""COMPUTED_VALUE"""),"Industrial Internet of Things")</f>
        <v>Industrial Internet of Things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IFERROR(__xludf.DUMMYFUNCTION("""COMPUTED_VALUE"""),"CS4510")</f>
        <v>CS4510</v>
      </c>
      <c r="E122" s="2" t="str">
        <f>IFERROR(__xludf.DUMMYFUNCTION("""COMPUTED_VALUE"""),"19AM510")</f>
        <v>19AM510</v>
      </c>
      <c r="F122" s="7" t="str">
        <f>IFERROR(__xludf.DUMMYFUNCTION("""COMPUTED_VALUE"""),"Software for Embedded Systems")</f>
        <v>Software for Embedded Systems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IFERROR(__xludf.DUMMYFUNCTION("""COMPUTED_VALUE"""),"CS4511")</f>
        <v>CS4511</v>
      </c>
      <c r="E123" s="26" t="str">
        <f>IFERROR(__xludf.DUMMYFUNCTION("""COMPUTED_VALUE"""),"19AM511")</f>
        <v>19AM511</v>
      </c>
      <c r="F123" s="27" t="str">
        <f>IFERROR(__xludf.DUMMYFUNCTION("""COMPUTED_VALUE"""),"IoT Architecture and Protocols")</f>
        <v>IoT Architecture and Protocols</v>
      </c>
      <c r="G123" s="26" t="str">
        <f>IFERROR(__xludf.DUMMYFUNCTION("""COMPUTED_VALUE"""),"-")</f>
        <v>-</v>
      </c>
      <c r="H123" s="26">
        <f>IFERROR(__xludf.DUMMYFUNCTION("""COMPUTED_VALUE"""),3)</f>
        <v>3</v>
      </c>
      <c r="I123" s="26">
        <f>IFERROR(__xludf.DUMMYFUNCTION("""COMPUTED_VALUE"""),0)</f>
        <v>0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IFERROR(__xludf.DUMMYFUNCTION("""COMPUTED_VALUE"""),"Theory")</f>
        <v>Theory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IFERROR(__xludf.DUMMYFUNCTION("""COMPUTED_VALUE"""),"CS4512")</f>
        <v>CS4512</v>
      </c>
      <c r="E124" s="26" t="str">
        <f>IFERROR(__xludf.DUMMYFUNCTION("""COMPUTED_VALUE"""),"19AM512")</f>
        <v>19AM512</v>
      </c>
      <c r="F124" s="27" t="str">
        <f>IFERROR(__xludf.DUMMYFUNCTION("""COMPUTED_VALUE"""),"Arduino for IoT")</f>
        <v>Arduino for IoT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IFERROR(__xludf.DUMMYFUNCTION("""COMPUTED_VALUE"""),"CS4513")</f>
        <v>CS4513</v>
      </c>
      <c r="E125" s="26" t="str">
        <f>IFERROR(__xludf.DUMMYFUNCTION("""COMPUTED_VALUE"""),"19AM513")</f>
        <v>19AM513</v>
      </c>
      <c r="F125" s="27" t="str">
        <f>IFERROR(__xludf.DUMMYFUNCTION("""COMPUTED_VALUE"""),"Raspberry Pi for IoT")</f>
        <v>Raspberry Pi for IoT</v>
      </c>
      <c r="G125" s="26" t="str">
        <f>IFERROR(__xludf.DUMMYFUNCTION("""COMPUTED_VALUE"""),"-")</f>
        <v>-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IFERROR(__xludf.DUMMYFUNCTION("""COMPUTED_VALUE"""),"CS4514")</f>
        <v>CS4514</v>
      </c>
      <c r="E126" s="26" t="str">
        <f>IFERROR(__xludf.DUMMYFUNCTION("""COMPUTED_VALUE"""),"19AM514")</f>
        <v>19AM514</v>
      </c>
      <c r="F126" s="27" t="str">
        <f>IFERROR(__xludf.DUMMYFUNCTION("""COMPUTED_VALUE"""),"Motion Planning Techniques")</f>
        <v>Motion Planning Techniques</v>
      </c>
      <c r="G126" s="26" t="str">
        <f>IFERROR(__xludf.DUMMYFUNCTION("""COMPUTED_VALUE"""),"-")</f>
        <v>-</v>
      </c>
      <c r="H126" s="26">
        <f>IFERROR(__xludf.DUMMYFUNCTION("""COMPUTED_VALUE"""),2)</f>
        <v>2</v>
      </c>
      <c r="I126" s="26">
        <f>IFERROR(__xludf.DUMMYFUNCTION("""COMPUTED_VALUE"""),1)</f>
        <v>1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IFERROR(__xludf.DUMMYFUNCTION("""COMPUTED_VALUE"""),"CS4515")</f>
        <v>CS4515</v>
      </c>
      <c r="E127" s="26" t="str">
        <f>IFERROR(__xludf.DUMMYFUNCTION("""COMPUTED_VALUE"""),"19AM515")</f>
        <v>19AM515</v>
      </c>
      <c r="F127" s="27" t="str">
        <f>IFERROR(__xludf.DUMMYFUNCTION("""COMPUTED_VALUE"""),"Advanced Java Programming")</f>
        <v>Advanced Java Programming</v>
      </c>
      <c r="G127" s="26" t="str">
        <f>IFERROR(__xludf.DUMMYFUNCTION("""COMPUTED_VALUE"""),"-")</f>
        <v>-</v>
      </c>
      <c r="H127" s="26">
        <f>IFERROR(__xludf.DUMMYFUNCTION("""COMPUTED_VALUE"""),2)</f>
        <v>2</v>
      </c>
      <c r="I127" s="26">
        <f>IFERROR(__xludf.DUMMYFUNCTION("""COMPUTED_VALUE"""),1)</f>
        <v>1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IFERROR(__xludf.DUMMYFUNCTION("""COMPUTED_VALUE"""),"CS4516")</f>
        <v>CS4516</v>
      </c>
      <c r="E128" s="26" t="str">
        <f>IFERROR(__xludf.DUMMYFUNCTION("""COMPUTED_VALUE"""),"19AM516")</f>
        <v>19AM516</v>
      </c>
      <c r="F128" s="27" t="str">
        <f>IFERROR(__xludf.DUMMYFUNCTION("""COMPUTED_VALUE"""),"Python Programming for IoT")</f>
        <v>Python Programming for IoT</v>
      </c>
      <c r="G128" s="26" t="str">
        <f>IFERROR(__xludf.DUMMYFUNCTION("""COMPUTED_VALUE"""),"-")</f>
        <v>-</v>
      </c>
      <c r="H128" s="26">
        <f>IFERROR(__xludf.DUMMYFUNCTION("""COMPUTED_VALUE"""),3)</f>
        <v>3</v>
      </c>
      <c r="I128" s="26">
        <f>IFERROR(__xludf.DUMMYFUNCTION("""COMPUTED_VALUE"""),0)</f>
        <v>0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IFERROR(__xludf.DUMMYFUNCTION("""COMPUTED_VALUE"""),"Theory")</f>
        <v>Theory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IFERROR(__xludf.DUMMYFUNCTION("""COMPUTED_VALUE"""),"CS4517")</f>
        <v>CS4517</v>
      </c>
      <c r="E129" s="26" t="str">
        <f>IFERROR(__xludf.DUMMYFUNCTION("""COMPUTED_VALUE"""),"19AM517")</f>
        <v>19AM517</v>
      </c>
      <c r="F129" s="27" t="str">
        <f>IFERROR(__xludf.DUMMYFUNCTION("""COMPUTED_VALUE"""),"Applications of IoT in Robotics")</f>
        <v>Applications of IoT in Robotics</v>
      </c>
      <c r="G129" s="26" t="str">
        <f>IFERROR(__xludf.DUMMYFUNCTION("""COMPUTED_VALUE"""),"-")</f>
        <v>-</v>
      </c>
      <c r="H129" s="26">
        <f>IFERROR(__xludf.DUMMYFUNCTION("""COMPUTED_VALUE"""),3)</f>
        <v>3</v>
      </c>
      <c r="I129" s="26">
        <f>IFERROR(__xludf.DUMMYFUNCTION("""COMPUTED_VALUE"""),0)</f>
        <v>0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IFERROR(__xludf.DUMMYFUNCTION("""COMPUTED_VALUE"""),"Theory")</f>
        <v>Theory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IFERROR(__xludf.DUMMYFUNCTION("""COMPUTED_VALUE"""),"CS4518")</f>
        <v>CS4518</v>
      </c>
      <c r="E130" s="26" t="str">
        <f>IFERROR(__xludf.DUMMYFUNCTION("""COMPUTED_VALUE"""),"19AM518")</f>
        <v>19AM518</v>
      </c>
      <c r="F130" s="27" t="str">
        <f>IFERROR(__xludf.DUMMYFUNCTION("""COMPUTED_VALUE"""),"Programming for IoT Boards")</f>
        <v>Programming for IoT Boards</v>
      </c>
      <c r="G130" s="26" t="str">
        <f>IFERROR(__xludf.DUMMYFUNCTION("""COMPUTED_VALUE"""),"-")</f>
        <v>-</v>
      </c>
      <c r="H130" s="26">
        <f>IFERROR(__xludf.DUMMYFUNCTION("""COMPUTED_VALUE"""),3)</f>
        <v>3</v>
      </c>
      <c r="I130" s="26">
        <f>IFERROR(__xludf.DUMMYFUNCTION("""COMPUTED_VALUE"""),0)</f>
        <v>0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IFERROR(__xludf.DUMMYFUNCTION("""COMPUTED_VALUE"""),"Theory")</f>
        <v>Theory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IFERROR(__xludf.DUMMYFUNCTION("""COMPUTED_VALUE"""),"CS4519")</f>
        <v>CS4519</v>
      </c>
      <c r="E131" s="26" t="str">
        <f>IFERROR(__xludf.DUMMYFUNCTION("""COMPUTED_VALUE"""),"19AM519")</f>
        <v>19AM519</v>
      </c>
      <c r="F131" s="27" t="str">
        <f>IFERROR(__xludf.DUMMYFUNCTION("""COMPUTED_VALUE"""),"Design of Smart Cities")</f>
        <v>Design of Smart Cities</v>
      </c>
      <c r="G131" s="26" t="str">
        <f>IFERROR(__xludf.DUMMYFUNCTION("""COMPUTED_VALUE"""),"-")</f>
        <v>-</v>
      </c>
      <c r="H131" s="26">
        <f>IFERROR(__xludf.DUMMYFUNCTION("""COMPUTED_VALUE"""),3)</f>
        <v>3</v>
      </c>
      <c r="I131" s="26">
        <f>IFERROR(__xludf.DUMMYFUNCTION("""COMPUTED_VALUE"""),0)</f>
        <v>0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IFERROR(__xludf.DUMMYFUNCTION("""COMPUTED_VALUE"""),"Theory")</f>
        <v>Theory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IFERROR(__xludf.DUMMYFUNCTION("""COMPUTED_VALUE"""),"CS4520")</f>
        <v>CS4520</v>
      </c>
      <c r="E132" s="26" t="str">
        <f>IFERROR(__xludf.DUMMYFUNCTION("""COMPUTED_VALUE"""),"19AM520")</f>
        <v>19AM520</v>
      </c>
      <c r="F132" s="27" t="str">
        <f>IFERROR(__xludf.DUMMYFUNCTION("""COMPUTED_VALUE"""),"IoT and Multimedia Technology")</f>
        <v>IoT and Multimedia Technology</v>
      </c>
      <c r="G132" s="26" t="str">
        <f>IFERROR(__xludf.DUMMYFUNCTION("""COMPUTED_VALUE"""),"-")</f>
        <v>-</v>
      </c>
      <c r="H132" s="26">
        <f>IFERROR(__xludf.DUMMYFUNCTION("""COMPUTED_VALUE"""),3)</f>
        <v>3</v>
      </c>
      <c r="I132" s="26">
        <f>IFERROR(__xludf.DUMMYFUNCTION("""COMPUTED_VALUE"""),0)</f>
        <v>0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IFERROR(__xludf.DUMMYFUNCTION("""COMPUTED_VALUE"""),"CS4521")</f>
        <v>CS4521</v>
      </c>
      <c r="E133" s="26" t="str">
        <f>IFERROR(__xludf.DUMMYFUNCTION("""COMPUTED_VALUE"""),"19AM521")</f>
        <v>19AM521</v>
      </c>
      <c r="F133" s="27" t="str">
        <f>IFERROR(__xludf.DUMMYFUNCTION("""COMPUTED_VALUE"""),"Mobile Application Development for IoT")</f>
        <v>Mobile Application Development for IoT</v>
      </c>
      <c r="G133" s="26" t="str">
        <f>IFERROR(__xludf.DUMMYFUNCTION("""COMPUTED_VALUE"""),"-")</f>
        <v>-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IFERROR(__xludf.DUMMYFUNCTION("""COMPUTED_VALUE"""),"CS4522")</f>
        <v>CS4522</v>
      </c>
      <c r="E134" s="26" t="str">
        <f>IFERROR(__xludf.DUMMYFUNCTION("""COMPUTED_VALUE"""),"19AM522")</f>
        <v>19AM522</v>
      </c>
      <c r="F134" s="27" t="str">
        <f>IFERROR(__xludf.DUMMYFUNCTION("""COMPUTED_VALUE"""),"Open Source Programming for IoT")</f>
        <v>Open Source Programming for IoT</v>
      </c>
      <c r="G134" s="26" t="str">
        <f>IFERROR(__xludf.DUMMYFUNCTION("""COMPUTED_VALUE"""),"-")</f>
        <v>-</v>
      </c>
      <c r="H134" s="26">
        <f>IFERROR(__xludf.DUMMYFUNCTION("""COMPUTED_VALUE"""),3)</f>
        <v>3</v>
      </c>
      <c r="I134" s="26">
        <f>IFERROR(__xludf.DUMMYFUNCTION("""COMPUTED_VALUE"""),0)</f>
        <v>0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IFERROR(__xludf.DUMMYFUNCTION("""COMPUTED_VALUE"""),"Theory")</f>
        <v>Theory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IFERROR(__xludf.DUMMYFUNCTION("""COMPUTED_VALUE"""),"CS1416")</f>
        <v>CS1416</v>
      </c>
      <c r="E135" s="26" t="str">
        <f>IFERROR(__xludf.DUMMYFUNCTION("""COMPUTED_VALUE"""),"19CS416")</f>
        <v>19CS416</v>
      </c>
      <c r="F135" s="27" t="str">
        <f>IFERROR(__xludf.DUMMYFUNCTION("""COMPUTED_VALUE"""),"Cloud Security")</f>
        <v>Cloud Security</v>
      </c>
      <c r="G135" s="26" t="str">
        <f>IFERROR(__xludf.DUMMYFUNCTION("""COMPUTED_VALUE"""),"-")</f>
        <v>-</v>
      </c>
      <c r="H135" s="26">
        <f>IFERROR(__xludf.DUMMYFUNCTION("""COMPUTED_VALUE"""),2)</f>
        <v>2</v>
      </c>
      <c r="I135" s="26">
        <f>IFERROR(__xludf.DUMMYFUNCTION("""COMPUTED_VALUE"""),1)</f>
        <v>1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IFERROR(__xludf.DUMMYFUNCTION("""COMPUTED_VALUE"""),"CS1417")</f>
        <v>CS1417</v>
      </c>
      <c r="E136" s="26" t="str">
        <f>IFERROR(__xludf.DUMMYFUNCTION("""COMPUTED_VALUE"""),"19CS417")</f>
        <v>19CS417</v>
      </c>
      <c r="F136" s="27" t="str">
        <f>IFERROR(__xludf.DUMMYFUNCTION("""COMPUTED_VALUE"""),"Ethical Hacking Techniques")</f>
        <v>Ethical Hacking Techniques</v>
      </c>
      <c r="G136" s="26" t="str">
        <f>IFERROR(__xludf.DUMMYFUNCTION("""COMPUTED_VALUE"""),"-")</f>
        <v>-</v>
      </c>
      <c r="H136" s="26">
        <f>IFERROR(__xludf.DUMMYFUNCTION("""COMPUTED_VALUE"""),2)</f>
        <v>2</v>
      </c>
      <c r="I136" s="26">
        <f>IFERROR(__xludf.DUMMYFUNCTION("""COMPUTED_VALUE"""),1)</f>
        <v>1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IFERROR(__xludf.DUMMYFUNCTION("""COMPUTED_VALUE"""),"TIP (6 Expts)")</f>
        <v>TIP (6 Expts)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IFERROR(__xludf.DUMMYFUNCTION("""COMPUTED_VALUE"""),"CS1418")</f>
        <v>CS1418</v>
      </c>
      <c r="E137" s="26" t="str">
        <f>IFERROR(__xludf.DUMMYFUNCTION("""COMPUTED_VALUE"""),"19CS418")</f>
        <v>19CS418</v>
      </c>
      <c r="F137" s="27" t="str">
        <f>IFERROR(__xludf.DUMMYFUNCTION("""COMPUTED_VALUE"""),"Cyber Law and Compliance")</f>
        <v>Cyber Law and Compliance</v>
      </c>
      <c r="G137" s="26" t="str">
        <f>IFERROR(__xludf.DUMMYFUNCTION("""COMPUTED_VALUE"""),"-")</f>
        <v>-</v>
      </c>
      <c r="H137" s="26">
        <f>IFERROR(__xludf.DUMMYFUNCTION("""COMPUTED_VALUE"""),3)</f>
        <v>3</v>
      </c>
      <c r="I137" s="26">
        <f>IFERROR(__xludf.DUMMYFUNCTION("""COMPUTED_VALUE"""),0)</f>
        <v>0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IFERROR(__xludf.DUMMYFUNCTION("""COMPUTED_VALUE"""),"Theory")</f>
        <v>Theory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IFERROR(__xludf.DUMMYFUNCTION("""COMPUTED_VALUE"""),"CS1419")</f>
        <v>CS1419</v>
      </c>
      <c r="E138" s="26" t="str">
        <f>IFERROR(__xludf.DUMMYFUNCTION("""COMPUTED_VALUE"""),"19CS419")</f>
        <v>19CS419</v>
      </c>
      <c r="F138" s="27" t="str">
        <f>IFERROR(__xludf.DUMMYFUNCTION("""COMPUTED_VALUE"""),"Digital Forensics and Digital Investigations")</f>
        <v>Digital Forensics and Digital Investigations</v>
      </c>
      <c r="G138" s="26" t="str">
        <f>IFERROR(__xludf.DUMMYFUNCTION("""COMPUTED_VALUE"""),"-")</f>
        <v>-</v>
      </c>
      <c r="H138" s="26">
        <f>IFERROR(__xludf.DUMMYFUNCTION("""COMPUTED_VALUE"""),2)</f>
        <v>2</v>
      </c>
      <c r="I138" s="26">
        <f>IFERROR(__xludf.DUMMYFUNCTION("""COMPUTED_VALUE"""),1)</f>
        <v>1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IFERROR(__xludf.DUMMYFUNCTION("""COMPUTED_VALUE"""),"TIP (6 Expts)")</f>
        <v>TIP (6 Expts)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IFERROR(__xludf.DUMMYFUNCTION("""COMPUTED_VALUE"""),"CS1420")</f>
        <v>CS1420</v>
      </c>
      <c r="E139" s="26" t="str">
        <f>IFERROR(__xludf.DUMMYFUNCTION("""COMPUTED_VALUE"""),"19CS420")</f>
        <v>19CS420</v>
      </c>
      <c r="F139" s="27" t="str">
        <f>IFERROR(__xludf.DUMMYFUNCTION("""COMPUTED_VALUE"""),"Prototyping of IoT Systems")</f>
        <v>Prototyping of IoT Systems</v>
      </c>
      <c r="G139" s="26" t="str">
        <f>IFERROR(__xludf.DUMMYFUNCTION("""COMPUTED_VALUE"""),"-")</f>
        <v>-</v>
      </c>
      <c r="H139" s="26">
        <f>IFERROR(__xludf.DUMMYFUNCTION("""COMPUTED_VALUE"""),2)</f>
        <v>2</v>
      </c>
      <c r="I139" s="26">
        <f>IFERROR(__xludf.DUMMYFUNCTION("""COMPUTED_VALUE"""),1)</f>
        <v>1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IFERROR(__xludf.DUMMYFUNCTION("""COMPUTED_VALUE"""),"TIP (6 Expts)")</f>
        <v>TIP (6 Expts)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IFERROR(__xludf.DUMMYFUNCTION("""COMPUTED_VALUE"""),"CS1421")</f>
        <v>CS1421</v>
      </c>
      <c r="E140" s="26" t="str">
        <f>IFERROR(__xludf.DUMMYFUNCTION("""COMPUTED_VALUE"""),"19CS421")</f>
        <v>19CS421</v>
      </c>
      <c r="F140" s="27" t="str">
        <f>IFERROR(__xludf.DUMMYFUNCTION("""COMPUTED_VALUE"""),"Edge Computing")</f>
        <v>Edge Computing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IFERROR(__xludf.DUMMYFUNCTION("""COMPUTED_VALUE"""),"CS1422")</f>
        <v>CS1422</v>
      </c>
      <c r="E141" s="26" t="str">
        <f>IFERROR(__xludf.DUMMYFUNCTION("""COMPUTED_VALUE"""),"19CS422")</f>
        <v>19CS422</v>
      </c>
      <c r="F141" s="27" t="str">
        <f>IFERROR(__xludf.DUMMYFUNCTION("""COMPUTED_VALUE"""),"Security for IoT Systems")</f>
        <v>Security for IoT Systems</v>
      </c>
      <c r="G141" s="26" t="str">
        <f>IFERROR(__xludf.DUMMYFUNCTION("""COMPUTED_VALUE"""),"-")</f>
        <v>-</v>
      </c>
      <c r="H141" s="26">
        <f>IFERROR(__xludf.DUMMYFUNCTION("""COMPUTED_VALUE"""),3)</f>
        <v>3</v>
      </c>
      <c r="I141" s="26">
        <f>IFERROR(__xludf.DUMMYFUNCTION("""COMPUTED_VALUE"""),0)</f>
        <v>0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IFERROR(__xludf.DUMMYFUNCTION("""COMPUTED_VALUE"""),"Theory")</f>
        <v>Theory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IFERROR(__xludf.DUMMYFUNCTION("""COMPUTED_VALUE"""),"CS1502")</f>
        <v>CS1502</v>
      </c>
      <c r="E142" s="26" t="str">
        <f>IFERROR(__xludf.DUMMYFUNCTION("""COMPUTED_VALUE"""),"19CS502")</f>
        <v>19CS502</v>
      </c>
      <c r="F142" s="27" t="str">
        <f>IFERROR(__xludf.DUMMYFUNCTION("""COMPUTED_VALUE"""),"Computer Graphics and Multimedia")</f>
        <v>Computer Graphics and Multimedia</v>
      </c>
      <c r="G142" s="26" t="str">
        <f>IFERROR(__xludf.DUMMYFUNCTION("""COMPUTED_VALUE"""),"19CS401")</f>
        <v>19CS401</v>
      </c>
      <c r="H142" s="26">
        <f>IFERROR(__xludf.DUMMYFUNCTION("""COMPUTED_VALUE"""),3)</f>
        <v>3</v>
      </c>
      <c r="I142" s="26">
        <f>IFERROR(__xludf.DUMMYFUNCTION("""COMPUTED_VALUE"""),0)</f>
        <v>0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IFERROR(__xludf.DUMMYFUNCTION("""COMPUTED_VALUE"""),"Theory")</f>
        <v>Theory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IFERROR(__xludf.DUMMYFUNCTION("""COMPUTED_VALUE"""),"CS1503")</f>
        <v>CS1503</v>
      </c>
      <c r="E143" s="26" t="str">
        <f>IFERROR(__xludf.DUMMYFUNCTION("""COMPUTED_VALUE"""),"19CS503")</f>
        <v>19CS503</v>
      </c>
      <c r="F143" s="27" t="str">
        <f>IFERROR(__xludf.DUMMYFUNCTION("""COMPUTED_VALUE"""),"Developing Web Application in .Net")</f>
        <v>Developing Web Application in .Net</v>
      </c>
      <c r="G143" s="26" t="str">
        <f>IFERROR(__xludf.DUMMYFUNCTION("""COMPUTED_VALUE"""),"19CS404/19CS410")</f>
        <v>19CS404/19CS410</v>
      </c>
      <c r="H143" s="26">
        <f>IFERROR(__xludf.DUMMYFUNCTION("""COMPUTED_VALUE"""),3)</f>
        <v>3</v>
      </c>
      <c r="I143" s="26">
        <f>IFERROR(__xludf.DUMMYFUNCTION("""COMPUTED_VALUE"""),0)</f>
        <v>0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IFERROR(__xludf.DUMMYFUNCTION("""COMPUTED_VALUE"""),"Theory")</f>
        <v>Theory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IFERROR(__xludf.DUMMYFUNCTION("""COMPUTED_VALUE"""),"CS1504")</f>
        <v>CS1504</v>
      </c>
      <c r="E144" s="26" t="str">
        <f>IFERROR(__xludf.DUMMYFUNCTION("""COMPUTED_VALUE"""),"19CS504")</f>
        <v>19CS504</v>
      </c>
      <c r="F144" s="27" t="str">
        <f>IFERROR(__xludf.DUMMYFUNCTION("""COMPUTED_VALUE"""),"Software Project Management")</f>
        <v>Software Project Management</v>
      </c>
      <c r="G144" s="26" t="str">
        <f>IFERROR(__xludf.DUMMYFUNCTION("""COMPUTED_VALUE"""),"19CS408")</f>
        <v>19CS408</v>
      </c>
      <c r="H144" s="26">
        <f>IFERROR(__xludf.DUMMYFUNCTION("""COMPUTED_VALUE"""),3)</f>
        <v>3</v>
      </c>
      <c r="I144" s="26">
        <f>IFERROR(__xludf.DUMMYFUNCTION("""COMPUTED_VALUE"""),0)</f>
        <v>0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IFERROR(__xludf.DUMMYFUNCTION("""COMPUTED_VALUE"""),"CS1505")</f>
        <v>CS1505</v>
      </c>
      <c r="E145" s="26" t="str">
        <f>IFERROR(__xludf.DUMMYFUNCTION("""COMPUTED_VALUE"""),"19CS505")</f>
        <v>19CS505</v>
      </c>
      <c r="F145" s="27" t="str">
        <f>IFERROR(__xludf.DUMMYFUNCTION("""COMPUTED_VALUE"""),"Service Oriented Architecture")</f>
        <v>Service Oriented Architecture</v>
      </c>
      <c r="G145" s="26" t="str">
        <f>IFERROR(__xludf.DUMMYFUNCTION("""COMPUTED_VALUE"""),"-")</f>
        <v>-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IFERROR(__xludf.DUMMYFUNCTION("""COMPUTED_VALUE"""),"CS1506")</f>
        <v>CS1506</v>
      </c>
      <c r="E146" s="26" t="str">
        <f>IFERROR(__xludf.DUMMYFUNCTION("""COMPUTED_VALUE"""),"19CS506")</f>
        <v>19CS506</v>
      </c>
      <c r="F146" s="27" t="str">
        <f>IFERROR(__xludf.DUMMYFUNCTION("""COMPUTED_VALUE"""),"Multicore Architecture")</f>
        <v>Multicore Architecture</v>
      </c>
      <c r="G146" s="26" t="str">
        <f>IFERROR(__xludf.DUMMYFUNCTION("""COMPUTED_VALUE"""),"19CS305")</f>
        <v>19CS305</v>
      </c>
      <c r="H146" s="26">
        <f>IFERROR(__xludf.DUMMYFUNCTION("""COMPUTED_VALUE"""),3)</f>
        <v>3</v>
      </c>
      <c r="I146" s="26">
        <f>IFERROR(__xludf.DUMMYFUNCTION("""COMPUTED_VALUE"""),0)</f>
        <v>0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IFERROR(__xludf.DUMMYFUNCTION("""COMPUTED_VALUE"""),"CS1507")</f>
        <v>CS1507</v>
      </c>
      <c r="E147" s="26" t="str">
        <f>IFERROR(__xludf.DUMMYFUNCTION("""COMPUTED_VALUE"""),"19CS507")</f>
        <v>19CS507</v>
      </c>
      <c r="F147" s="27" t="str">
        <f>IFERROR(__xludf.DUMMYFUNCTION("""COMPUTED_VALUE"""),"Human Computer Interaction")</f>
        <v>Human Computer Interaction</v>
      </c>
      <c r="G147" s="26" t="str">
        <f>IFERROR(__xludf.DUMMYFUNCTION("""COMPUTED_VALUE"""),"19CS502/19CS408")</f>
        <v>19CS502/19CS408</v>
      </c>
      <c r="H147" s="26">
        <f>IFERROR(__xludf.DUMMYFUNCTION("""COMPUTED_VALUE"""),3)</f>
        <v>3</v>
      </c>
      <c r="I147" s="26">
        <f>IFERROR(__xludf.DUMMYFUNCTION("""COMPUTED_VALUE"""),0)</f>
        <v>0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IFERROR(__xludf.DUMMYFUNCTION("""COMPUTED_VALUE"""),"Theory")</f>
        <v>Theory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IFERROR(__xludf.DUMMYFUNCTION("""COMPUTED_VALUE"""),"CS1508")</f>
        <v>CS1508</v>
      </c>
      <c r="E148" s="26" t="str">
        <f>IFERROR(__xludf.DUMMYFUNCTION("""COMPUTED_VALUE"""),"19CS508")</f>
        <v>19CS508</v>
      </c>
      <c r="F148" s="27" t="str">
        <f>IFERROR(__xludf.DUMMYFUNCTION("""COMPUTED_VALUE"""),"Parallel and Distributed Systems")</f>
        <v>Parallel and Distributed Systems</v>
      </c>
      <c r="G148" s="26" t="str">
        <f>IFERROR(__xludf.DUMMYFUNCTION("""COMPUTED_VALUE"""),"19CS305/19CS401")</f>
        <v>19CS305/19CS401</v>
      </c>
      <c r="H148" s="26">
        <f>IFERROR(__xludf.DUMMYFUNCTION("""COMPUTED_VALUE"""),3)</f>
        <v>3</v>
      </c>
      <c r="I148" s="26">
        <f>IFERROR(__xludf.DUMMYFUNCTION("""COMPUTED_VALUE"""),0)</f>
        <v>0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IFERROR(__xludf.DUMMYFUNCTION("""COMPUTED_VALUE"""),"Theory")</f>
        <v>Theory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IFERROR(__xludf.DUMMYFUNCTION("""COMPUTED_VALUE"""),"CS1509")</f>
        <v>CS1509</v>
      </c>
      <c r="E149" s="26" t="str">
        <f>IFERROR(__xludf.DUMMYFUNCTION("""COMPUTED_VALUE"""),"19CS509")</f>
        <v>19CS509</v>
      </c>
      <c r="F149" s="27" t="str">
        <f>IFERROR(__xludf.DUMMYFUNCTION("""COMPUTED_VALUE"""),"Graph Theory and Applications")</f>
        <v>Graph Theory and Applications</v>
      </c>
      <c r="G149" s="26" t="str">
        <f>IFERROR(__xludf.DUMMYFUNCTION("""COMPUTED_VALUE"""),"19MA206")</f>
        <v>19MA206</v>
      </c>
      <c r="H149" s="26">
        <f>IFERROR(__xludf.DUMMYFUNCTION("""COMPUTED_VALUE"""),3)</f>
        <v>3</v>
      </c>
      <c r="I149" s="26">
        <f>IFERROR(__xludf.DUMMYFUNCTION("""COMPUTED_VALUE"""),0)</f>
        <v>0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IFERROR(__xludf.DUMMYFUNCTION("""COMPUTED_VALUE"""),"CS1510")</f>
        <v>CS1510</v>
      </c>
      <c r="E150" s="26" t="str">
        <f>IFERROR(__xludf.DUMMYFUNCTION("""COMPUTED_VALUE"""),"19CS510")</f>
        <v>19CS510</v>
      </c>
      <c r="F150" s="27" t="str">
        <f>IFERROR(__xludf.DUMMYFUNCTION("""COMPUTED_VALUE"""),"Social Network Analysis")</f>
        <v>Social Network Analysis</v>
      </c>
      <c r="G150" s="26" t="str">
        <f>IFERROR(__xludf.DUMMYFUNCTION("""COMPUTED_VALUE"""),"19CS501/19CS413")</f>
        <v>19CS501/19CS413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IFERROR(__xludf.DUMMYFUNCTION("""COMPUTED_VALUE"""),"CS1511")</f>
        <v>CS1511</v>
      </c>
      <c r="E151" s="26" t="str">
        <f>IFERROR(__xludf.DUMMYFUNCTION("""COMPUTED_VALUE"""),"19CS511")</f>
        <v>19CS511</v>
      </c>
      <c r="F151" s="27" t="str">
        <f>IFERROR(__xludf.DUMMYFUNCTION("""COMPUTED_VALUE"""),"Natural Language Processing")</f>
        <v>Natural Language Processing</v>
      </c>
      <c r="G151" s="26" t="str">
        <f>IFERROR(__xludf.DUMMYFUNCTION("""COMPUTED_VALUE"""),"19MA201")</f>
        <v>19MA201</v>
      </c>
      <c r="H151" s="26">
        <f>IFERROR(__xludf.DUMMYFUNCTION("""COMPUTED_VALUE"""),3)</f>
        <v>3</v>
      </c>
      <c r="I151" s="26">
        <f>IFERROR(__xludf.DUMMYFUNCTION("""COMPUTED_VALUE"""),0)</f>
        <v>0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IFERROR(__xludf.DUMMYFUNCTION("""COMPUTED_VALUE"""),"Theory")</f>
        <v>Theory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IFERROR(__xludf.DUMMYFUNCTION("""COMPUTED_VALUE"""),"CS1512")</f>
        <v>CS1512</v>
      </c>
      <c r="E152" s="26" t="str">
        <f>IFERROR(__xludf.DUMMYFUNCTION("""COMPUTED_VALUE"""),"19CS512")</f>
        <v>19CS512</v>
      </c>
      <c r="F152" s="27" t="str">
        <f>IFERROR(__xludf.DUMMYFUNCTION("""COMPUTED_VALUE"""),"Soft Computing")</f>
        <v>Soft Computing</v>
      </c>
      <c r="G152" s="26" t="str">
        <f>IFERROR(__xludf.DUMMYFUNCTION("""COMPUTED_VALUE"""),"19CS501/19AI410")</f>
        <v>19CS501/19AI410</v>
      </c>
      <c r="H152" s="26">
        <f>IFERROR(__xludf.DUMMYFUNCTION("""COMPUTED_VALUE"""),3)</f>
        <v>3</v>
      </c>
      <c r="I152" s="26">
        <f>IFERROR(__xludf.DUMMYFUNCTION("""COMPUTED_VALUE"""),0)</f>
        <v>0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IFERROR(__xludf.DUMMYFUNCTION("""COMPUTED_VALUE"""),"Theory")</f>
        <v>Theory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IFERROR(__xludf.DUMMYFUNCTION("""COMPUTED_VALUE"""),"CS1513")</f>
        <v>CS1513</v>
      </c>
      <c r="E153" s="26" t="str">
        <f>IFERROR(__xludf.DUMMYFUNCTION("""COMPUTED_VALUE"""),"19CS513")</f>
        <v>19CS513</v>
      </c>
      <c r="F153" s="27" t="str">
        <f>IFERROR(__xludf.DUMMYFUNCTION("""COMPUTED_VALUE"""),"Green Computing")</f>
        <v>Green Computing</v>
      </c>
      <c r="G153" s="26" t="str">
        <f>IFERROR(__xludf.DUMMYFUNCTION("""COMPUTED_VALUE"""),"-")</f>
        <v>-</v>
      </c>
      <c r="H153" s="26">
        <f>IFERROR(__xludf.DUMMYFUNCTION("""COMPUTED_VALUE"""),3)</f>
        <v>3</v>
      </c>
      <c r="I153" s="26">
        <f>IFERROR(__xludf.DUMMYFUNCTION("""COMPUTED_VALUE"""),0)</f>
        <v>0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IFERROR(__xludf.DUMMYFUNCTION("""COMPUTED_VALUE"""),"Theory")</f>
        <v>Theory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IFERROR(__xludf.DUMMYFUNCTION("""COMPUTED_VALUE"""),"CS1514")</f>
        <v>CS1514</v>
      </c>
      <c r="E154" s="26" t="str">
        <f>IFERROR(__xludf.DUMMYFUNCTION("""COMPUTED_VALUE"""),"19CS514")</f>
        <v>19CS514</v>
      </c>
      <c r="F154" s="27" t="str">
        <f>IFERROR(__xludf.DUMMYFUNCTION("""COMPUTED_VALUE"""),"Network Management Systems")</f>
        <v>Network Management Systems</v>
      </c>
      <c r="G154" s="26" t="str">
        <f>IFERROR(__xludf.DUMMYFUNCTION("""COMPUTED_VALUE"""),"19CS406")</f>
        <v>19CS406</v>
      </c>
      <c r="H154" s="26">
        <f>IFERROR(__xludf.DUMMYFUNCTION("""COMPUTED_VALUE"""),3)</f>
        <v>3</v>
      </c>
      <c r="I154" s="26">
        <f>IFERROR(__xludf.DUMMYFUNCTION("""COMPUTED_VALUE"""),0)</f>
        <v>0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IFERROR(__xludf.DUMMYFUNCTION("""COMPUTED_VALUE"""),"Theory")</f>
        <v>Theory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IFERROR(__xludf.DUMMYFUNCTION("""COMPUTED_VALUE"""),"CS1515")</f>
        <v>CS1515</v>
      </c>
      <c r="E155" s="26" t="str">
        <f>IFERROR(__xludf.DUMMYFUNCTION("""COMPUTED_VALUE"""),"19CS515")</f>
        <v>19CS515</v>
      </c>
      <c r="F155" s="27" t="str">
        <f>IFERROR(__xludf.DUMMYFUNCTION("""COMPUTED_VALUE"""),"Block Chain Architecture and its Use Cases")</f>
        <v>Block Chain Architecture and its Use Cases</v>
      </c>
      <c r="G155" s="26" t="str">
        <f>IFERROR(__xludf.DUMMYFUNCTION("""COMPUTED_VALUE"""),"19CS412")</f>
        <v>19CS412</v>
      </c>
      <c r="H155" s="26">
        <f>IFERROR(__xludf.DUMMYFUNCTION("""COMPUTED_VALUE"""),3)</f>
        <v>3</v>
      </c>
      <c r="I155" s="26">
        <f>IFERROR(__xludf.DUMMYFUNCTION("""COMPUTED_VALUE"""),0)</f>
        <v>0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IFERROR(__xludf.DUMMYFUNCTION("""COMPUTED_VALUE"""),"CS1516")</f>
        <v>CS1516</v>
      </c>
      <c r="E156" s="26" t="str">
        <f>IFERROR(__xludf.DUMMYFUNCTION("""COMPUTED_VALUE"""),"19CS516")</f>
        <v>19CS516</v>
      </c>
      <c r="F156" s="27" t="str">
        <f>IFERROR(__xludf.DUMMYFUNCTION("""COMPUTED_VALUE"""),"Software Testing and Quality Assurance")</f>
        <v>Software Testing and Quality Assurance</v>
      </c>
      <c r="G156" s="26" t="str">
        <f>IFERROR(__xludf.DUMMYFUNCTION("""COMPUTED_VALUE"""),"-")</f>
        <v>-</v>
      </c>
      <c r="H156" s="26">
        <f>IFERROR(__xludf.DUMMYFUNCTION("""COMPUTED_VALUE"""),3)</f>
        <v>3</v>
      </c>
      <c r="I156" s="26">
        <f>IFERROR(__xludf.DUMMYFUNCTION("""COMPUTED_VALUE"""),0)</f>
        <v>0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IFERROR(__xludf.DUMMYFUNCTION("""COMPUTED_VALUE"""),"CS1517")</f>
        <v>CS1517</v>
      </c>
      <c r="E157" s="26" t="str">
        <f>IFERROR(__xludf.DUMMYFUNCTION("""COMPUTED_VALUE"""),"19CS517")</f>
        <v>19CS517</v>
      </c>
      <c r="F157" s="27" t="str">
        <f>IFERROR(__xludf.DUMMYFUNCTION("""COMPUTED_VALUE"""),"Mobile Computing")</f>
        <v>Mobile Computing</v>
      </c>
      <c r="G157" s="26" t="str">
        <f>IFERROR(__xludf.DUMMYFUNCTION("""COMPUTED_VALUE"""),"19CS406")</f>
        <v>19CS406</v>
      </c>
      <c r="H157" s="26">
        <f>IFERROR(__xludf.DUMMYFUNCTION("""COMPUTED_VALUE"""),3)</f>
        <v>3</v>
      </c>
      <c r="I157" s="26">
        <f>IFERROR(__xludf.DUMMYFUNCTION("""COMPUTED_VALUE"""),0)</f>
        <v>0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IFERROR(__xludf.DUMMYFUNCTION("""COMPUTED_VALUE"""),"Theory")</f>
        <v>Theory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IFERROR(__xludf.DUMMYFUNCTION("""COMPUTED_VALUE"""),"CS1518")</f>
        <v>CS1518</v>
      </c>
      <c r="E158" s="26" t="str">
        <f>IFERROR(__xludf.DUMMYFUNCTION("""COMPUTED_VALUE"""),"19CS518")</f>
        <v>19CS518</v>
      </c>
      <c r="F158" s="27" t="str">
        <f>IFERROR(__xludf.DUMMYFUNCTION("""COMPUTED_VALUE"""),"Game Design and Development")</f>
        <v>Game Design and Development</v>
      </c>
      <c r="G158" s="26" t="str">
        <f>IFERROR(__xludf.DUMMYFUNCTION("""COMPUTED_VALUE"""),"19CS502")</f>
        <v>19CS502</v>
      </c>
      <c r="H158" s="26">
        <f>IFERROR(__xludf.DUMMYFUNCTION("""COMPUTED_VALUE"""),3)</f>
        <v>3</v>
      </c>
      <c r="I158" s="26">
        <f>IFERROR(__xludf.DUMMYFUNCTION("""COMPUTED_VALUE"""),0)</f>
        <v>0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IFERROR(__xludf.DUMMYFUNCTION("""COMPUTED_VALUE"""),"CS1520")</f>
        <v>CS1520</v>
      </c>
      <c r="E159" s="26" t="str">
        <f>IFERROR(__xludf.DUMMYFUNCTION("""COMPUTED_VALUE"""),"19CS520")</f>
        <v>19CS520</v>
      </c>
      <c r="F159" s="27" t="str">
        <f>IFERROR(__xludf.DUMMYFUNCTION("""COMPUTED_VALUE"""),"Big Data Analytics")</f>
        <v>Big Data Analytics</v>
      </c>
      <c r="G159" s="26" t="str">
        <f>IFERROR(__xludf.DUMMYFUNCTION("""COMPUTED_VALUE"""),"19CS411/19CS519")</f>
        <v>19CS411/19CS519</v>
      </c>
      <c r="H159" s="26">
        <f>IFERROR(__xludf.DUMMYFUNCTION("""COMPUTED_VALUE"""),3)</f>
        <v>3</v>
      </c>
      <c r="I159" s="26">
        <f>IFERROR(__xludf.DUMMYFUNCTION("""COMPUTED_VALUE"""),0)</f>
        <v>0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IFERROR(__xludf.DUMMYFUNCTION("""COMPUTED_VALUE"""),"Theory")</f>
        <v>Theory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IFERROR(__xludf.DUMMYFUNCTION("""COMPUTED_VALUE"""),"CS1521")</f>
        <v>CS1521</v>
      </c>
      <c r="E160" s="26" t="str">
        <f>IFERROR(__xludf.DUMMYFUNCTION("""COMPUTED_VALUE"""),"19CS521")</f>
        <v>19CS521</v>
      </c>
      <c r="F160" s="27" t="str">
        <f>IFERROR(__xludf.DUMMYFUNCTION("""COMPUTED_VALUE"""),"Data Warehousing and Data Mining")</f>
        <v>Data Warehousing and Data Mining</v>
      </c>
      <c r="G160" s="26" t="str">
        <f>IFERROR(__xludf.DUMMYFUNCTION("""COMPUTED_VALUE"""),"19CS404")</f>
        <v>19CS404</v>
      </c>
      <c r="H160" s="26">
        <f>IFERROR(__xludf.DUMMYFUNCTION("""COMPUTED_VALUE"""),3)</f>
        <v>3</v>
      </c>
      <c r="I160" s="26">
        <f>IFERROR(__xludf.DUMMYFUNCTION("""COMPUTED_VALUE"""),0)</f>
        <v>0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IFERROR(__xludf.DUMMYFUNCTION("""COMPUTED_VALUE"""),"Theory")</f>
        <v>Theory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IFERROR(__xludf.DUMMYFUNCTION("""COMPUTED_VALUE"""),"CS1522")</f>
        <v>CS1522</v>
      </c>
      <c r="E161" s="26" t="str">
        <f>IFERROR(__xludf.DUMMYFUNCTION("""COMPUTED_VALUE"""),"19CS522")</f>
        <v>19CS522</v>
      </c>
      <c r="F161" s="27" t="str">
        <f>IFERROR(__xludf.DUMMYFUNCTION("""COMPUTED_VALUE"""),"Advanced Database Management System")</f>
        <v>Advanced Database Management System</v>
      </c>
      <c r="G161" s="26" t="str">
        <f>IFERROR(__xludf.DUMMYFUNCTION("""COMPUTED_VALUE"""),"19CS404")</f>
        <v>19CS404</v>
      </c>
      <c r="H161" s="26">
        <f>IFERROR(__xludf.DUMMYFUNCTION("""COMPUTED_VALUE"""),3)</f>
        <v>3</v>
      </c>
      <c r="I161" s="26">
        <f>IFERROR(__xludf.DUMMYFUNCTION("""COMPUTED_VALUE"""),1)</f>
        <v>1</v>
      </c>
      <c r="J161" s="26">
        <f>IFERROR(__xludf.DUMMYFUNCTION("""COMPUTED_VALUE"""),4)</f>
        <v>4</v>
      </c>
      <c r="K161" s="26" t="str">
        <f>IFERROR(__xludf.DUMMYFUNCTION("""COMPUTED_VALUE"""),"CGPA")</f>
        <v>CGPA</v>
      </c>
      <c r="L161" s="26" t="str">
        <f>IFERROR(__xludf.DUMMYFUNCTION("""COMPUTED_VALUE"""),"TIP (6 Expts)")</f>
        <v>TIP (6 Expts)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IFERROR(__xludf.DUMMYFUNCTION("""COMPUTED_VALUE"""),"CS1523")</f>
        <v>CS1523</v>
      </c>
      <c r="E162" s="26" t="str">
        <f>IFERROR(__xludf.DUMMYFUNCTION("""COMPUTED_VALUE"""),"19CS523")</f>
        <v>19CS523</v>
      </c>
      <c r="F162" s="27" t="str">
        <f>IFERROR(__xludf.DUMMYFUNCTION("""COMPUTED_VALUE"""),"Information Retrieval")</f>
        <v>Information Retrieval</v>
      </c>
      <c r="G162" s="26" t="str">
        <f>IFERROR(__xludf.DUMMYFUNCTION("""COMPUTED_VALUE"""),"19AI410/ 19CS501/19CS413")</f>
        <v>19AI410/ 19CS501/19CS413</v>
      </c>
      <c r="H162" s="26">
        <f>IFERROR(__xludf.DUMMYFUNCTION("""COMPUTED_VALUE"""),3)</f>
        <v>3</v>
      </c>
      <c r="I162" s="26">
        <f>IFERROR(__xludf.DUMMYFUNCTION("""COMPUTED_VALUE"""),0)</f>
        <v>0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IFERROR(__xludf.DUMMYFUNCTION("""COMPUTED_VALUE"""),"Theory")</f>
        <v>Theory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IFERROR(__xludf.DUMMYFUNCTION("""COMPUTED_VALUE"""),"CS1524")</f>
        <v>CS1524</v>
      </c>
      <c r="E163" s="26" t="str">
        <f>IFERROR(__xludf.DUMMYFUNCTION("""COMPUTED_VALUE"""),"19CS524")</f>
        <v>19CS524</v>
      </c>
      <c r="F163" s="27" t="str">
        <f>IFERROR(__xludf.DUMMYFUNCTION("""COMPUTED_VALUE"""),"Deep Learning")</f>
        <v>Deep Learning</v>
      </c>
      <c r="G163" s="26" t="str">
        <f>IFERROR(__xludf.DUMMYFUNCTION("""COMPUTED_VALUE"""),"19CS501")</f>
        <v>19CS501</v>
      </c>
      <c r="H163" s="26">
        <f>IFERROR(__xludf.DUMMYFUNCTION("""COMPUTED_VALUE"""),3)</f>
        <v>3</v>
      </c>
      <c r="I163" s="26">
        <f>IFERROR(__xludf.DUMMYFUNCTION("""COMPUTED_VALUE"""),0)</f>
        <v>0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IFERROR(__xludf.DUMMYFUNCTION("""COMPUTED_VALUE"""),"Theory")</f>
        <v>Theory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IFERROR(__xludf.DUMMYFUNCTION("""COMPUTED_VALUE"""),"CS1526")</f>
        <v>CS1526</v>
      </c>
      <c r="E164" s="26" t="str">
        <f>IFERROR(__xludf.DUMMYFUNCTION("""COMPUTED_VALUE"""),"19CS526")</f>
        <v>19CS526</v>
      </c>
      <c r="F164" s="26" t="str">
        <f>IFERROR(__xludf.DUMMYFUNCTION("""COMPUTED_VALUE"""),"R Programming")</f>
        <v>R Programming</v>
      </c>
      <c r="G164" s="26" t="str">
        <f>IFERROR(__xludf.DUMMYFUNCTION("""COMPUTED_VALUE"""),"19CS301/19CS303")</f>
        <v>19CS301/19CS303</v>
      </c>
      <c r="H164" s="26">
        <f>IFERROR(__xludf.DUMMYFUNCTION("""COMPUTED_VALUE"""),2)</f>
        <v>2</v>
      </c>
      <c r="I164" s="26">
        <f>IFERROR(__xludf.DUMMYFUNCTION("""COMPUTED_VALUE"""),1)</f>
        <v>1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IFERROR(__xludf.DUMMYFUNCTION("""COMPUTED_VALUE"""),"TIP (6 Expts)")</f>
        <v>TIP (6 Expts)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IFERROR(__xludf.DUMMYFUNCTION("""COMPUTED_VALUE"""),"CS1528")</f>
        <v>CS1528</v>
      </c>
      <c r="E165" s="26" t="str">
        <f>IFERROR(__xludf.DUMMYFUNCTION("""COMPUTED_VALUE"""),"19CS528")</f>
        <v>19CS528</v>
      </c>
      <c r="F165" s="27" t="str">
        <f>IFERROR(__xludf.DUMMYFUNCTION("""COMPUTED_VALUE"""),"Robotics and its Applications")</f>
        <v>Robotics and its Applications</v>
      </c>
      <c r="G165" s="26" t="str">
        <f>IFERROR(__xludf.DUMMYFUNCTION("""COMPUTED_VALUE"""),"19CS302/19EC408")</f>
        <v>19CS302/19EC408</v>
      </c>
      <c r="H165" s="26">
        <f>IFERROR(__xludf.DUMMYFUNCTION("""COMPUTED_VALUE"""),3)</f>
        <v>3</v>
      </c>
      <c r="I165" s="26">
        <f>IFERROR(__xludf.DUMMYFUNCTION("""COMPUTED_VALUE"""),0)</f>
        <v>0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IFERROR(__xludf.DUMMYFUNCTION("""COMPUTED_VALUE"""),"Theory")</f>
        <v>Theory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IFERROR(__xludf.DUMMYFUNCTION("""COMPUTED_VALUE"""),"CS1529")</f>
        <v>CS1529</v>
      </c>
      <c r="E166" s="26" t="str">
        <f>IFERROR(__xludf.DUMMYFUNCTION("""COMPUTED_VALUE"""),"19CS529")</f>
        <v>19CS529</v>
      </c>
      <c r="F166" s="27" t="str">
        <f>IFERROR(__xludf.DUMMYFUNCTION("""COMPUTED_VALUE"""),"Quantum Computing")</f>
        <v>Quantum Computing</v>
      </c>
      <c r="G166" s="26" t="str">
        <f>IFERROR(__xludf.DUMMYFUNCTION("""COMPUTED_VALUE"""),"19CS301/19CS303")</f>
        <v>19CS301/19CS303</v>
      </c>
      <c r="H166" s="26">
        <f>IFERROR(__xludf.DUMMYFUNCTION("""COMPUTED_VALUE"""),3)</f>
        <v>3</v>
      </c>
      <c r="I166" s="26">
        <f>IFERROR(__xludf.DUMMYFUNCTION("""COMPUTED_VALUE"""),0)</f>
        <v>0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IFERROR(__xludf.DUMMYFUNCTION("""COMPUTED_VALUE"""),"Theory")</f>
        <v>Theory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IFERROR(__xludf.DUMMYFUNCTION("""COMPUTED_VALUE"""),"CS1530")</f>
        <v>CS1530</v>
      </c>
      <c r="E167" s="26" t="str">
        <f>IFERROR(__xludf.DUMMYFUNCTION("""COMPUTED_VALUE"""),"19CS530")</f>
        <v>19CS530</v>
      </c>
      <c r="F167" s="27" t="str">
        <f>IFERROR(__xludf.DUMMYFUNCTION("""COMPUTED_VALUE"""),"Cyber Security")</f>
        <v>Cyber Security</v>
      </c>
      <c r="G167" s="26" t="str">
        <f>IFERROR(__xludf.DUMMYFUNCTION("""COMPUTED_VALUE"""),"19CS412")</f>
        <v>19CS412</v>
      </c>
      <c r="H167" s="26">
        <f>IFERROR(__xludf.DUMMYFUNCTION("""COMPUTED_VALUE"""),3)</f>
        <v>3</v>
      </c>
      <c r="I167" s="26">
        <f>IFERROR(__xludf.DUMMYFUNCTION("""COMPUTED_VALUE"""),0)</f>
        <v>0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IFERROR(__xludf.DUMMYFUNCTION("""COMPUTED_VALUE"""),"Theory")</f>
        <v>Theory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IFERROR(__xludf.DUMMYFUNCTION("""COMPUTED_VALUE"""),"CS1531")</f>
        <v>CS1531</v>
      </c>
      <c r="E168" s="26" t="str">
        <f>IFERROR(__xludf.DUMMYFUNCTION("""COMPUTED_VALUE"""),"19CS531")</f>
        <v>19CS531</v>
      </c>
      <c r="F168" s="27" t="str">
        <f>IFERROR(__xludf.DUMMYFUNCTION("""COMPUTED_VALUE"""),"Virtual Reality")</f>
        <v>Virtual Reality</v>
      </c>
      <c r="G168" s="26" t="str">
        <f>IFERROR(__xludf.DUMMYFUNCTION("""COMPUTED_VALUE"""),"19CS401/19CS301")</f>
        <v>19CS401/19CS301</v>
      </c>
      <c r="H168" s="26">
        <f>IFERROR(__xludf.DUMMYFUNCTION("""COMPUTED_VALUE"""),3)</f>
        <v>3</v>
      </c>
      <c r="I168" s="26">
        <f>IFERROR(__xludf.DUMMYFUNCTION("""COMPUTED_VALUE"""),0)</f>
        <v>0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IFERROR(__xludf.DUMMYFUNCTION("""COMPUTED_VALUE"""),"Theory")</f>
        <v>Theory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IFERROR(__xludf.DUMMYFUNCTION("""COMPUTED_VALUE"""),"CS1532")</f>
        <v>CS1532</v>
      </c>
      <c r="E169" s="26" t="str">
        <f>IFERROR(__xludf.DUMMYFUNCTION("""COMPUTED_VALUE"""),"19CS532")</f>
        <v>19CS532</v>
      </c>
      <c r="F169" s="27" t="str">
        <f>IFERROR(__xludf.DUMMYFUNCTION("""COMPUTED_VALUE"""),"Professional Readiness for Innovation, Employability and Entrepreneurship")</f>
        <v>Professional Readiness for Innovation, Employability and Entrepreneurship</v>
      </c>
      <c r="G169" s="26" t="str">
        <f>IFERROR(__xludf.DUMMYFUNCTION("""COMPUTED_VALUE"""),"-")</f>
        <v>-</v>
      </c>
      <c r="H169" s="26">
        <f>IFERROR(__xludf.DUMMYFUNCTION("""COMPUTED_VALUE"""),0)</f>
        <v>0</v>
      </c>
      <c r="I169" s="26">
        <f>IFERROR(__xludf.DUMMYFUNCTION("""COMPUTED_VALUE"""),3)</f>
        <v>3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IFERROR(__xludf.DUMMYFUNCTION("""COMPUTED_VALUE"""),"Practical (10 Expts)")</f>
        <v>Practical (10 Expts)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IFERROR(__xludf.DUMMYFUNCTION("""COMPUTED_VALUE"""),"CS1533")</f>
        <v>CS1533</v>
      </c>
      <c r="E170" s="26" t="str">
        <f>IFERROR(__xludf.DUMMYFUNCTION("""COMPUTED_VALUE"""),"19CS533")</f>
        <v>19CS533</v>
      </c>
      <c r="F170" s="27" t="str">
        <f>IFERROR(__xludf.DUMMYFUNCTION("""COMPUTED_VALUE"""),"Information Security Intelligence and Analytics using Big Data")</f>
        <v>Information Security Intelligence and Analytics using Big Data</v>
      </c>
      <c r="G170" s="26" t="str">
        <f>IFERROR(__xludf.DUMMYFUNCTION("""COMPUTED_VALUE"""),"-")</f>
        <v>-</v>
      </c>
      <c r="H170" s="26">
        <f>IFERROR(__xludf.DUMMYFUNCTION("""COMPUTED_VALUE"""),2)</f>
        <v>2</v>
      </c>
      <c r="I170" s="26">
        <f>IFERROR(__xludf.DUMMYFUNCTION("""COMPUTED_VALUE"""),1)</f>
        <v>1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IFERROR(__xludf.DUMMYFUNCTION("""COMPUTED_VALUE"""),"TIP (6 Expts)")</f>
        <v>TIP (6 Expts)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IFERROR(__xludf.DUMMYFUNCTION("""COMPUTED_VALUE"""),"CS1534")</f>
        <v>CS1534</v>
      </c>
      <c r="E171" s="26" t="str">
        <f>IFERROR(__xludf.DUMMYFUNCTION("""COMPUTED_VALUE"""),"19CS534")</f>
        <v>19CS534</v>
      </c>
      <c r="F171" s="27" t="str">
        <f>IFERROR(__xludf.DUMMYFUNCTION("""COMPUTED_VALUE"""),"Prevention Methodology for Cybersecurity")</f>
        <v>Prevention Methodology for Cybersecurity</v>
      </c>
      <c r="G171" s="26" t="str">
        <f>IFERROR(__xludf.DUMMYFUNCTION("""COMPUTED_VALUE"""),"-")</f>
        <v>-</v>
      </c>
      <c r="H171" s="26">
        <f>IFERROR(__xludf.DUMMYFUNCTION("""COMPUTED_VALUE"""),2)</f>
        <v>2</v>
      </c>
      <c r="I171" s="26">
        <f>IFERROR(__xludf.DUMMYFUNCTION("""COMPUTED_VALUE"""),1)</f>
        <v>1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IFERROR(__xludf.DUMMYFUNCTION("""COMPUTED_VALUE"""),"TIP (6 Expts)")</f>
        <v>TIP (6 Expts)</v>
      </c>
      <c r="M171" s="26"/>
      <c r="N171" s="26"/>
      <c r="O171" s="26"/>
      <c r="P171" s="26"/>
      <c r="Q171" s="26"/>
      <c r="R171" s="26"/>
    </row>
    <row r="172" ht="13.2" spans="1:18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IFERROR(__xludf.DUMMYFUNCTION("""COMPUTED_VALUE"""),"CS1535")</f>
        <v>CS1535</v>
      </c>
      <c r="E172" s="26" t="str">
        <f>IFERROR(__xludf.DUMMYFUNCTION("""COMPUTED_VALUE"""),"19CS535")</f>
        <v>19CS535</v>
      </c>
      <c r="F172" s="27" t="str">
        <f>IFERROR(__xludf.DUMMYFUNCTION("""COMPUTED_VALUE"""),"Trusted Network Systems")</f>
        <v>Trusted Network Systems</v>
      </c>
      <c r="G172" s="26" t="str">
        <f>IFERROR(__xludf.DUMMYFUNCTION("""COMPUTED_VALUE"""),"-")</f>
        <v>-</v>
      </c>
      <c r="H172" s="26">
        <f>IFERROR(__xludf.DUMMYFUNCTION("""COMPUTED_VALUE"""),3)</f>
        <v>3</v>
      </c>
      <c r="I172" s="26">
        <f>IFERROR(__xludf.DUMMYFUNCTION("""COMPUTED_VALUE"""),0)</f>
        <v>0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IFERROR(__xludf.DUMMYFUNCTION("""COMPUTED_VALUE"""),"Theory")</f>
        <v>Theory</v>
      </c>
      <c r="M172" s="26"/>
      <c r="N172" s="26"/>
      <c r="O172" s="26"/>
      <c r="P172" s="26"/>
      <c r="Q172" s="26"/>
      <c r="R172" s="26"/>
    </row>
    <row r="173" ht="13.2" spans="1:18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IFERROR(__xludf.DUMMYFUNCTION("""COMPUTED_VALUE"""),"CS1536")</f>
        <v>CS1536</v>
      </c>
      <c r="E173" s="26" t="str">
        <f>IFERROR(__xludf.DUMMYFUNCTION("""COMPUTED_VALUE"""),"19CS536")</f>
        <v>19CS536</v>
      </c>
      <c r="F173" s="27" t="str">
        <f>IFERROR(__xludf.DUMMYFUNCTION("""COMPUTED_VALUE"""),"Firewalls and Intrusion Detection System")</f>
        <v>Firewalls and Intrusion Detection System</v>
      </c>
      <c r="G173" s="26" t="str">
        <f>IFERROR(__xludf.DUMMYFUNCTION("""COMPUTED_VALUE"""),"-")</f>
        <v>-</v>
      </c>
      <c r="H173" s="26">
        <f>IFERROR(__xludf.DUMMYFUNCTION("""COMPUTED_VALUE"""),2)</f>
        <v>2</v>
      </c>
      <c r="I173" s="26">
        <f>IFERROR(__xludf.DUMMYFUNCTION("""COMPUTED_VALUE"""),1)</f>
        <v>1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IFERROR(__xludf.DUMMYFUNCTION("""COMPUTED_VALUE"""),"TIP (6 Expts)")</f>
        <v>TIP (6 Expts)</v>
      </c>
      <c r="M173" s="26"/>
      <c r="N173" s="26"/>
      <c r="O173" s="26"/>
      <c r="P173" s="26"/>
      <c r="Q173" s="26"/>
      <c r="R173" s="26"/>
    </row>
    <row r="174" ht="13.2" spans="1:18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IFERROR(__xludf.DUMMYFUNCTION("""COMPUTED_VALUE"""),"CS1537")</f>
        <v>CS1537</v>
      </c>
      <c r="E174" s="26" t="str">
        <f>IFERROR(__xludf.DUMMYFUNCTION("""COMPUTED_VALUE"""),"19CS537")</f>
        <v>19CS537</v>
      </c>
      <c r="F174" s="27" t="str">
        <f>IFERROR(__xludf.DUMMYFUNCTION("""COMPUTED_VALUE"""),"Secure Software Engineering")</f>
        <v>Secure Software Engineering</v>
      </c>
      <c r="G174" s="26" t="str">
        <f>IFERROR(__xludf.DUMMYFUNCTION("""COMPUTED_VALUE"""),"-")</f>
        <v>-</v>
      </c>
      <c r="H174" s="26">
        <f>IFERROR(__xludf.DUMMYFUNCTION("""COMPUTED_VALUE"""),2)</f>
        <v>2</v>
      </c>
      <c r="I174" s="26">
        <f>IFERROR(__xludf.DUMMYFUNCTION("""COMPUTED_VALUE"""),1)</f>
        <v>1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IFERROR(__xludf.DUMMYFUNCTION("""COMPUTED_VALUE"""),"TIP (6 Expts)")</f>
        <v>TIP (6 Expts)</v>
      </c>
      <c r="M174" s="26"/>
      <c r="N174" s="26"/>
      <c r="O174" s="26"/>
      <c r="P174" s="26"/>
      <c r="Q174" s="26"/>
      <c r="R174" s="26"/>
    </row>
    <row r="175" ht="13.2" spans="1:18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IFERROR(__xludf.DUMMYFUNCTION("""COMPUTED_VALUE"""),"CS1538")</f>
        <v>CS1538</v>
      </c>
      <c r="E175" s="26" t="str">
        <f>IFERROR(__xludf.DUMMYFUNCTION("""COMPUTED_VALUE"""),"19CS538")</f>
        <v>19CS538</v>
      </c>
      <c r="F175" s="27" t="str">
        <f>IFERROR(__xludf.DUMMYFUNCTION("""COMPUTED_VALUE"""),"System Security")</f>
        <v>System Security</v>
      </c>
      <c r="G175" s="26" t="str">
        <f>IFERROR(__xludf.DUMMYFUNCTION("""COMPUTED_VALUE"""),"-")</f>
        <v>-</v>
      </c>
      <c r="H175" s="26">
        <f>IFERROR(__xludf.DUMMYFUNCTION("""COMPUTED_VALUE"""),3)</f>
        <v>3</v>
      </c>
      <c r="I175" s="26">
        <f>IFERROR(__xludf.DUMMYFUNCTION("""COMPUTED_VALUE"""),0)</f>
        <v>0</v>
      </c>
      <c r="J175" s="26">
        <f>IFERROR(__xludf.DUMMYFUNCTION("""COMPUTED_VALUE"""),3)</f>
        <v>3</v>
      </c>
      <c r="K175" s="26" t="str">
        <f>IFERROR(__xludf.DUMMYFUNCTION("""COMPUTED_VALUE"""),"CGPA")</f>
        <v>CGPA</v>
      </c>
      <c r="L175" s="26" t="str">
        <f>IFERROR(__xludf.DUMMYFUNCTION("""COMPUTED_VALUE"""),"Theory")</f>
        <v>Theory</v>
      </c>
      <c r="M175" s="26"/>
      <c r="N175" s="26"/>
      <c r="O175" s="26"/>
      <c r="P175" s="26"/>
      <c r="Q175" s="26"/>
      <c r="R175" s="26"/>
    </row>
    <row r="176" ht="13.2" spans="1:18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IFERROR(__xludf.DUMMYFUNCTION("""COMPUTED_VALUE"""),"CS1539")</f>
        <v>CS1539</v>
      </c>
      <c r="E176" s="26" t="str">
        <f>IFERROR(__xludf.DUMMYFUNCTION("""COMPUTED_VALUE"""),"19CS539")</f>
        <v>19CS539</v>
      </c>
      <c r="F176" s="27" t="str">
        <f>IFERROR(__xludf.DUMMYFUNCTION("""COMPUTED_VALUE"""),"Hardware Security")</f>
        <v>Hardware Security</v>
      </c>
      <c r="G176" s="26" t="str">
        <f>IFERROR(__xludf.DUMMYFUNCTION("""COMPUTED_VALUE"""),"-")</f>
        <v>-</v>
      </c>
      <c r="H176" s="26">
        <f>IFERROR(__xludf.DUMMYFUNCTION("""COMPUTED_VALUE"""),3)</f>
        <v>3</v>
      </c>
      <c r="I176" s="26">
        <f>IFERROR(__xludf.DUMMYFUNCTION("""COMPUTED_VALUE"""),0)</f>
        <v>0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IFERROR(__xludf.DUMMYFUNCTION("""COMPUTED_VALUE"""),"Theory")</f>
        <v>Theory</v>
      </c>
      <c r="M176" s="26"/>
      <c r="N176" s="26"/>
      <c r="O176" s="26"/>
      <c r="P176" s="26"/>
      <c r="Q176" s="26"/>
      <c r="R176" s="26"/>
    </row>
    <row r="177" ht="13.2" spans="1:18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IFERROR(__xludf.DUMMYFUNCTION("""COMPUTED_VALUE"""),"CS1540")</f>
        <v>CS1540</v>
      </c>
      <c r="E177" s="26" t="str">
        <f>IFERROR(__xludf.DUMMYFUNCTION("""COMPUTED_VALUE"""),"19CS540")</f>
        <v>19CS540</v>
      </c>
      <c r="F177" s="27" t="str">
        <f>IFERROR(__xludf.DUMMYFUNCTION("""COMPUTED_VALUE"""),"Fog Computing")</f>
        <v>Fog Computing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  <c r="P177" s="26"/>
      <c r="Q177" s="26"/>
      <c r="R177" s="26"/>
    </row>
    <row r="178" ht="13.2" spans="1:18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IFERROR(__xludf.DUMMYFUNCTION("""COMPUTED_VALUE"""),"CS4506")</f>
        <v>CS4506</v>
      </c>
      <c r="E178" s="26" t="str">
        <f>IFERROR(__xludf.DUMMYFUNCTION("""COMPUTED_VALUE"""),"19AM506")</f>
        <v>19AM506</v>
      </c>
      <c r="F178" s="27" t="str">
        <f>IFERROR(__xludf.DUMMYFUNCTION("""COMPUTED_VALUE"""),"Sensors and Actuators for IoT")</f>
        <v>Sensors and Actuators for IoT</v>
      </c>
      <c r="G178" s="26" t="str">
        <f>IFERROR(__xludf.DUMMYFUNCTION("""COMPUTED_VALUE"""),"-")</f>
        <v>-</v>
      </c>
      <c r="H178" s="26">
        <f>IFERROR(__xludf.DUMMYFUNCTION("""COMPUTED_VALUE"""),2)</f>
        <v>2</v>
      </c>
      <c r="I178" s="26">
        <f>IFERROR(__xludf.DUMMYFUNCTION("""COMPUTED_VALUE"""),1)</f>
        <v>1</v>
      </c>
      <c r="J178" s="26">
        <f>IFERROR(__xludf.DUMMYFUNCTION("""COMPUTED_VALUE"""),3)</f>
        <v>3</v>
      </c>
      <c r="K178" s="26" t="str">
        <f>IFERROR(__xludf.DUMMYFUNCTION("""COMPUTED_VALUE"""),"CGPA")</f>
        <v>CGPA</v>
      </c>
      <c r="L178" s="26" t="str">
        <f>IFERROR(__xludf.DUMMYFUNCTION("""COMPUTED_VALUE"""),"TIP (6 Expts)")</f>
        <v>TIP (6 Expts)</v>
      </c>
      <c r="M178" s="26"/>
      <c r="N178" s="26"/>
      <c r="O178" s="26"/>
      <c r="P178" s="26"/>
      <c r="Q178" s="26"/>
      <c r="R178" s="26"/>
    </row>
    <row r="179" ht="13.2" spans="1:18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IFERROR(__xludf.DUMMYFUNCTION("""COMPUTED_VALUE"""),"CS1542")</f>
        <v>CS1542</v>
      </c>
      <c r="E179" s="26" t="str">
        <f>IFERROR(__xludf.DUMMYFUNCTION("""COMPUTED_VALUE"""),"19CS542")</f>
        <v>19CS542</v>
      </c>
      <c r="F179" s="27" t="str">
        <f>IFERROR(__xludf.DUMMYFUNCTION("""COMPUTED_VALUE"""),"Embedded Board Design")</f>
        <v>Embedded Board Design</v>
      </c>
      <c r="G179" s="26" t="str">
        <f>IFERROR(__xludf.DUMMYFUNCTION("""COMPUTED_VALUE"""),"-")</f>
        <v>-</v>
      </c>
      <c r="H179" s="26">
        <f>IFERROR(__xludf.DUMMYFUNCTION("""COMPUTED_VALUE"""),2)</f>
        <v>2</v>
      </c>
      <c r="I179" s="26">
        <f>IFERROR(__xludf.DUMMYFUNCTION("""COMPUTED_VALUE"""),1)</f>
        <v>1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IFERROR(__xludf.DUMMYFUNCTION("""COMPUTED_VALUE"""),"TIP (6 Expts)")</f>
        <v>TIP (6 Expts)</v>
      </c>
      <c r="M179" s="26"/>
      <c r="N179" s="26"/>
      <c r="O179" s="26"/>
      <c r="P179" s="26"/>
      <c r="Q179" s="26"/>
      <c r="R179" s="26"/>
    </row>
    <row r="180" ht="13.2" spans="1:18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IFERROR(__xludf.DUMMYFUNCTION("""COMPUTED_VALUE"""),"CS1543")</f>
        <v>CS1543</v>
      </c>
      <c r="E180" s="26" t="str">
        <f>IFERROR(__xludf.DUMMYFUNCTION("""COMPUTED_VALUE"""),"19CS543")</f>
        <v>19CS543</v>
      </c>
      <c r="F180" s="27" t="str">
        <f>IFERROR(__xludf.DUMMYFUNCTION("""COMPUTED_VALUE"""),"Embedded Board Manufacturing")</f>
        <v>Embedded Board Manufacturing</v>
      </c>
      <c r="G180" s="26" t="str">
        <f>IFERROR(__xludf.DUMMYFUNCTION("""COMPUTED_VALUE"""),"-")</f>
        <v>-</v>
      </c>
      <c r="H180" s="26">
        <f>IFERROR(__xludf.DUMMYFUNCTION("""COMPUTED_VALUE"""),2)</f>
        <v>2</v>
      </c>
      <c r="I180" s="26">
        <f>IFERROR(__xludf.DUMMYFUNCTION("""COMPUTED_VALUE"""),1)</f>
        <v>1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IFERROR(__xludf.DUMMYFUNCTION("""COMPUTED_VALUE"""),"TIP (6 Expts)")</f>
        <v>TIP (6 Expts)</v>
      </c>
      <c r="M180" s="26"/>
      <c r="N180" s="26"/>
      <c r="O180" s="26"/>
      <c r="P180" s="26"/>
      <c r="Q180" s="26"/>
      <c r="R180" s="26"/>
    </row>
    <row r="181" ht="13.2" spans="1:18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IFERROR(__xludf.DUMMYFUNCTION("""COMPUTED_VALUE"""),"CS1544")</f>
        <v>CS1544</v>
      </c>
      <c r="E181" s="26" t="str">
        <f>IFERROR(__xludf.DUMMYFUNCTION("""COMPUTED_VALUE"""),"19CS544")</f>
        <v>19CS544</v>
      </c>
      <c r="F181" s="27" t="str">
        <f>IFERROR(__xludf.DUMMYFUNCTION("""COMPUTED_VALUE"""),"Realtime Operating System")</f>
        <v>Realtime Operating System</v>
      </c>
      <c r="G181" s="26" t="str">
        <f>IFERROR(__xludf.DUMMYFUNCTION("""COMPUTED_VALUE"""),"-")</f>
        <v>-</v>
      </c>
      <c r="H181" s="26">
        <f>IFERROR(__xludf.DUMMYFUNCTION("""COMPUTED_VALUE"""),2)</f>
        <v>2</v>
      </c>
      <c r="I181" s="26">
        <f>IFERROR(__xludf.DUMMYFUNCTION("""COMPUTED_VALUE"""),1)</f>
        <v>1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IFERROR(__xludf.DUMMYFUNCTION("""COMPUTED_VALUE"""),"TIP (6 Expts)")</f>
        <v>TIP (6 Expts)</v>
      </c>
      <c r="M181" s="26"/>
      <c r="N181" s="26"/>
      <c r="O181" s="26"/>
      <c r="P181" s="26"/>
      <c r="Q181" s="26"/>
      <c r="R181" s="26"/>
    </row>
    <row r="182" ht="13.2" spans="1:18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IFERROR(__xludf.DUMMYFUNCTION("""COMPUTED_VALUE"""),"CS1545")</f>
        <v>CS1545</v>
      </c>
      <c r="E182" s="26" t="str">
        <f>IFERROR(__xludf.DUMMYFUNCTION("""COMPUTED_VALUE"""),"19CS545")</f>
        <v>19CS545</v>
      </c>
      <c r="F182" s="27" t="str">
        <f>IFERROR(__xludf.DUMMYFUNCTION("""COMPUTED_VALUE"""),"Open Source Operating System")</f>
        <v>Open Source Operating System</v>
      </c>
      <c r="G182" s="26" t="str">
        <f>IFERROR(__xludf.DUMMYFUNCTION("""COMPUTED_VALUE"""),"-")</f>
        <v>-</v>
      </c>
      <c r="H182" s="26">
        <f>IFERROR(__xludf.DUMMYFUNCTION("""COMPUTED_VALUE"""),2)</f>
        <v>2</v>
      </c>
      <c r="I182" s="26">
        <f>IFERROR(__xludf.DUMMYFUNCTION("""COMPUTED_VALUE"""),1)</f>
        <v>1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IFERROR(__xludf.DUMMYFUNCTION("""COMPUTED_VALUE"""),"TIP (6 Expts)")</f>
        <v>TIP (6 Expts)</v>
      </c>
      <c r="M182" s="26"/>
      <c r="N182" s="26"/>
      <c r="O182" s="26"/>
      <c r="P182" s="26"/>
      <c r="Q182" s="26"/>
      <c r="R182" s="26"/>
    </row>
    <row r="183" ht="13.2" spans="1:18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IFERROR(__xludf.DUMMYFUNCTION("""COMPUTED_VALUE"""),"CS1546")</f>
        <v>CS1546</v>
      </c>
      <c r="E183" s="26" t="str">
        <f>IFERROR(__xludf.DUMMYFUNCTION("""COMPUTED_VALUE"""),"19CS546")</f>
        <v>19CS546</v>
      </c>
      <c r="F183" s="27" t="str">
        <f>IFERROR(__xludf.DUMMYFUNCTION("""COMPUTED_VALUE"""),"Kernel Programming")</f>
        <v>Kernel Programming</v>
      </c>
      <c r="G183" s="26" t="str">
        <f>IFERROR(__xludf.DUMMYFUNCTION("""COMPUTED_VALUE"""),"-")</f>
        <v>-</v>
      </c>
      <c r="H183" s="26">
        <f>IFERROR(__xludf.DUMMYFUNCTION("""COMPUTED_VALUE"""),2)</f>
        <v>2</v>
      </c>
      <c r="I183" s="26">
        <f>IFERROR(__xludf.DUMMYFUNCTION("""COMPUTED_VALUE"""),1)</f>
        <v>1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IFERROR(__xludf.DUMMYFUNCTION("""COMPUTED_VALUE"""),"TIP (6 Expts)")</f>
        <v>TIP (6 Expts)</v>
      </c>
      <c r="M183" s="26"/>
      <c r="N183" s="26"/>
      <c r="O183" s="26"/>
      <c r="P183" s="26"/>
      <c r="Q183" s="26"/>
      <c r="R183" s="26"/>
    </row>
    <row r="184" ht="13.2" spans="1:18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IFERROR(__xludf.DUMMYFUNCTION("""COMPUTED_VALUE"""),"CS1547")</f>
        <v>CS1547</v>
      </c>
      <c r="E184" s="26" t="str">
        <f>IFERROR(__xludf.DUMMYFUNCTION("""COMPUTED_VALUE"""),"19CS547")</f>
        <v>19CS547</v>
      </c>
      <c r="F184" s="27" t="str">
        <f>IFERROR(__xludf.DUMMYFUNCTION("""COMPUTED_VALUE"""),"Fundamentals of Cryptocurrency")</f>
        <v>Fundamentals of Cryptocurrency</v>
      </c>
      <c r="G184" s="26" t="str">
        <f>IFERROR(__xludf.DUMMYFUNCTION("""COMPUTED_VALUE"""),"-")</f>
        <v>-</v>
      </c>
      <c r="H184" s="26">
        <f>IFERROR(__xludf.DUMMYFUNCTION("""COMPUTED_VALUE"""),3)</f>
        <v>3</v>
      </c>
      <c r="I184" s="26">
        <f>IFERROR(__xludf.DUMMYFUNCTION("""COMPUTED_VALUE"""),0)</f>
        <v>0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IFERROR(__xludf.DUMMYFUNCTION("""COMPUTED_VALUE"""),"Theory")</f>
        <v>Theory</v>
      </c>
      <c r="M184" s="26"/>
      <c r="N184" s="26"/>
      <c r="O184" s="26"/>
      <c r="P184" s="26"/>
      <c r="Q184" s="26"/>
      <c r="R184" s="26"/>
    </row>
    <row r="185" ht="13.2" spans="1:18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IFERROR(__xludf.DUMMYFUNCTION("""COMPUTED_VALUE"""),"CS1548")</f>
        <v>CS1548</v>
      </c>
      <c r="E185" s="26" t="str">
        <f>IFERROR(__xludf.DUMMYFUNCTION("""COMPUTED_VALUE"""),"19CS548")</f>
        <v>19CS548</v>
      </c>
      <c r="F185" s="27" t="str">
        <f>IFERROR(__xludf.DUMMYFUNCTION("""COMPUTED_VALUE"""),"Cloud Services Management")</f>
        <v>Cloud Services Management</v>
      </c>
      <c r="G185" s="26" t="str">
        <f>IFERROR(__xludf.DUMMYFUNCTION("""COMPUTED_VALUE"""),"-")</f>
        <v>-</v>
      </c>
      <c r="H185" s="26">
        <f>IFERROR(__xludf.DUMMYFUNCTION("""COMPUTED_VALUE"""),2)</f>
        <v>2</v>
      </c>
      <c r="I185" s="26">
        <f>IFERROR(__xludf.DUMMYFUNCTION("""COMPUTED_VALUE"""),1)</f>
        <v>1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IFERROR(__xludf.DUMMYFUNCTION("""COMPUTED_VALUE"""),"TIP (6 Expts)")</f>
        <v>TIP (6 Expts)</v>
      </c>
      <c r="M185" s="26"/>
      <c r="N185" s="26"/>
      <c r="O185" s="26"/>
      <c r="P185" s="26"/>
      <c r="Q185" s="26"/>
      <c r="R185" s="26"/>
    </row>
    <row r="186" ht="13.2" spans="1:18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IFERROR(__xludf.DUMMYFUNCTION("""COMPUTED_VALUE"""),"CS1549")</f>
        <v>CS1549</v>
      </c>
      <c r="E186" s="26" t="str">
        <f>IFERROR(__xludf.DUMMYFUNCTION("""COMPUTED_VALUE"""),"19CS549")</f>
        <v>19CS549</v>
      </c>
      <c r="F186" s="27" t="str">
        <f>IFERROR(__xludf.DUMMYFUNCTION("""COMPUTED_VALUE"""),"UI and UX Design")</f>
        <v>UI and UX Design</v>
      </c>
      <c r="G186" s="26" t="str">
        <f>IFERROR(__xludf.DUMMYFUNCTION("""COMPUTED_VALUE"""),"-")</f>
        <v>-</v>
      </c>
      <c r="H186" s="26">
        <f>IFERROR(__xludf.DUMMYFUNCTION("""COMPUTED_VALUE"""),2)</f>
        <v>2</v>
      </c>
      <c r="I186" s="26">
        <f>IFERROR(__xludf.DUMMYFUNCTION("""COMPUTED_VALUE"""),1)</f>
        <v>1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IFERROR(__xludf.DUMMYFUNCTION("""COMPUTED_VALUE"""),"TIP (6 Expts)")</f>
        <v>TIP (6 Expts)</v>
      </c>
      <c r="M186" s="26"/>
      <c r="N186" s="26"/>
      <c r="O186" s="26"/>
      <c r="P186" s="26"/>
      <c r="Q186" s="26"/>
      <c r="R186" s="26"/>
    </row>
    <row r="187" ht="13.2" spans="1:18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IFERROR(__xludf.DUMMYFUNCTION("""COMPUTED_VALUE"""),"CS1550")</f>
        <v>CS1550</v>
      </c>
      <c r="E187" s="26" t="str">
        <f>IFERROR(__xludf.DUMMYFUNCTION("""COMPUTED_VALUE"""),"19CS550")</f>
        <v>19CS550</v>
      </c>
      <c r="F187" s="26" t="str">
        <f>IFERROR(__xludf.DUMMYFUNCTION("""COMPUTED_VALUE"""),"AI and Ethics")</f>
        <v>AI and Ethics</v>
      </c>
      <c r="G187" s="26" t="str">
        <f>IFERROR(__xludf.DUMMYFUNCTION("""COMPUTED_VALUE"""),"-")</f>
        <v>-</v>
      </c>
      <c r="H187" s="26">
        <f>IFERROR(__xludf.DUMMYFUNCTION("""COMPUTED_VALUE"""),3)</f>
        <v>3</v>
      </c>
      <c r="I187" s="26">
        <f>IFERROR(__xludf.DUMMYFUNCTION("""COMPUTED_VALUE"""),0)</f>
        <v>0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IFERROR(__xludf.DUMMYFUNCTION("""COMPUTED_VALUE"""),"Theory")</f>
        <v>Theory</v>
      </c>
      <c r="M187" s="26"/>
      <c r="N187" s="26"/>
      <c r="O187" s="26"/>
      <c r="P187" s="26"/>
      <c r="Q187" s="26"/>
      <c r="R187" s="26"/>
    </row>
    <row r="188" ht="13.2" spans="1:18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IFERROR(__xludf.DUMMYFUNCTION("""COMPUTED_VALUE"""),"CS1551")</f>
        <v>CS1551</v>
      </c>
      <c r="E188" s="26" t="str">
        <f>IFERROR(__xludf.DUMMYFUNCTION("""COMPUTED_VALUE"""),"19CS551")</f>
        <v>19CS551</v>
      </c>
      <c r="F188" s="27" t="str">
        <f>IFERROR(__xludf.DUMMYFUNCTION("""COMPUTED_VALUE"""),"Software Testing and Automation")</f>
        <v>Software Testing and Automation</v>
      </c>
      <c r="G188" s="26" t="str">
        <f>IFERROR(__xludf.DUMMYFUNCTION("""COMPUTED_VALUE"""),"-")</f>
        <v>-</v>
      </c>
      <c r="H188" s="26">
        <f>IFERROR(__xludf.DUMMYFUNCTION("""COMPUTED_VALUE"""),2)</f>
        <v>2</v>
      </c>
      <c r="I188" s="26">
        <f>IFERROR(__xludf.DUMMYFUNCTION("""COMPUTED_VALUE"""),1)</f>
        <v>1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  <c r="P188" s="26"/>
      <c r="Q188" s="26"/>
      <c r="R188" s="26"/>
    </row>
    <row r="189" ht="13.2" spans="1:18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IFERROR(__xludf.DUMMYFUNCTION("""COMPUTED_VALUE"""),"CS1552")</f>
        <v>CS1552</v>
      </c>
      <c r="E189" s="26" t="str">
        <f>IFERROR(__xludf.DUMMYFUNCTION("""COMPUTED_VALUE"""),"19CS552")</f>
        <v>19CS552</v>
      </c>
      <c r="F189" s="27" t="str">
        <f>IFERROR(__xludf.DUMMYFUNCTION("""COMPUTED_VALUE"""),"DevOps")</f>
        <v>DevOps</v>
      </c>
      <c r="G189" s="26" t="str">
        <f>IFERROR(__xludf.DUMMYFUNCTION("""COMPUTED_VALUE"""),"-")</f>
        <v>-</v>
      </c>
      <c r="H189" s="26">
        <f>IFERROR(__xludf.DUMMYFUNCTION("""COMPUTED_VALUE"""),2)</f>
        <v>2</v>
      </c>
      <c r="I189" s="26">
        <f>IFERROR(__xludf.DUMMYFUNCTION("""COMPUTED_VALUE"""),1)</f>
        <v>1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IFERROR(__xludf.DUMMYFUNCTION("""COMPUTED_VALUE"""),"TIP (6 Expts)")</f>
        <v>TIP (6 Expts)</v>
      </c>
      <c r="M189" s="26"/>
      <c r="N189" s="26"/>
      <c r="O189" s="26"/>
      <c r="P189" s="26"/>
      <c r="Q189" s="26"/>
      <c r="R189" s="26"/>
    </row>
    <row r="190" ht="13.2" spans="1:18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IFERROR(__xludf.DUMMYFUNCTION("""COMPUTED_VALUE"""),"CS1553")</f>
        <v>CS1553</v>
      </c>
      <c r="E190" s="26" t="str">
        <f>IFERROR(__xludf.DUMMYFUNCTION("""COMPUTED_VALUE"""),"19CS553")</f>
        <v>19CS553</v>
      </c>
      <c r="F190" s="27" t="str">
        <f>IFERROR(__xludf.DUMMYFUNCTION("""COMPUTED_VALUE"""),"Web Application Security")</f>
        <v>Web Application Security</v>
      </c>
      <c r="G190" s="26" t="str">
        <f>IFERROR(__xludf.DUMMYFUNCTION("""COMPUTED_VALUE"""),"-")</f>
        <v>-</v>
      </c>
      <c r="H190" s="26">
        <f>IFERROR(__xludf.DUMMYFUNCTION("""COMPUTED_VALUE"""),2)</f>
        <v>2</v>
      </c>
      <c r="I190" s="26">
        <f>IFERROR(__xludf.DUMMYFUNCTION("""COMPUTED_VALUE"""),1)</f>
        <v>1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IFERROR(__xludf.DUMMYFUNCTION("""COMPUTED_VALUE"""),"TIP (6 Expts)")</f>
        <v>TIP (6 Expts)</v>
      </c>
      <c r="M190" s="26"/>
      <c r="N190" s="26"/>
      <c r="O190" s="26"/>
      <c r="P190" s="26"/>
      <c r="Q190" s="26"/>
      <c r="R190" s="26"/>
    </row>
    <row r="191" ht="13.2" spans="1:18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IFERROR(__xludf.DUMMYFUNCTION("""COMPUTED_VALUE"""),"CS1554")</f>
        <v>CS1554</v>
      </c>
      <c r="E191" s="26" t="str">
        <f>IFERROR(__xludf.DUMMYFUNCTION("""COMPUTED_VALUE"""),"19CS554")</f>
        <v>19CS554</v>
      </c>
      <c r="F191" s="26" t="str">
        <f>IFERROR(__xludf.DUMMYFUNCTION("""COMPUTED_VALUE"""),"Stream Processing")</f>
        <v>Stream Processing</v>
      </c>
      <c r="G191" s="26" t="str">
        <f>IFERROR(__xludf.DUMMYFUNCTION("""COMPUTED_VALUE"""),"-")</f>
        <v>-</v>
      </c>
      <c r="H191" s="26">
        <f>IFERROR(__xludf.DUMMYFUNCTION("""COMPUTED_VALUE"""),2)</f>
        <v>2</v>
      </c>
      <c r="I191" s="26">
        <f>IFERROR(__xludf.DUMMYFUNCTION("""COMPUTED_VALUE"""),1)</f>
        <v>1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IFERROR(__xludf.DUMMYFUNCTION("""COMPUTED_VALUE"""),"TIP (6 Expts)")</f>
        <v>TIP (6 Expts)</v>
      </c>
      <c r="M191" s="26"/>
      <c r="N191" s="26"/>
      <c r="O191" s="26"/>
      <c r="P191" s="26"/>
      <c r="Q191" s="26"/>
      <c r="R191" s="26"/>
    </row>
    <row r="192" ht="13.2" spans="1:18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IFERROR(__xludf.DUMMYFUNCTION("""COMPUTED_VALUE"""),"CS1557")</f>
        <v>CS1557</v>
      </c>
      <c r="E192" s="26" t="str">
        <f>IFERROR(__xludf.DUMMYFUNCTION("""COMPUTED_VALUE"""),"19CS557")</f>
        <v>19CS557</v>
      </c>
      <c r="F192" s="26" t="str">
        <f>IFERROR(__xludf.DUMMYFUNCTION("""COMPUTED_VALUE"""),"Software Defined Networks")</f>
        <v>Software Defined Networks</v>
      </c>
      <c r="G192" s="26" t="str">
        <f>IFERROR(__xludf.DUMMYFUNCTION("""COMPUTED_VALUE"""),"-")</f>
        <v>-</v>
      </c>
      <c r="H192" s="26">
        <f>IFERROR(__xludf.DUMMYFUNCTION("""COMPUTED_VALUE"""),2)</f>
        <v>2</v>
      </c>
      <c r="I192" s="26">
        <f>IFERROR(__xludf.DUMMYFUNCTION("""COMPUTED_VALUE"""),1)</f>
        <v>1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IFERROR(__xludf.DUMMYFUNCTION("""COMPUTED_VALUE"""),"TIP (6 Expts)")</f>
        <v>TIP (6 Expts)</v>
      </c>
      <c r="M192" s="26"/>
      <c r="N192" s="26"/>
      <c r="O192" s="26"/>
      <c r="P192" s="26"/>
      <c r="Q192" s="26"/>
      <c r="R192" s="26"/>
    </row>
    <row r="193" ht="13.2" spans="1:18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IFERROR(__xludf.DUMMYFUNCTION("""COMPUTED_VALUE"""),"CS1556")</f>
        <v>CS1556</v>
      </c>
      <c r="E193" s="26" t="str">
        <f>IFERROR(__xludf.DUMMYFUNCTION("""COMPUTED_VALUE"""),"19CS556")</f>
        <v>19CS556</v>
      </c>
      <c r="F193" s="27" t="str">
        <f>IFERROR(__xludf.DUMMYFUNCTION("""COMPUTED_VALUE"""),"Core Computing Concepts")</f>
        <v>Core Computing Concepts</v>
      </c>
      <c r="G193" s="26" t="str">
        <f>IFERROR(__xludf.DUMMYFUNCTION("""COMPUTED_VALUE"""),"-")</f>
        <v>-</v>
      </c>
      <c r="H193" s="26">
        <f>IFERROR(__xludf.DUMMYFUNCTION("""COMPUTED_VALUE"""),2)</f>
        <v>2</v>
      </c>
      <c r="I193" s="26">
        <f>IFERROR(__xludf.DUMMYFUNCTION("""COMPUTED_VALUE"""),1)</f>
        <v>1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  <c r="P193" s="26"/>
      <c r="Q193" s="26"/>
      <c r="R193" s="26"/>
    </row>
    <row r="194" ht="13.2" spans="1:18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IFERROR(__xludf.DUMMYFUNCTION("""COMPUTED_VALUE"""),"CS1558")</f>
        <v>CS1558</v>
      </c>
      <c r="E194" s="26" t="str">
        <f>IFERROR(__xludf.DUMMYFUNCTION("""COMPUTED_VALUE"""),"19CS558")</f>
        <v>19CS558</v>
      </c>
      <c r="F194" s="26" t="str">
        <f>IFERROR(__xludf.DUMMYFUNCTION("""COMPUTED_VALUE"""),"Data Privacy and Protection")</f>
        <v>Data Privacy and Protection</v>
      </c>
      <c r="G194" s="26" t="str">
        <f>IFERROR(__xludf.DUMMYFUNCTION("""COMPUTED_VALUE"""),"-")</f>
        <v>-</v>
      </c>
      <c r="H194" s="26">
        <f>IFERROR(__xludf.DUMMYFUNCTION("""COMPUTED_VALUE"""),2)</f>
        <v>2</v>
      </c>
      <c r="I194" s="26">
        <f>IFERROR(__xludf.DUMMYFUNCTION("""COMPUTED_VALUE"""),1)</f>
        <v>1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  <c r="P194" s="26"/>
      <c r="Q194" s="26"/>
      <c r="R194" s="26"/>
    </row>
    <row r="195" ht="13.2" spans="1:18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IFERROR(__xludf.DUMMYFUNCTION("""COMPUTED_VALUE"""),"CS1559")</f>
        <v>CS1559</v>
      </c>
      <c r="E195" s="26" t="str">
        <f>IFERROR(__xludf.DUMMYFUNCTION("""COMPUTED_VALUE"""),"19CS559")</f>
        <v>19CS559</v>
      </c>
      <c r="F195" s="26" t="str">
        <f>IFERROR(__xludf.DUMMYFUNCTION("""COMPUTED_VALUE"""),"Blockchain Platforms and Its Use Cases")</f>
        <v>Blockchain Platforms and Its Use Cases</v>
      </c>
      <c r="G195" s="26" t="str">
        <f>IFERROR(__xludf.DUMMYFUNCTION("""COMPUTED_VALUE"""),"-")</f>
        <v>-</v>
      </c>
      <c r="H195" s="26">
        <f>IFERROR(__xludf.DUMMYFUNCTION("""COMPUTED_VALUE"""),2)</f>
        <v>2</v>
      </c>
      <c r="I195" s="26">
        <f>IFERROR(__xludf.DUMMYFUNCTION("""COMPUTED_VALUE"""),1)</f>
        <v>1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IFERROR(__xludf.DUMMYFUNCTION("""COMPUTED_VALUE"""),"TIP (6 Expts)")</f>
        <v>TIP (6 Expts)</v>
      </c>
      <c r="M195" s="26"/>
      <c r="N195" s="26"/>
      <c r="O195" s="26"/>
      <c r="P195" s="26"/>
      <c r="Q195" s="26"/>
      <c r="R195" s="26"/>
    </row>
    <row r="196" ht="13.2" spans="1:18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IFERROR(__xludf.DUMMYFUNCTION("""COMPUTED_VALUE"""),"CS1560")</f>
        <v>CS1560</v>
      </c>
      <c r="E196" s="26" t="str">
        <f>IFERROR(__xludf.DUMMYFUNCTION("""COMPUTED_VALUE"""),"19CS560")</f>
        <v>19CS560</v>
      </c>
      <c r="F196" s="26" t="str">
        <f>IFERROR(__xludf.DUMMYFUNCTION("""COMPUTED_VALUE"""),"Smart Contract and Solidity")</f>
        <v>Smart Contract and Solidity</v>
      </c>
      <c r="G196" s="26" t="str">
        <f>IFERROR(__xludf.DUMMYFUNCTION("""COMPUTED_VALUE"""),"-")</f>
        <v>-</v>
      </c>
      <c r="H196" s="26">
        <f>IFERROR(__xludf.DUMMYFUNCTION("""COMPUTED_VALUE"""),2)</f>
        <v>2</v>
      </c>
      <c r="I196" s="26">
        <f>IFERROR(__xludf.DUMMYFUNCTION("""COMPUTED_VALUE"""),1)</f>
        <v>1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IFERROR(__xludf.DUMMYFUNCTION("""COMPUTED_VALUE"""),"TIP (6 Expts)")</f>
        <v>TIP (6 Expts)</v>
      </c>
      <c r="M196" s="26"/>
      <c r="N196" s="26"/>
      <c r="O196" s="26"/>
      <c r="P196" s="26"/>
      <c r="Q196" s="26"/>
      <c r="R196" s="26"/>
    </row>
    <row r="197" ht="13.2" spans="1:18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IFERROR(__xludf.DUMMYFUNCTION("""COMPUTED_VALUE"""),"CS1561")</f>
        <v>CS1561</v>
      </c>
      <c r="E197" s="26" t="str">
        <f>IFERROR(__xludf.DUMMYFUNCTION("""COMPUTED_VALUE"""),"19CS561")</f>
        <v>19CS561</v>
      </c>
      <c r="F197" s="26" t="str">
        <f>IFERROR(__xludf.DUMMYFUNCTION("""COMPUTED_VALUE"""),"Blockchain and Fintech")</f>
        <v>Blockchain and Fintech</v>
      </c>
      <c r="G197" s="26" t="str">
        <f>IFERROR(__xludf.DUMMYFUNCTION("""COMPUTED_VALUE"""),"-")</f>
        <v>-</v>
      </c>
      <c r="H197" s="26">
        <f>IFERROR(__xludf.DUMMYFUNCTION("""COMPUTED_VALUE"""),2)</f>
        <v>2</v>
      </c>
      <c r="I197" s="26">
        <f>IFERROR(__xludf.DUMMYFUNCTION("""COMPUTED_VALUE"""),1)</f>
        <v>1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IFERROR(__xludf.DUMMYFUNCTION("""COMPUTED_VALUE"""),"TIP (6 Expts)")</f>
        <v>TIP (6 Expts)</v>
      </c>
      <c r="M197" s="26"/>
      <c r="N197" s="26"/>
      <c r="O197" s="26"/>
      <c r="P197" s="26"/>
      <c r="Q197" s="26"/>
      <c r="R197" s="26"/>
    </row>
    <row r="198" ht="13.2" spans="1:18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IFERROR(__xludf.DUMMYFUNCTION("""COMPUTED_VALUE"""),"CS1562")</f>
        <v>CS1562</v>
      </c>
      <c r="E198" s="26" t="str">
        <f>IFERROR(__xludf.DUMMYFUNCTION("""COMPUTED_VALUE"""),"19CS562")</f>
        <v>19CS562</v>
      </c>
      <c r="F198" s="26" t="str">
        <f>IFERROR(__xludf.DUMMYFUNCTION("""COMPUTED_VALUE"""),"Public Key Infrastructure and Trust Management")</f>
        <v>Public Key Infrastructure and Trust Management</v>
      </c>
      <c r="G198" s="26" t="str">
        <f>IFERROR(__xludf.DUMMYFUNCTION("""COMPUTED_VALUE"""),"-")</f>
        <v>-</v>
      </c>
      <c r="H198" s="26">
        <f>IFERROR(__xludf.DUMMYFUNCTION("""COMPUTED_VALUE"""),2)</f>
        <v>2</v>
      </c>
      <c r="I198" s="26">
        <f>IFERROR(__xludf.DUMMYFUNCTION("""COMPUTED_VALUE"""),1)</f>
        <v>1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IFERROR(__xludf.DUMMYFUNCTION("""COMPUTED_VALUE"""),"TIP (6 Expts)")</f>
        <v>TIP (6 Expts)</v>
      </c>
      <c r="M198" s="26"/>
      <c r="N198" s="26"/>
      <c r="O198" s="26"/>
      <c r="P198" s="26"/>
      <c r="Q198" s="26"/>
      <c r="R198" s="26"/>
    </row>
    <row r="199" ht="13.2" spans="1:18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IFERROR(__xludf.DUMMYFUNCTION("""COMPUTED_VALUE"""),"CS1563")</f>
        <v>CS1563</v>
      </c>
      <c r="E199" s="26" t="str">
        <f>IFERROR(__xludf.DUMMYFUNCTION("""COMPUTED_VALUE"""),"19CS563")</f>
        <v>19CS563</v>
      </c>
      <c r="F199" s="26" t="str">
        <f>IFERROR(__xludf.DUMMYFUNCTION("""COMPUTED_VALUE"""),"Bitcoin Mining")</f>
        <v>Bitcoin Mining</v>
      </c>
      <c r="G199" s="26" t="str">
        <f>IFERROR(__xludf.DUMMYFUNCTION("""COMPUTED_VALUE"""),"-")</f>
        <v>-</v>
      </c>
      <c r="H199" s="26">
        <f>IFERROR(__xludf.DUMMYFUNCTION("""COMPUTED_VALUE"""),2)</f>
        <v>2</v>
      </c>
      <c r="I199" s="26">
        <f>IFERROR(__xludf.DUMMYFUNCTION("""COMPUTED_VALUE"""),1)</f>
        <v>1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IFERROR(__xludf.DUMMYFUNCTION("""COMPUTED_VALUE"""),"TIP (6 Expts)")</f>
        <v>TIP (6 Expts)</v>
      </c>
      <c r="M199" s="26"/>
      <c r="N199" s="26"/>
      <c r="O199" s="26"/>
      <c r="P199" s="26"/>
      <c r="Q199" s="26"/>
      <c r="R199" s="26"/>
    </row>
    <row r="200" ht="13.2" spans="1:18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IFERROR(__xludf.DUMMYFUNCTION("""COMPUTED_VALUE"""),"CS1565")</f>
        <v>CS1565</v>
      </c>
      <c r="E200" s="26" t="str">
        <f>IFERROR(__xludf.DUMMYFUNCTION("""COMPUTED_VALUE"""),"19CS565")</f>
        <v>19CS565</v>
      </c>
      <c r="F200" s="27" t="str">
        <f>IFERROR(__xludf.DUMMYFUNCTION("""COMPUTED_VALUE"""),"Robotic Process Automation")</f>
        <v>Robotic Process Automation</v>
      </c>
      <c r="G200" s="26" t="str">
        <f>IFERROR(__xludf.DUMMYFUNCTION("""COMPUTED_VALUE"""),"-")</f>
        <v>-</v>
      </c>
      <c r="H200" s="26">
        <f>IFERROR(__xludf.DUMMYFUNCTION("""COMPUTED_VALUE"""),2)</f>
        <v>2</v>
      </c>
      <c r="I200" s="26">
        <f>IFERROR(__xludf.DUMMYFUNCTION("""COMPUTED_VALUE"""),1)</f>
        <v>1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IFERROR(__xludf.DUMMYFUNCTION("""COMPUTED_VALUE"""),"TIP (6 Expts)")</f>
        <v>TIP (6 Expts)</v>
      </c>
      <c r="M200" s="26"/>
      <c r="N200" s="26"/>
      <c r="O200" s="26"/>
      <c r="P200" s="26"/>
      <c r="Q200" s="26"/>
      <c r="R200" s="26"/>
    </row>
    <row r="201" ht="13.2" spans="1:18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IFERROR(__xludf.DUMMYFUNCTION("""COMPUTED_VALUE"""),"CS1566")</f>
        <v>CS1566</v>
      </c>
      <c r="E201" s="26" t="str">
        <f>IFERROR(__xludf.DUMMYFUNCTION("""COMPUTED_VALUE"""),"19CS566")</f>
        <v>19CS566</v>
      </c>
      <c r="F201" s="27" t="str">
        <f>IFERROR(__xludf.DUMMYFUNCTION("""COMPUTED_VALUE"""),"Software Project Management and Version Control")</f>
        <v>Software Project Management and Version Control</v>
      </c>
      <c r="G201" s="26" t="str">
        <f>IFERROR(__xludf.DUMMYFUNCTION("""COMPUTED_VALUE"""),"-")</f>
        <v>-</v>
      </c>
      <c r="H201" s="26">
        <f>IFERROR(__xludf.DUMMYFUNCTION("""COMPUTED_VALUE"""),3)</f>
        <v>3</v>
      </c>
      <c r="I201" s="26">
        <f>IFERROR(__xludf.DUMMYFUNCTION("""COMPUTED_VALUE"""),0)</f>
        <v>0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IFERROR(__xludf.DUMMYFUNCTION("""COMPUTED_VALUE"""),"Theory")</f>
        <v>Theory</v>
      </c>
      <c r="M201" s="26"/>
      <c r="N201" s="26"/>
      <c r="O201" s="26"/>
      <c r="P201" s="26"/>
      <c r="Q201" s="26"/>
      <c r="R201" s="26"/>
    </row>
    <row r="202" ht="13.2" spans="1:18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IFERROR(__xludf.DUMMYFUNCTION("""COMPUTED_VALUE"""),"CS1579")</f>
        <v>CS1579</v>
      </c>
      <c r="E202" s="26" t="str">
        <f>IFERROR(__xludf.DUMMYFUNCTION("""COMPUTED_VALUE"""),"19CS579")</f>
        <v>19CS579</v>
      </c>
      <c r="F202" s="27" t="str">
        <f>IFERROR(__xludf.DUMMYFUNCTION("""COMPUTED_VALUE"""),"Generative AI Application Development")</f>
        <v>Generative AI Application Development</v>
      </c>
      <c r="G202" s="26" t="str">
        <f>IFERROR(__xludf.DUMMYFUNCTION("""COMPUTED_VALUE"""),"-")</f>
        <v>-</v>
      </c>
      <c r="H202" s="26">
        <f>IFERROR(__xludf.DUMMYFUNCTION("""COMPUTED_VALUE"""),2)</f>
        <v>2</v>
      </c>
      <c r="I202" s="26">
        <f>IFERROR(__xludf.DUMMYFUNCTION("""COMPUTED_VALUE"""),1)</f>
        <v>1</v>
      </c>
      <c r="J202" s="26">
        <f>IFERROR(__xludf.DUMMYFUNCTION("""COMPUTED_VALUE"""),3)</f>
        <v>3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  <c r="P202" s="26"/>
      <c r="Q202" s="26"/>
      <c r="R202" s="26"/>
    </row>
    <row r="203" ht="13.2" spans="1:18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IFERROR(__xludf.DUMMYFUNCTION("""COMPUTED_VALUE"""),"CS1568")</f>
        <v>CS1568</v>
      </c>
      <c r="E203" s="26" t="str">
        <f>IFERROR(__xludf.DUMMYFUNCTION("""COMPUTED_VALUE"""),"19CS568")</f>
        <v>19CS568</v>
      </c>
      <c r="F203" s="27" t="str">
        <f>IFERROR(__xludf.DUMMYFUNCTION("""COMPUTED_VALUE"""),"Fine Tuning Large Language Models")</f>
        <v>Fine Tuning Large Language Models</v>
      </c>
      <c r="G203" s="26" t="str">
        <f>IFERROR(__xludf.DUMMYFUNCTION("""COMPUTED_VALUE"""),"-")</f>
        <v>-</v>
      </c>
      <c r="H203" s="26">
        <f>IFERROR(__xludf.DUMMYFUNCTION("""COMPUTED_VALUE"""),3)</f>
        <v>3</v>
      </c>
      <c r="I203" s="26">
        <f>IFERROR(__xludf.DUMMYFUNCTION("""COMPUTED_VALUE"""),0)</f>
        <v>0</v>
      </c>
      <c r="J203" s="26">
        <f>IFERROR(__xludf.DUMMYFUNCTION("""COMPUTED_VALUE"""),3)</f>
        <v>3</v>
      </c>
      <c r="K203" s="26" t="str">
        <f>IFERROR(__xludf.DUMMYFUNCTION("""COMPUTED_VALUE"""),"CGPA")</f>
        <v>CGPA</v>
      </c>
      <c r="L203" s="26" t="str">
        <f>IFERROR(__xludf.DUMMYFUNCTION("""COMPUTED_VALUE"""),"Theory")</f>
        <v>Theory</v>
      </c>
      <c r="M203" s="26"/>
      <c r="N203" s="26"/>
      <c r="O203" s="26"/>
      <c r="P203" s="26"/>
      <c r="Q203" s="26"/>
      <c r="R203" s="26"/>
    </row>
    <row r="204" ht="13.2" spans="1:18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IFERROR(__xludf.DUMMYFUNCTION("""COMPUTED_VALUE"""),"CS1569")</f>
        <v>CS1569</v>
      </c>
      <c r="E204" s="26" t="str">
        <f>IFERROR(__xludf.DUMMYFUNCTION("""COMPUTED_VALUE"""),"19CS569")</f>
        <v>19CS569</v>
      </c>
      <c r="F204" s="27" t="str">
        <f>IFERROR(__xludf.DUMMYFUNCTION("""COMPUTED_VALUE"""),"Applied Data Science")</f>
        <v>Applied Data Science</v>
      </c>
      <c r="G204" s="26" t="str">
        <f>IFERROR(__xludf.DUMMYFUNCTION("""COMPUTED_VALUE"""),"-")</f>
        <v>-</v>
      </c>
      <c r="H204" s="26">
        <f>IFERROR(__xludf.DUMMYFUNCTION("""COMPUTED_VALUE"""),2)</f>
        <v>2</v>
      </c>
      <c r="I204" s="26">
        <f>IFERROR(__xludf.DUMMYFUNCTION("""COMPUTED_VALUE"""),1)</f>
        <v>1</v>
      </c>
      <c r="J204" s="26">
        <f>IFERROR(__xludf.DUMMYFUNCTION("""COMPUTED_VALUE"""),3)</f>
        <v>3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  <c r="P204" s="26"/>
      <c r="Q204" s="26"/>
      <c r="R204" s="26"/>
    </row>
    <row r="205" ht="13.2" spans="1:18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IFERROR(__xludf.DUMMYFUNCTION("""COMPUTED_VALUE"""),"CS1570")</f>
        <v>CS1570</v>
      </c>
      <c r="E205" s="26" t="str">
        <f>IFERROR(__xludf.DUMMYFUNCTION("""COMPUTED_VALUE"""),"19CS570")</f>
        <v>19CS570</v>
      </c>
      <c r="F205" s="27" t="str">
        <f>IFERROR(__xludf.DUMMYFUNCTION("""COMPUTED_VALUE"""),"Entrepreneurship and Small Business Development")</f>
        <v>Entrepreneurship and Small Business Development</v>
      </c>
      <c r="G205" s="26" t="str">
        <f>IFERROR(__xludf.DUMMYFUNCTION("""COMPUTED_VALUE"""),"-")</f>
        <v>-</v>
      </c>
      <c r="H205" s="26">
        <f>IFERROR(__xludf.DUMMYFUNCTION("""COMPUTED_VALUE"""),2)</f>
        <v>2</v>
      </c>
      <c r="I205" s="26">
        <f>IFERROR(__xludf.DUMMYFUNCTION("""COMPUTED_VALUE"""),1)</f>
        <v>1</v>
      </c>
      <c r="J205" s="26">
        <f>IFERROR(__xludf.DUMMYFUNCTION("""COMPUTED_VALUE"""),3)</f>
        <v>3</v>
      </c>
      <c r="K205" s="26" t="str">
        <f>IFERROR(__xludf.DUMMYFUNCTION("""COMPUTED_VALUE"""),"CGPA")</f>
        <v>CGPA</v>
      </c>
      <c r="L205" s="26" t="str">
        <f>IFERROR(__xludf.DUMMYFUNCTION("""COMPUTED_VALUE"""),"TIP (6 Expts)")</f>
        <v>TIP (6 Expts)</v>
      </c>
      <c r="M205" s="26"/>
      <c r="N205" s="26"/>
      <c r="O205" s="26"/>
      <c r="P205" s="26"/>
      <c r="Q205" s="26"/>
      <c r="R205" s="26"/>
    </row>
    <row r="206" ht="13.2" spans="1:18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IFERROR(__xludf.DUMMYFUNCTION("""COMPUTED_VALUE"""),"CS1571")</f>
        <v>CS1571</v>
      </c>
      <c r="E206" s="26" t="str">
        <f>IFERROR(__xludf.DUMMYFUNCTION("""COMPUTED_VALUE"""),"19CS571")</f>
        <v>19CS571</v>
      </c>
      <c r="F206" s="27" t="str">
        <f>IFERROR(__xludf.DUMMYFUNCTION("""COMPUTED_VALUE"""),"Software Development and Operations")</f>
        <v>Software Development and Operations</v>
      </c>
      <c r="G206" s="26" t="str">
        <f>IFERROR(__xludf.DUMMYFUNCTION("""COMPUTED_VALUE"""),"-")</f>
        <v>-</v>
      </c>
      <c r="H206" s="26">
        <f>IFERROR(__xludf.DUMMYFUNCTION("""COMPUTED_VALUE"""),3)</f>
        <v>3</v>
      </c>
      <c r="I206" s="26">
        <f>IFERROR(__xludf.DUMMYFUNCTION("""COMPUTED_VALUE"""),0)</f>
        <v>0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IFERROR(__xludf.DUMMYFUNCTION("""COMPUTED_VALUE"""),"Theory")</f>
        <v>Theory</v>
      </c>
      <c r="M206" s="26"/>
      <c r="N206" s="26"/>
      <c r="O206" s="26"/>
      <c r="P206" s="26"/>
      <c r="Q206" s="26"/>
      <c r="R206" s="26"/>
    </row>
    <row r="207" ht="13.2" spans="1:18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IFERROR(__xludf.DUMMYFUNCTION("""COMPUTED_VALUE"""),"CS1572")</f>
        <v>CS1572</v>
      </c>
      <c r="E207" s="26" t="str">
        <f>IFERROR(__xludf.DUMMYFUNCTION("""COMPUTED_VALUE"""),"19CS572")</f>
        <v>19CS572</v>
      </c>
      <c r="F207" s="27" t="str">
        <f>IFERROR(__xludf.DUMMYFUNCTION("""COMPUTED_VALUE"""),"Serverless App Development")</f>
        <v>Serverless App Development</v>
      </c>
      <c r="G207" s="26" t="str">
        <f>IFERROR(__xludf.DUMMYFUNCTION("""COMPUTED_VALUE"""),"-")</f>
        <v>-</v>
      </c>
      <c r="H207" s="26">
        <f>IFERROR(__xludf.DUMMYFUNCTION("""COMPUTED_VALUE"""),3)</f>
        <v>3</v>
      </c>
      <c r="I207" s="26">
        <f>IFERROR(__xludf.DUMMYFUNCTION("""COMPUTED_VALUE"""),0)</f>
        <v>0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IFERROR(__xludf.DUMMYFUNCTION("""COMPUTED_VALUE"""),"Theory")</f>
        <v>Theory</v>
      </c>
      <c r="M207" s="26"/>
      <c r="N207" s="26"/>
      <c r="O207" s="26"/>
      <c r="P207" s="26"/>
      <c r="Q207" s="26"/>
      <c r="R207" s="26"/>
    </row>
    <row r="208" ht="13.2" spans="1:18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IFERROR(__xludf.DUMMYFUNCTION("""COMPUTED_VALUE"""),"CS1573")</f>
        <v>CS1573</v>
      </c>
      <c r="E208" s="26" t="str">
        <f>IFERROR(__xludf.DUMMYFUNCTION("""COMPUTED_VALUE"""),"19CS573")</f>
        <v>19CS573</v>
      </c>
      <c r="F208" s="27" t="str">
        <f>IFERROR(__xludf.DUMMYFUNCTION("""COMPUTED_VALUE"""),"Enterprise Cloud Architecture")</f>
        <v>Enterprise Cloud Architecture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IFERROR(__xludf.DUMMYFUNCTION("""COMPUTED_VALUE"""),0)</f>
        <v>0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  <c r="P208" s="26"/>
      <c r="Q208" s="26"/>
      <c r="R208" s="26"/>
    </row>
    <row r="209" ht="13.2" spans="1:18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IFERROR(__xludf.DUMMYFUNCTION("""COMPUTED_VALUE"""),"CS1574")</f>
        <v>CS1574</v>
      </c>
      <c r="E209" s="26" t="str">
        <f>IFERROR(__xludf.DUMMYFUNCTION("""COMPUTED_VALUE"""),"19CS574")</f>
        <v>19CS574</v>
      </c>
      <c r="F209" s="27" t="str">
        <f>IFERROR(__xludf.DUMMYFUNCTION("""COMPUTED_VALUE"""),"Advanced Class Design and Object-Oriented Techniques")</f>
        <v>Advanced Class Design and Object-Oriented Techniques</v>
      </c>
      <c r="G209" s="26" t="str">
        <f>IFERROR(__xludf.DUMMYFUNCTION("""COMPUTED_VALUE"""),"-")</f>
        <v>-</v>
      </c>
      <c r="H209" s="26">
        <f>IFERROR(__xludf.DUMMYFUNCTION("""COMPUTED_VALUE"""),3)</f>
        <v>3</v>
      </c>
      <c r="I209" s="26">
        <f>IFERROR(__xludf.DUMMYFUNCTION("""COMPUTED_VALUE"""),0)</f>
        <v>0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IFERROR(__xludf.DUMMYFUNCTION("""COMPUTED_VALUE"""),"Theory")</f>
        <v>Theory</v>
      </c>
      <c r="M209" s="26"/>
      <c r="N209" s="26"/>
      <c r="O209" s="26"/>
      <c r="P209" s="26"/>
      <c r="Q209" s="26"/>
      <c r="R209" s="26"/>
    </row>
    <row r="210" ht="13.2" spans="1:18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IFERROR(__xludf.DUMMYFUNCTION("""COMPUTED_VALUE"""),"CS1575")</f>
        <v>CS1575</v>
      </c>
      <c r="E210" s="26" t="str">
        <f>IFERROR(__xludf.DUMMYFUNCTION("""COMPUTED_VALUE"""),"19CS575")</f>
        <v>19CS575</v>
      </c>
      <c r="F210" s="27" t="str">
        <f>IFERROR(__xludf.DUMMYFUNCTION("""COMPUTED_VALUE"""),"Low-Code App Development")</f>
        <v>Low-Code App Development</v>
      </c>
      <c r="G210" s="26" t="str">
        <f>IFERROR(__xludf.DUMMYFUNCTION("""COMPUTED_VALUE"""),"-")</f>
        <v>-</v>
      </c>
      <c r="H210" s="26">
        <f>IFERROR(__xludf.DUMMYFUNCTION("""COMPUTED_VALUE"""),3)</f>
        <v>3</v>
      </c>
      <c r="I210" s="26">
        <f>IFERROR(__xludf.DUMMYFUNCTION("""COMPUTED_VALUE"""),0)</f>
        <v>0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IFERROR(__xludf.DUMMYFUNCTION("""COMPUTED_VALUE"""),"Theory")</f>
        <v>Theory</v>
      </c>
      <c r="M210" s="26"/>
      <c r="N210" s="26"/>
      <c r="O210" s="26"/>
      <c r="P210" s="26"/>
      <c r="Q210" s="26"/>
      <c r="R210" s="26"/>
    </row>
    <row r="211" ht="13.2" spans="1:18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IFERROR(__xludf.DUMMYFUNCTION("""COMPUTED_VALUE"""),"CS1577")</f>
        <v>CS1577</v>
      </c>
      <c r="E211" s="26" t="str">
        <f>IFERROR(__xludf.DUMMYFUNCTION("""COMPUTED_VALUE"""),"19CS577")</f>
        <v>19CS577</v>
      </c>
      <c r="F211" s="27" t="str">
        <f>IFERROR(__xludf.DUMMYFUNCTION("""COMPUTED_VALUE"""),"Cloud System Administration")</f>
        <v>Cloud System Administration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IFERROR(__xludf.DUMMYFUNCTION("""COMPUTED_VALUE"""),0)</f>
        <v>0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  <c r="P211" s="26"/>
      <c r="Q211" s="26"/>
      <c r="R211" s="26"/>
    </row>
    <row r="212" ht="13.2" spans="1:18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IFERROR(__xludf.DUMMYFUNCTION("""COMPUTED_VALUE"""),"CS1578")</f>
        <v>CS1578</v>
      </c>
      <c r="E212" s="26" t="str">
        <f>IFERROR(__xludf.DUMMYFUNCTION("""COMPUTED_VALUE"""),"19CS578")</f>
        <v>19CS578</v>
      </c>
      <c r="F212" s="27" t="str">
        <f>IFERROR(__xludf.DUMMYFUNCTION("""COMPUTED_VALUE"""),"Machine Learning Operations")</f>
        <v>Machine Learning Operations</v>
      </c>
      <c r="G212" s="26" t="str">
        <f>IFERROR(__xludf.DUMMYFUNCTION("""COMPUTED_VALUE"""),"-")</f>
        <v>-</v>
      </c>
      <c r="H212" s="26">
        <f>IFERROR(__xludf.DUMMYFUNCTION("""COMPUTED_VALUE"""),3)</f>
        <v>3</v>
      </c>
      <c r="I212" s="26">
        <f>IFERROR(__xludf.DUMMYFUNCTION("""COMPUTED_VALUE"""),0)</f>
        <v>0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IFERROR(__xludf.DUMMYFUNCTION("""COMPUTED_VALUE"""),"Theory")</f>
        <v>Theory</v>
      </c>
      <c r="M212" s="26"/>
      <c r="N212" s="26"/>
      <c r="O212" s="26"/>
      <c r="P212" s="26"/>
      <c r="Q212" s="26"/>
      <c r="R212" s="26"/>
    </row>
    <row r="213" ht="13.2" spans="1:18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IFERROR(__xludf.DUMMYFUNCTION("""COMPUTED_VALUE"""),"NA")</f>
        <v>NA</v>
      </c>
      <c r="E213" s="26" t="str">
        <f>IFERROR(__xludf.DUMMYFUNCTION("""COMPUTED_VALUE"""),"19EC414")</f>
        <v>19EC414</v>
      </c>
      <c r="F213" s="27" t="str">
        <f>IFERROR(__xludf.DUMMYFUNCTION("""COMPUTED_VALUE"""),"Embedded Systems")</f>
        <v>Embedded Systems</v>
      </c>
      <c r="G213" s="26" t="str">
        <f>IFERROR(__xludf.DUMMYFUNCTION("""COMPUTED_VALUE"""),"19EC408")</f>
        <v>19EC408</v>
      </c>
      <c r="H213" s="26">
        <f>IFERROR(__xludf.DUMMYFUNCTION("""COMPUTED_VALUE"""),2)</f>
        <v>2</v>
      </c>
      <c r="I213" s="26">
        <f>IFERROR(__xludf.DUMMYFUNCTION("""COMPUTED_VALUE"""),1)</f>
        <v>1</v>
      </c>
      <c r="J213" s="26">
        <f>IFERROR(__xludf.DUMMYFUNCTION("""COMPUTED_VALUE"""),3)</f>
        <v>3</v>
      </c>
      <c r="K213" s="26" t="str">
        <f>IFERROR(__xludf.DUMMYFUNCTION("""COMPUTED_VALUE"""),"CGPA")</f>
        <v>CGPA</v>
      </c>
      <c r="L213" s="26" t="str">
        <f>IFERROR(__xludf.DUMMYFUNCTION("""COMPUTED_VALUE"""),"TIP (6 Expts)")</f>
        <v>TIP (6 Expts)</v>
      </c>
      <c r="M213" s="26"/>
      <c r="N213" s="26"/>
      <c r="O213" s="26"/>
      <c r="P213" s="26"/>
      <c r="Q213" s="26"/>
      <c r="R213" s="26"/>
    </row>
    <row r="214" ht="13.2" spans="1:18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IFERROR(__xludf.DUMMYFUNCTION("""COMPUTED_VALUE"""),"NA")</f>
        <v>NA</v>
      </c>
      <c r="E214" s="26" t="str">
        <f>IFERROR(__xludf.DUMMYFUNCTION("""COMPUTED_VALUE"""),"19EC416")</f>
        <v>19EC416</v>
      </c>
      <c r="F214" s="27" t="str">
        <f>IFERROR(__xludf.DUMMYFUNCTION("""COMPUTED_VALUE"""),"Principles of Digital Signal Processing")</f>
        <v>Principles of Digital Signal Processing</v>
      </c>
      <c r="G214" s="26" t="str">
        <f>IFERROR(__xludf.DUMMYFUNCTION("""COMPUTED_VALUE"""),"19EC307")</f>
        <v>19EC307</v>
      </c>
      <c r="H214" s="26">
        <f>IFERROR(__xludf.DUMMYFUNCTION("""COMPUTED_VALUE"""),3)</f>
        <v>3</v>
      </c>
      <c r="I214" s="26">
        <f>IFERROR(__xludf.DUMMYFUNCTION("""COMPUTED_VALUE"""),0)</f>
        <v>0</v>
      </c>
      <c r="J214" s="26">
        <f>IFERROR(__xludf.DUMMYFUNCTION("""COMPUTED_VALUE"""),3)</f>
        <v>3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  <c r="P214" s="26"/>
      <c r="Q214" s="26"/>
      <c r="R214" s="26"/>
    </row>
    <row r="215" ht="13.2" spans="1:18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IFERROR(__xludf.DUMMYFUNCTION("""COMPUTED_VALUE"""),"EC1503")</f>
        <v>EC1503</v>
      </c>
      <c r="E215" s="26" t="str">
        <f>IFERROR(__xludf.DUMMYFUNCTION("""COMPUTED_VALUE"""),"19EC503")</f>
        <v>19EC503</v>
      </c>
      <c r="F215" s="27" t="str">
        <f>IFERROR(__xludf.DUMMYFUNCTION("""COMPUTED_VALUE"""),"Digital Image Processing")</f>
        <v>Digital Image Processing</v>
      </c>
      <c r="G215" s="26" t="str">
        <f>IFERROR(__xludf.DUMMYFUNCTION("""COMPUTED_VALUE"""),"19EC409 / EC1409")</f>
        <v>19EC409 / EC1409</v>
      </c>
      <c r="H215" s="26">
        <f>IFERROR(__xludf.DUMMYFUNCTION("""COMPUTED_VALUE"""),3)</f>
        <v>3</v>
      </c>
      <c r="I215" s="26">
        <f>IFERROR(__xludf.DUMMYFUNCTION("""COMPUTED_VALUE"""),0)</f>
        <v>0</v>
      </c>
      <c r="J215" s="26">
        <f>IFERROR(__xludf.DUMMYFUNCTION("""COMPUTED_VALUE"""),3)</f>
        <v>3</v>
      </c>
      <c r="K215" s="26" t="str">
        <f>IFERROR(__xludf.DUMMYFUNCTION("""COMPUTED_VALUE"""),"CGPA")</f>
        <v>CGPA</v>
      </c>
      <c r="L215" s="26" t="str">
        <f>IFERROR(__xludf.DUMMYFUNCTION("""COMPUTED_VALUE"""),"Theory")</f>
        <v>Theory</v>
      </c>
      <c r="M215" s="26"/>
      <c r="N215" s="26"/>
      <c r="O215" s="26"/>
      <c r="P215" s="26"/>
      <c r="Q215" s="26"/>
      <c r="R215" s="26"/>
    </row>
    <row r="216" ht="13.2" spans="1:18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IFERROR(__xludf.DUMMYFUNCTION("""COMPUTED_VALUE"""),"NA")</f>
        <v>NA</v>
      </c>
      <c r="E216" s="26" t="str">
        <f>IFERROR(__xludf.DUMMYFUNCTION("""COMPUTED_VALUE"""),"19EC508")</f>
        <v>19EC508</v>
      </c>
      <c r="F216" s="27" t="str">
        <f>IFERROR(__xludf.DUMMYFUNCTION("""COMPUTED_VALUE"""),"Ad Hoc and Wireless Sensor Networks")</f>
        <v>Ad Hoc and Wireless Sensor Networks</v>
      </c>
      <c r="G216" s="26" t="str">
        <f>IFERROR(__xludf.DUMMYFUNCTION("""COMPUTED_VALUE"""),"19EC412")</f>
        <v>19EC412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  <c r="P216" s="26"/>
      <c r="Q216" s="26"/>
      <c r="R216" s="26"/>
    </row>
    <row r="217" ht="13.2" spans="1:18">
      <c r="A217" s="26">
        <f>IFERROR(__xludf.DUMMYFUNCTION("""COMPUTED_VALUE"""),215)</f>
        <v>215</v>
      </c>
      <c r="B217" s="26"/>
      <c r="C217" s="26" t="str">
        <f>IFERROR(__xludf.DUMMYFUNCTION("""COMPUTED_VALUE"""),"PE")</f>
        <v>PE</v>
      </c>
      <c r="D217" s="26" t="str">
        <f>IFERROR(__xludf.DUMMYFUNCTION("""COMPUTED_VALUE"""),"CS2401")</f>
        <v>CS2401</v>
      </c>
      <c r="E217" s="26" t="str">
        <f>IFERROR(__xludf.DUMMYFUNCTION("""COMPUTED_VALUE"""),"19IT401")</f>
        <v>19IT401</v>
      </c>
      <c r="F217" s="27" t="str">
        <f>IFERROR(__xludf.DUMMYFUNCTION("""COMPUTED_VALUE"""),"Information Technology Essentials")</f>
        <v>Information Technology Essentials</v>
      </c>
      <c r="G217" s="26" t="str">
        <f>IFERROR(__xludf.DUMMYFUNCTION("""COMPUTED_VALUE"""),"-")</f>
        <v>-</v>
      </c>
      <c r="H217" s="26">
        <f>IFERROR(__xludf.DUMMYFUNCTION("""COMPUTED_VALUE"""),3)</f>
        <v>3</v>
      </c>
      <c r="I217" s="26">
        <f>IFERROR(__xludf.DUMMYFUNCTION("""COMPUTED_VALUE"""),1)</f>
        <v>1</v>
      </c>
      <c r="J217" s="26">
        <f>IFERROR(__xludf.DUMMYFUNCTION("""COMPUTED_VALUE"""),4)</f>
        <v>4</v>
      </c>
      <c r="K217" s="26" t="str">
        <f>IFERROR(__xludf.DUMMYFUNCTION("""COMPUTED_VALUE"""),"CGPA")</f>
        <v>CGPA</v>
      </c>
      <c r="L217" s="26" t="str">
        <f>IFERROR(__xludf.DUMMYFUNCTION("""COMPUTED_VALUE"""),"TIP (6 Expts)")</f>
        <v>TIP (6 Expts)</v>
      </c>
      <c r="M217" s="26"/>
      <c r="N217" s="26"/>
      <c r="O217" s="26"/>
      <c r="P217" s="26"/>
      <c r="Q217" s="26"/>
      <c r="R217" s="26"/>
    </row>
    <row r="218" ht="13.2" spans="1:18">
      <c r="A218" s="26">
        <f>IFERROR(__xludf.DUMMYFUNCTION("""COMPUTED_VALUE"""),216)</f>
        <v>216</v>
      </c>
      <c r="B218" s="26"/>
      <c r="C218" s="26" t="str">
        <f>IFERROR(__xludf.DUMMYFUNCTION("""COMPUTED_VALUE"""),"PE")</f>
        <v>PE</v>
      </c>
      <c r="D218" s="26" t="str">
        <f>IFERROR(__xludf.DUMMYFUNCTION("""COMPUTED_VALUE"""),"CS2402")</f>
        <v>CS2402</v>
      </c>
      <c r="E218" s="26" t="str">
        <f>IFERROR(__xludf.DUMMYFUNCTION("""COMPUTED_VALUE"""),"19IT402")</f>
        <v>19IT402</v>
      </c>
      <c r="F218" s="27" t="str">
        <f>IFERROR(__xludf.DUMMYFUNCTION("""COMPUTED_VALUE"""),"Game Development Technologies")</f>
        <v>Game Development Technologies</v>
      </c>
      <c r="G218" s="26" t="str">
        <f>IFERROR(__xludf.DUMMYFUNCTION("""COMPUTED_VALUE"""),"-")</f>
        <v>-</v>
      </c>
      <c r="H218" s="26">
        <f>IFERROR(__xludf.DUMMYFUNCTION("""COMPUTED_VALUE"""),3)</f>
        <v>3</v>
      </c>
      <c r="I218" s="26">
        <f>IFERROR(__xludf.DUMMYFUNCTION("""COMPUTED_VALUE"""),1)</f>
        <v>1</v>
      </c>
      <c r="J218" s="26">
        <f>IFERROR(__xludf.DUMMYFUNCTION("""COMPUTED_VALUE"""),4)</f>
        <v>4</v>
      </c>
      <c r="K218" s="26" t="str">
        <f>IFERROR(__xludf.DUMMYFUNCTION("""COMPUTED_VALUE"""),"CGPA")</f>
        <v>CGPA</v>
      </c>
      <c r="L218" s="26" t="str">
        <f>IFERROR(__xludf.DUMMYFUNCTION("""COMPUTED_VALUE"""),"TIP (6 Expts)")</f>
        <v>TIP (6 Expts)</v>
      </c>
      <c r="M218" s="26"/>
      <c r="N218" s="26"/>
      <c r="O218" s="26"/>
      <c r="P218" s="26"/>
      <c r="Q218" s="26"/>
      <c r="R218" s="26"/>
    </row>
    <row r="219" ht="13.2" spans="1:18">
      <c r="A219" s="26">
        <f>IFERROR(__xludf.DUMMYFUNCTION("""COMPUTED_VALUE"""),217)</f>
        <v>217</v>
      </c>
      <c r="B219" s="26"/>
      <c r="C219" s="26" t="str">
        <f>IFERROR(__xludf.DUMMYFUNCTION("""COMPUTED_VALUE"""),"PE")</f>
        <v>PE</v>
      </c>
      <c r="D219" s="26" t="str">
        <f>IFERROR(__xludf.DUMMYFUNCTION("""COMPUTED_VALUE"""),"CS2405")</f>
        <v>CS2405</v>
      </c>
      <c r="E219" s="26" t="str">
        <f>IFERROR(__xludf.DUMMYFUNCTION("""COMPUTED_VALUE"""),"19IT405")</f>
        <v>19IT405</v>
      </c>
      <c r="F219" s="27" t="str">
        <f>IFERROR(__xludf.DUMMYFUNCTION("""COMPUTED_VALUE"""),"Data Structures using Python")</f>
        <v>Data Structures using Python</v>
      </c>
      <c r="G219" s="26" t="str">
        <f>IFERROR(__xludf.DUMMYFUNCTION("""COMPUTED_VALUE"""),"-")</f>
        <v>-</v>
      </c>
      <c r="H219" s="26">
        <f>IFERROR(__xludf.DUMMYFUNCTION("""COMPUTED_VALUE"""),3)</f>
        <v>3</v>
      </c>
      <c r="I219" s="26">
        <f>IFERROR(__xludf.DUMMYFUNCTION("""COMPUTED_VALUE"""),1)</f>
        <v>1</v>
      </c>
      <c r="J219" s="26">
        <f>IFERROR(__xludf.DUMMYFUNCTION("""COMPUTED_VALUE"""),4)</f>
        <v>4</v>
      </c>
      <c r="K219" s="26" t="str">
        <f>IFERROR(__xludf.DUMMYFUNCTION("""COMPUTED_VALUE"""),"CGPA")</f>
        <v>CGPA</v>
      </c>
      <c r="L219" s="26" t="str">
        <f>IFERROR(__xludf.DUMMYFUNCTION("""COMPUTED_VALUE"""),"TIP (6 Expts)")</f>
        <v>TIP (6 Expts)</v>
      </c>
      <c r="M219" s="26"/>
      <c r="N219" s="26"/>
      <c r="O219" s="26"/>
      <c r="P219" s="26"/>
      <c r="Q219" s="26"/>
      <c r="R219" s="26"/>
    </row>
    <row r="220" ht="13.2" spans="1:18">
      <c r="A220" s="26">
        <f>IFERROR(__xludf.DUMMYFUNCTION("""COMPUTED_VALUE"""),218)</f>
        <v>218</v>
      </c>
      <c r="B220" s="26"/>
      <c r="C220" s="26" t="str">
        <f>IFERROR(__xludf.DUMMYFUNCTION("""COMPUTED_VALUE"""),"PE")</f>
        <v>PE</v>
      </c>
      <c r="D220" s="26" t="str">
        <f>IFERROR(__xludf.DUMMYFUNCTION("""COMPUTED_VALUE"""),"CS2406")</f>
        <v>CS2406</v>
      </c>
      <c r="E220" s="26" t="str">
        <f>IFERROR(__xludf.DUMMYFUNCTION("""COMPUTED_VALUE"""),"19IT406")</f>
        <v>19IT406</v>
      </c>
      <c r="F220" s="27" t="str">
        <f>IFERROR(__xludf.DUMMYFUNCTION("""COMPUTED_VALUE"""),"Grid and Cloud Computing")</f>
        <v>Grid and Cloud Computing</v>
      </c>
      <c r="G220" s="26" t="str">
        <f>IFERROR(__xludf.DUMMYFUNCTION("""COMPUTED_VALUE"""),"-")</f>
        <v>-</v>
      </c>
      <c r="H220" s="26">
        <f>IFERROR(__xludf.DUMMYFUNCTION("""COMPUTED_VALUE"""),3)</f>
        <v>3</v>
      </c>
      <c r="I220" s="26">
        <f>IFERROR(__xludf.DUMMYFUNCTION("""COMPUTED_VALUE"""),1)</f>
        <v>1</v>
      </c>
      <c r="J220" s="26">
        <f>IFERROR(__xludf.DUMMYFUNCTION("""COMPUTED_VALUE"""),4)</f>
        <v>4</v>
      </c>
      <c r="K220" s="26" t="str">
        <f>IFERROR(__xludf.DUMMYFUNCTION("""COMPUTED_VALUE"""),"CGPA")</f>
        <v>CGPA</v>
      </c>
      <c r="L220" s="26" t="str">
        <f>IFERROR(__xludf.DUMMYFUNCTION("""COMPUTED_VALUE"""),"TIP (6 Expts)")</f>
        <v>TIP (6 Expts)</v>
      </c>
      <c r="M220" s="26"/>
      <c r="N220" s="26"/>
      <c r="O220" s="26"/>
      <c r="P220" s="26"/>
      <c r="Q220" s="26"/>
      <c r="R220" s="26"/>
    </row>
    <row r="221" ht="13.2" spans="1:18">
      <c r="A221" s="26">
        <f>IFERROR(__xludf.DUMMYFUNCTION("""COMPUTED_VALUE"""),219)</f>
        <v>219</v>
      </c>
      <c r="B221" s="26"/>
      <c r="C221" s="26" t="str">
        <f>IFERROR(__xludf.DUMMYFUNCTION("""COMPUTED_VALUE"""),"PE")</f>
        <v>PE</v>
      </c>
      <c r="D221" s="26" t="str">
        <f>IFERROR(__xludf.DUMMYFUNCTION("""COMPUTED_VALUE"""),"CS2408")</f>
        <v>CS2408</v>
      </c>
      <c r="E221" s="26" t="str">
        <f>IFERROR(__xludf.DUMMYFUNCTION("""COMPUTED_VALUE"""),"19IT408")</f>
        <v>19IT408</v>
      </c>
      <c r="F221" s="27" t="str">
        <f>IFERROR(__xludf.DUMMYFUNCTION("""COMPUTED_VALUE"""),"Distributed Computing")</f>
        <v>Distributed Computing</v>
      </c>
      <c r="G221" s="26" t="str">
        <f>IFERROR(__xludf.DUMMYFUNCTION("""COMPUTED_VALUE"""),"-")</f>
        <v>-</v>
      </c>
      <c r="H221" s="26">
        <f>IFERROR(__xludf.DUMMYFUNCTION("""COMPUTED_VALUE"""),3)</f>
        <v>3</v>
      </c>
      <c r="I221" s="26">
        <f>IFERROR(__xludf.DUMMYFUNCTION("""COMPUTED_VALUE"""),0)</f>
        <v>0</v>
      </c>
      <c r="J221" s="26">
        <f>IFERROR(__xludf.DUMMYFUNCTION("""COMPUTED_VALUE"""),3)</f>
        <v>3</v>
      </c>
      <c r="K221" s="26" t="str">
        <f>IFERROR(__xludf.DUMMYFUNCTION("""COMPUTED_VALUE"""),"CGPA")</f>
        <v>CGPA</v>
      </c>
      <c r="L221" s="26" t="str">
        <f>IFERROR(__xludf.DUMMYFUNCTION("""COMPUTED_VALUE"""),"Theory")</f>
        <v>Theory</v>
      </c>
      <c r="M221" s="26"/>
      <c r="N221" s="26"/>
      <c r="O221" s="26"/>
      <c r="P221" s="26"/>
      <c r="Q221" s="26"/>
      <c r="R221" s="26"/>
    </row>
    <row r="222" ht="13.2" spans="1:18">
      <c r="A222" s="26">
        <f>IFERROR(__xludf.DUMMYFUNCTION("""COMPUTED_VALUE"""),220)</f>
        <v>220</v>
      </c>
      <c r="B222" s="26"/>
      <c r="C222" s="26" t="str">
        <f>IFERROR(__xludf.DUMMYFUNCTION("""COMPUTED_VALUE"""),"PE")</f>
        <v>PE</v>
      </c>
      <c r="D222" s="26" t="str">
        <f>IFERROR(__xludf.DUMMYFUNCTION("""COMPUTED_VALUE"""),"CS2501")</f>
        <v>CS2501</v>
      </c>
      <c r="E222" s="26" t="str">
        <f>IFERROR(__xludf.DUMMYFUNCTION("""COMPUTED_VALUE"""),"19IT501")</f>
        <v>19IT501</v>
      </c>
      <c r="F222" s="27" t="str">
        <f>IFERROR(__xludf.DUMMYFUNCTION("""COMPUTED_VALUE"""),"Information Theory and Coding Techniques")</f>
        <v>Information Theory and Coding Techniques</v>
      </c>
      <c r="G222" s="26" t="str">
        <f>IFERROR(__xludf.DUMMYFUNCTION("""COMPUTED_VALUE"""),"-")</f>
        <v>-</v>
      </c>
      <c r="H222" s="26">
        <f>IFERROR(__xludf.DUMMYFUNCTION("""COMPUTED_VALUE"""),3)</f>
        <v>3</v>
      </c>
      <c r="I222" s="26">
        <f>IFERROR(__xludf.DUMMYFUNCTION("""COMPUTED_VALUE"""),0)</f>
        <v>0</v>
      </c>
      <c r="J222" s="26">
        <f>IFERROR(__xludf.DUMMYFUNCTION("""COMPUTED_VALUE"""),3)</f>
        <v>3</v>
      </c>
      <c r="K222" s="26" t="str">
        <f>IFERROR(__xludf.DUMMYFUNCTION("""COMPUTED_VALUE"""),"CGPA")</f>
        <v>CGPA</v>
      </c>
      <c r="L222" s="26" t="str">
        <f>IFERROR(__xludf.DUMMYFUNCTION("""COMPUTED_VALUE"""),"Theory")</f>
        <v>Theory</v>
      </c>
      <c r="M222" s="26"/>
      <c r="N222" s="26"/>
      <c r="O222" s="26"/>
      <c r="P222" s="26"/>
      <c r="Q222" s="26"/>
      <c r="R222" s="26"/>
    </row>
    <row r="223" ht="13.2" spans="1:18">
      <c r="A223" s="26">
        <f>IFERROR(__xludf.DUMMYFUNCTION("""COMPUTED_VALUE"""),221)</f>
        <v>221</v>
      </c>
      <c r="B223" s="26"/>
      <c r="C223" s="26" t="str">
        <f>IFERROR(__xludf.DUMMYFUNCTION("""COMPUTED_VALUE"""),"PE")</f>
        <v>PE</v>
      </c>
      <c r="D223" s="26" t="str">
        <f>IFERROR(__xludf.DUMMYFUNCTION("""COMPUTED_VALUE"""),"CS2502")</f>
        <v>CS2502</v>
      </c>
      <c r="E223" s="26" t="str">
        <f>IFERROR(__xludf.DUMMYFUNCTION("""COMPUTED_VALUE"""),"19IT502")</f>
        <v>19IT502</v>
      </c>
      <c r="F223" s="27" t="str">
        <f>IFERROR(__xludf.DUMMYFUNCTION("""COMPUTED_VALUE"""),"Enterprise Resource Planning")</f>
        <v>Enterprise Resource Planning</v>
      </c>
      <c r="G223" s="26" t="str">
        <f>IFERROR(__xludf.DUMMYFUNCTION("""COMPUTED_VALUE"""),"-")</f>
        <v>-</v>
      </c>
      <c r="H223" s="26">
        <f>IFERROR(__xludf.DUMMYFUNCTION("""COMPUTED_VALUE"""),3)</f>
        <v>3</v>
      </c>
      <c r="I223" s="26">
        <f>IFERROR(__xludf.DUMMYFUNCTION("""COMPUTED_VALUE"""),0)</f>
        <v>0</v>
      </c>
      <c r="J223" s="26">
        <f>IFERROR(__xludf.DUMMYFUNCTION("""COMPUTED_VALUE"""),3)</f>
        <v>3</v>
      </c>
      <c r="K223" s="26" t="str">
        <f>IFERROR(__xludf.DUMMYFUNCTION("""COMPUTED_VALUE"""),"CGPA")</f>
        <v>CGPA</v>
      </c>
      <c r="L223" s="26" t="str">
        <f>IFERROR(__xludf.DUMMYFUNCTION("""COMPUTED_VALUE"""),"Theory")</f>
        <v>Theory</v>
      </c>
      <c r="M223" s="26"/>
      <c r="N223" s="26"/>
      <c r="O223" s="26"/>
      <c r="P223" s="26"/>
      <c r="Q223" s="26"/>
      <c r="R223" s="26"/>
    </row>
    <row r="224" ht="13.2" spans="1:18">
      <c r="A224" s="26">
        <f>IFERROR(__xludf.DUMMYFUNCTION("""COMPUTED_VALUE"""),222)</f>
        <v>222</v>
      </c>
      <c r="B224" s="26"/>
      <c r="C224" s="26" t="str">
        <f>IFERROR(__xludf.DUMMYFUNCTION("""COMPUTED_VALUE"""),"PE")</f>
        <v>PE</v>
      </c>
      <c r="D224" s="26" t="str">
        <f>IFERROR(__xludf.DUMMYFUNCTION("""COMPUTED_VALUE"""),"CS2503")</f>
        <v>CS2503</v>
      </c>
      <c r="E224" s="26" t="str">
        <f>IFERROR(__xludf.DUMMYFUNCTION("""COMPUTED_VALUE"""),"19IT503")</f>
        <v>19IT503</v>
      </c>
      <c r="F224" s="27" t="str">
        <f>IFERROR(__xludf.DUMMYFUNCTION("""COMPUTED_VALUE"""),"User Interface Design")</f>
        <v>User Interface Design</v>
      </c>
      <c r="G224" s="26" t="str">
        <f>IFERROR(__xludf.DUMMYFUNCTION("""COMPUTED_VALUE"""),"-")</f>
        <v>-</v>
      </c>
      <c r="H224" s="26">
        <f>IFERROR(__xludf.DUMMYFUNCTION("""COMPUTED_VALUE"""),3)</f>
        <v>3</v>
      </c>
      <c r="I224" s="26">
        <f>IFERROR(__xludf.DUMMYFUNCTION("""COMPUTED_VALUE"""),0)</f>
        <v>0</v>
      </c>
      <c r="J224" s="26">
        <f>IFERROR(__xludf.DUMMYFUNCTION("""COMPUTED_VALUE"""),3)</f>
        <v>3</v>
      </c>
      <c r="K224" s="26" t="str">
        <f>IFERROR(__xludf.DUMMYFUNCTION("""COMPUTED_VALUE"""),"CGPA")</f>
        <v>CGPA</v>
      </c>
      <c r="L224" s="26" t="str">
        <f>IFERROR(__xludf.DUMMYFUNCTION("""COMPUTED_VALUE"""),"Theory")</f>
        <v>Theory</v>
      </c>
      <c r="M224" s="26"/>
      <c r="N224" s="26"/>
      <c r="O224" s="26"/>
      <c r="P224" s="26"/>
      <c r="Q224" s="26"/>
      <c r="R224" s="26"/>
    </row>
    <row r="225" ht="13.2" spans="1:18">
      <c r="A225" s="26">
        <f>IFERROR(__xludf.DUMMYFUNCTION("""COMPUTED_VALUE"""),223)</f>
        <v>223</v>
      </c>
      <c r="B225" s="26"/>
      <c r="C225" s="26" t="str">
        <f>IFERROR(__xludf.DUMMYFUNCTION("""COMPUTED_VALUE"""),"PE")</f>
        <v>PE</v>
      </c>
      <c r="D225" s="26" t="str">
        <f>IFERROR(__xludf.DUMMYFUNCTION("""COMPUTED_VALUE"""),"CS2504")</f>
        <v>CS2504</v>
      </c>
      <c r="E225" s="26" t="str">
        <f>IFERROR(__xludf.DUMMYFUNCTION("""COMPUTED_VALUE"""),"19IT504")</f>
        <v>19IT504</v>
      </c>
      <c r="F225" s="27" t="str">
        <f>IFERROR(__xludf.DUMMYFUNCTION("""COMPUTED_VALUE"""),"Information Storage Management")</f>
        <v>Information Storage Management</v>
      </c>
      <c r="G225" s="26" t="str">
        <f>IFERROR(__xludf.DUMMYFUNCTION("""COMPUTED_VALUE"""),"-")</f>
        <v>-</v>
      </c>
      <c r="H225" s="26">
        <f>IFERROR(__xludf.DUMMYFUNCTION("""COMPUTED_VALUE"""),3)</f>
        <v>3</v>
      </c>
      <c r="I225" s="26">
        <f>IFERROR(__xludf.DUMMYFUNCTION("""COMPUTED_VALUE"""),0)</f>
        <v>0</v>
      </c>
      <c r="J225" s="26">
        <f>IFERROR(__xludf.DUMMYFUNCTION("""COMPUTED_VALUE"""),3)</f>
        <v>3</v>
      </c>
      <c r="K225" s="26" t="str">
        <f>IFERROR(__xludf.DUMMYFUNCTION("""COMPUTED_VALUE"""),"CGPA")</f>
        <v>CGPA</v>
      </c>
      <c r="L225" s="26" t="str">
        <f>IFERROR(__xludf.DUMMYFUNCTION("""COMPUTED_VALUE"""),"Theory")</f>
        <v>Theory</v>
      </c>
      <c r="M225" s="26"/>
      <c r="N225" s="26"/>
      <c r="O225" s="26"/>
      <c r="P225" s="26"/>
      <c r="Q225" s="26"/>
      <c r="R225" s="26"/>
    </row>
    <row r="226" ht="13.2" spans="1:18">
      <c r="A226" s="26">
        <f>IFERROR(__xludf.DUMMYFUNCTION("""COMPUTED_VALUE"""),224)</f>
        <v>224</v>
      </c>
      <c r="B226" s="26"/>
      <c r="C226" s="26" t="str">
        <f>IFERROR(__xludf.DUMMYFUNCTION("""COMPUTED_VALUE"""),"PE")</f>
        <v>PE</v>
      </c>
      <c r="D226" s="26" t="str">
        <f>IFERROR(__xludf.DUMMYFUNCTION("""COMPUTED_VALUE"""),"CS2505")</f>
        <v>CS2505</v>
      </c>
      <c r="E226" s="26" t="str">
        <f>IFERROR(__xludf.DUMMYFUNCTION("""COMPUTED_VALUE"""),"19IT505")</f>
        <v>19IT505</v>
      </c>
      <c r="F226" s="27" t="str">
        <f>IFERROR(__xludf.DUMMYFUNCTION("""COMPUTED_VALUE"""),"Software Design Patterns")</f>
        <v>Software Design Patterns</v>
      </c>
      <c r="G226" s="26" t="str">
        <f>IFERROR(__xludf.DUMMYFUNCTION("""COMPUTED_VALUE"""),"-")</f>
        <v>-</v>
      </c>
      <c r="H226" s="26">
        <f>IFERROR(__xludf.DUMMYFUNCTION("""COMPUTED_VALUE"""),3)</f>
        <v>3</v>
      </c>
      <c r="I226" s="26">
        <f>IFERROR(__xludf.DUMMYFUNCTION("""COMPUTED_VALUE"""),0)</f>
        <v>0</v>
      </c>
      <c r="J226" s="26">
        <f>IFERROR(__xludf.DUMMYFUNCTION("""COMPUTED_VALUE"""),3)</f>
        <v>3</v>
      </c>
      <c r="K226" s="26" t="str">
        <f>IFERROR(__xludf.DUMMYFUNCTION("""COMPUTED_VALUE"""),"CGPA")</f>
        <v>CGPA</v>
      </c>
      <c r="L226" s="26" t="str">
        <f>IFERROR(__xludf.DUMMYFUNCTION("""COMPUTED_VALUE"""),"Theory")</f>
        <v>Theory</v>
      </c>
      <c r="M226" s="26"/>
      <c r="N226" s="26"/>
      <c r="O226" s="26"/>
      <c r="P226" s="26"/>
      <c r="Q226" s="26"/>
      <c r="R226" s="26"/>
    </row>
    <row r="227" ht="13.2" spans="1:18">
      <c r="A227" s="26">
        <f>IFERROR(__xludf.DUMMYFUNCTION("""COMPUTED_VALUE"""),225)</f>
        <v>225</v>
      </c>
      <c r="B227" s="26"/>
      <c r="C227" s="26" t="str">
        <f>IFERROR(__xludf.DUMMYFUNCTION("""COMPUTED_VALUE"""),"PE")</f>
        <v>PE</v>
      </c>
      <c r="D227" s="26" t="str">
        <f>IFERROR(__xludf.DUMMYFUNCTION("""COMPUTED_VALUE"""),"CS2506")</f>
        <v>CS2506</v>
      </c>
      <c r="E227" s="26" t="str">
        <f>IFERROR(__xludf.DUMMYFUNCTION("""COMPUTED_VALUE"""),"19IT506")</f>
        <v>19IT506</v>
      </c>
      <c r="F227" s="27" t="str">
        <f>IFERROR(__xludf.DUMMYFUNCTION("""COMPUTED_VALUE"""),"E-Learning Techniques")</f>
        <v>E-Learning Techniques</v>
      </c>
      <c r="G227" s="26" t="str">
        <f>IFERROR(__xludf.DUMMYFUNCTION("""COMPUTED_VALUE"""),"-")</f>
        <v>-</v>
      </c>
      <c r="H227" s="26">
        <f>IFERROR(__xludf.DUMMYFUNCTION("""COMPUTED_VALUE"""),3)</f>
        <v>3</v>
      </c>
      <c r="I227" s="26">
        <f>IFERROR(__xludf.DUMMYFUNCTION("""COMPUTED_VALUE"""),0)</f>
        <v>0</v>
      </c>
      <c r="J227" s="26">
        <f>IFERROR(__xludf.DUMMYFUNCTION("""COMPUTED_VALUE"""),3)</f>
        <v>3</v>
      </c>
      <c r="K227" s="26" t="str">
        <f>IFERROR(__xludf.DUMMYFUNCTION("""COMPUTED_VALUE"""),"CGPA")</f>
        <v>CGPA</v>
      </c>
      <c r="L227" s="26" t="str">
        <f>IFERROR(__xludf.DUMMYFUNCTION("""COMPUTED_VALUE"""),"Theory")</f>
        <v>Theory</v>
      </c>
      <c r="M227" s="26"/>
      <c r="N227" s="26"/>
      <c r="O227" s="26"/>
      <c r="P227" s="26"/>
      <c r="Q227" s="26"/>
      <c r="R227" s="26"/>
    </row>
    <row r="228" ht="13.2" spans="1:18">
      <c r="A228" s="26">
        <f>IFERROR(__xludf.DUMMYFUNCTION("""COMPUTED_VALUE"""),226)</f>
        <v>226</v>
      </c>
      <c r="B228" s="26"/>
      <c r="C228" s="26" t="str">
        <f>IFERROR(__xludf.DUMMYFUNCTION("""COMPUTED_VALUE"""),"PE")</f>
        <v>PE</v>
      </c>
      <c r="D228" s="26" t="str">
        <f>IFERROR(__xludf.DUMMYFUNCTION("""COMPUTED_VALUE"""),"CS2508")</f>
        <v>CS2508</v>
      </c>
      <c r="E228" s="26" t="str">
        <f>IFERROR(__xludf.DUMMYFUNCTION("""COMPUTED_VALUE"""),"19IT508")</f>
        <v>19IT508</v>
      </c>
      <c r="F228" s="27" t="str">
        <f>IFERROR(__xludf.DUMMYFUNCTION("""COMPUTED_VALUE"""),"TCP/IP Design and Implementation")</f>
        <v>TCP/IP Design and Implementation</v>
      </c>
      <c r="G228" s="26" t="str">
        <f>IFERROR(__xludf.DUMMYFUNCTION("""COMPUTED_VALUE"""),"-")</f>
        <v>-</v>
      </c>
      <c r="H228" s="26">
        <f>IFERROR(__xludf.DUMMYFUNCTION("""COMPUTED_VALUE"""),3)</f>
        <v>3</v>
      </c>
      <c r="I228" s="26">
        <f>IFERROR(__xludf.DUMMYFUNCTION("""COMPUTED_VALUE"""),0)</f>
        <v>0</v>
      </c>
      <c r="J228" s="26">
        <f>IFERROR(__xludf.DUMMYFUNCTION("""COMPUTED_VALUE"""),3)</f>
        <v>3</v>
      </c>
      <c r="K228" s="26" t="str">
        <f>IFERROR(__xludf.DUMMYFUNCTION("""COMPUTED_VALUE"""),"CGPA")</f>
        <v>CGPA</v>
      </c>
      <c r="L228" s="26" t="str">
        <f>IFERROR(__xludf.DUMMYFUNCTION("""COMPUTED_VALUE"""),"Theory")</f>
        <v>Theory</v>
      </c>
      <c r="M228" s="26"/>
      <c r="N228" s="26"/>
      <c r="O228" s="26"/>
      <c r="P228" s="26"/>
      <c r="Q228" s="26"/>
      <c r="R228" s="26"/>
    </row>
    <row r="229" ht="13.2" spans="1:18">
      <c r="A229" s="26">
        <f>IFERROR(__xludf.DUMMYFUNCTION("""COMPUTED_VALUE"""),227)</f>
        <v>227</v>
      </c>
      <c r="B229" s="26"/>
      <c r="C229" s="26" t="str">
        <f>IFERROR(__xludf.DUMMYFUNCTION("""COMPUTED_VALUE"""),"PE")</f>
        <v>PE</v>
      </c>
      <c r="D229" s="26" t="str">
        <f>IFERROR(__xludf.DUMMYFUNCTION("""COMPUTED_VALUE"""),"CS2509")</f>
        <v>CS2509</v>
      </c>
      <c r="E229" s="26" t="str">
        <f>IFERROR(__xludf.DUMMYFUNCTION("""COMPUTED_VALUE"""),"19IT509")</f>
        <v>19IT509</v>
      </c>
      <c r="F229" s="27" t="str">
        <f>IFERROR(__xludf.DUMMYFUNCTION("""COMPUTED_VALUE"""),"Advanced Algorithms")</f>
        <v>Advanced Algorithms</v>
      </c>
      <c r="G229" s="26" t="str">
        <f>IFERROR(__xludf.DUMMYFUNCTION("""COMPUTED_VALUE"""),"-")</f>
        <v>-</v>
      </c>
      <c r="H229" s="26">
        <f>IFERROR(__xludf.DUMMYFUNCTION("""COMPUTED_VALUE"""),3)</f>
        <v>3</v>
      </c>
      <c r="I229" s="26">
        <f>IFERROR(__xludf.DUMMYFUNCTION("""COMPUTED_VALUE"""),0)</f>
        <v>0</v>
      </c>
      <c r="J229" s="26">
        <f>IFERROR(__xludf.DUMMYFUNCTION("""COMPUTED_VALUE"""),3)</f>
        <v>3</v>
      </c>
      <c r="K229" s="26" t="str">
        <f>IFERROR(__xludf.DUMMYFUNCTION("""COMPUTED_VALUE"""),"CGPA")</f>
        <v>CGPA</v>
      </c>
      <c r="L229" s="26" t="str">
        <f>IFERROR(__xludf.DUMMYFUNCTION("""COMPUTED_VALUE"""),"Theory")</f>
        <v>Theory</v>
      </c>
      <c r="M229" s="26"/>
      <c r="N229" s="26"/>
      <c r="O229" s="26"/>
      <c r="P229" s="26"/>
      <c r="Q229" s="26"/>
      <c r="R229" s="26"/>
    </row>
    <row r="230" ht="13.2" spans="1:18">
      <c r="A230" s="26">
        <f>IFERROR(__xludf.DUMMYFUNCTION("""COMPUTED_VALUE"""),228)</f>
        <v>228</v>
      </c>
      <c r="B230" s="26"/>
      <c r="C230" s="26" t="str">
        <f>IFERROR(__xludf.DUMMYFUNCTION("""COMPUTED_VALUE"""),"PE")</f>
        <v>PE</v>
      </c>
      <c r="D230" s="26" t="str">
        <f>IFERROR(__xludf.DUMMYFUNCTION("""COMPUTED_VALUE"""),"CS2510")</f>
        <v>CS2510</v>
      </c>
      <c r="E230" s="26" t="str">
        <f>IFERROR(__xludf.DUMMYFUNCTION("""COMPUTED_VALUE"""),"19IT510")</f>
        <v>19IT510</v>
      </c>
      <c r="F230" s="27" t="str">
        <f>IFERROR(__xludf.DUMMYFUNCTION("""COMPUTED_VALUE"""),"Ethical Hacking")</f>
        <v>Ethical Hacking</v>
      </c>
      <c r="G230" s="26" t="str">
        <f>IFERROR(__xludf.DUMMYFUNCTION("""COMPUTED_VALUE"""),"-")</f>
        <v>-</v>
      </c>
      <c r="H230" s="26">
        <f>IFERROR(__xludf.DUMMYFUNCTION("""COMPUTED_VALUE"""),3)</f>
        <v>3</v>
      </c>
      <c r="I230" s="26">
        <f>IFERROR(__xludf.DUMMYFUNCTION("""COMPUTED_VALUE"""),0)</f>
        <v>0</v>
      </c>
      <c r="J230" s="26">
        <f>IFERROR(__xludf.DUMMYFUNCTION("""COMPUTED_VALUE"""),3)</f>
        <v>3</v>
      </c>
      <c r="K230" s="26" t="str">
        <f>IFERROR(__xludf.DUMMYFUNCTION("""COMPUTED_VALUE"""),"CGPA")</f>
        <v>CGPA</v>
      </c>
      <c r="L230" s="26" t="str">
        <f>IFERROR(__xludf.DUMMYFUNCTION("""COMPUTED_VALUE"""),"Theory")</f>
        <v>Theory</v>
      </c>
      <c r="M230" s="26"/>
      <c r="N230" s="26"/>
      <c r="O230" s="26"/>
      <c r="P230" s="26"/>
      <c r="Q230" s="26"/>
      <c r="R230" s="26"/>
    </row>
    <row r="231" ht="13.2" spans="1:18">
      <c r="A231" s="26">
        <f>IFERROR(__xludf.DUMMYFUNCTION("""COMPUTED_VALUE"""),229)</f>
        <v>229</v>
      </c>
      <c r="B231" s="26"/>
      <c r="C231" s="26" t="str">
        <f>IFERROR(__xludf.DUMMYFUNCTION("""COMPUTED_VALUE"""),"PE")</f>
        <v>PE</v>
      </c>
      <c r="D231" s="26" t="str">
        <f>IFERROR(__xludf.DUMMYFUNCTION("""COMPUTED_VALUE"""),"CS2511")</f>
        <v>CS2511</v>
      </c>
      <c r="E231" s="26" t="str">
        <f>IFERROR(__xludf.DUMMYFUNCTION("""COMPUTED_VALUE"""),"19IT511")</f>
        <v>19IT511</v>
      </c>
      <c r="F231" s="27" t="str">
        <f>IFERROR(__xludf.DUMMYFUNCTION("""COMPUTED_VALUE"""),"DHTML and XML")</f>
        <v>DHTML and XML</v>
      </c>
      <c r="G231" s="26" t="str">
        <f>IFERROR(__xludf.DUMMYFUNCTION("""COMPUTED_VALUE"""),"-")</f>
        <v>-</v>
      </c>
      <c r="H231" s="26">
        <f>IFERROR(__xludf.DUMMYFUNCTION("""COMPUTED_VALUE"""),3)</f>
        <v>3</v>
      </c>
      <c r="I231" s="26">
        <f>IFERROR(__xludf.DUMMYFUNCTION("""COMPUTED_VALUE"""),0)</f>
        <v>0</v>
      </c>
      <c r="J231" s="26">
        <f>IFERROR(__xludf.DUMMYFUNCTION("""COMPUTED_VALUE"""),3)</f>
        <v>3</v>
      </c>
      <c r="K231" s="26" t="str">
        <f>IFERROR(__xludf.DUMMYFUNCTION("""COMPUTED_VALUE"""),"CGPA")</f>
        <v>CGPA</v>
      </c>
      <c r="L231" s="26" t="str">
        <f>IFERROR(__xludf.DUMMYFUNCTION("""COMPUTED_VALUE"""),"Theory")</f>
        <v>Theory</v>
      </c>
      <c r="M231" s="26"/>
      <c r="N231" s="26"/>
      <c r="O231" s="26"/>
      <c r="P231" s="26"/>
      <c r="Q231" s="26"/>
      <c r="R231" s="26"/>
    </row>
    <row r="232" ht="13.2" spans="1:18">
      <c r="A232" s="26">
        <f>IFERROR(__xludf.DUMMYFUNCTION("""COMPUTED_VALUE"""),230)</f>
        <v>230</v>
      </c>
      <c r="B232" s="26"/>
      <c r="C232" s="26" t="str">
        <f>IFERROR(__xludf.DUMMYFUNCTION("""COMPUTED_VALUE"""),"PE")</f>
        <v>PE</v>
      </c>
      <c r="D232" s="26" t="str">
        <f>IFERROR(__xludf.DUMMYFUNCTION("""COMPUTED_VALUE"""),"CS2512")</f>
        <v>CS2512</v>
      </c>
      <c r="E232" s="26" t="str">
        <f>IFERROR(__xludf.DUMMYFUNCTION("""COMPUTED_VALUE"""),"19IT512")</f>
        <v>19IT512</v>
      </c>
      <c r="F232" s="27" t="str">
        <f>IFERROR(__xludf.DUMMYFUNCTION("""COMPUTED_VALUE"""),"E-Commerce")</f>
        <v>E-Commerce</v>
      </c>
      <c r="G232" s="26" t="str">
        <f>IFERROR(__xludf.DUMMYFUNCTION("""COMPUTED_VALUE"""),"-")</f>
        <v>-</v>
      </c>
      <c r="H232" s="26">
        <f>IFERROR(__xludf.DUMMYFUNCTION("""COMPUTED_VALUE"""),3)</f>
        <v>3</v>
      </c>
      <c r="I232" s="26">
        <f>IFERROR(__xludf.DUMMYFUNCTION("""COMPUTED_VALUE"""),0)</f>
        <v>0</v>
      </c>
      <c r="J232" s="26">
        <f>IFERROR(__xludf.DUMMYFUNCTION("""COMPUTED_VALUE"""),3)</f>
        <v>3</v>
      </c>
      <c r="K232" s="26" t="str">
        <f>IFERROR(__xludf.DUMMYFUNCTION("""COMPUTED_VALUE"""),"CGPA")</f>
        <v>CGPA</v>
      </c>
      <c r="L232" s="26" t="str">
        <f>IFERROR(__xludf.DUMMYFUNCTION("""COMPUTED_VALUE"""),"Theory")</f>
        <v>Theory</v>
      </c>
      <c r="M232" s="26"/>
      <c r="N232" s="26"/>
      <c r="O232" s="26"/>
      <c r="P232" s="26"/>
      <c r="Q232" s="26"/>
      <c r="R232" s="26"/>
    </row>
    <row r="233" ht="13.2" spans="1:18">
      <c r="A233" s="26">
        <f>IFERROR(__xludf.DUMMYFUNCTION("""COMPUTED_VALUE"""),231)</f>
        <v>231</v>
      </c>
      <c r="B233" s="26"/>
      <c r="C233" s="26" t="str">
        <f>IFERROR(__xludf.DUMMYFUNCTION("""COMPUTED_VALUE"""),"PE")</f>
        <v>PE</v>
      </c>
      <c r="D233" s="26" t="str">
        <f>IFERROR(__xludf.DUMMYFUNCTION("""COMPUTED_VALUE"""),"CS2513")</f>
        <v>CS2513</v>
      </c>
      <c r="E233" s="26" t="str">
        <f>IFERROR(__xludf.DUMMYFUNCTION("""COMPUTED_VALUE"""),"19IT513")</f>
        <v>19IT513</v>
      </c>
      <c r="F233" s="27" t="str">
        <f>IFERROR(__xludf.DUMMYFUNCTION("""COMPUTED_VALUE"""),"Free Open Source Software")</f>
        <v>Free Open Source Software</v>
      </c>
      <c r="G233" s="26" t="str">
        <f>IFERROR(__xludf.DUMMYFUNCTION("""COMPUTED_VALUE"""),"-")</f>
        <v>-</v>
      </c>
      <c r="H233" s="26">
        <f>IFERROR(__xludf.DUMMYFUNCTION("""COMPUTED_VALUE"""),3)</f>
        <v>3</v>
      </c>
      <c r="I233" s="26">
        <f>IFERROR(__xludf.DUMMYFUNCTION("""COMPUTED_VALUE"""),0)</f>
        <v>0</v>
      </c>
      <c r="J233" s="26">
        <f>IFERROR(__xludf.DUMMYFUNCTION("""COMPUTED_VALUE"""),3)</f>
        <v>3</v>
      </c>
      <c r="K233" s="26" t="str">
        <f>IFERROR(__xludf.DUMMYFUNCTION("""COMPUTED_VALUE"""),"CGPA")</f>
        <v>CGPA</v>
      </c>
      <c r="L233" s="26" t="str">
        <f>IFERROR(__xludf.DUMMYFUNCTION("""COMPUTED_VALUE"""),"Theory")</f>
        <v>Theory</v>
      </c>
      <c r="M233" s="26"/>
      <c r="N233" s="26"/>
      <c r="O233" s="26"/>
      <c r="P233" s="26"/>
      <c r="Q233" s="26"/>
      <c r="R233" s="26"/>
    </row>
    <row r="234" ht="13.2" spans="1:18">
      <c r="A234" s="26">
        <f>IFERROR(__xludf.DUMMYFUNCTION("""COMPUTED_VALUE"""),232)</f>
        <v>232</v>
      </c>
      <c r="B234" s="26"/>
      <c r="C234" s="26" t="str">
        <f>IFERROR(__xludf.DUMMYFUNCTION("""COMPUTED_VALUE"""),"PE")</f>
        <v>PE</v>
      </c>
      <c r="D234" s="26" t="str">
        <f>IFERROR(__xludf.DUMMYFUNCTION("""COMPUTED_VALUE"""),"CS2514")</f>
        <v>CS2514</v>
      </c>
      <c r="E234" s="26" t="str">
        <f>IFERROR(__xludf.DUMMYFUNCTION("""COMPUTED_VALUE"""),"19IT514")</f>
        <v>19IT514</v>
      </c>
      <c r="F234" s="27" t="str">
        <f>IFERROR(__xludf.DUMMYFUNCTION("""COMPUTED_VALUE"""),"Real Time Operating Systems")</f>
        <v>Real Time Operating Systems</v>
      </c>
      <c r="G234" s="26" t="str">
        <f>IFERROR(__xludf.DUMMYFUNCTION("""COMPUTED_VALUE"""),"-")</f>
        <v>-</v>
      </c>
      <c r="H234" s="26">
        <f>IFERROR(__xludf.DUMMYFUNCTION("""COMPUTED_VALUE"""),3)</f>
        <v>3</v>
      </c>
      <c r="I234" s="26">
        <f>IFERROR(__xludf.DUMMYFUNCTION("""COMPUTED_VALUE"""),0)</f>
        <v>0</v>
      </c>
      <c r="J234" s="26">
        <f>IFERROR(__xludf.DUMMYFUNCTION("""COMPUTED_VALUE"""),3)</f>
        <v>3</v>
      </c>
      <c r="K234" s="26" t="str">
        <f>IFERROR(__xludf.DUMMYFUNCTION("""COMPUTED_VALUE"""),"CGPA")</f>
        <v>CGPA</v>
      </c>
      <c r="L234" s="26" t="str">
        <f>IFERROR(__xludf.DUMMYFUNCTION("""COMPUTED_VALUE"""),"Theory")</f>
        <v>Theory</v>
      </c>
      <c r="M234" s="26"/>
      <c r="N234" s="26"/>
      <c r="O234" s="26"/>
      <c r="P234" s="26"/>
      <c r="Q234" s="26"/>
      <c r="R234" s="26"/>
    </row>
    <row r="235" ht="13.2" spans="1:18">
      <c r="A235" s="26">
        <f>IFERROR(__xludf.DUMMYFUNCTION("""COMPUTED_VALUE"""),233)</f>
        <v>233</v>
      </c>
      <c r="B235" s="26"/>
      <c r="C235" s="26" t="str">
        <f>IFERROR(__xludf.DUMMYFUNCTION("""COMPUTED_VALUE"""),"PE")</f>
        <v>PE</v>
      </c>
      <c r="D235" s="26" t="str">
        <f>IFERROR(__xludf.DUMMYFUNCTION("""COMPUTED_VALUE"""),"CS2515")</f>
        <v>CS2515</v>
      </c>
      <c r="E235" s="26" t="str">
        <f>IFERROR(__xludf.DUMMYFUNCTION("""COMPUTED_VALUE"""),"19IT515")</f>
        <v>19IT515</v>
      </c>
      <c r="F235" s="27" t="str">
        <f>IFERROR(__xludf.DUMMYFUNCTION("""COMPUTED_VALUE"""),"Software Agents")</f>
        <v>Software Agents</v>
      </c>
      <c r="G235" s="26" t="str">
        <f>IFERROR(__xludf.DUMMYFUNCTION("""COMPUTED_VALUE"""),"-")</f>
        <v>-</v>
      </c>
      <c r="H235" s="26">
        <f>IFERROR(__xludf.DUMMYFUNCTION("""COMPUTED_VALUE"""),3)</f>
        <v>3</v>
      </c>
      <c r="I235" s="26">
        <f>IFERROR(__xludf.DUMMYFUNCTION("""COMPUTED_VALUE"""),0)</f>
        <v>0</v>
      </c>
      <c r="J235" s="26">
        <f>IFERROR(__xludf.DUMMYFUNCTION("""COMPUTED_VALUE"""),3)</f>
        <v>3</v>
      </c>
      <c r="K235" s="26" t="str">
        <f>IFERROR(__xludf.DUMMYFUNCTION("""COMPUTED_VALUE"""),"CGPA")</f>
        <v>CGPA</v>
      </c>
      <c r="L235" s="26" t="str">
        <f>IFERROR(__xludf.DUMMYFUNCTION("""COMPUTED_VALUE"""),"Theory")</f>
        <v>Theory</v>
      </c>
      <c r="M235" s="26"/>
      <c r="N235" s="26"/>
      <c r="O235" s="26"/>
      <c r="P235" s="26"/>
      <c r="Q235" s="26"/>
      <c r="R235" s="26"/>
    </row>
    <row r="236" ht="13.2" spans="1:18">
      <c r="A236" s="26">
        <f>IFERROR(__xludf.DUMMYFUNCTION("""COMPUTED_VALUE"""),234)</f>
        <v>234</v>
      </c>
      <c r="B236" s="26"/>
      <c r="C236" s="26" t="str">
        <f>IFERROR(__xludf.DUMMYFUNCTION("""COMPUTED_VALUE"""),"PE")</f>
        <v>PE</v>
      </c>
      <c r="D236" s="26" t="str">
        <f>IFERROR(__xludf.DUMMYFUNCTION("""COMPUTED_VALUE"""),"CS2516")</f>
        <v>CS2516</v>
      </c>
      <c r="E236" s="26" t="str">
        <f>IFERROR(__xludf.DUMMYFUNCTION("""COMPUTED_VALUE"""),"19IT516")</f>
        <v>19IT516</v>
      </c>
      <c r="F236" s="27" t="str">
        <f>IFERROR(__xludf.DUMMYFUNCTION("""COMPUTED_VALUE"""),"Business Intelligence and Analytics")</f>
        <v>Business Intelligence and Analytics</v>
      </c>
      <c r="G236" s="26" t="str">
        <f>IFERROR(__xludf.DUMMYFUNCTION("""COMPUTED_VALUE"""),"-")</f>
        <v>-</v>
      </c>
      <c r="H236" s="26">
        <f>IFERROR(__xludf.DUMMYFUNCTION("""COMPUTED_VALUE"""),3)</f>
        <v>3</v>
      </c>
      <c r="I236" s="26">
        <f>IFERROR(__xludf.DUMMYFUNCTION("""COMPUTED_VALUE"""),0)</f>
        <v>0</v>
      </c>
      <c r="J236" s="26">
        <f>IFERROR(__xludf.DUMMYFUNCTION("""COMPUTED_VALUE"""),3)</f>
        <v>3</v>
      </c>
      <c r="K236" s="26" t="str">
        <f>IFERROR(__xludf.DUMMYFUNCTION("""COMPUTED_VALUE"""),"CGPA")</f>
        <v>CGPA</v>
      </c>
      <c r="L236" s="26" t="str">
        <f>IFERROR(__xludf.DUMMYFUNCTION("""COMPUTED_VALUE"""),"Theory")</f>
        <v>Theory</v>
      </c>
      <c r="M236" s="26"/>
      <c r="N236" s="26"/>
      <c r="O236" s="26"/>
      <c r="P236" s="26"/>
      <c r="Q236" s="26"/>
      <c r="R236" s="26"/>
    </row>
    <row r="237" ht="13.2" spans="1:18">
      <c r="A237" s="26">
        <f>IFERROR(__xludf.DUMMYFUNCTION("""COMPUTED_VALUE"""),235)</f>
        <v>235</v>
      </c>
      <c r="B237" s="26"/>
      <c r="C237" s="26" t="str">
        <f>IFERROR(__xludf.DUMMYFUNCTION("""COMPUTED_VALUE"""),"PE")</f>
        <v>PE</v>
      </c>
      <c r="D237" s="26" t="str">
        <f>IFERROR(__xludf.DUMMYFUNCTION("""COMPUTED_VALUE"""),"SH2220")</f>
        <v>SH2220</v>
      </c>
      <c r="E237" s="26" t="str">
        <f>IFERROR(__xludf.DUMMYFUNCTION("""COMPUTED_VALUE"""),"19MA220")</f>
        <v>19MA220</v>
      </c>
      <c r="F237" s="27" t="str">
        <f>IFERROR(__xludf.DUMMYFUNCTION("""COMPUTED_VALUE"""),"Mathematics for Artificial Intelligence")</f>
        <v>Mathematics for Artificial Intelligence</v>
      </c>
      <c r="G237" s="26" t="str">
        <f>IFERROR(__xludf.DUMMYFUNCTION("""COMPUTED_VALUE"""),"-")</f>
        <v>-</v>
      </c>
      <c r="H237" s="26">
        <f>IFERROR(__xludf.DUMMYFUNCTION("""COMPUTED_VALUE"""),4)</f>
        <v>4</v>
      </c>
      <c r="I237" s="26">
        <f>IFERROR(__xludf.DUMMYFUNCTION("""COMPUTED_VALUE"""),0)</f>
        <v>0</v>
      </c>
      <c r="J237" s="26">
        <f>IFERROR(__xludf.DUMMYFUNCTION("""COMPUTED_VALUE"""),4)</f>
        <v>4</v>
      </c>
      <c r="K237" s="26" t="str">
        <f>IFERROR(__xludf.DUMMYFUNCTION("""COMPUTED_VALUE"""),"CGPA")</f>
        <v>CGPA</v>
      </c>
      <c r="L237" s="26" t="str">
        <f>IFERROR(__xludf.DUMMYFUNCTION("""COMPUTED_VALUE"""),"Theory")</f>
        <v>Theory</v>
      </c>
      <c r="M237" s="26"/>
      <c r="N237" s="26"/>
      <c r="O237" s="26"/>
      <c r="P237" s="26"/>
      <c r="Q237" s="26"/>
      <c r="R237" s="26"/>
    </row>
    <row r="238" ht="13.2" spans="1:18">
      <c r="A238" s="26">
        <f>IFERROR(__xludf.DUMMYFUNCTION("""COMPUTED_VALUE"""),236)</f>
        <v>236</v>
      </c>
      <c r="B238" s="26"/>
      <c r="C238" s="26" t="str">
        <f>IFERROR(__xludf.DUMMYFUNCTION("""COMPUTED_VALUE"""),"PE")</f>
        <v>PE</v>
      </c>
      <c r="D238" s="26" t="str">
        <f>IFERROR(__xludf.DUMMYFUNCTION("""COMPUTED_VALUE"""),"SH2211")</f>
        <v>SH2211</v>
      </c>
      <c r="E238" s="26" t="str">
        <f>IFERROR(__xludf.DUMMYFUNCTION("""COMPUTED_VALUE"""),"19MA211")</f>
        <v>19MA211</v>
      </c>
      <c r="F238" s="27" t="str">
        <f>IFERROR(__xludf.DUMMYFUNCTION("""COMPUTED_VALUE"""),"Statistics and Numerical Methods")</f>
        <v>Statistics and Numerical Methods</v>
      </c>
      <c r="G238" s="26" t="str">
        <f>IFERROR(__xludf.DUMMYFUNCTION("""COMPUTED_VALUE"""),"-")</f>
        <v>-</v>
      </c>
      <c r="H238" s="26">
        <f>IFERROR(__xludf.DUMMYFUNCTION("""COMPUTED_VALUE"""),3)</f>
        <v>3</v>
      </c>
      <c r="I238" s="26">
        <f>IFERROR(__xludf.DUMMYFUNCTION("""COMPUTED_VALUE"""),1)</f>
        <v>1</v>
      </c>
      <c r="J238" s="26">
        <f>IFERROR(__xludf.DUMMYFUNCTION("""COMPUTED_VALUE"""),4)</f>
        <v>4</v>
      </c>
      <c r="K238" s="26" t="str">
        <f>IFERROR(__xludf.DUMMYFUNCTION("""COMPUTED_VALUE"""),"CGPA")</f>
        <v>CGPA</v>
      </c>
      <c r="L238" s="26" t="str">
        <f>IFERROR(__xludf.DUMMYFUNCTION("""COMPUTED_VALUE"""),"TIP (6 Expts)")</f>
        <v>TIP (6 Expts)</v>
      </c>
      <c r="M238" s="26"/>
      <c r="N238" s="26"/>
      <c r="O238" s="26"/>
      <c r="P238" s="26"/>
      <c r="Q238" s="26"/>
      <c r="R238" s="26"/>
    </row>
    <row r="239" ht="13.2" spans="1:18">
      <c r="A239" s="26">
        <f>IFERROR(__xludf.DUMMYFUNCTION("""COMPUTED_VALUE"""),237)</f>
        <v>237</v>
      </c>
      <c r="B239" s="26"/>
      <c r="C239" s="26" t="str">
        <f>IFERROR(__xludf.DUMMYFUNCTION("""COMPUTED_VALUE"""),"OE")</f>
        <v>OE</v>
      </c>
      <c r="D239" s="26" t="str">
        <f>IFERROR(__xludf.DUMMYFUNCTION("""COMPUTED_VALUE"""),"XXXXXX")</f>
        <v>XXXXXX</v>
      </c>
      <c r="E239" s="26" t="str">
        <f>IFERROR(__xludf.DUMMYFUNCTION("""COMPUTED_VALUE"""),"19XXXXX")</f>
        <v>19XXXXX</v>
      </c>
      <c r="F239" s="26" t="str">
        <f>IFERROR(__xludf.DUMMYFUNCTION("""COMPUTED_VALUE"""),"Open Electives")</f>
        <v>Open Electives</v>
      </c>
      <c r="G239" s="26" t="str">
        <f>IFERROR(__xludf.DUMMYFUNCTION("""COMPUTED_VALUE"""),"-")</f>
        <v>-</v>
      </c>
      <c r="H239" s="26">
        <f>IFERROR(__xludf.DUMMYFUNCTION("""COMPUTED_VALUE"""),0)</f>
        <v>0</v>
      </c>
      <c r="I239" s="26">
        <f>IFERROR(__xludf.DUMMYFUNCTION("""COMPUTED_VALUE"""),0)</f>
        <v>0</v>
      </c>
      <c r="J239" s="26">
        <f>IFERROR(__xludf.DUMMYFUNCTION("""COMPUTED_VALUE"""),0)</f>
        <v>0</v>
      </c>
      <c r="K239" s="26" t="str">
        <f>IFERROR(__xludf.DUMMYFUNCTION("""COMPUTED_VALUE"""),"CGPA")</f>
        <v>CGPA</v>
      </c>
      <c r="L239" s="26" t="str">
        <f>IFERROR(__xludf.DUMMYFUNCTION("""COMPUTED_VALUE"""),"Theory")</f>
        <v>Theory</v>
      </c>
      <c r="M239" s="26"/>
      <c r="N239" s="26"/>
      <c r="O239" s="26"/>
      <c r="P239" s="26"/>
      <c r="Q239" s="26"/>
      <c r="R239" s="26"/>
    </row>
    <row r="240" ht="13.2" spans="1:18">
      <c r="A240" s="26">
        <f>IFERROR(__xludf.DUMMYFUNCTION("""COMPUTED_VALUE"""),238)</f>
        <v>238</v>
      </c>
      <c r="B240" s="26"/>
      <c r="C240" s="26" t="str">
        <f>IFERROR(__xludf.DUMMYFUNCTION("""COMPUTED_VALUE"""),"OE")</f>
        <v>OE</v>
      </c>
      <c r="D240" s="26" t="str">
        <f>IFERROR(__xludf.DUMMYFUNCTION("""COMPUTED_VALUE"""),"XXXXXX")</f>
        <v>XXXXXX</v>
      </c>
      <c r="E240" s="26" t="str">
        <f>IFERROR(__xludf.DUMMYFUNCTION("""COMPUTED_VALUE"""),"19XXXXX")</f>
        <v>19XXXXX</v>
      </c>
      <c r="F240" s="26" t="str">
        <f>IFERROR(__xludf.DUMMYFUNCTION("""COMPUTED_VALUE"""),"Online Courses")</f>
        <v>Online Courses</v>
      </c>
      <c r="G240" s="26" t="str">
        <f>IFERROR(__xludf.DUMMYFUNCTION("""COMPUTED_VALUE"""),"-")</f>
        <v>-</v>
      </c>
      <c r="H240" s="26">
        <f>IFERROR(__xludf.DUMMYFUNCTION("""COMPUTED_VALUE"""),0)</f>
        <v>0</v>
      </c>
      <c r="I240" s="26">
        <f>IFERROR(__xludf.DUMMYFUNCTION("""COMPUTED_VALUE"""),0)</f>
        <v>0</v>
      </c>
      <c r="J240" s="26">
        <f>IFERROR(__xludf.DUMMYFUNCTION("""COMPUTED_VALUE"""),0)</f>
        <v>0</v>
      </c>
      <c r="K240" s="26" t="str">
        <f>IFERROR(__xludf.DUMMYFUNCTION("""COMPUTED_VALUE"""),"CGPA")</f>
        <v>CGPA</v>
      </c>
      <c r="L240" s="26" t="str">
        <f>IFERROR(__xludf.DUMMYFUNCTION("""COMPUTED_VALUE"""),"Experiential Learning")</f>
        <v>Experiential Learning</v>
      </c>
      <c r="M240" s="26"/>
      <c r="N240" s="26"/>
      <c r="O240" s="26"/>
      <c r="P240" s="26"/>
      <c r="Q240" s="26"/>
      <c r="R240" s="26"/>
    </row>
    <row r="241" ht="13.2" spans="1:18">
      <c r="A241" s="26">
        <f>IFERROR(__xludf.DUMMYFUNCTION("""COMPUTED_VALUE"""),239)</f>
        <v>239</v>
      </c>
      <c r="B241" s="26"/>
      <c r="C241" s="26" t="str">
        <f>IFERROR(__xludf.DUMMYFUNCTION("""COMPUTED_VALUE"""),"EEC")</f>
        <v>EEC</v>
      </c>
      <c r="D241" s="26" t="str">
        <f>IFERROR(__xludf.DUMMYFUNCTION("""COMPUTED_VALUE"""),"CS1701")</f>
        <v>CS1701</v>
      </c>
      <c r="E241" s="26" t="str">
        <f>IFERROR(__xludf.DUMMYFUNCTION("""COMPUTED_VALUE"""),"19CS701")</f>
        <v>19CS701</v>
      </c>
      <c r="F241" s="27" t="str">
        <f>IFERROR(__xludf.DUMMYFUNCTION("""COMPUTED_VALUE"""),"Mini Project")</f>
        <v>Mini Project</v>
      </c>
      <c r="G241" s="26" t="str">
        <f>IFERROR(__xludf.DUMMYFUNCTION("""COMPUTED_VALUE"""),"-")</f>
        <v>-</v>
      </c>
      <c r="H241" s="26">
        <f>IFERROR(__xludf.DUMMYFUNCTION("""COMPUTED_VALUE"""),0)</f>
        <v>0</v>
      </c>
      <c r="I241" s="26">
        <f>IFERROR(__xludf.DUMMYFUNCTION("""COMPUTED_VALUE"""),2)</f>
        <v>2</v>
      </c>
      <c r="J241" s="26">
        <f>IFERROR(__xludf.DUMMYFUNCTION("""COMPUTED_VALUE"""),2)</f>
        <v>2</v>
      </c>
      <c r="K241" s="26" t="str">
        <f>IFERROR(__xludf.DUMMYFUNCTION("""COMPUTED_VALUE"""),"CGPA")</f>
        <v>CGPA</v>
      </c>
      <c r="L241" s="26" t="str">
        <f>IFERROR(__xludf.DUMMYFUNCTION("""COMPUTED_VALUE"""),"Project (Int Only)")</f>
        <v>Project (Int Only)</v>
      </c>
      <c r="M241" s="26"/>
      <c r="N241" s="26"/>
      <c r="O241" s="26"/>
      <c r="P241" s="26"/>
      <c r="Q241" s="26"/>
      <c r="R241" s="26"/>
    </row>
    <row r="242" ht="13.2" spans="1:18">
      <c r="A242" s="26">
        <f>IFERROR(__xludf.DUMMYFUNCTION("""COMPUTED_VALUE"""),240)</f>
        <v>240</v>
      </c>
      <c r="B242" s="26"/>
      <c r="C242" s="26" t="str">
        <f>IFERROR(__xludf.DUMMYFUNCTION("""COMPUTED_VALUE"""),"EEC")</f>
        <v>EEC</v>
      </c>
      <c r="D242" s="26" t="str">
        <f>IFERROR(__xludf.DUMMYFUNCTION("""COMPUTED_VALUE"""),"CS1702")</f>
        <v>CS1702</v>
      </c>
      <c r="E242" s="26" t="str">
        <f>IFERROR(__xludf.DUMMYFUNCTION("""COMPUTED_VALUE"""),"19CS702")</f>
        <v>19CS702</v>
      </c>
      <c r="F242" s="27" t="str">
        <f>IFERROR(__xludf.DUMMYFUNCTION("""COMPUTED_VALUE"""),"Project Work Phase I")</f>
        <v>Project Work Phase I</v>
      </c>
      <c r="G242" s="26" t="str">
        <f>IFERROR(__xludf.DUMMYFUNCTION("""COMPUTED_VALUE"""),"-")</f>
        <v>-</v>
      </c>
      <c r="H242" s="26">
        <f>IFERROR(__xludf.DUMMYFUNCTION("""COMPUTED_VALUE"""),0)</f>
        <v>0</v>
      </c>
      <c r="I242" s="26">
        <f>IFERROR(__xludf.DUMMYFUNCTION("""COMPUTED_VALUE"""),2)</f>
        <v>2</v>
      </c>
      <c r="J242" s="26">
        <f>IFERROR(__xludf.DUMMYFUNCTION("""COMPUTED_VALUE"""),2)</f>
        <v>2</v>
      </c>
      <c r="K242" s="26" t="str">
        <f>IFERROR(__xludf.DUMMYFUNCTION("""COMPUTED_VALUE"""),"CGPA")</f>
        <v>CGPA</v>
      </c>
      <c r="L242" s="26" t="str">
        <f>IFERROR(__xludf.DUMMYFUNCTION("""COMPUTED_VALUE"""),"Project (Int Only)")</f>
        <v>Project (Int Only)</v>
      </c>
      <c r="M242" s="26"/>
      <c r="N242" s="26"/>
      <c r="O242" s="26"/>
      <c r="P242" s="26"/>
      <c r="Q242" s="26"/>
      <c r="R242" s="26"/>
    </row>
    <row r="243" ht="13.2" spans="1:18">
      <c r="A243" s="26">
        <f>IFERROR(__xludf.DUMMYFUNCTION("""COMPUTED_VALUE"""),241)</f>
        <v>241</v>
      </c>
      <c r="B243" s="26"/>
      <c r="C243" s="26" t="str">
        <f>IFERROR(__xludf.DUMMYFUNCTION("""COMPUTED_VALUE"""),"EEC")</f>
        <v>EEC</v>
      </c>
      <c r="D243" s="26" t="str">
        <f>IFERROR(__xludf.DUMMYFUNCTION("""COMPUTED_VALUE"""),"CS1703")</f>
        <v>CS1703</v>
      </c>
      <c r="E243" s="26" t="str">
        <f>IFERROR(__xludf.DUMMYFUNCTION("""COMPUTED_VALUE"""),"19CS703")</f>
        <v>19CS703</v>
      </c>
      <c r="F243" s="27" t="str">
        <f>IFERROR(__xludf.DUMMYFUNCTION("""COMPUTED_VALUE"""),"Project Work Phase II")</f>
        <v>Project Work Phase II</v>
      </c>
      <c r="G243" s="26" t="str">
        <f>IFERROR(__xludf.DUMMYFUNCTION("""COMPUTED_VALUE"""),"19CS702")</f>
        <v>19CS702</v>
      </c>
      <c r="H243" s="26">
        <f>IFERROR(__xludf.DUMMYFUNCTION("""COMPUTED_VALUE"""),0)</f>
        <v>0</v>
      </c>
      <c r="I243" s="26">
        <f>IFERROR(__xludf.DUMMYFUNCTION("""COMPUTED_VALUE"""),6)</f>
        <v>6</v>
      </c>
      <c r="J243" s="26">
        <f>IFERROR(__xludf.DUMMYFUNCTION("""COMPUTED_VALUE"""),6)</f>
        <v>6</v>
      </c>
      <c r="K243" s="26" t="str">
        <f>IFERROR(__xludf.DUMMYFUNCTION("""COMPUTED_VALUE"""),"CGPA")</f>
        <v>CGPA</v>
      </c>
      <c r="L243" s="26" t="str">
        <f>IFERROR(__xludf.DUMMYFUNCTION("""COMPUTED_VALUE"""),"Project")</f>
        <v>Project</v>
      </c>
      <c r="M243" s="26"/>
      <c r="N243" s="26"/>
      <c r="O243" s="26"/>
      <c r="P243" s="26"/>
      <c r="Q243" s="26"/>
      <c r="R243" s="26"/>
    </row>
    <row r="244" ht="13.2" spans="1:18">
      <c r="A244" s="26">
        <f>IFERROR(__xludf.DUMMYFUNCTION("""COMPUTED_VALUE"""),242)</f>
        <v>242</v>
      </c>
      <c r="B244" s="26" t="str">
        <f>IFERROR(__xludf.DUMMYFUNCTION("""COMPUTED_VALUE"""),"Any 1")</f>
        <v>Any 1</v>
      </c>
      <c r="C244" s="26" t="str">
        <f>IFERROR(__xludf.DUMMYFUNCTION("""COMPUTED_VALUE"""),"EEC")</f>
        <v>EEC</v>
      </c>
      <c r="D244" s="26" t="str">
        <f>IFERROR(__xludf.DUMMYFUNCTION("""COMPUTED_VALUE"""),"NA")</f>
        <v>NA</v>
      </c>
      <c r="E244" s="26" t="str">
        <f>IFERROR(__xludf.DUMMYFUNCTION("""COMPUTED_VALUE"""),"19EY701")</f>
        <v>19EY701</v>
      </c>
      <c r="F244" s="27" t="str">
        <f>IFERROR(__xludf.DUMMYFUNCTION("""COMPUTED_VALUE"""),"Softskills")</f>
        <v>Softskills</v>
      </c>
      <c r="G244" s="26" t="str">
        <f>IFERROR(__xludf.DUMMYFUNCTION("""COMPUTED_VALUE"""),"-")</f>
        <v>-</v>
      </c>
      <c r="H244" s="26">
        <f>IFERROR(__xludf.DUMMYFUNCTION("""COMPUTED_VALUE"""),0)</f>
        <v>0</v>
      </c>
      <c r="I244" s="26">
        <f>IFERROR(__xludf.DUMMYFUNCTION("""COMPUTED_VALUE"""),1)</f>
        <v>1</v>
      </c>
      <c r="J244" s="26">
        <f>IFERROR(__xludf.DUMMYFUNCTION("""COMPUTED_VALUE"""),1)</f>
        <v>1</v>
      </c>
      <c r="K244" s="26" t="str">
        <f>IFERROR(__xludf.DUMMYFUNCTION("""COMPUTED_VALUE"""),"CGPA")</f>
        <v>CGPA</v>
      </c>
      <c r="L244" s="26" t="str">
        <f>IFERROR(__xludf.DUMMYFUNCTION("""COMPUTED_VALUE"""),"Practical (6 Expts)")</f>
        <v>Practical (6 Expts)</v>
      </c>
      <c r="M244" s="26"/>
      <c r="N244" s="26"/>
      <c r="O244" s="26"/>
      <c r="P244" s="26"/>
      <c r="Q244" s="26"/>
      <c r="R244" s="26"/>
    </row>
    <row r="245" ht="13.2" spans="1:18">
      <c r="A245" s="26">
        <f>IFERROR(__xludf.DUMMYFUNCTION("""COMPUTED_VALUE"""),243)</f>
        <v>243</v>
      </c>
      <c r="B245" s="26" t="str">
        <f>IFERROR(__xludf.DUMMYFUNCTION("""COMPUTED_VALUE"""),"Any 1")</f>
        <v>Any 1</v>
      </c>
      <c r="C245" s="26" t="str">
        <f>IFERROR(__xludf.DUMMYFUNCTION("""COMPUTED_VALUE"""),"EEC")</f>
        <v>EEC</v>
      </c>
      <c r="D245" s="26" t="str">
        <f>IFERROR(__xludf.DUMMYFUNCTION("""COMPUTED_VALUE"""),"SH6708")</f>
        <v>SH6708</v>
      </c>
      <c r="E245" s="26" t="str">
        <f>IFERROR(__xludf.DUMMYFUNCTION("""COMPUTED_VALUE"""),"19EY708")</f>
        <v>19EY708</v>
      </c>
      <c r="F245" s="27" t="str">
        <f>IFERROR(__xludf.DUMMYFUNCTION("""COMPUTED_VALUE"""),"Career Development Skills")</f>
        <v>Career Development Skills</v>
      </c>
      <c r="G245" s="26" t="str">
        <f>IFERROR(__xludf.DUMMYFUNCTION("""COMPUTED_VALUE"""),"NIL")</f>
        <v>NIL</v>
      </c>
      <c r="H245" s="26">
        <f>IFERROR(__xludf.DUMMYFUNCTION("""COMPUTED_VALUE"""),1)</f>
        <v>1</v>
      </c>
      <c r="I245" s="26">
        <f>IFERROR(__xludf.DUMMYFUNCTION("""COMPUTED_VALUE"""),0)</f>
        <v>0</v>
      </c>
      <c r="J245" s="26">
        <f>IFERROR(__xludf.DUMMYFUNCTION("""COMPUTED_VALUE"""),1)</f>
        <v>1</v>
      </c>
      <c r="K245" s="26" t="str">
        <f>IFERROR(__xludf.DUMMYFUNCTION("""COMPUTED_VALUE"""),"CGPA")</f>
        <v>CGPA</v>
      </c>
      <c r="L245" s="26" t="str">
        <f>IFERROR(__xludf.DUMMYFUNCTION("""COMPUTED_VALUE"""),"Theory (Int Only)")</f>
        <v>Theory (Int Only)</v>
      </c>
      <c r="M245" s="26"/>
      <c r="N245" s="26"/>
      <c r="O245" s="26"/>
      <c r="P245" s="26"/>
      <c r="Q245" s="26"/>
      <c r="R245" s="26"/>
    </row>
    <row r="246" ht="13.2" spans="1:18">
      <c r="A246" s="26">
        <f>IFERROR(__xludf.DUMMYFUNCTION("""COMPUTED_VALUE"""),244)</f>
        <v>244</v>
      </c>
      <c r="B246" s="26" t="str">
        <f>IFERROR(__xludf.DUMMYFUNCTION("""COMPUTED_VALUE"""),"Any 1")</f>
        <v>Any 1</v>
      </c>
      <c r="C246" s="26" t="str">
        <f>IFERROR(__xludf.DUMMYFUNCTION("""COMPUTED_VALUE"""),"EEC")</f>
        <v>EEC</v>
      </c>
      <c r="D246" s="26" t="str">
        <f>IFERROR(__xludf.DUMMYFUNCTION("""COMPUTED_VALUE"""),"NA")</f>
        <v>NA</v>
      </c>
      <c r="E246" s="26" t="str">
        <f>IFERROR(__xludf.DUMMYFUNCTION("""COMPUTED_VALUE"""),"19EY702")</f>
        <v>19EY702</v>
      </c>
      <c r="F246" s="27" t="str">
        <f>IFERROR(__xludf.DUMMYFUNCTION("""COMPUTED_VALUE"""),"Creative Skills for Communication")</f>
        <v>Creative Skills for Communication</v>
      </c>
      <c r="G246" s="26" t="str">
        <f>IFERROR(__xludf.DUMMYFUNCTION("""COMPUTED_VALUE"""),"-")</f>
        <v>-</v>
      </c>
      <c r="H246" s="26">
        <f>IFERROR(__xludf.DUMMYFUNCTION("""COMPUTED_VALUE"""),0)</f>
        <v>0</v>
      </c>
      <c r="I246" s="26">
        <f>IFERROR(__xludf.DUMMYFUNCTION("""COMPUTED_VALUE"""),1)</f>
        <v>1</v>
      </c>
      <c r="J246" s="26">
        <f>IFERROR(__xludf.DUMMYFUNCTION("""COMPUTED_VALUE"""),1)</f>
        <v>1</v>
      </c>
      <c r="K246" s="26" t="str">
        <f>IFERROR(__xludf.DUMMYFUNCTION("""COMPUTED_VALUE"""),"CGPA")</f>
        <v>CGPA</v>
      </c>
      <c r="L246" s="26" t="str">
        <f>IFERROR(__xludf.DUMMYFUNCTION("""COMPUTED_VALUE"""),"Practical (6 Expts)")</f>
        <v>Practical (6 Expts)</v>
      </c>
      <c r="M246" s="26"/>
      <c r="N246" s="26"/>
      <c r="O246" s="26"/>
      <c r="P246" s="26"/>
      <c r="Q246" s="26"/>
      <c r="R246" s="26"/>
    </row>
    <row r="247" ht="13.2" spans="1:18">
      <c r="A247" s="26">
        <f>IFERROR(__xludf.DUMMYFUNCTION("""COMPUTED_VALUE"""),245)</f>
        <v>245</v>
      </c>
      <c r="B247" s="26" t="str">
        <f>IFERROR(__xludf.DUMMYFUNCTION("""COMPUTED_VALUE"""),"Any 1")</f>
        <v>Any 1</v>
      </c>
      <c r="C247" s="26" t="str">
        <f>IFERROR(__xludf.DUMMYFUNCTION("""COMPUTED_VALUE"""),"EEC")</f>
        <v>EEC</v>
      </c>
      <c r="D247" s="26" t="str">
        <f>IFERROR(__xludf.DUMMYFUNCTION("""COMPUTED_VALUE"""),"SH6709")</f>
        <v>SH6709</v>
      </c>
      <c r="E247" s="26" t="str">
        <f>IFERROR(__xludf.DUMMYFUNCTION("""COMPUTED_VALUE"""),"19EY709")</f>
        <v>19EY709</v>
      </c>
      <c r="F247" s="27" t="str">
        <f>IFERROR(__xludf.DUMMYFUNCTION("""COMPUTED_VALUE"""),"Reasoning Ability")</f>
        <v>Reasoning Ability</v>
      </c>
      <c r="G247" s="26" t="str">
        <f>IFERROR(__xludf.DUMMYFUNCTION("""COMPUTED_VALUE"""),"NIL")</f>
        <v>NIL</v>
      </c>
      <c r="H247" s="26">
        <f>IFERROR(__xludf.DUMMYFUNCTION("""COMPUTED_VALUE"""),1)</f>
        <v>1</v>
      </c>
      <c r="I247" s="26">
        <f>IFERROR(__xludf.DUMMYFUNCTION("""COMPUTED_VALUE"""),0)</f>
        <v>0</v>
      </c>
      <c r="J247" s="26">
        <f>IFERROR(__xludf.DUMMYFUNCTION("""COMPUTED_VALUE"""),1)</f>
        <v>1</v>
      </c>
      <c r="K247" s="26" t="str">
        <f>IFERROR(__xludf.DUMMYFUNCTION("""COMPUTED_VALUE"""),"CGPA")</f>
        <v>CGPA</v>
      </c>
      <c r="L247" s="26" t="str">
        <f>IFERROR(__xludf.DUMMYFUNCTION("""COMPUTED_VALUE"""),"Theory (Int Only)")</f>
        <v>Theory (Int Only)</v>
      </c>
      <c r="M247" s="26"/>
      <c r="N247" s="26"/>
      <c r="O247" s="26"/>
      <c r="P247" s="26"/>
      <c r="Q247" s="26"/>
      <c r="R247" s="26"/>
    </row>
    <row r="248" ht="13.2" spans="1:18">
      <c r="A248" s="26">
        <f>IFERROR(__xludf.DUMMYFUNCTION("""COMPUTED_VALUE"""),246)</f>
        <v>246</v>
      </c>
      <c r="B248" s="26" t="str">
        <f>IFERROR(__xludf.DUMMYFUNCTION("""COMPUTED_VALUE"""),"Option 1")</f>
        <v>Option 1</v>
      </c>
      <c r="C248" s="26" t="str">
        <f>IFERROR(__xludf.DUMMYFUNCTION("""COMPUTED_VALUE"""),"EEC")</f>
        <v>EEC</v>
      </c>
      <c r="D248" s="26" t="str">
        <f>IFERROR(__xludf.DUMMYFUNCTION("""COMPUTED_VALUE"""),"NA")</f>
        <v>NA</v>
      </c>
      <c r="E248" s="26" t="str">
        <f>IFERROR(__xludf.DUMMYFUNCTION("""COMPUTED_VALUE"""),"19EY703")</f>
        <v>19EY703</v>
      </c>
      <c r="F248" s="27" t="str">
        <f>IFERROR(__xludf.DUMMYFUNCTION("""COMPUTED_VALUE"""),"System of Numerical and Logical Terminologies")</f>
        <v>System of Numerical and Logical Terminologies</v>
      </c>
      <c r="G248" s="26" t="str">
        <f>IFERROR(__xludf.DUMMYFUNCTION("""COMPUTED_VALUE"""),"-")</f>
        <v>-</v>
      </c>
      <c r="H248" s="26">
        <f>IFERROR(__xludf.DUMMYFUNCTION("""COMPUTED_VALUE"""),0)</f>
        <v>0</v>
      </c>
      <c r="I248" s="26">
        <f>IFERROR(__xludf.DUMMYFUNCTION("""COMPUTED_VALUE"""),1)</f>
        <v>1</v>
      </c>
      <c r="J248" s="26">
        <f>IFERROR(__xludf.DUMMYFUNCTION("""COMPUTED_VALUE"""),1)</f>
        <v>1</v>
      </c>
      <c r="K248" s="26" t="str">
        <f>IFERROR(__xludf.DUMMYFUNCTION("""COMPUTED_VALUE"""),"CGPA")</f>
        <v>CGPA</v>
      </c>
      <c r="L248" s="26" t="str">
        <f>IFERROR(__xludf.DUMMYFUNCTION("""COMPUTED_VALUE"""),"Practical (6 Expts)")</f>
        <v>Practical (6 Expts)</v>
      </c>
      <c r="M248" s="26"/>
      <c r="N248" s="26"/>
      <c r="O248" s="26"/>
      <c r="P248" s="26"/>
      <c r="Q248" s="26"/>
      <c r="R248" s="26"/>
    </row>
    <row r="249" ht="13.2" spans="1:18">
      <c r="A249" s="26">
        <f>IFERROR(__xludf.DUMMYFUNCTION("""COMPUTED_VALUE"""),247)</f>
        <v>247</v>
      </c>
      <c r="B249" s="26" t="str">
        <f>IFERROR(__xludf.DUMMYFUNCTION("""COMPUTED_VALUE"""),"Option 1")</f>
        <v>Option 1</v>
      </c>
      <c r="C249" s="26" t="str">
        <f>IFERROR(__xludf.DUMMYFUNCTION("""COMPUTED_VALUE"""),"EEC")</f>
        <v>EEC</v>
      </c>
      <c r="D249" s="26" t="str">
        <f>IFERROR(__xludf.DUMMYFUNCTION("""COMPUTED_VALUE"""),"NA")</f>
        <v>NA</v>
      </c>
      <c r="E249" s="26" t="str">
        <f>IFERROR(__xludf.DUMMYFUNCTION("""COMPUTED_VALUE"""),"19EY704")</f>
        <v>19EY704</v>
      </c>
      <c r="F249" s="27" t="str">
        <f>IFERROR(__xludf.DUMMYFUNCTION("""COMPUTED_VALUE"""),"Advanced Quantitative and Logical Reasoning")</f>
        <v>Advanced Quantitative and Logical Reasoning</v>
      </c>
      <c r="G249" s="26" t="str">
        <f>IFERROR(__xludf.DUMMYFUNCTION("""COMPUTED_VALUE"""),"-")</f>
        <v>-</v>
      </c>
      <c r="H249" s="26">
        <f>IFERROR(__xludf.DUMMYFUNCTION("""COMPUTED_VALUE"""),0)</f>
        <v>0</v>
      </c>
      <c r="I249" s="26">
        <f>IFERROR(__xludf.DUMMYFUNCTION("""COMPUTED_VALUE"""),1)</f>
        <v>1</v>
      </c>
      <c r="J249" s="26">
        <f>IFERROR(__xludf.DUMMYFUNCTION("""COMPUTED_VALUE"""),1)</f>
        <v>1</v>
      </c>
      <c r="K249" s="26" t="str">
        <f>IFERROR(__xludf.DUMMYFUNCTION("""COMPUTED_VALUE"""),"CGPA")</f>
        <v>CGPA</v>
      </c>
      <c r="L249" s="26" t="str">
        <f>IFERROR(__xludf.DUMMYFUNCTION("""COMPUTED_VALUE"""),"Practical (6 Expts)")</f>
        <v>Practical (6 Expts)</v>
      </c>
      <c r="M249" s="26"/>
      <c r="N249" s="26"/>
      <c r="O249" s="26"/>
      <c r="P249" s="26"/>
      <c r="Q249" s="26"/>
      <c r="R249" s="26"/>
    </row>
    <row r="250" ht="13.2" spans="1:18">
      <c r="A250" s="26">
        <f>IFERROR(__xludf.DUMMYFUNCTION("""COMPUTED_VALUE"""),248)</f>
        <v>248</v>
      </c>
      <c r="B250" s="26" t="str">
        <f>IFERROR(__xludf.DUMMYFUNCTION("""COMPUTED_VALUE"""),"Option 2")</f>
        <v>Option 2</v>
      </c>
      <c r="C250" s="26" t="str">
        <f>IFERROR(__xludf.DUMMYFUNCTION("""COMPUTED_VALUE"""),"EEC")</f>
        <v>EEC</v>
      </c>
      <c r="D250" s="26" t="str">
        <f>IFERROR(__xludf.DUMMYFUNCTION("""COMPUTED_VALUE"""),"SH6710")</f>
        <v>SH6710</v>
      </c>
      <c r="E250" s="26" t="str">
        <f>IFERROR(__xludf.DUMMYFUNCTION("""COMPUTED_VALUE"""),"19EY710")</f>
        <v>19EY710</v>
      </c>
      <c r="F250" s="27" t="str">
        <f>IFERROR(__xludf.DUMMYFUNCTION("""COMPUTED_VALUE"""),"Quantitative Ability I")</f>
        <v>Quantitative Ability I</v>
      </c>
      <c r="G250" s="26" t="str">
        <f>IFERROR(__xludf.DUMMYFUNCTION("""COMPUTED_VALUE"""),"NIL")</f>
        <v>NIL</v>
      </c>
      <c r="H250" s="26">
        <f>IFERROR(__xludf.DUMMYFUNCTION("""COMPUTED_VALUE"""),1)</f>
        <v>1</v>
      </c>
      <c r="I250" s="26">
        <f>IFERROR(__xludf.DUMMYFUNCTION("""COMPUTED_VALUE"""),0)</f>
        <v>0</v>
      </c>
      <c r="J250" s="26">
        <f>IFERROR(__xludf.DUMMYFUNCTION("""COMPUTED_VALUE"""),1)</f>
        <v>1</v>
      </c>
      <c r="K250" s="26" t="str">
        <f>IFERROR(__xludf.DUMMYFUNCTION("""COMPUTED_VALUE"""),"CGPA")</f>
        <v>CGPA</v>
      </c>
      <c r="L250" s="26" t="str">
        <f>IFERROR(__xludf.DUMMYFUNCTION("""COMPUTED_VALUE"""),"Theory (Int Only)")</f>
        <v>Theory (Int Only)</v>
      </c>
      <c r="M250" s="26"/>
      <c r="N250" s="26"/>
      <c r="O250" s="26"/>
      <c r="P250" s="26"/>
      <c r="Q250" s="26"/>
      <c r="R250" s="26"/>
    </row>
    <row r="251" ht="13.2" spans="1:18">
      <c r="A251" s="26">
        <f>IFERROR(__xludf.DUMMYFUNCTION("""COMPUTED_VALUE"""),249)</f>
        <v>249</v>
      </c>
      <c r="B251" s="26" t="str">
        <f>IFERROR(__xludf.DUMMYFUNCTION("""COMPUTED_VALUE"""),"Option 2")</f>
        <v>Option 2</v>
      </c>
      <c r="C251" s="26" t="str">
        <f>IFERROR(__xludf.DUMMYFUNCTION("""COMPUTED_VALUE"""),"EEC")</f>
        <v>EEC</v>
      </c>
      <c r="D251" s="26" t="str">
        <f>IFERROR(__xludf.DUMMYFUNCTION("""COMPUTED_VALUE"""),"SH6711")</f>
        <v>SH6711</v>
      </c>
      <c r="E251" s="26" t="str">
        <f>IFERROR(__xludf.DUMMYFUNCTION("""COMPUTED_VALUE"""),"19EY711")</f>
        <v>19EY711</v>
      </c>
      <c r="F251" s="27" t="str">
        <f>IFERROR(__xludf.DUMMYFUNCTION("""COMPUTED_VALUE"""),"Quantitative Ability II")</f>
        <v>Quantitative Ability II</v>
      </c>
      <c r="G251" s="26" t="str">
        <f>IFERROR(__xludf.DUMMYFUNCTION("""COMPUTED_VALUE"""),"SH6710 /19EY710")</f>
        <v>SH6710 /19EY710</v>
      </c>
      <c r="H251" s="26">
        <f>IFERROR(__xludf.DUMMYFUNCTION("""COMPUTED_VALUE"""),1)</f>
        <v>1</v>
      </c>
      <c r="I251" s="26">
        <f>IFERROR(__xludf.DUMMYFUNCTION("""COMPUTED_VALUE"""),0)</f>
        <v>0</v>
      </c>
      <c r="J251" s="26">
        <f>IFERROR(__xludf.DUMMYFUNCTION("""COMPUTED_VALUE"""),1)</f>
        <v>1</v>
      </c>
      <c r="K251" s="26" t="str">
        <f>IFERROR(__xludf.DUMMYFUNCTION("""COMPUTED_VALUE"""),"CGPA")</f>
        <v>CGPA</v>
      </c>
      <c r="L251" s="26" t="str">
        <f>IFERROR(__xludf.DUMMYFUNCTION("""COMPUTED_VALUE"""),"Theory (Int Only)")</f>
        <v>Theory (Int Only)</v>
      </c>
      <c r="M251" s="26"/>
      <c r="N251" s="26"/>
      <c r="O251" s="26"/>
      <c r="P251" s="26"/>
      <c r="Q251" s="26"/>
      <c r="R251" s="26"/>
    </row>
    <row r="252" ht="13.2" spans="1:18">
      <c r="A252" s="26">
        <f>IFERROR(__xludf.DUMMYFUNCTION("""COMPUTED_VALUE"""),250)</f>
        <v>250</v>
      </c>
      <c r="B252" s="26" t="str">
        <f>IFERROR(__xludf.DUMMYFUNCTION("""COMPUTED_VALUE"""),"Any 1")</f>
        <v>Any 1</v>
      </c>
      <c r="C252" s="26" t="str">
        <f>IFERROR(__xludf.DUMMYFUNCTION("""COMPUTED_VALUE"""),"EEC")</f>
        <v>EEC</v>
      </c>
      <c r="D252" s="26" t="str">
        <f>IFERROR(__xludf.DUMMYFUNCTION("""COMPUTED_VALUE"""),"NA")</f>
        <v>NA</v>
      </c>
      <c r="E252" s="26" t="str">
        <f>IFERROR(__xludf.DUMMYFUNCTION("""COMPUTED_VALUE"""),"19EY705")</f>
        <v>19EY705</v>
      </c>
      <c r="F252" s="27" t="str">
        <f>IFERROR(__xludf.DUMMYFUNCTION("""COMPUTED_VALUE"""),"Employment Enhancement Skills")</f>
        <v>Employment Enhancement Skills</v>
      </c>
      <c r="G252" s="26" t="str">
        <f>IFERROR(__xludf.DUMMYFUNCTION("""COMPUTED_VALUE"""),"-")</f>
        <v>-</v>
      </c>
      <c r="H252" s="26">
        <f>IFERROR(__xludf.DUMMYFUNCTION("""COMPUTED_VALUE"""),0)</f>
        <v>0</v>
      </c>
      <c r="I252" s="26">
        <f>IFERROR(__xludf.DUMMYFUNCTION("""COMPUTED_VALUE"""),1)</f>
        <v>1</v>
      </c>
      <c r="J252" s="26">
        <f>IFERROR(__xludf.DUMMYFUNCTION("""COMPUTED_VALUE"""),1)</f>
        <v>1</v>
      </c>
      <c r="K252" s="26" t="str">
        <f>IFERROR(__xludf.DUMMYFUNCTION("""COMPUTED_VALUE"""),"CGPA")</f>
        <v>CGPA</v>
      </c>
      <c r="L252" s="26" t="str">
        <f>IFERROR(__xludf.DUMMYFUNCTION("""COMPUTED_VALUE"""),"Practical (6 Expts)")</f>
        <v>Practical (6 Expts)</v>
      </c>
      <c r="M252" s="26"/>
      <c r="N252" s="26"/>
      <c r="O252" s="26"/>
      <c r="P252" s="26"/>
      <c r="Q252" s="26"/>
      <c r="R252" s="26"/>
    </row>
    <row r="253" ht="13.2" spans="1:18">
      <c r="A253" s="26">
        <f>IFERROR(__xludf.DUMMYFUNCTION("""COMPUTED_VALUE"""),251)</f>
        <v>251</v>
      </c>
      <c r="B253" s="26" t="str">
        <f>IFERROR(__xludf.DUMMYFUNCTION("""COMPUTED_VALUE"""),"Any 1")</f>
        <v>Any 1</v>
      </c>
      <c r="C253" s="26" t="str">
        <f>IFERROR(__xludf.DUMMYFUNCTION("""COMPUTED_VALUE"""),"EEC")</f>
        <v>EEC</v>
      </c>
      <c r="D253" s="26" t="str">
        <f>IFERROR(__xludf.DUMMYFUNCTION("""COMPUTED_VALUE"""),"SH6712")</f>
        <v>SH6712</v>
      </c>
      <c r="E253" s="26" t="str">
        <f>IFERROR(__xludf.DUMMYFUNCTION("""COMPUTED_VALUE"""),"19EY712")</f>
        <v>19EY712</v>
      </c>
      <c r="F253" s="27" t="str">
        <f>IFERROR(__xludf.DUMMYFUNCTION("""COMPUTED_VALUE"""),"Employment Enrichment Skills")</f>
        <v>Employment Enrichment Skills</v>
      </c>
      <c r="G253" s="26" t="str">
        <f>IFERROR(__xludf.DUMMYFUNCTION("""COMPUTED_VALUE"""),"19EY702 / 19EY709 / SH6709")</f>
        <v>19EY702 / 19EY709 / SH6709</v>
      </c>
      <c r="H253" s="26">
        <f>IFERROR(__xludf.DUMMYFUNCTION("""COMPUTED_VALUE"""),1)</f>
        <v>1</v>
      </c>
      <c r="I253" s="26">
        <f>IFERROR(__xludf.DUMMYFUNCTION("""COMPUTED_VALUE"""),0)</f>
        <v>0</v>
      </c>
      <c r="J253" s="26">
        <f>IFERROR(__xludf.DUMMYFUNCTION("""COMPUTED_VALUE"""),1)</f>
        <v>1</v>
      </c>
      <c r="K253" s="26" t="str">
        <f>IFERROR(__xludf.DUMMYFUNCTION("""COMPUTED_VALUE"""),"CGPA")</f>
        <v>CGPA</v>
      </c>
      <c r="L253" s="26" t="str">
        <f>IFERROR(__xludf.DUMMYFUNCTION("""COMPUTED_VALUE"""),"Theory (Int Only)")</f>
        <v>Theory (Int Only)</v>
      </c>
      <c r="M253" s="26"/>
      <c r="N253" s="26"/>
      <c r="O253" s="26"/>
      <c r="P253" s="26"/>
      <c r="Q253" s="26"/>
      <c r="R253" s="26"/>
    </row>
    <row r="254" ht="13.2" spans="1:18">
      <c r="A254" s="26">
        <f>IFERROR(__xludf.DUMMYFUNCTION("""COMPUTED_VALUE"""),252)</f>
        <v>252</v>
      </c>
      <c r="B254" s="26" t="str">
        <f>IFERROR(__xludf.DUMMYFUNCTION("""COMPUTED_VALUE"""),"Any 1")</f>
        <v>Any 1</v>
      </c>
      <c r="C254" s="26" t="str">
        <f>IFERROR(__xludf.DUMMYFUNCTION("""COMPUTED_VALUE"""),"EEC")</f>
        <v>EEC</v>
      </c>
      <c r="D254" s="26" t="str">
        <f>IFERROR(__xludf.DUMMYFUNCTION("""COMPUTED_VALUE"""),"NA")</f>
        <v>NA</v>
      </c>
      <c r="E254" s="26" t="str">
        <f>IFERROR(__xludf.DUMMYFUNCTION("""COMPUTED_VALUE"""),"19EY706")</f>
        <v>19EY706</v>
      </c>
      <c r="F254" s="27" t="str">
        <f>IFERROR(__xludf.DUMMYFUNCTION("""COMPUTED_VALUE"""),"Company Specific Assessments For Employability")</f>
        <v>Company Specific Assessments For Employability</v>
      </c>
      <c r="G254" s="26" t="str">
        <f>IFERROR(__xludf.DUMMYFUNCTION("""COMPUTED_VALUE"""),"-")</f>
        <v>-</v>
      </c>
      <c r="H254" s="26">
        <f>IFERROR(__xludf.DUMMYFUNCTION("""COMPUTED_VALUE"""),0)</f>
        <v>0</v>
      </c>
      <c r="I254" s="26">
        <f>IFERROR(__xludf.DUMMYFUNCTION("""COMPUTED_VALUE"""),1)</f>
        <v>1</v>
      </c>
      <c r="J254" s="26">
        <f>IFERROR(__xludf.DUMMYFUNCTION("""COMPUTED_VALUE"""),1)</f>
        <v>1</v>
      </c>
      <c r="K254" s="26" t="str">
        <f>IFERROR(__xludf.DUMMYFUNCTION("""COMPUTED_VALUE"""),"CGPA")</f>
        <v>CGPA</v>
      </c>
      <c r="L254" s="26" t="str">
        <f>IFERROR(__xludf.DUMMYFUNCTION("""COMPUTED_VALUE"""),"Practical (6 Expts)")</f>
        <v>Practical (6 Expts)</v>
      </c>
      <c r="M254" s="26"/>
      <c r="N254" s="26"/>
      <c r="O254" s="26"/>
      <c r="P254" s="26"/>
      <c r="Q254" s="26"/>
      <c r="R254" s="26"/>
    </row>
    <row r="255" ht="13.2" spans="1:18">
      <c r="A255" s="26">
        <f>IFERROR(__xludf.DUMMYFUNCTION("""COMPUTED_VALUE"""),253)</f>
        <v>253</v>
      </c>
      <c r="B255" s="26" t="str">
        <f>IFERROR(__xludf.DUMMYFUNCTION("""COMPUTED_VALUE"""),"Any 1")</f>
        <v>Any 1</v>
      </c>
      <c r="C255" s="26" t="str">
        <f>IFERROR(__xludf.DUMMYFUNCTION("""COMPUTED_VALUE"""),"EEC")</f>
        <v>EEC</v>
      </c>
      <c r="D255" s="26" t="str">
        <f>IFERROR(__xludf.DUMMYFUNCTION("""COMPUTED_VALUE"""),"SH6713")</f>
        <v>SH6713</v>
      </c>
      <c r="E255" s="26" t="str">
        <f>IFERROR(__xludf.DUMMYFUNCTION("""COMPUTED_VALUE"""),"19EY713")</f>
        <v>19EY713</v>
      </c>
      <c r="F255" s="27" t="str">
        <f>IFERROR(__xludf.DUMMYFUNCTION("""COMPUTED_VALUE"""),"Placement Readiness Assessment")</f>
        <v>Placement Readiness Assessment</v>
      </c>
      <c r="G255" s="26" t="str">
        <f>IFERROR(__xludf.DUMMYFUNCTION("""COMPUTED_VALUE"""),"19EY704 / 19EY711/SH6711")</f>
        <v>19EY704 / 19EY711/SH6711</v>
      </c>
      <c r="H255" s="26">
        <f>IFERROR(__xludf.DUMMYFUNCTION("""COMPUTED_VALUE"""),1)</f>
        <v>1</v>
      </c>
      <c r="I255" s="26">
        <f>IFERROR(__xludf.DUMMYFUNCTION("""COMPUTED_VALUE"""),0)</f>
        <v>0</v>
      </c>
      <c r="J255" s="26">
        <f>IFERROR(__xludf.DUMMYFUNCTION("""COMPUTED_VALUE"""),1)</f>
        <v>1</v>
      </c>
      <c r="K255" s="26" t="str">
        <f>IFERROR(__xludf.DUMMYFUNCTION("""COMPUTED_VALUE"""),"CGPA")</f>
        <v>CGPA</v>
      </c>
      <c r="L255" s="26" t="str">
        <f>IFERROR(__xludf.DUMMYFUNCTION("""COMPUTED_VALUE"""),"Theory (Int Only)")</f>
        <v>Theory (Int Only)</v>
      </c>
      <c r="M255" s="26"/>
      <c r="N255" s="26"/>
      <c r="O255" s="26"/>
      <c r="P255" s="26"/>
      <c r="Q255" s="26"/>
      <c r="R255" s="26"/>
    </row>
    <row r="256" ht="13.2" spans="1:18">
      <c r="A256" s="26">
        <f>IFERROR(__xludf.DUMMYFUNCTION("""COMPUTED_VALUE"""),254)</f>
        <v>254</v>
      </c>
      <c r="B256" s="26"/>
      <c r="C256" s="26" t="str">
        <f>IFERROR(__xludf.DUMMYFUNCTION("""COMPUTED_VALUE"""),"EEC")</f>
        <v>EEC</v>
      </c>
      <c r="D256" s="26" t="str">
        <f>IFERROR(__xludf.DUMMYFUNCTION("""COMPUTED_VALUE"""),"SH6707")</f>
        <v>SH6707</v>
      </c>
      <c r="E256" s="26" t="str">
        <f>IFERROR(__xludf.DUMMYFUNCTION("""COMPUTED_VALUE"""),"19EY707")</f>
        <v>19EY707</v>
      </c>
      <c r="F256" s="27" t="str">
        <f>IFERROR(__xludf.DUMMYFUNCTION("""COMPUTED_VALUE"""),"Paper Publication")</f>
        <v>Paper Publication</v>
      </c>
      <c r="G256" s="26" t="str">
        <f>IFERROR(__xludf.DUMMYFUNCTION("""COMPUTED_VALUE"""),"-")</f>
        <v>-</v>
      </c>
      <c r="H256" s="26">
        <f>IFERROR(__xludf.DUMMYFUNCTION("""COMPUTED_VALUE"""),0)</f>
        <v>0</v>
      </c>
      <c r="I256" s="26">
        <f>IFERROR(__xludf.DUMMYFUNCTION("""COMPUTED_VALUE"""),0)</f>
        <v>0</v>
      </c>
      <c r="J256" s="26">
        <f>IFERROR(__xludf.DUMMYFUNCTION("""COMPUTED_VALUE"""),1)</f>
        <v>1</v>
      </c>
      <c r="K256" s="26" t="str">
        <f>IFERROR(__xludf.DUMMYFUNCTION("""COMPUTED_VALUE"""),"NON-CGPA")</f>
        <v>NON-CGPA</v>
      </c>
      <c r="L256" s="26" t="str">
        <f>IFERROR(__xludf.DUMMYFUNCTION("""COMPUTED_VALUE"""),"Experiential Learning (Int Only)")</f>
        <v>Experiential Learning (Int Only)</v>
      </c>
      <c r="M256" s="26"/>
      <c r="N256" s="26"/>
      <c r="O256" s="26"/>
      <c r="P256" s="26"/>
      <c r="Q256" s="26"/>
      <c r="R256" s="26"/>
    </row>
    <row r="257" ht="13.2" spans="1:18">
      <c r="A257" s="26">
        <f>IFERROR(__xludf.DUMMYFUNCTION("""COMPUTED_VALUE"""),255)</f>
        <v>255</v>
      </c>
      <c r="B257" s="26"/>
      <c r="C257" s="26" t="str">
        <f>IFERROR(__xludf.DUMMYFUNCTION("""COMPUTED_VALUE"""),"MC")</f>
        <v>MC</v>
      </c>
      <c r="D257" s="26" t="str">
        <f>IFERROR(__xludf.DUMMYFUNCTION("""COMPUTED_VALUE"""),"NA")</f>
        <v>NA</v>
      </c>
      <c r="E257" s="26" t="str">
        <f>IFERROR(__xludf.DUMMYFUNCTION("""COMPUTED_VALUE"""),"19MC803")</f>
        <v>19MC803</v>
      </c>
      <c r="F257" s="27" t="str">
        <f>IFERROR(__xludf.DUMMYFUNCTION("""COMPUTED_VALUE"""),"Constitution of India")</f>
        <v>Constitution of India</v>
      </c>
      <c r="G257" s="26" t="str">
        <f>IFERROR(__xludf.DUMMYFUNCTION("""COMPUTED_VALUE"""),"-")</f>
        <v>-</v>
      </c>
      <c r="H257" s="26">
        <f>IFERROR(__xludf.DUMMYFUNCTION("""COMPUTED_VALUE"""),0)</f>
        <v>0</v>
      </c>
      <c r="I257" s="26">
        <f>IFERROR(__xludf.DUMMYFUNCTION("""COMPUTED_VALUE"""),0)</f>
        <v>0</v>
      </c>
      <c r="J257" s="26">
        <f>IFERROR(__xludf.DUMMYFUNCTION("""COMPUTED_VALUE"""),0)</f>
        <v>0</v>
      </c>
      <c r="K257" s="26" t="str">
        <f>IFERROR(__xludf.DUMMYFUNCTION("""COMPUTED_VALUE"""),"CGPA")</f>
        <v>CGPA</v>
      </c>
      <c r="L257" s="26" t="str">
        <f>IFERROR(__xludf.DUMMYFUNCTION("""COMPUTED_VALUE"""),"Theory (Int Only)")</f>
        <v>Theory (Int Only)</v>
      </c>
      <c r="M257" s="26"/>
      <c r="N257" s="26"/>
      <c r="O257" s="26"/>
      <c r="P257" s="26"/>
      <c r="Q257" s="26"/>
      <c r="R257" s="26"/>
    </row>
    <row r="258" ht="13.2" spans="1:18">
      <c r="A258" s="26">
        <f>IFERROR(__xludf.DUMMYFUNCTION("""COMPUTED_VALUE"""),256)</f>
        <v>256</v>
      </c>
      <c r="B258" s="26"/>
      <c r="C258" s="26" t="str">
        <f>IFERROR(__xludf.DUMMYFUNCTION("""COMPUTED_VALUE"""),"MC")</f>
        <v>MC</v>
      </c>
      <c r="D258" s="26" t="str">
        <f>IFERROR(__xludf.DUMMYFUNCTION("""COMPUTED_VALUE"""),"SH8802")</f>
        <v>SH8802</v>
      </c>
      <c r="E258" s="26" t="str">
        <f>IFERROR(__xludf.DUMMYFUNCTION("""COMPUTED_VALUE"""),"NA")</f>
        <v>NA</v>
      </c>
      <c r="F258" s="27" t="str">
        <f>IFERROR(__xludf.DUMMYFUNCTION("""COMPUTED_VALUE"""),"Internship")</f>
        <v>Internship</v>
      </c>
      <c r="G258" s="26" t="str">
        <f>IFERROR(__xludf.DUMMYFUNCTION("""COMPUTED_VALUE"""),"-")</f>
        <v>-</v>
      </c>
      <c r="H258" s="26">
        <f>IFERROR(__xludf.DUMMYFUNCTION("""COMPUTED_VALUE"""),0)</f>
        <v>0</v>
      </c>
      <c r="I258" s="26">
        <f>IFERROR(__xludf.DUMMYFUNCTION("""COMPUTED_VALUE"""),0)</f>
        <v>0</v>
      </c>
      <c r="J258" s="26">
        <f>IFERROR(__xludf.DUMMYFUNCTION("""COMPUTED_VALUE"""),2)</f>
        <v>2</v>
      </c>
      <c r="K258" s="26" t="str">
        <f>IFERROR(__xludf.DUMMYFUNCTION("""COMPUTED_VALUE"""),"NON-CGPA")</f>
        <v>NON-CGPA</v>
      </c>
      <c r="L258" s="26" t="str">
        <f>IFERROR(__xludf.DUMMYFUNCTION("""COMPUTED_VALUE"""),"Experiential Learning (Int Only)")</f>
        <v>Experiential Learning (Int Only)</v>
      </c>
      <c r="M258" s="26"/>
      <c r="N258" s="26"/>
      <c r="O258" s="26"/>
      <c r="P258" s="26"/>
      <c r="Q258" s="26"/>
      <c r="R258" s="26"/>
    </row>
    <row r="259" ht="13.2" spans="1:18">
      <c r="A259" s="26">
        <f>IFERROR(__xludf.DUMMYFUNCTION("""COMPUTED_VALUE"""),257)</f>
        <v>257</v>
      </c>
      <c r="B259" s="26" t="str">
        <f>IFERROR(__xludf.DUMMYFUNCTION("""COMPUTED_VALUE"""),"Any 1")</f>
        <v>Any 1</v>
      </c>
      <c r="C259" s="26" t="str">
        <f>IFERROR(__xludf.DUMMYFUNCTION("""COMPUTED_VALUE"""),"MC")</f>
        <v>MC</v>
      </c>
      <c r="D259" s="26" t="str">
        <f>IFERROR(__xludf.DUMMYFUNCTION("""COMPUTED_VALUE"""),"SH6803")</f>
        <v>SH6803</v>
      </c>
      <c r="E259" s="26" t="str">
        <f>IFERROR(__xludf.DUMMYFUNCTION("""COMPUTED_VALUE"""),"19MC807")</f>
        <v>19MC807</v>
      </c>
      <c r="F259" s="26" t="str">
        <f>IFERROR(__xludf.DUMMYFUNCTION("""COMPUTED_VALUE"""),"National Service Scheme")</f>
        <v>National Service Scheme</v>
      </c>
      <c r="G259" s="26" t="str">
        <f>IFERROR(__xludf.DUMMYFUNCTION("""COMPUTED_VALUE"""),"-")</f>
        <v>-</v>
      </c>
      <c r="H259" s="26">
        <f>IFERROR(__xludf.DUMMYFUNCTION("""COMPUTED_VALUE"""),0)</f>
        <v>0</v>
      </c>
      <c r="I259" s="26">
        <f>IFERROR(__xludf.DUMMYFUNCTION("""COMPUTED_VALUE"""),0)</f>
        <v>0</v>
      </c>
      <c r="J259" s="26">
        <f>IFERROR(__xludf.DUMMYFUNCTION("""COMPUTED_VALUE"""),0)</f>
        <v>0</v>
      </c>
      <c r="K259" s="26" t="str">
        <f>IFERROR(__xludf.DUMMYFUNCTION("""COMPUTED_VALUE"""),"NON-CGPA")</f>
        <v>NON-CGPA</v>
      </c>
      <c r="L259" s="26" t="str">
        <f>IFERROR(__xludf.DUMMYFUNCTION("""COMPUTED_VALUE"""),"Experiential Learning (Int Only)")</f>
        <v>Experiential Learning (Int Only)</v>
      </c>
      <c r="M259" s="26"/>
      <c r="N259" s="26"/>
      <c r="O259" s="26"/>
      <c r="P259" s="26"/>
      <c r="Q259" s="26"/>
      <c r="R259" s="26"/>
    </row>
    <row r="260" ht="13.2" spans="1:18">
      <c r="A260" s="26">
        <f>IFERROR(__xludf.DUMMYFUNCTION("""COMPUTED_VALUE"""),258)</f>
        <v>258</v>
      </c>
      <c r="B260" s="26" t="str">
        <f>IFERROR(__xludf.DUMMYFUNCTION("""COMPUTED_VALUE"""),"Any 1")</f>
        <v>Any 1</v>
      </c>
      <c r="C260" s="26" t="str">
        <f>IFERROR(__xludf.DUMMYFUNCTION("""COMPUTED_VALUE"""),"MC")</f>
        <v>MC</v>
      </c>
      <c r="D260" s="26" t="str">
        <f>IFERROR(__xludf.DUMMYFUNCTION("""COMPUTED_VALUE"""),"SH8807")</f>
        <v>SH8807</v>
      </c>
      <c r="E260" s="26" t="str">
        <f>IFERROR(__xludf.DUMMYFUNCTION("""COMPUTED_VALUE"""),"19MC808")</f>
        <v>19MC808</v>
      </c>
      <c r="F260" s="26" t="str">
        <f>IFERROR(__xludf.DUMMYFUNCTION("""COMPUTED_VALUE"""),"National Sports Organization ")</f>
        <v>National Sports Organization </v>
      </c>
      <c r="G260" s="26" t="str">
        <f>IFERROR(__xludf.DUMMYFUNCTION("""COMPUTED_VALUE"""),"-")</f>
        <v>-</v>
      </c>
      <c r="H260" s="26">
        <f>IFERROR(__xludf.DUMMYFUNCTION("""COMPUTED_VALUE"""),0)</f>
        <v>0</v>
      </c>
      <c r="I260" s="26">
        <f>IFERROR(__xludf.DUMMYFUNCTION("""COMPUTED_VALUE"""),0)</f>
        <v>0</v>
      </c>
      <c r="J260" s="26">
        <f>IFERROR(__xludf.DUMMYFUNCTION("""COMPUTED_VALUE"""),0)</f>
        <v>0</v>
      </c>
      <c r="K260" s="26" t="str">
        <f>IFERROR(__xludf.DUMMYFUNCTION("""COMPUTED_VALUE"""),"NON-CGPA")</f>
        <v>NON-CGPA</v>
      </c>
      <c r="L260" s="26" t="str">
        <f>IFERROR(__xludf.DUMMYFUNCTION("""COMPUTED_VALUE"""),"Experiential Learning (Int Only)")</f>
        <v>Experiential Learning (Int Only)</v>
      </c>
      <c r="M260" s="26"/>
      <c r="N260" s="26"/>
      <c r="O260" s="26"/>
      <c r="P260" s="26"/>
      <c r="Q260" s="26"/>
      <c r="R260" s="26"/>
    </row>
    <row r="261" ht="13.2" spans="1:18">
      <c r="A261" s="26">
        <f>IFERROR(__xludf.DUMMYFUNCTION("""COMPUTED_VALUE"""),259)</f>
        <v>259</v>
      </c>
      <c r="B261" s="26" t="str">
        <f>IFERROR(__xludf.DUMMYFUNCTION("""COMPUTED_VALUE"""),"Any 1")</f>
        <v>Any 1</v>
      </c>
      <c r="C261" s="26" t="str">
        <f>IFERROR(__xludf.DUMMYFUNCTION("""COMPUTED_VALUE"""),"MC")</f>
        <v>MC</v>
      </c>
      <c r="D261" s="26" t="str">
        <f>IFERROR(__xludf.DUMMYFUNCTION("""COMPUTED_VALUE"""),"SH8808")</f>
        <v>SH8808</v>
      </c>
      <c r="E261" s="26" t="str">
        <f>IFERROR(__xludf.DUMMYFUNCTION("""COMPUTED_VALUE"""),"19MC809")</f>
        <v>19MC809</v>
      </c>
      <c r="F261" s="26" t="str">
        <f>IFERROR(__xludf.DUMMYFUNCTION("""COMPUTED_VALUE"""),"Youth Red Cross")</f>
        <v>Youth Red Cross</v>
      </c>
      <c r="G261" s="26" t="str">
        <f>IFERROR(__xludf.DUMMYFUNCTION("""COMPUTED_VALUE"""),"-")</f>
        <v>-</v>
      </c>
      <c r="H261" s="26">
        <f>IFERROR(__xludf.DUMMYFUNCTION("""COMPUTED_VALUE"""),0)</f>
        <v>0</v>
      </c>
      <c r="I261" s="26">
        <f>IFERROR(__xludf.DUMMYFUNCTION("""COMPUTED_VALUE"""),0)</f>
        <v>0</v>
      </c>
      <c r="J261" s="26">
        <f>IFERROR(__xludf.DUMMYFUNCTION("""COMPUTED_VALUE"""),0)</f>
        <v>0</v>
      </c>
      <c r="K261" s="26" t="str">
        <f>IFERROR(__xludf.DUMMYFUNCTION("""COMPUTED_VALUE"""),"NON-CGPA")</f>
        <v>NON-CGPA</v>
      </c>
      <c r="L261" s="26" t="str">
        <f>IFERROR(__xludf.DUMMYFUNCTION("""COMPUTED_VALUE"""),"Experiential Learning (Int Only)")</f>
        <v>Experiential Learning (Int Only)</v>
      </c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  <row r="832" ht="13.2" spans="1:18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</row>
    <row r="833" ht="13.2" spans="1:18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</row>
    <row r="834" ht="13.2" spans="1:18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</row>
    <row r="835" ht="13.2" spans="1:18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</row>
    <row r="836" ht="13.2" spans="1:18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</row>
    <row r="837" ht="13.2" spans="1:18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</row>
    <row r="838" ht="13.2" spans="1:1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</row>
    <row r="839" ht="13.2" spans="1:18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</row>
    <row r="840" ht="13.2" spans="1:18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</row>
    <row r="841" ht="13.2" spans="1:18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</row>
    <row r="842" ht="13.2" spans="1:18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</row>
    <row r="843" ht="13.2" spans="1:18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</row>
    <row r="844" ht="13.2" spans="1:18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</row>
    <row r="845" ht="13.2" spans="1:18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</row>
    <row r="846" ht="13.2" spans="1:18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</row>
    <row r="847" ht="13.2" spans="1:18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</row>
    <row r="848" ht="13.2" spans="1:1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</row>
    <row r="849" ht="13.2" spans="1:18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</row>
    <row r="850" ht="13.2" spans="1:18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</row>
    <row r="851" ht="13.2" spans="1:18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</row>
    <row r="852" ht="13.2" spans="1:18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</row>
    <row r="853" ht="13.2" spans="1:18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</row>
    <row r="854" ht="13.2" spans="1:18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</row>
    <row r="855" ht="13.2" spans="1:18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</row>
    <row r="856" ht="13.2" spans="1:18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ht="13.2" spans="1:18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ht="13.2" spans="1:1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ht="13.2" spans="1:18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ht="13.2" spans="1:18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ht="13.2" spans="1:18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ht="13.2" spans="1:18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</row>
    <row r="863" ht="13.2" spans="1:18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</row>
    <row r="864" ht="13.2" spans="1:18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</row>
    <row r="865" ht="13.2" spans="1:18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</row>
    <row r="866" ht="13.2" spans="1:18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</row>
    <row r="867" ht="13.2" spans="1:18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</row>
    <row r="868" ht="13.2" spans="1:1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</row>
    <row r="869" ht="13.2" spans="1:18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ht="13.2" spans="1:18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</row>
    <row r="871" ht="13.2" spans="1:18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</row>
    <row r="872" ht="13.2" spans="1:18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</row>
    <row r="873" ht="13.2" spans="1:18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</row>
    <row r="874" ht="13.2" spans="1:18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</row>
    <row r="875" ht="13.2" spans="1:18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</row>
    <row r="876" ht="13.2" spans="1:18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</row>
    <row r="877" ht="13.2" spans="1:18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</row>
    <row r="878" ht="13.2" spans="1:1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ht="13.2" spans="1:18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</row>
    <row r="880" ht="13.2" spans="1:18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</row>
    <row r="881" ht="13.2" spans="1:18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</row>
    <row r="882" ht="13.2" spans="1:18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</row>
    <row r="883" ht="13.2" spans="1:18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</row>
    <row r="884" ht="13.2" spans="1:18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</row>
    <row r="885" ht="13.2" spans="1:18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</row>
    <row r="886" ht="13.2" spans="1:18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</row>
    <row r="887" ht="13.2" spans="1:18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</row>
    <row r="888" ht="13.2" spans="1:1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</row>
    <row r="889" ht="13.2" spans="1:18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</row>
    <row r="890" ht="13.2" spans="1:18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</row>
    <row r="891" ht="13.2" spans="1:18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</row>
    <row r="892" ht="13.2" spans="1:18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</row>
    <row r="893" ht="13.2" spans="1:18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</row>
    <row r="894" ht="13.2" spans="1:18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</row>
    <row r="895" ht="13.2" spans="1:18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</row>
    <row r="896" ht="13.2" spans="1:18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ht="13.2" spans="1:18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</row>
    <row r="898" ht="13.2" spans="1:1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</row>
    <row r="899" ht="13.2" spans="1:18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</row>
    <row r="900" ht="13.2" spans="1:18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</row>
    <row r="901" ht="13.2" spans="1:18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</row>
    <row r="902" ht="13.2" spans="1:18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</row>
    <row r="903" ht="13.2" spans="1:18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</row>
    <row r="904" ht="13.2" spans="1:18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</row>
    <row r="905" ht="13.2" spans="1:18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</row>
    <row r="906" ht="13.2" spans="1:18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</row>
    <row r="907" ht="13.2" spans="1:18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</row>
    <row r="908" ht="13.2" spans="1:1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</row>
    <row r="909" ht="13.2" spans="1:18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</row>
    <row r="910" ht="13.2" spans="1:18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</row>
    <row r="911" ht="13.2" spans="1:18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</row>
    <row r="912" ht="13.2" spans="1:18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</row>
    <row r="913" ht="13.2" spans="1:18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</row>
    <row r="914" ht="13.2" spans="1:18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</row>
    <row r="915" ht="13.2" spans="1:18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</row>
    <row r="916" ht="13.2" spans="1:18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</row>
    <row r="917" ht="13.2" spans="1:18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</row>
    <row r="918" ht="13.2" spans="1:18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</row>
    <row r="919" ht="13.2" spans="1:18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</row>
    <row r="920" ht="13.2" spans="1:18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</row>
    <row r="921" ht="13.2" spans="1:18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</row>
    <row r="922" ht="13.2" spans="1:18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</row>
    <row r="923" ht="13.2" spans="1:18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</row>
    <row r="924" ht="13.2" spans="1:18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</row>
    <row r="925" ht="13.2" spans="1:18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</row>
    <row r="926" ht="13.2" spans="1:18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</row>
    <row r="927" ht="13.2" spans="1:18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</row>
    <row r="928" ht="13.2" spans="1:18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</row>
    <row r="929" ht="13.2" spans="1:18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</row>
    <row r="930" ht="13.2" spans="1:18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</row>
    <row r="931" ht="13.2" spans="1:18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</row>
    <row r="932" ht="13.2" spans="1:18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</row>
    <row r="933" ht="13.2" spans="1:18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</row>
    <row r="934" ht="13.2" spans="1:18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</row>
    <row r="935" ht="13.2" spans="1:18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</row>
    <row r="936" ht="13.2" spans="1:18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</row>
    <row r="937" ht="13.2" spans="1:18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</row>
    <row r="938" ht="13.2" spans="1:18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</row>
    <row r="939" ht="13.2" spans="1:18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</row>
    <row r="940" ht="13.2" spans="1:18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</row>
    <row r="941" ht="13.2" spans="1:18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</row>
    <row r="942" ht="13.2" spans="1:18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</row>
    <row r="943" ht="13.2" spans="1:18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</row>
    <row r="944" ht="13.2" spans="1:18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</row>
    <row r="945" ht="13.2" spans="1:18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</row>
    <row r="946" ht="13.2" spans="1:18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</row>
    <row r="947" ht="13.2" spans="1:18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</row>
    <row r="948" ht="13.2" spans="1:18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</row>
    <row r="949" ht="13.2" spans="1:18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</row>
    <row r="950" ht="13.2" spans="1:18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</row>
    <row r="951" ht="13.2" spans="1:18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</row>
    <row r="952" ht="13.2" spans="1:18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</row>
    <row r="953" ht="13.2" spans="1:18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</row>
    <row r="954" ht="13.2" spans="1:18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</row>
    <row r="955" ht="13.2" spans="1:18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</row>
    <row r="956" ht="13.2" spans="1:18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</row>
    <row r="957" ht="13.2" spans="1:18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</row>
    <row r="958" ht="13.2" spans="1:18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</row>
    <row r="959" ht="13.2" spans="1:18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</row>
    <row r="960" ht="13.2" spans="1:18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</row>
    <row r="961" ht="13.2" spans="1:18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</row>
    <row r="962" ht="13.2" spans="1:18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</row>
    <row r="963" ht="13.2" spans="1:18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</row>
    <row r="964" ht="13.2" spans="1:18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</row>
    <row r="965" ht="13.2" spans="1:18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</row>
    <row r="966" ht="13.2" spans="1:18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</row>
    <row r="967" ht="13.2" spans="1:18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</row>
    <row r="968" ht="13.2" spans="1:18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</row>
    <row r="969" ht="13.2" spans="1:18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</row>
    <row r="970" ht="13.2" spans="1:18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</row>
    <row r="971" ht="13.2" spans="1:18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</row>
    <row r="972" ht="13.2" spans="1:18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</row>
    <row r="973" ht="13.2" spans="1:18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</row>
    <row r="974" ht="13.2" spans="1:18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</row>
    <row r="975" ht="13.2" spans="1:18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</row>
    <row r="976" ht="13.2" spans="1:18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</row>
    <row r="977" ht="13.2" spans="1:18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</row>
    <row r="978" ht="13.2" spans="1:18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</row>
    <row r="979" ht="13.2" spans="1:18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</row>
    <row r="980" ht="13.2" spans="1:18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</row>
    <row r="981" ht="13.2" spans="1:18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</row>
    <row r="982" ht="13.2" spans="1:18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</row>
    <row r="983" ht="13.2" spans="1:18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</row>
    <row r="984" ht="13.2" spans="1:18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</row>
    <row r="985" ht="13.2" spans="1:18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</row>
    <row r="986" ht="13.2" spans="1:18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</row>
    <row r="987" ht="13.2" spans="1:18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</row>
    <row r="988" ht="13.2" spans="1:18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</row>
    <row r="989" ht="13.2" spans="1:18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</row>
    <row r="990" ht="13.2" spans="1:18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</row>
    <row r="991" ht="13.2" spans="1:18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</row>
    <row r="992" ht="13.2" spans="1:18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</row>
    <row r="993" ht="13.2" spans="1:18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</row>
    <row r="994" ht="13.2" spans="1:18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</row>
    <row r="995" ht="13.2" spans="1:18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</row>
    <row r="996" ht="13.2" spans="1:18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</row>
    <row r="997" ht="13.2" spans="1:18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</row>
    <row r="998" ht="13.2" spans="1:18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</row>
    <row r="999" ht="13.2" spans="1:18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</row>
    <row r="1000" ht="13.2" spans="1:18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Calculus and Matrix Algebra&quot;)"/>
    <hyperlink ref="F12" r:id="rId11" display="=IFERROR(@__xludf.DUMMYFUNCTION(&quot;&quot;&quot;COMPUTED_VALUE&quot;&quot;&quot;),&quot;Logic and Combinatorics&quot;)"/>
    <hyperlink ref="F13" r:id="rId12" display="=IFERROR(@__xludf.DUMMYFUNCTION(&quot;&quot;&quot;COMPUTED_VALUE&quot;&quot;&quot;),&quot;Algebra and Number Theory&quot;)"/>
    <hyperlink ref="F14" r:id="rId13" display="=IFERROR(@__xludf.DUMMYFUNCTION(&quot;&quot;&quot;COMPUTED_VALUE&quot;&quot;&quot;),&quot;Probability and Queueing Models&quot;)"/>
    <hyperlink ref="F15" r:id="rId14" display="=IFERROR(@__xludf.DUMMYFUNCTION(&quot;&quot;&quot;COMPUTED_VALUE&quot;&quot;&quot;),&quot;Physics for Quantum Computing&quot;)"/>
    <hyperlink ref="F16" r:id="rId15" display="=IFERROR(@__xludf.DUMMYFUNCTION(&quot;&quot;&quot;COMPUTED_VALUE&quot;&quot;&quot;),&quot;Principles of Chemistry in Engineering&quot;)"/>
    <hyperlink ref="F17" r:id="rId16" display="=IFERROR(@__xludf.DUMMYFUNCTION(&quot;&quot;&quot;COMPUTED_VALUE&quot;&quot;&quot;),&quot;Python Programming&quot;)"/>
    <hyperlink ref="F18" r:id="rId17" display="=IFERROR(@__xludf.DUMMYFUNCTION(&quot;&quot;&quot;COMPUTED_VALUE&quot;&quot;&quot;),&quot;Engineering Design and Modelling&quot;)"/>
    <hyperlink ref="F19" r:id="rId18" display="=IFERROR(@__xludf.DUMMYFUNCTION(&quot;&quot;&quot;COMPUTED_VALUE&quot;&quot;&quot;),&quot;Digital Electronics&quot;)"/>
    <hyperlink ref="F20" r:id="rId19" display="=IFERROR(@__xludf.DUMMYFUNCTION(&quot;&quot;&quot;COMPUTED_VALUE&quot;&quot;&quot;),&quot;Basic Electrical, Electronics and Measurement Engineering&quot;)"/>
    <hyperlink ref="F21" r:id="rId20" display="=IFERROR(@__xludf.DUMMYFUNCTION(&quot;&quot;&quot;COMPUTED_VALUE&quot;&quot;&quot;),&quot;Programming Microcontrollers&quot;)"/>
    <hyperlink ref="F22" r:id="rId21" display="=IFERROR(@__xludf.DUMMYFUNCTION(&quot;&quot;&quot;COMPUTED_VALUE&quot;&quot;&quot;),&quot;Fundamentals of C Programming&quot;)"/>
    <hyperlink ref="F23" r:id="rId22" display="=IFERROR(@__xludf.DUMMYFUNCTION(&quot;&quot;&quot;COMPUTED_VALUE&quot;&quot;&quot;),&quot;Advanced C Programming&quot;)"/>
    <hyperlink ref="F24" r:id="rId23" display="=IFERROR(@__xludf.DUMMYFUNCTION(&quot;&quot;&quot;COMPUTED_VALUE&quot;&quot;&quot;),&quot;Computer Architecture&quot;)"/>
    <hyperlink ref="F25" r:id="rId24" display="=IFERROR(@__xludf.DUMMYFUNCTION(&quot;&quot;&quot;COMPUTED_VALUE&quot;&quot;&quot;),&quot;Object Oriented Programming using Java&quot;)"/>
    <hyperlink ref="F26" r:id="rId25" display="=IFERROR(@__xludf.DUMMYFUNCTION(&quot;&quot;&quot;COMPUTED_VALUE&quot;&quot;&quot;),&quot;Analysis of Algorithms&quot;)"/>
    <hyperlink ref="F27" r:id="rId26" display="=IFERROR(@__xludf.DUMMYFUNCTION(&quot;&quot;&quot;COMPUTED_VALUE&quot;&quot;&quot;),&quot;Fundamentals of Artificial Intelligence&quot;)"/>
    <hyperlink ref="F28" r:id="rId27" display="=IFERROR(@__xludf.DUMMYFUNCTION(&quot;&quot;&quot;COMPUTED_VALUE&quot;&quot;&quot;),&quot;Data Structures&quot;)"/>
    <hyperlink ref="F29" r:id="rId28" display="=IFERROR(@__xludf.DUMMYFUNCTION(&quot;&quot;&quot;COMPUTED_VALUE&quot;&quot;&quot;),&quot;Introduction to Machine Learning&quot;)"/>
    <hyperlink ref="F30" r:id="rId29" display="=IFERROR(@__xludf.DUMMYFUNCTION(&quot;&quot;&quot;COMPUTED_VALUE&quot;&quot;&quot;),&quot;Fundamentals of Web Application Development&quot;)"/>
    <hyperlink ref="F31" r:id="rId30" display="=IFERROR(@__xludf.DUMMYFUNCTION(&quot;&quot;&quot;COMPUTED_VALUE&quot;&quot;&quot;),&quot;Cloud Computing&quot;)"/>
    <hyperlink ref="F32" r:id="rId31" display="=IFERROR(@__xludf.DUMMYFUNCTION(&quot;&quot;&quot;COMPUTED_VALUE&quot;&quot;&quot;),&quot;Advanced Java Web Applications&quot;)"/>
    <hyperlink ref="F33" r:id="rId32" display="=IFERROR(@__xludf.DUMMYFUNCTION(&quot;&quot;&quot;COMPUTED_VALUE&quot;&quot;&quot;),&quot;Cloud Native App Development&quot;)"/>
    <hyperlink ref="F34" r:id="rId33" display="=IFERROR(@__xludf.DUMMYFUNCTION(&quot;&quot;&quot;COMPUTED_VALUE&quot;&quot;&quot;),&quot;Modern Web Application Development&quot;)"/>
    <hyperlink ref="F35" r:id="rId34" display="=IFERROR(@__xludf.DUMMYFUNCTION(&quot;&quot;&quot;COMPUTED_VALUE&quot;&quot;&quot;),&quot;Web Server Programming&quot;)"/>
    <hyperlink ref="F36" r:id="rId35" display="=IFERROR(@__xludf.DUMMYFUNCTION(&quot;&quot;&quot;COMPUTED_VALUE&quot;&quot;&quot;),&quot;Introduction to IoT&quot;)"/>
    <hyperlink ref="F38" r:id="rId36" display="=IFERROR(@__xludf.DUMMYFUNCTION(&quot;&quot;&quot;COMPUTED_VALUE&quot;&quot;&quot;),&quot;Operating System&quot;)"/>
    <hyperlink ref="F39" r:id="rId37" display="=IFERROR(@__xludf.DUMMYFUNCTION(&quot;&quot;&quot;COMPUTED_VALUE&quot;&quot;&quot;),&quot;Computer Networks&quot;)"/>
    <hyperlink ref="F40" r:id="rId38" display="=IFERROR(@__xludf.DUMMYFUNCTION(&quot;&quot;&quot;COMPUTED_VALUE&quot;&quot;&quot;),&quot;Theory of Computation&quot;)"/>
    <hyperlink ref="F41" r:id="rId39" display="=IFERROR(@__xludf.DUMMYFUNCTION(&quot;&quot;&quot;COMPUTED_VALUE&quot;&quot;&quot;),&quot;Software Engineering&quot;)"/>
    <hyperlink ref="F42" r:id="rId40" display="=IFERROR(@__xludf.DUMMYFUNCTION(&quot;&quot;&quot;COMPUTED_VALUE&quot;&quot;&quot;),&quot;Compiler Design&quot;)"/>
    <hyperlink ref="F43" r:id="rId41" display="=IFERROR(@__xludf.DUMMYFUNCTION(&quot;&quot;&quot;COMPUTED_VALUE&quot;&quot;&quot;),&quot;Cryptography&quot;)"/>
    <hyperlink ref="F44" r:id="rId42" display="=IFERROR(@__xludf.DUMMYFUNCTION(&quot;&quot;&quot;COMPUTED_VALUE&quot;&quot;&quot;),&quot;Engineering Mechanics and Product Development&quot;)"/>
    <hyperlink ref="F45" r:id="rId43" display="=IFERROR(@__xludf.DUMMYFUNCTION(&quot;&quot;&quot;COMPUTED_VALUE&quot;&quot;&quot;),&quot;Object Oriented Programming using C++&quot;)"/>
    <hyperlink ref="F46" r:id="rId44" display="=IFERROR(@__xludf.DUMMYFUNCTION(&quot;&quot;&quot;COMPUTED_VALUE&quot;&quot;&quot;),&quot;Object Oriented Programming using C#&quot;)"/>
    <hyperlink ref="F47" r:id="rId45" display="=IFERROR(@__xludf.DUMMYFUNCTION(&quot;&quot;&quot;COMPUTED_VALUE&quot;&quot;&quot;),&quot;Introduction to Data Science&quot;)"/>
    <hyperlink ref="F48" r:id="rId46" display="=IFERROR(@__xludf.DUMMYFUNCTION(&quot;&quot;&quot;COMPUTED_VALUE&quot;&quot;&quot;),&quot;Digital Image Processing Techniques&quot;)"/>
    <hyperlink ref="F49" r:id="rId47" display="=IFERROR(@__xludf.DUMMYFUNCTION(&quot;&quot;&quot;COMPUTED_VALUE&quot;&quot;&quot;),&quot;Parallel Computing Architecture&quot;)"/>
    <hyperlink ref="F50" r:id="rId48" display="=IFERROR(@__xludf.DUMMYFUNCTION(&quot;&quot;&quot;COMPUTED_VALUE&quot;&quot;&quot;),&quot;Applied Artificial Intelligence&quot;)"/>
    <hyperlink ref="F51" r:id="rId49" display="=IFERROR(@__xludf.DUMMYFUNCTION(&quot;&quot;&quot;COMPUTED_VALUE&quot;&quot;&quot;),&quot;Neural Networks&quot;)"/>
    <hyperlink ref="F52" r:id="rId50" display="=IFERROR(@__xludf.DUMMYFUNCTION(&quot;&quot;&quot;COMPUTED_VALUE&quot;&quot;&quot;),&quot;Web Data Mining&quot;)"/>
    <hyperlink ref="F53" r:id="rId51" display="=IFERROR(@__xludf.DUMMYFUNCTION(&quot;&quot;&quot;COMPUTED_VALUE&quot;&quot;&quot;),&quot;Deep Learning and its Applications&quot;)"/>
    <hyperlink ref="F55" r:id="rId52" display="=IFERROR(@__xludf.DUMMYFUNCTION(&quot;&quot;&quot;COMPUTED_VALUE&quot;&quot;&quot;),&quot;Applied Natural Language Processing&quot;)"/>
    <hyperlink ref="F56" r:id="rId53" display="=IFERROR(@__xludf.DUMMYFUNCTION(&quot;&quot;&quot;COMPUTED_VALUE&quot;&quot;&quot;),&quot;Computer Vision&quot;)"/>
    <hyperlink ref="F57" r:id="rId54" display="=IFERROR(@__xludf.DUMMYFUNCTION(&quot;&quot;&quot;COMPUTED_VALUE&quot;&quot;&quot;),&quot;Mobile Robotics&quot;)"/>
    <hyperlink ref="F60" r:id="rId55" display="=IFERROR(@__xludf.DUMMYFUNCTION(&quot;&quot;&quot;COMPUTED_VALUE&quot;&quot;&quot;),&quot;Special Topics in Artificial Intelligence&quot;)"/>
    <hyperlink ref="F62" r:id="rId56" display="=IFERROR(@__xludf.DUMMYFUNCTION(&quot;&quot;&quot;COMPUTED_VALUE&quot;&quot;&quot;),&quot;Concepts of Virtual And Augmented Reality&quot;)"/>
    <hyperlink ref="F63" r:id="rId57" display="=IFERROR(@__xludf.DUMMYFUNCTION(&quot;&quot;&quot;COMPUTED_VALUE&quot;&quot;&quot;),&quot;Mobile VR And AI In Unity&quot;)"/>
    <hyperlink ref="F64" r:id="rId58" display="=IFERROR(@__xludf.DUMMYFUNCTION(&quot;&quot;&quot;COMPUTED_VALUE&quot;&quot;&quot;),&quot;Scientific and Engineering Data Visualization&quot;)"/>
    <hyperlink ref="F65" r:id="rId59" display="=IFERROR(@__xludf.DUMMYFUNCTION(&quot;&quot;&quot;COMPUTED_VALUE&quot;&quot;&quot;),&quot;NoSQL Database Design&quot;)"/>
    <hyperlink ref="F66" r:id="rId60" display="=IFERROR(@__xludf.DUMMYFUNCTION(&quot;&quot;&quot;COMPUTED_VALUE&quot;&quot;&quot;),&quot;Game Programming&quot;)"/>
    <hyperlink ref="F67" r:id="rId61" display="=IFERROR(@__xludf.DUMMYFUNCTION(&quot;&quot;&quot;COMPUTED_VALUE&quot;&quot;&quot;),&quot;Self Driving Car&quot;)"/>
    <hyperlink ref="F68" r:id="rId62" display="=IFERROR(@__xludf.DUMMYFUNCTION(&quot;&quot;&quot;COMPUTED_VALUE&quot;&quot;&quot;),&quot;Smart Manufacturing Technology&quot;)"/>
    <hyperlink ref="F69" r:id="rId63" display="=IFERROR(@__xludf.DUMMYFUNCTION(&quot;&quot;&quot;COMPUTED_VALUE&quot;&quot;&quot;),&quot;Big Data Analytics&quot;)"/>
    <hyperlink ref="F70" r:id="rId64" display="=IFERROR(@__xludf.DUMMYFUNCTION(&quot;&quot;&quot;COMPUTED_VALUE&quot;&quot;&quot;),&quot;Business Analytics&quot;)"/>
    <hyperlink ref="F71" r:id="rId65" display="=IFERROR(@__xludf.DUMMYFUNCTION(&quot;&quot;&quot;COMPUTED_VALUE&quot;&quot;&quot;),&quot;Cognitive Systems&quot;)"/>
    <hyperlink ref="F72" r:id="rId66" display="=IFERROR(@__xludf.DUMMYFUNCTION(&quot;&quot;&quot;COMPUTED_VALUE&quot;&quot;&quot;),&quot;Distributed Database&quot;)"/>
    <hyperlink ref="F73" r:id="rId67" display="=IFERROR(@__xludf.DUMMYFUNCTION(&quot;&quot;&quot;COMPUTED_VALUE&quot;&quot;&quot;),&quot;Data Warehousing and Data Mining&quot;)"/>
    <hyperlink ref="F74" r:id="rId68" display="=IFERROR(@__xludf.DUMMYFUNCTION(&quot;&quot;&quot;COMPUTED_VALUE&quot;&quot;&quot;),&quot;Expert Systems&quot;)"/>
    <hyperlink ref="F75" r:id="rId69" display="=IFERROR(@__xludf.DUMMYFUNCTION(&quot;&quot;&quot;COMPUTED_VALUE&quot;&quot;&quot;),&quot;Knowledge Engineering&quot;)"/>
    <hyperlink ref="F76" r:id="rId70" display="=IFERROR(@__xludf.DUMMYFUNCTION(&quot;&quot;&quot;COMPUTED_VALUE&quot;&quot;&quot;),&quot;Mobile Database&quot;)"/>
    <hyperlink ref="F77" r:id="rId71" display="=IFERROR(@__xludf.DUMMYFUNCTION(&quot;&quot;&quot;COMPUTED_VALUE&quot;&quot;&quot;),&quot;Multimedia Database&quot;)"/>
    <hyperlink ref="F78" r:id="rId72" display="=IFERROR(@__xludf.DUMMYFUNCTION(&quot;&quot;&quot;COMPUTED_VALUE&quot;&quot;&quot;),&quot;Video Processing&quot;)"/>
    <hyperlink ref="F79" r:id="rId73" display="=IFERROR(@__xludf.DUMMYFUNCTION(&quot;&quot;&quot;COMPUTED_VALUE&quot;&quot;&quot;),&quot;Information Security and Access Control&quot;)"/>
    <hyperlink ref="F80" r:id="rId74" display="=IFERROR(@__xludf.DUMMYFUNCTION(&quot;&quot;&quot;COMPUTED_VALUE&quot;&quot;&quot;),&quot;Security Assessment and Risk Analysis&quot;)"/>
    <hyperlink ref="F81" r:id="rId75" display="=IFERROR(@__xludf.DUMMYFUNCTION(&quot;&quot;&quot;COMPUTED_VALUE&quot;&quot;&quot;),&quot;Advanced Graph Theory and Applications&quot;)"/>
    <hyperlink ref="F82" r:id="rId76" display="=IFERROR(@__xludf.DUMMYFUNCTION(&quot;&quot;&quot;COMPUTED_VALUE&quot;&quot;&quot;),&quot;Advanced Data Structures&quot;)"/>
    <hyperlink ref="F83" r:id="rId77" display="=IFERROR(@__xludf.DUMMYFUNCTION(&quot;&quot;&quot;COMPUTED_VALUE&quot;&quot;&quot;),&quot;Control of Robotic Systems&quot;)"/>
    <hyperlink ref="F84" r:id="rId78" display="=IFERROR(@__xludf.DUMMYFUNCTION(&quot;&quot;&quot;COMPUTED_VALUE&quot;&quot;&quot;),&quot;Cryptography and Security&quot;)"/>
    <hyperlink ref="F85" r:id="rId79" display="=IFERROR(@__xludf.DUMMYFUNCTION(&quot;&quot;&quot;COMPUTED_VALUE&quot;&quot;&quot;),&quot;Information Theory for Cyber Security&quot;)"/>
    <hyperlink ref="F86" r:id="rId80" display="=IFERROR(@__xludf.DUMMYFUNCTION(&quot;&quot;&quot;COMPUTED_VALUE&quot;&quot;&quot;),&quot;Introduction to Robotics&quot;)"/>
    <hyperlink ref="F87" r:id="rId81" display="=IFERROR(@__xludf.DUMMYFUNCTION(&quot;&quot;&quot;COMPUTED_VALUE&quot;&quot;&quot;),&quot;Kinematics and Dynamics of Robots&quot;)"/>
    <hyperlink ref="F88" r:id="rId82" display="=IFERROR(@__xludf.DUMMYFUNCTION(&quot;&quot;&quot;COMPUTED_VALUE&quot;&quot;&quot;),&quot;Robotic Sensors&quot;)"/>
    <hyperlink ref="F89" r:id="rId83" display="=IFERROR(@__xludf.DUMMYFUNCTION(&quot;&quot;&quot;COMPUTED_VALUE&quot;&quot;&quot;),&quot;Steganography and Digital Watermarking&quot;)"/>
    <hyperlink ref="F90" r:id="rId84" display="=IFERROR(@__xludf.DUMMYFUNCTION(&quot;&quot;&quot;COMPUTED_VALUE&quot;&quot;&quot;),&quot;Computer Graphics for Virtual Reality&quot;)"/>
    <hyperlink ref="F91" r:id="rId85" display="=IFERROR(@__xludf.DUMMYFUNCTION(&quot;&quot;&quot;COMPUTED_VALUE&quot;&quot;&quot;),&quot;Mathematical Modelling and Computer Aided Engineering&quot;)"/>
    <hyperlink ref="F92" r:id="rId86" display="=IFERROR(@__xludf.DUMMYFUNCTION(&quot;&quot;&quot;COMPUTED_VALUE&quot;&quot;&quot;),&quot;Mobile User Interface Development&quot;)"/>
    <hyperlink ref="F93" r:id="rId87" display="=IFERROR(@__xludf.DUMMYFUNCTION(&quot;&quot;&quot;COMPUTED_VALUE&quot;&quot;&quot;),&quot;Programming Mobile Devices&quot;)"/>
    <hyperlink ref="F94" r:id="rId88" display="=IFERROR(@__xludf.DUMMYFUNCTION(&quot;&quot;&quot;COMPUTED_VALUE&quot;&quot;&quot;),&quot;Agile Software Development&quot;)"/>
    <hyperlink ref="F95" r:id="rId89" display="=IFERROR(@__xludf.DUMMYFUNCTION(&quot;&quot;&quot;COMPUTED_VALUE&quot;&quot;&quot;),&quot;Software Testing&quot;)"/>
    <hyperlink ref="F96" r:id="rId90" display="=IFERROR(@__xludf.DUMMYFUNCTION(&quot;&quot;&quot;COMPUTED_VALUE&quot;&quot;&quot;),&quot;Virtualization and Containerization&quot;)"/>
    <hyperlink ref="F97" r:id="rId91" display="=IFERROR(@__xludf.DUMMYFUNCTION(&quot;&quot;&quot;COMPUTED_VALUE&quot;&quot;&quot;),&quot;Blockchain for Business&quot;)"/>
    <hyperlink ref="F98" r:id="rId92" display="=IFERROR(@__xludf.DUMMYFUNCTION(&quot;&quot;&quot;COMPUTED_VALUE&quot;&quot;&quot;),&quot;Robot Programming&quot;)"/>
    <hyperlink ref="F99" r:id="rId93" display="=IFERROR(@__xludf.DUMMYFUNCTION(&quot;&quot;&quot;COMPUTED_VALUE&quot;&quot;&quot;),&quot;Drone Assembly and Applications&quot;)"/>
    <hyperlink ref="F100" r:id="rId94" display="=IFERROR(@__xludf.DUMMYFUNCTION(&quot;&quot;&quot;COMPUTED_VALUE&quot;&quot;&quot;),&quot;Artificial Intelligence for Games&quot;)"/>
    <hyperlink ref="F101" r:id="rId95" display="=IFERROR(@__xludf.DUMMYFUNCTION(&quot;&quot;&quot;COMPUTED_VALUE&quot;&quot;&quot;),&quot;Drone Design and Control&quot;)"/>
    <hyperlink ref="F102" r:id="rId96" display="=IFERROR(@__xludf.DUMMYFUNCTION(&quot;&quot;&quot;COMPUTED_VALUE&quot;&quot;&quot;),&quot;Web Application User Interface Development&quot;)"/>
    <hyperlink ref="F103" r:id="rId97" display="=IFERROR(@__xludf.DUMMYFUNCTION(&quot;&quot;&quot;COMPUTED_VALUE&quot;&quot;&quot;),&quot;Fundamentals of Large Language Models&quot;)"/>
    <hyperlink ref="F104" r:id="rId98" display="=IFERROR(@__xludf.DUMMYFUNCTION(&quot;&quot;&quot;COMPUTED_VALUE&quot;&quot;&quot;),&quot;Exploratory Data Analysis&quot;)"/>
    <hyperlink ref="F105" r:id="rId99" display="=IFERROR(@__xludf.DUMMYFUNCTION(&quot;&quot;&quot;COMPUTED_VALUE&quot;&quot;&quot;),&quot;Recommender Systems&quot;)"/>
    <hyperlink ref="F106" r:id="rId100" display="=IFERROR(@__xludf.DUMMYFUNCTION(&quot;&quot;&quot;COMPUTED_VALUE&quot;&quot;&quot;),&quot;Neural Networks and Deep Learning&quot;)"/>
    <hyperlink ref="F107" r:id="rId101" display="=IFERROR(@__xludf.DUMMYFUNCTION(&quot;&quot;&quot;COMPUTED_VALUE&quot;&quot;&quot;),&quot;Text and Speech Analysis&quot;)"/>
    <hyperlink ref="F108" r:id="rId102" display="=IFERROR(@__xludf.DUMMYFUNCTION(&quot;&quot;&quot;COMPUTED_VALUE&quot;&quot;&quot;),&quot;Image and Video Analytics&quot;)"/>
    <hyperlink ref="F115" r:id="rId103" display="=IFERROR(@__xludf.DUMMYFUNCTION(&quot;&quot;&quot;COMPUTED_VALUE&quot;&quot;&quot;),&quot;Genetic Algorithms&quot;)"/>
    <hyperlink ref="F117" r:id="rId104" display="=IFERROR(@__xludf.DUMMYFUNCTION(&quot;&quot;&quot;COMPUTED_VALUE&quot;&quot;&quot;),&quot;Brain Computer Interaction&quot;)"/>
    <hyperlink ref="F118" r:id="rId105" display="=IFERROR(@__xludf.DUMMYFUNCTION(&quot;&quot;&quot;COMPUTED_VALUE&quot;&quot;&quot;),&quot;Statistical Learning Theory&quot;)"/>
    <hyperlink ref="F119" r:id="rId106" display="=IFERROR(@__xludf.DUMMYFUNCTION(&quot;&quot;&quot;COMPUTED_VALUE&quot;&quot;&quot;),&quot;Sensors and Actuators for IoT&quot;)"/>
    <hyperlink ref="F120" r:id="rId107" display="=IFERROR(@__xludf.DUMMYFUNCTION(&quot;&quot;&quot;COMPUTED_VALUE&quot;&quot;&quot;),&quot;Security and Trust in IoT&quot;)"/>
    <hyperlink ref="F121" r:id="rId108" display="=IFERROR(@__xludf.DUMMYFUNCTION(&quot;&quot;&quot;COMPUTED_VALUE&quot;&quot;&quot;),&quot;Industrial Internet of Things&quot;)"/>
    <hyperlink ref="F122" r:id="rId109" display="=IFERROR(@__xludf.DUMMYFUNCTION(&quot;&quot;&quot;COMPUTED_VALUE&quot;&quot;&quot;),&quot;Software for Embedded Systems&quot;)"/>
    <hyperlink ref="F123" r:id="rId110" display="=IFERROR(@__xludf.DUMMYFUNCTION(&quot;&quot;&quot;COMPUTED_VALUE&quot;&quot;&quot;),&quot;IoT Architecture and Protocols&quot;)"/>
    <hyperlink ref="F124" r:id="rId111" display="=IFERROR(@__xludf.DUMMYFUNCTION(&quot;&quot;&quot;COMPUTED_VALUE&quot;&quot;&quot;),&quot;Arduino for IoT&quot;)"/>
    <hyperlink ref="F125" r:id="rId112" display="=IFERROR(@__xludf.DUMMYFUNCTION(&quot;&quot;&quot;COMPUTED_VALUE&quot;&quot;&quot;),&quot;Raspberry Pi for IoT&quot;)"/>
    <hyperlink ref="F126" r:id="rId113" display="=IFERROR(@__xludf.DUMMYFUNCTION(&quot;&quot;&quot;COMPUTED_VALUE&quot;&quot;&quot;),&quot;Motion Planning Techniques&quot;)"/>
    <hyperlink ref="F127" r:id="rId114" display="=IFERROR(@__xludf.DUMMYFUNCTION(&quot;&quot;&quot;COMPUTED_VALUE&quot;&quot;&quot;),&quot;Advanced Java Programming&quot;)"/>
    <hyperlink ref="F128" r:id="rId115" display="=IFERROR(@__xludf.DUMMYFUNCTION(&quot;&quot;&quot;COMPUTED_VALUE&quot;&quot;&quot;),&quot;Python Programming for IoT&quot;)"/>
    <hyperlink ref="F129" r:id="rId116" display="=IFERROR(@__xludf.DUMMYFUNCTION(&quot;&quot;&quot;COMPUTED_VALUE&quot;&quot;&quot;),&quot;Applications of IoT in Robotics&quot;)"/>
    <hyperlink ref="F130" r:id="rId117" display="=IFERROR(@__xludf.DUMMYFUNCTION(&quot;&quot;&quot;COMPUTED_VALUE&quot;&quot;&quot;),&quot;Programming for IoT Boards&quot;)"/>
    <hyperlink ref="F131" r:id="rId118" display="=IFERROR(@__xludf.DUMMYFUNCTION(&quot;&quot;&quot;COMPUTED_VALUE&quot;&quot;&quot;),&quot;Design of Smart Cities&quot;)"/>
    <hyperlink ref="F132" r:id="rId119" display="=IFERROR(@__xludf.DUMMYFUNCTION(&quot;&quot;&quot;COMPUTED_VALUE&quot;&quot;&quot;),&quot;IoT and Multimedia Technology&quot;)"/>
    <hyperlink ref="F133" r:id="rId120" display="=IFERROR(@__xludf.DUMMYFUNCTION(&quot;&quot;&quot;COMPUTED_VALUE&quot;&quot;&quot;),&quot;Mobile Application Development for IoT&quot;)"/>
    <hyperlink ref="F134" r:id="rId120" display="=IFERROR(@__xludf.DUMMYFUNCTION(&quot;&quot;&quot;COMPUTED_VALUE&quot;&quot;&quot;),&quot;Open Source Programming for IoT&quot;)"/>
    <hyperlink ref="F135" r:id="rId121" display="=IFERROR(@__xludf.DUMMYFUNCTION(&quot;&quot;&quot;COMPUTED_VALUE&quot;&quot;&quot;),&quot;Cloud Security&quot;)"/>
    <hyperlink ref="F136" r:id="rId122" display="=IFERROR(@__xludf.DUMMYFUNCTION(&quot;&quot;&quot;COMPUTED_VALUE&quot;&quot;&quot;),&quot;Ethical Hacking Techniques&quot;)"/>
    <hyperlink ref="F137" r:id="rId123" display="=IFERROR(@__xludf.DUMMYFUNCTION(&quot;&quot;&quot;COMPUTED_VALUE&quot;&quot;&quot;),&quot;Cyber Law and Compliance&quot;)"/>
    <hyperlink ref="F138" r:id="rId41" display="=IFERROR(@__xludf.DUMMYFUNCTION(&quot;&quot;&quot;COMPUTED_VALUE&quot;&quot;&quot;),&quot;Digital Forensics and Digital Investigations&quot;)"/>
    <hyperlink ref="F139" r:id="rId124" display="=IFERROR(@__xludf.DUMMYFUNCTION(&quot;&quot;&quot;COMPUTED_VALUE&quot;&quot;&quot;),&quot;Prototyping of IoT Systems&quot;)"/>
    <hyperlink ref="F140" r:id="rId125" display="=IFERROR(@__xludf.DUMMYFUNCTION(&quot;&quot;&quot;COMPUTED_VALUE&quot;&quot;&quot;),&quot;Edge Computing&quot;)"/>
    <hyperlink ref="F141" r:id="rId126" display="=IFERROR(@__xludf.DUMMYFUNCTION(&quot;&quot;&quot;COMPUTED_VALUE&quot;&quot;&quot;),&quot;Security for IoT Systems&quot;)"/>
    <hyperlink ref="F142" r:id="rId127" display="=IFERROR(@__xludf.DUMMYFUNCTION(&quot;&quot;&quot;COMPUTED_VALUE&quot;&quot;&quot;),&quot;Computer Graphics and Multimedia&quot;)"/>
    <hyperlink ref="F143" r:id="rId128" display="=IFERROR(@__xludf.DUMMYFUNCTION(&quot;&quot;&quot;COMPUTED_VALUE&quot;&quot;&quot;),&quot;Developing Web Application in .Net&quot;)"/>
    <hyperlink ref="F144" r:id="rId129" display="=IFERROR(@__xludf.DUMMYFUNCTION(&quot;&quot;&quot;COMPUTED_VALUE&quot;&quot;&quot;),&quot;Software Project Management&quot;)"/>
    <hyperlink ref="F145" r:id="rId130" display="=IFERROR(@__xludf.DUMMYFUNCTION(&quot;&quot;&quot;COMPUTED_VALUE&quot;&quot;&quot;),&quot;Service Oriented Architecture&quot;)"/>
    <hyperlink ref="F146" r:id="rId131" display="=IFERROR(@__xludf.DUMMYFUNCTION(&quot;&quot;&quot;COMPUTED_VALUE&quot;&quot;&quot;),&quot;Multicore Architecture&quot;)"/>
    <hyperlink ref="F147" r:id="rId132" display="=IFERROR(@__xludf.DUMMYFUNCTION(&quot;&quot;&quot;COMPUTED_VALUE&quot;&quot;&quot;),&quot;Human Computer Interaction&quot;)"/>
    <hyperlink ref="F148" r:id="rId133" display="=IFERROR(@__xludf.DUMMYFUNCTION(&quot;&quot;&quot;COMPUTED_VALUE&quot;&quot;&quot;),&quot;Parallel and Distributed Systems&quot;)"/>
    <hyperlink ref="F149" r:id="rId134" display="=IFERROR(@__xludf.DUMMYFUNCTION(&quot;&quot;&quot;COMPUTED_VALUE&quot;&quot;&quot;),&quot;Graph Theory and Applications&quot;)"/>
    <hyperlink ref="F150" r:id="rId135" display="=IFERROR(@__xludf.DUMMYFUNCTION(&quot;&quot;&quot;COMPUTED_VALUE&quot;&quot;&quot;),&quot;Social Network Analysis&quot;)"/>
    <hyperlink ref="F151" r:id="rId136" display="=IFERROR(@__xludf.DUMMYFUNCTION(&quot;&quot;&quot;COMPUTED_VALUE&quot;&quot;&quot;),&quot;Natural Language Processing&quot;)"/>
    <hyperlink ref="F152" r:id="rId137" display="=IFERROR(@__xludf.DUMMYFUNCTION(&quot;&quot;&quot;COMPUTED_VALUE&quot;&quot;&quot;),&quot;Soft Computing&quot;)"/>
    <hyperlink ref="F153" r:id="rId138" display="=IFERROR(@__xludf.DUMMYFUNCTION(&quot;&quot;&quot;COMPUTED_VALUE&quot;&quot;&quot;),&quot;Green Computing&quot;)"/>
    <hyperlink ref="F154" r:id="rId139" display="=IFERROR(@__xludf.DUMMYFUNCTION(&quot;&quot;&quot;COMPUTED_VALUE&quot;&quot;&quot;),&quot;Network Management Systems&quot;)"/>
    <hyperlink ref="F155" r:id="rId140" display="=IFERROR(@__xludf.DUMMYFUNCTION(&quot;&quot;&quot;COMPUTED_VALUE&quot;&quot;&quot;),&quot;Block Chain Architecture and its Use Cases&quot;)"/>
    <hyperlink ref="F156" r:id="rId141" display="=IFERROR(@__xludf.DUMMYFUNCTION(&quot;&quot;&quot;COMPUTED_VALUE&quot;&quot;&quot;),&quot;Software Testing and Quality Assurance&quot;)"/>
    <hyperlink ref="F157" r:id="rId142" display="=IFERROR(@__xludf.DUMMYFUNCTION(&quot;&quot;&quot;COMPUTED_VALUE&quot;&quot;&quot;),&quot;Mobile Computing&quot;)"/>
    <hyperlink ref="F158" r:id="rId143" display="=IFERROR(@__xludf.DUMMYFUNCTION(&quot;&quot;&quot;COMPUTED_VALUE&quot;&quot;&quot;),&quot;Game Design and Development&quot;)"/>
    <hyperlink ref="F159" r:id="rId63" display="=IFERROR(@__xludf.DUMMYFUNCTION(&quot;&quot;&quot;COMPUTED_VALUE&quot;&quot;&quot;),&quot;Big Data Analytics&quot;)"/>
    <hyperlink ref="F160" r:id="rId67" display="=IFERROR(@__xludf.DUMMYFUNCTION(&quot;&quot;&quot;COMPUTED_VALUE&quot;&quot;&quot;),&quot;Data Warehousing and Data Mining&quot;)"/>
    <hyperlink ref="F161" r:id="rId144" display="=IFERROR(@__xludf.DUMMYFUNCTION(&quot;&quot;&quot;COMPUTED_VALUE&quot;&quot;&quot;),&quot;Advanced Database Management System&quot;)"/>
    <hyperlink ref="F162" r:id="rId145" display="=IFERROR(@__xludf.DUMMYFUNCTION(&quot;&quot;&quot;COMPUTED_VALUE&quot;&quot;&quot;),&quot;Information Retrieval&quot;)"/>
    <hyperlink ref="F163" r:id="rId146" display="=IFERROR(@__xludf.DUMMYFUNCTION(&quot;&quot;&quot;COMPUTED_VALUE&quot;&quot;&quot;),&quot;Deep Learning&quot;)"/>
    <hyperlink ref="F165" r:id="rId147" display="=IFERROR(@__xludf.DUMMYFUNCTION(&quot;&quot;&quot;COMPUTED_VALUE&quot;&quot;&quot;),&quot;Robotics and its Applications&quot;)"/>
    <hyperlink ref="F166" r:id="rId148" display="=IFERROR(@__xludf.DUMMYFUNCTION(&quot;&quot;&quot;COMPUTED_VALUE&quot;&quot;&quot;),&quot;Quantum Computing&quot;)"/>
    <hyperlink ref="F167" r:id="rId149" display="=IFERROR(@__xludf.DUMMYFUNCTION(&quot;&quot;&quot;COMPUTED_VALUE&quot;&quot;&quot;),&quot;Cyber Security&quot;)"/>
    <hyperlink ref="F168" r:id="rId150" display="=IFERROR(@__xludf.DUMMYFUNCTION(&quot;&quot;&quot;COMPUTED_VALUE&quot;&quot;&quot;),&quot;Virtual Reality&quot;)"/>
    <hyperlink ref="F169" r:id="rId151" display="=IFERROR(@__xludf.DUMMYFUNCTION(&quot;&quot;&quot;COMPUTED_VALUE&quot;&quot;&quot;),&quot;Professional Readiness for Innovation, Employability and Entrepreneurship&quot;)"/>
    <hyperlink ref="F170" r:id="rId152" display="=IFERROR(@__xludf.DUMMYFUNCTION(&quot;&quot;&quot;COMPUTED_VALUE&quot;&quot;&quot;),&quot;Information Security Intelligence and Analytics using Big Data&quot;)"/>
    <hyperlink ref="F171" r:id="rId153" display="=IFERROR(@__xludf.DUMMYFUNCTION(&quot;&quot;&quot;COMPUTED_VALUE&quot;&quot;&quot;),&quot;Prevention Methodology for Cybersecurity&quot;)"/>
    <hyperlink ref="F172" r:id="rId154" display="=IFERROR(@__xludf.DUMMYFUNCTION(&quot;&quot;&quot;COMPUTED_VALUE&quot;&quot;&quot;),&quot;Trusted Network Systems&quot;)"/>
    <hyperlink ref="F173" r:id="rId155" display="=IFERROR(@__xludf.DUMMYFUNCTION(&quot;&quot;&quot;COMPUTED_VALUE&quot;&quot;&quot;),&quot;Firewalls and Intrusion Detection System&quot;)"/>
    <hyperlink ref="F174" r:id="rId156" display="=IFERROR(@__xludf.DUMMYFUNCTION(&quot;&quot;&quot;COMPUTED_VALUE&quot;&quot;&quot;),&quot;Secure Software Engineering&quot;)"/>
    <hyperlink ref="F175" r:id="rId157" display="=IFERROR(@__xludf.DUMMYFUNCTION(&quot;&quot;&quot;COMPUTED_VALUE&quot;&quot;&quot;),&quot;System Security&quot;)"/>
    <hyperlink ref="F176" r:id="rId158" display="=IFERROR(@__xludf.DUMMYFUNCTION(&quot;&quot;&quot;COMPUTED_VALUE&quot;&quot;&quot;),&quot;Hardware Security&quot;)"/>
    <hyperlink ref="F177" r:id="rId159" display="=IFERROR(@__xludf.DUMMYFUNCTION(&quot;&quot;&quot;COMPUTED_VALUE&quot;&quot;&quot;),&quot;Fog Computing&quot;)"/>
    <hyperlink ref="F178" r:id="rId106" display="=IFERROR(@__xludf.DUMMYFUNCTION(&quot;&quot;&quot;COMPUTED_VALUE&quot;&quot;&quot;),&quot;Sensors and Actuators for IoT&quot;)"/>
    <hyperlink ref="F179" r:id="rId160" display="=IFERROR(@__xludf.DUMMYFUNCTION(&quot;&quot;&quot;COMPUTED_VALUE&quot;&quot;&quot;),&quot;Embedded Board Design&quot;)"/>
    <hyperlink ref="F180" r:id="rId153" display="=IFERROR(@__xludf.DUMMYFUNCTION(&quot;&quot;&quot;COMPUTED_VALUE&quot;&quot;&quot;),&quot;Embedded Board Manufacturing&quot;)"/>
    <hyperlink ref="F181" r:id="rId161" display="=IFERROR(@__xludf.DUMMYFUNCTION(&quot;&quot;&quot;COMPUTED_VALUE&quot;&quot;&quot;),&quot;Realtime Operating System&quot;)"/>
    <hyperlink ref="F182" r:id="rId162" display="=IFERROR(@__xludf.DUMMYFUNCTION(&quot;&quot;&quot;COMPUTED_VALUE&quot;&quot;&quot;),&quot;Open Source Operating System&quot;)"/>
    <hyperlink ref="F183" r:id="rId163" display="=IFERROR(@__xludf.DUMMYFUNCTION(&quot;&quot;&quot;COMPUTED_VALUE&quot;&quot;&quot;),&quot;Kernel Programming&quot;)"/>
    <hyperlink ref="F184" r:id="rId164" display="=IFERROR(@__xludf.DUMMYFUNCTION(&quot;&quot;&quot;COMPUTED_VALUE&quot;&quot;&quot;),&quot;Fundamentals of Cryptocurrency&quot;)"/>
    <hyperlink ref="F185" r:id="rId165" display="=IFERROR(@__xludf.DUMMYFUNCTION(&quot;&quot;&quot;COMPUTED_VALUE&quot;&quot;&quot;),&quot;Cloud Services Management&quot;)"/>
    <hyperlink ref="F186" r:id="rId166" display="=IFERROR(@__xludf.DUMMYFUNCTION(&quot;&quot;&quot;COMPUTED_VALUE&quot;&quot;&quot;),&quot;UI and UX Design&quot;)"/>
    <hyperlink ref="F188" r:id="rId167" display="=IFERROR(@__xludf.DUMMYFUNCTION(&quot;&quot;&quot;COMPUTED_VALUE&quot;&quot;&quot;),&quot;Software Testing and Automation&quot;)"/>
    <hyperlink ref="F189" r:id="rId168" display="=IFERROR(@__xludf.DUMMYFUNCTION(&quot;&quot;&quot;COMPUTED_VALUE&quot;&quot;&quot;),&quot;DevOps&quot;)"/>
    <hyperlink ref="F190" r:id="rId169" display="=IFERROR(@__xludf.DUMMYFUNCTION(&quot;&quot;&quot;COMPUTED_VALUE&quot;&quot;&quot;),&quot;Web Application Security&quot;)"/>
    <hyperlink ref="F193" r:id="rId170" display="=IFERROR(@__xludf.DUMMYFUNCTION(&quot;&quot;&quot;COMPUTED_VALUE&quot;&quot;&quot;),&quot;Core Computing Concepts&quot;)"/>
    <hyperlink ref="F200" r:id="rId171" display="=IFERROR(@__xludf.DUMMYFUNCTION(&quot;&quot;&quot;COMPUTED_VALUE&quot;&quot;&quot;),&quot;Robotic Process Automation&quot;)"/>
    <hyperlink ref="F201" r:id="rId172" display="=IFERROR(@__xludf.DUMMYFUNCTION(&quot;&quot;&quot;COMPUTED_VALUE&quot;&quot;&quot;),&quot;Software Project Management and Version Control&quot;)"/>
    <hyperlink ref="F202" r:id="rId173" display="=IFERROR(@__xludf.DUMMYFUNCTION(&quot;&quot;&quot;COMPUTED_VALUE&quot;&quot;&quot;),&quot;Generative AI Application Development&quot;)"/>
    <hyperlink ref="F203" r:id="rId174" display="=IFERROR(@__xludf.DUMMYFUNCTION(&quot;&quot;&quot;COMPUTED_VALUE&quot;&quot;&quot;),&quot;Fine Tuning Large Language Models&quot;)"/>
    <hyperlink ref="F204" r:id="rId175" display="=IFERROR(@__xludf.DUMMYFUNCTION(&quot;&quot;&quot;COMPUTED_VALUE&quot;&quot;&quot;),&quot;Applied Data Science&quot;)"/>
    <hyperlink ref="F205" r:id="rId176" display="=IFERROR(@__xludf.DUMMYFUNCTION(&quot;&quot;&quot;COMPUTED_VALUE&quot;&quot;&quot;),&quot;Entrepreneurship and Small Business Development&quot;)"/>
    <hyperlink ref="F206" r:id="rId177" display="=IFERROR(@__xludf.DUMMYFUNCTION(&quot;&quot;&quot;COMPUTED_VALUE&quot;&quot;&quot;),&quot;Software Development and Operations&quot;)"/>
    <hyperlink ref="F207" r:id="rId178" display="=IFERROR(@__xludf.DUMMYFUNCTION(&quot;&quot;&quot;COMPUTED_VALUE&quot;&quot;&quot;),&quot;Serverless App Development&quot;)"/>
    <hyperlink ref="F208" r:id="rId179" display="=IFERROR(@__xludf.DUMMYFUNCTION(&quot;&quot;&quot;COMPUTED_VALUE&quot;&quot;&quot;),&quot;Enterprise Cloud Architecture&quot;)"/>
    <hyperlink ref="F209" r:id="rId180" display="=IFERROR(@__xludf.DUMMYFUNCTION(&quot;&quot;&quot;COMPUTED_VALUE&quot;&quot;&quot;),&quot;Advanced Class Design and Object-Oriented Techniques&quot;)"/>
    <hyperlink ref="F210" r:id="rId181" display="=IFERROR(@__xludf.DUMMYFUNCTION(&quot;&quot;&quot;COMPUTED_VALUE&quot;&quot;&quot;),&quot;Low-Code App Development&quot;)"/>
    <hyperlink ref="F211" r:id="rId182" display="=IFERROR(@__xludf.DUMMYFUNCTION(&quot;&quot;&quot;COMPUTED_VALUE&quot;&quot;&quot;),&quot;Cloud System Administration&quot;)"/>
    <hyperlink ref="F212" r:id="rId183" display="=IFERROR(@__xludf.DUMMYFUNCTION(&quot;&quot;&quot;COMPUTED_VALUE&quot;&quot;&quot;),&quot;Machine Learning Operations&quot;)"/>
    <hyperlink ref="F213" r:id="rId184" display="=IFERROR(@__xludf.DUMMYFUNCTION(&quot;&quot;&quot;COMPUTED_VALUE&quot;&quot;&quot;),&quot;Embedded Systems&quot;)"/>
    <hyperlink ref="F214" r:id="rId185" display="=IFERROR(@__xludf.DUMMYFUNCTION(&quot;&quot;&quot;COMPUTED_VALUE&quot;&quot;&quot;),&quot;Principles of Digital Signal Processing&quot;)"/>
    <hyperlink ref="F215" r:id="rId186" display="=IFERROR(@__xludf.DUMMYFUNCTION(&quot;&quot;&quot;COMPUTED_VALUE&quot;&quot;&quot;),&quot;Digital Image Processing&quot;)"/>
    <hyperlink ref="F216" r:id="rId187" display="=IFERROR(@__xludf.DUMMYFUNCTION(&quot;&quot;&quot;COMPUTED_VALUE&quot;&quot;&quot;),&quot;Ad Hoc and Wireless Sensor Networks&quot;)"/>
    <hyperlink ref="F217" r:id="rId188" display="=IFERROR(@__xludf.DUMMYFUNCTION(&quot;&quot;&quot;COMPUTED_VALUE&quot;&quot;&quot;),&quot;Information Technology Essentials&quot;)"/>
    <hyperlink ref="F218" r:id="rId189" display="=IFERROR(@__xludf.DUMMYFUNCTION(&quot;&quot;&quot;COMPUTED_VALUE&quot;&quot;&quot;),&quot;Game Development Technologies&quot;)"/>
    <hyperlink ref="F219" r:id="rId190" display="=IFERROR(@__xludf.DUMMYFUNCTION(&quot;&quot;&quot;COMPUTED_VALUE&quot;&quot;&quot;),&quot;Data Structures using Python&quot;)"/>
    <hyperlink ref="F220" r:id="rId191" display="=IFERROR(@__xludf.DUMMYFUNCTION(&quot;&quot;&quot;COMPUTED_VALUE&quot;&quot;&quot;),&quot;Grid and Cloud Computing&quot;)"/>
    <hyperlink ref="F221" r:id="rId192" display="=IFERROR(@__xludf.DUMMYFUNCTION(&quot;&quot;&quot;COMPUTED_VALUE&quot;&quot;&quot;),&quot;Distributed Computing&quot;)"/>
    <hyperlink ref="F222" r:id="rId193" display="=IFERROR(@__xludf.DUMMYFUNCTION(&quot;&quot;&quot;COMPUTED_VALUE&quot;&quot;&quot;),&quot;Information Theory and Coding Techniques&quot;)"/>
    <hyperlink ref="F223" r:id="rId194" display="=IFERROR(@__xludf.DUMMYFUNCTION(&quot;&quot;&quot;COMPUTED_VALUE&quot;&quot;&quot;),&quot;Enterprise Resource Planning&quot;)"/>
    <hyperlink ref="F224" r:id="rId195" display="=IFERROR(@__xludf.DUMMYFUNCTION(&quot;&quot;&quot;COMPUTED_VALUE&quot;&quot;&quot;),&quot;User Interface Design&quot;)"/>
    <hyperlink ref="F225" r:id="rId196" display="=IFERROR(@__xludf.DUMMYFUNCTION(&quot;&quot;&quot;COMPUTED_VALUE&quot;&quot;&quot;),&quot;Information Storage Management&quot;)"/>
    <hyperlink ref="F226" r:id="rId197" display="=IFERROR(@__xludf.DUMMYFUNCTION(&quot;&quot;&quot;COMPUTED_VALUE&quot;&quot;&quot;),&quot;Software Design Patterns&quot;)"/>
    <hyperlink ref="F227" r:id="rId198" display="=IFERROR(@__xludf.DUMMYFUNCTION(&quot;&quot;&quot;COMPUTED_VALUE&quot;&quot;&quot;),&quot;E-Learning Techniques&quot;)"/>
    <hyperlink ref="F228" r:id="rId199" display="=IFERROR(@__xludf.DUMMYFUNCTION(&quot;&quot;&quot;COMPUTED_VALUE&quot;&quot;&quot;),&quot;TCP/IP Design and Implementation&quot;)"/>
    <hyperlink ref="F229" r:id="rId200" display="=IFERROR(@__xludf.DUMMYFUNCTION(&quot;&quot;&quot;COMPUTED_VALUE&quot;&quot;&quot;),&quot;Advanced Algorithms&quot;)"/>
    <hyperlink ref="F230" r:id="rId201" display="=IFERROR(@__xludf.DUMMYFUNCTION(&quot;&quot;&quot;COMPUTED_VALUE&quot;&quot;&quot;),&quot;Ethical Hacking&quot;)"/>
    <hyperlink ref="F231" r:id="rId202" display="=IFERROR(@__xludf.DUMMYFUNCTION(&quot;&quot;&quot;COMPUTED_VALUE&quot;&quot;&quot;),&quot;DHTML and XML&quot;)"/>
    <hyperlink ref="F232" r:id="rId203" display="=IFERROR(@__xludf.DUMMYFUNCTION(&quot;&quot;&quot;COMPUTED_VALUE&quot;&quot;&quot;),&quot;E-Commerce&quot;)"/>
    <hyperlink ref="F233" r:id="rId204" display="=IFERROR(@__xludf.DUMMYFUNCTION(&quot;&quot;&quot;COMPUTED_VALUE&quot;&quot;&quot;),&quot;Free Open Source Software&quot;)"/>
    <hyperlink ref="F234" r:id="rId205" display="=IFERROR(@__xludf.DUMMYFUNCTION(&quot;&quot;&quot;COMPUTED_VALUE&quot;&quot;&quot;),&quot;Real Time Operating Systems&quot;)"/>
    <hyperlink ref="F235" r:id="rId206" display="=IFERROR(@__xludf.DUMMYFUNCTION(&quot;&quot;&quot;COMPUTED_VALUE&quot;&quot;&quot;),&quot;Software Agents&quot;)"/>
    <hyperlink ref="F236" r:id="rId207" display="=IFERROR(@__xludf.DUMMYFUNCTION(&quot;&quot;&quot;COMPUTED_VALUE&quot;&quot;&quot;),&quot;Business Intelligence and Analytics&quot;)"/>
    <hyperlink ref="F237" r:id="rId208" display="=IFERROR(@__xludf.DUMMYFUNCTION(&quot;&quot;&quot;COMPUTED_VALUE&quot;&quot;&quot;),&quot;Mathematics for Artificial Intelligence&quot;)"/>
    <hyperlink ref="F238" r:id="rId209" display="=IFERROR(@__xludf.DUMMYFUNCTION(&quot;&quot;&quot;COMPUTED_VALUE&quot;&quot;&quot;),&quot;Statistics and Numerical Methods&quot;)"/>
    <hyperlink ref="F241" r:id="rId210" display="=IFERROR(@__xludf.DUMMYFUNCTION(&quot;&quot;&quot;COMPUTED_VALUE&quot;&quot;&quot;),&quot;Mini Project&quot;)"/>
    <hyperlink ref="F242" r:id="rId211" display="=IFERROR(@__xludf.DUMMYFUNCTION(&quot;&quot;&quot;COMPUTED_VALUE&quot;&quot;&quot;),&quot;Project Work Phase I&quot;)"/>
    <hyperlink ref="F243" r:id="rId212" display="=IFERROR(@__xludf.DUMMYFUNCTION(&quot;&quot;&quot;COMPUTED_VALUE&quot;&quot;&quot;),&quot;Project Work Phase II&quot;)"/>
    <hyperlink ref="F244" r:id="rId213" display="=IFERROR(@__xludf.DUMMYFUNCTION(&quot;&quot;&quot;COMPUTED_VALUE&quot;&quot;&quot;),&quot;Softskills&quot;)"/>
    <hyperlink ref="F245" r:id="rId214" display="=IFERROR(@__xludf.DUMMYFUNCTION(&quot;&quot;&quot;COMPUTED_VALUE&quot;&quot;&quot;),&quot;Career Development Skills&quot;)"/>
    <hyperlink ref="F246" r:id="rId215" display="=IFERROR(@__xludf.DUMMYFUNCTION(&quot;&quot;&quot;COMPUTED_VALUE&quot;&quot;&quot;),&quot;Creative Skills for Communication&quot;)"/>
    <hyperlink ref="F247" r:id="rId216" display="=IFERROR(@__xludf.DUMMYFUNCTION(&quot;&quot;&quot;COMPUTED_VALUE&quot;&quot;&quot;),&quot;Reasoning Ability&quot;)"/>
    <hyperlink ref="F248" r:id="rId217" display="=IFERROR(@__xludf.DUMMYFUNCTION(&quot;&quot;&quot;COMPUTED_VALUE&quot;&quot;&quot;),&quot;System of Numerical and Logical Terminologies&quot;)"/>
    <hyperlink ref="F249" r:id="rId218" display="=IFERROR(@__xludf.DUMMYFUNCTION(&quot;&quot;&quot;COMPUTED_VALUE&quot;&quot;&quot;),&quot;Advanced Quantitative and Logical Reasoning&quot;)"/>
    <hyperlink ref="F250" r:id="rId219" display="=IFERROR(@__xludf.DUMMYFUNCTION(&quot;&quot;&quot;COMPUTED_VALUE&quot;&quot;&quot;),&quot;Quantitative Ability I&quot;)"/>
    <hyperlink ref="F251" r:id="rId220" display="=IFERROR(@__xludf.DUMMYFUNCTION(&quot;&quot;&quot;COMPUTED_VALUE&quot;&quot;&quot;),&quot;Quantitative Ability II&quot;)"/>
    <hyperlink ref="F252" r:id="rId221" display="=IFERROR(@__xludf.DUMMYFUNCTION(&quot;&quot;&quot;COMPUTED_VALUE&quot;&quot;&quot;),&quot;Employment Enhancement Skills&quot;)"/>
    <hyperlink ref="F253" r:id="rId222" display="=IFERROR(@__xludf.DUMMYFUNCTION(&quot;&quot;&quot;COMPUTED_VALUE&quot;&quot;&quot;),&quot;Employment Enrichment Skills&quot;)"/>
    <hyperlink ref="F254" r:id="rId223" display="=IFERROR(@__xludf.DUMMYFUNCTION(&quot;&quot;&quot;COMPUTED_VALUE&quot;&quot;&quot;),&quot;Company Specific Assessments For Employability&quot;)"/>
    <hyperlink ref="F255" r:id="rId224" display="=IFERROR(@__xludf.DUMMYFUNCTION(&quot;&quot;&quot;COMPUTED_VALUE&quot;&quot;&quot;),&quot;Placement Readiness Assessment&quot;)"/>
    <hyperlink ref="F256" r:id="rId225" display="=IFERROR(@__xludf.DUMMYFUNCTION(&quot;&quot;&quot;COMPUTED_VALUE&quot;&quot;&quot;),&quot;Paper Publication&quot;)"/>
    <hyperlink ref="F257" r:id="rId226" display="=IFERROR(@__xludf.DUMMYFUNCTION(&quot;&quot;&quot;COMPUTED_VALUE&quot;&quot;&quot;),&quot;Constitution of India&quot;)"/>
    <hyperlink ref="F258" r:id="rId227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810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""R2024-CSE!A:A""),
IMPORTRANGE(""https://docs.google.com/spreadsheets/d/1UvPg-G_Bj-UNhLC2uL8tntfYsnld_PABqE3impzOchM/edit"", ""R2024-"&amp;"CSE!D:D""),
IMPORTRANGE(""https://docs.google.com/spreadsheets/d/1UvPg-G_Bj-UNhLC2uL8tntfYsnld_PABqE3impzOchM/edit"", ""R2024-CSE!E:E""),
IMPORTRANGE(""https://docs.google.com/spreadsheets/d/1UvPg-G_Bj-UNhLC2uL8tntfYsnld_PABqE3impzOchM/edit"", ""R2024-CSE"&amp;"!F:F""),
IMPORTRANGE(""https://docs.google.com/spreadsheets/d/1UvPg-G_Bj-UNhLC2uL8tntfYsnld_PABqE3impzOchM/edit"", ""R2024-CSE!G:G""),
IMPORTRANGE(""https://docs.google.com/spreadsheets/d/1UvPg-G_Bj-UNhLC2uL8tntfYsnld_PABqE3impzOchM/edit"", ""R2024-CSE!I:"&amp;"I""),
IMPORTRANGE(""https://docs.google.com/spreadsheets/d/1UvPg-G_Bj-UNhLC2uL8tntfYsnld_PABqE3impzOchM/edit"", ""R2024-CSE!N:N""),
IMPORTRANGE(""https://docs.google.com/spreadsheets/d/1UvPg-G_Bj-UNhLC2uL8tntfYsnld_PABqE3impzOchM/edit"", ""R2024-CSE!O:O"""&amp;"),
IMPORTRANGE(""https://docs.google.com/spreadsheets/d/1UvPg-G_Bj-UNhLC2uL8tntfYsnld_PABqE3impzOchM/edit"", ""R2024-CSE!P:P""),
IMPORTRANGE(""https://docs.google.com/spreadsheets/d/1UvPg-G_Bj-UNhLC2uL8tntfYsnld_PABqE3impzOchM/edit"", ""R2024-CSE!Q:Q""),
"&amp;"IMPORTRANGE(""https://docs.google.com/spreadsheets/d/1UvPg-G_Bj-UNhLC2uL8tntfYsnld_PABqE3impzOchM/edit"", ""R2024-CSE!R:R""),
IMPORTRANGE(""https://docs.google.com/spreadsheets/d/1UvPg-G_Bj-UNhLC2uL8tntfYsnld_PABqE3impzOchM/edit"", ""R2024-CSE!S:S""),
IMP"&amp;"ORTRANGE(""https://docs.google.com/spreadsheets/d/1UvPg-G_Bj-UNhLC2uL8tntfYsnld_PABqE3impzOchM/edit"", ""R2024-CSE!V:V""),
IMPORTRANGE(""https://docs.google.com/spreadsheets/d/1UvPg-G_Bj-UNhLC2uL8tntfYsnld_PABqE3impzOchM/edit"", ""R2024-CSE!X:X""),
IMPORT"&amp;"RANGE(""https://docs.google.com/spreadsheets/d/1UvPg-G_Bj-UNhLC2uL8tntfYsnld_PABqE3impzOchM/edit"", ""R2024-CSE!Y:Y"")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IFERROR(__xludf.DUMMYFUNCTION("""COMPUTED_VALUE"""),3)</f>
        <v>3</v>
      </c>
      <c r="J3" s="2">
        <f>IFERROR(__xludf.DUMMYFUNCTION("""COMPUTED_VALUE"""),0)</f>
        <v>0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IFERROR(__xludf.DUMMYFUNCTION("""COMPUTED_VALUE"""),13)</f>
        <v>13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IFERROR(__xludf.DUMMYFUNCTION("""COMPUTED_VALUE"""),0)</f>
        <v>0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IFERROR(__xludf.DUMMYFUNCTION("""COMPUTED_VALUE"""),10)</f>
        <v>10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IFERROR(__xludf.DUMMYFUNCTION("""COMPUTED_VALUE"""),3)</f>
        <v>3</v>
      </c>
      <c r="J5" s="2">
        <f>IFERROR(__xludf.DUMMYFUNCTION("""COMPUTED_VALUE"""),1)</f>
        <v>1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IFERROR(__xludf.DUMMYFUNCTION("""COMPUTED_VALUE"""),25)</f>
        <v>25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IFERROR(__xludf.DUMMYFUNCTION("""COMPUTED_VALUE"""),3)</f>
        <v>3</v>
      </c>
      <c r="J6" s="2">
        <f>IFERROR(__xludf.DUMMYFUNCTION("""COMPUTED_VALUE"""),0)</f>
        <v>0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IFERROR(__xludf.DUMMYFUNCTION("""COMPUTED_VALUE"""),56)</f>
        <v>56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IFERROR(__xludf.DUMMYFUNCTION("""COMPUTED_VALUE"""),3)</f>
        <v>3</v>
      </c>
      <c r="J7" s="2">
        <f>IFERROR(__xludf.DUMMYFUNCTION("""COMPUTED_VALUE"""),0)</f>
        <v>0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IFERROR(__xludf.DUMMYFUNCTION("""COMPUTED_VALUE"""),16)</f>
        <v>16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IFERROR(__xludf.DUMMYFUNCTION("""COMPUTED_VALUE"""),3)</f>
        <v>3</v>
      </c>
      <c r="J8" s="2">
        <f>IFERROR(__xludf.DUMMYFUNCTION("""COMPUTED_VALUE"""),0)</f>
        <v>0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IFERROR(__xludf.DUMMYFUNCTION("""COMPUTED_VALUE"""),1)</f>
        <v>1</v>
      </c>
      <c r="J9" s="2">
        <f>IFERROR(__xludf.DUMMYFUNCTION("""COMPUTED_VALUE"""),0)</f>
        <v>0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IFERROR(__xludf.DUMMYFUNCTION("""COMPUTED_VALUE"""),1)</f>
        <v>1</v>
      </c>
      <c r="J10" s="2">
        <f>IFERROR(__xludf.DUMMYFUNCTION("""COMPUTED_VALUE"""),0)</f>
        <v>0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IFERROR(__xludf.DUMMYFUNCTION("""COMPUTED_VALUE"""),4)</f>
        <v>4</v>
      </c>
      <c r="O10" s="20">
        <f>IFERROR(__xludf.DUMMYFUNCTION("""COMPUTED_VALUE"""),4)</f>
        <v>4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IFERROR(__xludf.DUMMYFUNCTION("""COMPUTED_VALUE"""),"SH7801")</f>
        <v>SH7801</v>
      </c>
      <c r="E11" s="2" t="str">
        <f>IFERROR(__xludf.DUMMYFUNCTION("""COMPUTED_VALUE"""),"NA")</f>
        <v>NA</v>
      </c>
      <c r="F11" s="7" t="str">
        <f>IFERROR(__xludf.DUMMYFUNCTION("""COMPUTED_VALUE"""),"Human Values and Professional Ethics")</f>
        <v>Human Values and Professional Ethics</v>
      </c>
      <c r="G11" s="2" t="str">
        <f>IFERROR(__xludf.DUMMYFUNCTION("""COMPUTED_VALUE"""),"-")</f>
        <v>-</v>
      </c>
      <c r="H11" s="2">
        <f>IFERROR(__xludf.DUMMYFUNCTION("""COMPUTED_VALUE"""),2)</f>
        <v>2</v>
      </c>
      <c r="I11" s="2">
        <f>IFERROR(__xludf.DUMMYFUNCTION("""COMPUTED_VALUE"""),2)</f>
        <v>2</v>
      </c>
      <c r="J11" s="2">
        <f>IFERROR(__xludf.DUMMYFUNCTION("""COMPUTED_VALUE"""),0)</f>
        <v>0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IFERROR(__xludf.DUMMYFUNCTION("""COMPUTED_VALUE"""),167)</f>
        <v>167</v>
      </c>
      <c r="O11" s="23">
        <f>IFERROR(__xludf.DUMMYFUNCTION("""COMPUTED_VALUE"""),129)</f>
        <v>129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IFERROR(__xludf.DUMMYFUNCTION("""COMPUTED_VALUE"""),"SH2201")</f>
        <v>SH2201</v>
      </c>
      <c r="E12" s="2" t="str">
        <f>IFERROR(__xludf.DUMMYFUNCTION("""COMPUTED_VALUE"""),"19MA201")</f>
        <v>19MA201</v>
      </c>
      <c r="F12" s="7" t="str">
        <f>IFERROR(__xludf.DUMMYFUNCTION("""COMPUTED_VALUE"""),"Calculus and Matrix Algebra")</f>
        <v>Calculus and Matrix Algebra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IFERROR(__xludf.DUMMYFUNCTION("""COMPUTED_VALUE"""),4)</f>
        <v>4</v>
      </c>
      <c r="J12" s="2">
        <f>IFERROR(__xludf.DUMMYFUNCTION("""COMPUTED_VALUE"""),0)</f>
        <v>0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IFERROR(__xludf.DUMMYFUNCTION("""COMPUTED_VALUE"""),"SH2206")</f>
        <v>SH2206</v>
      </c>
      <c r="E13" s="2" t="str">
        <f>IFERROR(__xludf.DUMMYFUNCTION("""COMPUTED_VALUE"""),"19MA206")</f>
        <v>19MA206</v>
      </c>
      <c r="F13" s="7" t="str">
        <f>IFERROR(__xludf.DUMMYFUNCTION("""COMPUTED_VALUE"""),"Logic and Combinatorics")</f>
        <v>Logic and Combinatorics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IFERROR(__xludf.DUMMYFUNCTION("""COMPUTED_VALUE"""),4)</f>
        <v>4</v>
      </c>
      <c r="J13" s="2">
        <f>IFERROR(__xludf.DUMMYFUNCTION("""COMPUTED_VALUE"""),0)</f>
        <v>0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IFERROR(__xludf.DUMMYFUNCTION("""COMPUTED_VALUE"""),"SH2212")</f>
        <v>SH2212</v>
      </c>
      <c r="E14" s="2" t="str">
        <f>IFERROR(__xludf.DUMMYFUNCTION("""COMPUTED_VALUE"""),"19MA212")</f>
        <v>19MA212</v>
      </c>
      <c r="F14" s="7" t="str">
        <f>IFERROR(__xludf.DUMMYFUNCTION("""COMPUTED_VALUE"""),"Algebra and Number Theory")</f>
        <v>Algebra and Number Theory</v>
      </c>
      <c r="G14" s="2" t="str">
        <f>IFERROR(__xludf.DUMMYFUNCTION("""COMPUTED_VALUE"""),"19MA201")</f>
        <v>19MA201</v>
      </c>
      <c r="H14" s="2">
        <f>IFERROR(__xludf.DUMMYFUNCTION("""COMPUTED_VALUE"""),4)</f>
        <v>4</v>
      </c>
      <c r="I14" s="2">
        <f>IFERROR(__xludf.DUMMYFUNCTION("""COMPUTED_VALUE"""),4)</f>
        <v>4</v>
      </c>
      <c r="J14" s="2">
        <f>IFERROR(__xludf.DUMMYFUNCTION("""COMPUTED_VALUE"""),0)</f>
        <v>0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IFERROR(__xludf.DUMMYFUNCTION("""COMPUTED_VALUE"""),"SH2222")</f>
        <v>SH2222</v>
      </c>
      <c r="E15" s="2" t="str">
        <f>IFERROR(__xludf.DUMMYFUNCTION("""COMPUTED_VALUE"""),"19MA222")</f>
        <v>19MA222</v>
      </c>
      <c r="F15" s="7" t="str">
        <f>IFERROR(__xludf.DUMMYFUNCTION("""COMPUTED_VALUE"""),"Probability and Queueing Models")</f>
        <v>Probability and Queueing Models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IFERROR(__xludf.DUMMYFUNCTION("""COMPUTED_VALUE"""),3)</f>
        <v>3</v>
      </c>
      <c r="J15" s="2">
        <f>IFERROR(__xludf.DUMMYFUNCTION("""COMPUTED_VALUE"""),1)</f>
        <v>1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IFERROR(__xludf.DUMMYFUNCTION("""COMPUTED_VALUE"""),"SH3214")</f>
        <v>SH3214</v>
      </c>
      <c r="E16" s="2" t="str">
        <f>IFERROR(__xludf.DUMMYFUNCTION("""COMPUTED_VALUE"""),"NA")</f>
        <v>NA</v>
      </c>
      <c r="F16" s="7" t="str">
        <f>IFERROR(__xludf.DUMMYFUNCTION("""COMPUTED_VALUE"""),"Physics for Quantum Computing")</f>
        <v>Physics for Quantum Computing</v>
      </c>
      <c r="G16" s="2" t="str">
        <f>IFERROR(__xludf.DUMMYFUNCTION("""COMPUTED_VALUE"""),"-")</f>
        <v>-</v>
      </c>
      <c r="H16" s="2">
        <f>IFERROR(__xludf.DUMMYFUNCTION("""COMPUTED_VALUE"""),2)</f>
        <v>2</v>
      </c>
      <c r="I16" s="2">
        <f>IFERROR(__xludf.DUMMYFUNCTION("""COMPUTED_VALUE"""),2)</f>
        <v>2</v>
      </c>
      <c r="J16" s="2">
        <f>IFERROR(__xludf.DUMMYFUNCTION("""COMPUTED_VALUE"""),1)</f>
        <v>1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IFERROR(__xludf.DUMMYFUNCTION("""COMPUTED_VALUE"""),"SH4205")</f>
        <v>SH4205</v>
      </c>
      <c r="E17" s="2" t="str">
        <f>IFERROR(__xludf.DUMMYFUNCTION("""COMPUTED_VALUE"""),"19CY205")</f>
        <v>19CY205</v>
      </c>
      <c r="F17" s="7" t="str">
        <f>IFERROR(__xludf.DUMMYFUNCTION("""COMPUTED_VALUE"""),"Principles of Chemistry in Engineering")</f>
        <v>Principles of Chemistry in Engineering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IFERROR(__xludf.DUMMYFUNCTION("""COMPUTED_VALUE"""),3)</f>
        <v>3</v>
      </c>
      <c r="J17" s="2">
        <f>IFERROR(__xludf.DUMMYFUNCTION("""COMPUTED_VALUE"""),1)</f>
        <v>1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IFERROR(__xludf.DUMMYFUNCTION("""COMPUTED_VALUE"""),"BS")</f>
        <v>BS</v>
      </c>
      <c r="D18" s="2" t="str">
        <f>IFERROR(__xludf.DUMMYFUNCTION("""COMPUTED_VALUE"""),"SH4801")</f>
        <v>SH4801</v>
      </c>
      <c r="E18" s="2" t="str">
        <f>IFERROR(__xludf.DUMMYFUNCTION("""COMPUTED_VALUE"""),"NA")</f>
        <v>NA</v>
      </c>
      <c r="F18" s="7" t="str">
        <f>IFERROR(__xludf.DUMMYFUNCTION("""COMPUTED_VALUE"""),"Environmental Sciences and Sustainability")</f>
        <v>Environmental Sciences and Sustainability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IFERROR(__xludf.DUMMYFUNCTION("""COMPUTED_VALUE"""),2)</f>
        <v>2</v>
      </c>
      <c r="J18" s="2">
        <f>IFERROR(__xludf.DUMMYFUNCTION("""COMPUTED_VALUE"""),0)</f>
        <v>0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IFERROR(__xludf.DUMMYFUNCTION("""COMPUTED_VALUE"""),"CS3301")</f>
        <v>CS3301</v>
      </c>
      <c r="E19" s="2" t="str">
        <f>IFERROR(__xludf.DUMMYFUNCTION("""COMPUTED_VALUE"""),"19AI301")</f>
        <v>19AI301</v>
      </c>
      <c r="F19" s="7" t="str">
        <f>IFERROR(__xludf.DUMMYFUNCTION("""COMPUTED_VALUE"""),"Python Programming")</f>
        <v>Python Programming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IFERROR(__xludf.DUMMYFUNCTION("""COMPUTED_VALUE"""),2)</f>
        <v>2</v>
      </c>
      <c r="J19" s="2">
        <f>IFERROR(__xludf.DUMMYFUNCTION("""COMPUTED_VALUE"""),1)</f>
        <v>1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IFERROR(__xludf.DUMMYFUNCTION("""COMPUTED_VALUE"""),"CS3302")</f>
        <v>CS3302</v>
      </c>
      <c r="E20" s="2" t="str">
        <f>IFERROR(__xludf.DUMMYFUNCTION("""COMPUTED_VALUE"""),"19AI302")</f>
        <v>19AI302</v>
      </c>
      <c r="F20" s="7" t="str">
        <f>IFERROR(__xludf.DUMMYFUNCTION("""COMPUTED_VALUE"""),"Engineering Design and Modelling")</f>
        <v>Engineering Design and Modelling</v>
      </c>
      <c r="G20" s="2" t="str">
        <f>IFERROR(__xludf.DUMMYFUNCTION("""COMPUTED_VALUE"""),"-")</f>
        <v>-</v>
      </c>
      <c r="H20" s="2">
        <f>IFERROR(__xludf.DUMMYFUNCTION("""COMPUTED_VALUE"""),0)</f>
        <v>0</v>
      </c>
      <c r="I20" s="2">
        <f>IFERROR(__xludf.DUMMYFUNCTION("""COMPUTED_VALUE"""),0)</f>
        <v>0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IFERROR(__xludf.DUMMYFUNCTION("""COMPUTED_VALUE"""),"Practical (10 Expts)")</f>
        <v>Practical (10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IFERROR(__xludf.DUMMYFUNCTION("""COMPUTED_VALUE"""),"EC2404")</f>
        <v>EC2404</v>
      </c>
      <c r="E21" s="2" t="str">
        <f>IFERROR(__xludf.DUMMYFUNCTION("""COMPUTED_VALUE"""),"19EE404")</f>
        <v>19EE404</v>
      </c>
      <c r="F21" s="7" t="str">
        <f>IFERROR(__xludf.DUMMYFUNCTION("""COMPUTED_VALUE"""),"Digital Electronics")</f>
        <v>Digital Electronics</v>
      </c>
      <c r="G21" s="2" t="str">
        <f>IFERROR(__xludf.DUMMYFUNCTION("""COMPUTED_VALUE"""),"-")</f>
        <v>-</v>
      </c>
      <c r="H21" s="2">
        <f>IFERROR(__xludf.DUMMYFUNCTION("""COMPUTED_VALUE"""),3)</f>
        <v>3</v>
      </c>
      <c r="I21" s="2">
        <f>IFERROR(__xludf.DUMMYFUNCTION("""COMPUTED_VALUE"""),3)</f>
        <v>3</v>
      </c>
      <c r="J21" s="2">
        <f>IFERROR(__xludf.DUMMYFUNCTION("""COMPUTED_VALUE"""),1)</f>
        <v>1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IFERROR(__xludf.DUMMYFUNCTION("""COMPUTED_VALUE"""),"EC2305")</f>
        <v>EC2305</v>
      </c>
      <c r="E22" s="2" t="str">
        <f>IFERROR(__xludf.DUMMYFUNCTION("""COMPUTED_VALUE"""),"19EE305")</f>
        <v>19EE305</v>
      </c>
      <c r="F22" s="7" t="str">
        <f>IFERROR(__xludf.DUMMYFUNCTION("""COMPUTED_VALUE"""),"Basic Electrical, Electronics and Measurement Engineering")</f>
        <v>Basic Electrical, Electronics and Measurement Engineering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IFERROR(__xludf.DUMMYFUNCTION("""COMPUTED_VALUE"""),2)</f>
        <v>2</v>
      </c>
      <c r="J22" s="2">
        <f>IFERROR(__xludf.DUMMYFUNCTION("""COMPUTED_VALUE"""),1)</f>
        <v>1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IFERROR(__xludf.DUMMYFUNCTION("""COMPUTED_VALUE"""),"EC2309")</f>
        <v>EC2309</v>
      </c>
      <c r="E23" s="2" t="str">
        <f>IFERROR(__xludf.DUMMYFUNCTION("""COMPUTED_VALUE"""),"19EE309")</f>
        <v>19EE309</v>
      </c>
      <c r="F23" s="7" t="str">
        <f>IFERROR(__xludf.DUMMYFUNCTION("""COMPUTED_VALUE"""),"Programming Microcontrollers")</f>
        <v>Programming Microcontrollers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IFERROR(__xludf.DUMMYFUNCTION("""COMPUTED_VALUE"""),2)</f>
        <v>2</v>
      </c>
      <c r="J23" s="2">
        <f>IFERROR(__xludf.DUMMYFUNCTION("""COMPUTED_VALUE"""),1)</f>
        <v>1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IFERROR(__xludf.DUMMYFUNCTION("""COMPUTED_VALUE"""),"CS3304")</f>
        <v>CS3304</v>
      </c>
      <c r="E24" s="2" t="str">
        <f>IFERROR(__xludf.DUMMYFUNCTION("""COMPUTED_VALUE"""),"19AI304")</f>
        <v>19AI304</v>
      </c>
      <c r="F24" s="7" t="str">
        <f>IFERROR(__xludf.DUMMYFUNCTION("""COMPUTED_VALUE"""),"Fundamentals of C Programming")</f>
        <v>Fundamentals of C Programming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IFERROR(__xludf.DUMMYFUNCTION("""COMPUTED_VALUE"""),2)</f>
        <v>2</v>
      </c>
      <c r="J24" s="2">
        <f>IFERROR(__xludf.DUMMYFUNCTION("""COMPUTED_VALUE"""),1)</f>
        <v>1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IFERROR(__xludf.DUMMYFUNCTION("""COMPUTED_VALUE"""),"CS3305")</f>
        <v>CS3305</v>
      </c>
      <c r="E25" s="2" t="str">
        <f>IFERROR(__xludf.DUMMYFUNCTION("""COMPUTED_VALUE"""),"19AI305")</f>
        <v>19AI305</v>
      </c>
      <c r="F25" s="7" t="str">
        <f>IFERROR(__xludf.DUMMYFUNCTION("""COMPUTED_VALUE"""),"Advanced C Programming")</f>
        <v>Advanced C Programming</v>
      </c>
      <c r="G25" s="2" t="str">
        <f>IFERROR(__xludf.DUMMYFUNCTION("""COMPUTED_VALUE"""),"19AI304 / CS3304")</f>
        <v>19AI304 / CS3304</v>
      </c>
      <c r="H25" s="2">
        <f>IFERROR(__xludf.DUMMYFUNCTION("""COMPUTED_VALUE"""),2)</f>
        <v>2</v>
      </c>
      <c r="I25" s="2">
        <f>IFERROR(__xludf.DUMMYFUNCTION("""COMPUTED_VALUE"""),2)</f>
        <v>2</v>
      </c>
      <c r="J25" s="2">
        <f>IFERROR(__xludf.DUMMYFUNCTION("""COMPUTED_VALUE"""),1)</f>
        <v>1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IFERROR(__xludf.DUMMYFUNCTION("""COMPUTED_VALUE"""),"CS1305")</f>
        <v>CS1305</v>
      </c>
      <c r="E26" s="2" t="str">
        <f>IFERROR(__xludf.DUMMYFUNCTION("""COMPUTED_VALUE"""),"19CS305")</f>
        <v>19CS305</v>
      </c>
      <c r="F26" s="7" t="str">
        <f>IFERROR(__xludf.DUMMYFUNCTION("""COMPUTED_VALUE"""),"Computer Architecture")</f>
        <v>Computer Architecture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IFERROR(__xludf.DUMMYFUNCTION("""COMPUTED_VALUE"""),3)</f>
        <v>3</v>
      </c>
      <c r="J26" s="2">
        <f>IFERROR(__xludf.DUMMYFUNCTION("""COMPUTED_VALUE"""),0)</f>
        <v>0</v>
      </c>
      <c r="K26" s="2" t="str">
        <f>IFERROR(__xludf.DUMMYFUNCTION("""COMPUTED_VALUE"""),"CGPA")</f>
        <v>CGPA</v>
      </c>
      <c r="L26" s="2" t="str">
        <f>IFERROR(__xludf.DUMMYFUNCTION("""COMPUTED_VALUE"""),"Theory")</f>
        <v>Theory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IFERROR(__xludf.DUMMYFUNCTION("""COMPUTED_VALUE"""),"CS3307")</f>
        <v>CS3307</v>
      </c>
      <c r="E27" s="2" t="str">
        <f>IFERROR(__xludf.DUMMYFUNCTION("""COMPUTED_VALUE"""),"19AI307")</f>
        <v>19AI307</v>
      </c>
      <c r="F27" s="7" t="str">
        <f>IFERROR(__xludf.DUMMYFUNCTION("""COMPUTED_VALUE"""),"Object Oriented Programming using Java")</f>
        <v>Object Oriented Programming using Java</v>
      </c>
      <c r="G27" s="2" t="str">
        <f>IFERROR(__xludf.DUMMYFUNCTION("""COMPUTED_VALUE"""),"19AI304")</f>
        <v>19AI304</v>
      </c>
      <c r="H27" s="2">
        <f>IFERROR(__xludf.DUMMYFUNCTION("""COMPUTED_VALUE"""),2)</f>
        <v>2</v>
      </c>
      <c r="I27" s="2">
        <f>IFERROR(__xludf.DUMMYFUNCTION("""COMPUTED_VALUE"""),2)</f>
        <v>2</v>
      </c>
      <c r="J27" s="2">
        <f>IFERROR(__xludf.DUMMYFUNCTION("""COMPUTED_VALUE"""),1)</f>
        <v>1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IFERROR(__xludf.DUMMYFUNCTION("""COMPUTED_VALUE"""),"CS3404")</f>
        <v>CS3404</v>
      </c>
      <c r="E28" s="2" t="str">
        <f>IFERROR(__xludf.DUMMYFUNCTION("""COMPUTED_VALUE"""),"19AI404")</f>
        <v>19AI404</v>
      </c>
      <c r="F28" s="7" t="str">
        <f>IFERROR(__xludf.DUMMYFUNCTION("""COMPUTED_VALUE"""),"Analysis of Algorithms")</f>
        <v>Analysis of Algorithms</v>
      </c>
      <c r="G28" s="2" t="str">
        <f>IFERROR(__xludf.DUMMYFUNCTION("""COMPUTED_VALUE"""),"19AI301")</f>
        <v>19AI301</v>
      </c>
      <c r="H28" s="2">
        <f>IFERROR(__xludf.DUMMYFUNCTION("""COMPUTED_VALUE"""),2)</f>
        <v>2</v>
      </c>
      <c r="I28" s="2">
        <f>IFERROR(__xludf.DUMMYFUNCTION("""COMPUTED_VALUE"""),2)</f>
        <v>2</v>
      </c>
      <c r="J28" s="2">
        <f>IFERROR(__xludf.DUMMYFUNCTION("""COMPUTED_VALUE"""),1)</f>
        <v>1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IFERROR(__xludf.DUMMYFUNCTION("""COMPUTED_VALUE"""),"CS3405")</f>
        <v>CS3405</v>
      </c>
      <c r="E29" s="2" t="str">
        <f>IFERROR(__xludf.DUMMYFUNCTION("""COMPUTED_VALUE"""),"19AI405")</f>
        <v>19AI405</v>
      </c>
      <c r="F29" s="7" t="str">
        <f>IFERROR(__xludf.DUMMYFUNCTION("""COMPUTED_VALUE"""),"Fundamentals of Artificial Intelligence")</f>
        <v>Fundamentals of Artificial Intelligence</v>
      </c>
      <c r="G29" s="2" t="str">
        <f>IFERROR(__xludf.DUMMYFUNCTION("""COMPUTED_VALUE"""),"19CS301")</f>
        <v>19CS301</v>
      </c>
      <c r="H29" s="2">
        <f>IFERROR(__xludf.DUMMYFUNCTION("""COMPUTED_VALUE"""),2)</f>
        <v>2</v>
      </c>
      <c r="I29" s="2">
        <f>IFERROR(__xludf.DUMMYFUNCTION("""COMPUTED_VALUE"""),2)</f>
        <v>2</v>
      </c>
      <c r="J29" s="2">
        <f>IFERROR(__xludf.DUMMYFUNCTION("""COMPUTED_VALUE"""),1)</f>
        <v>1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IFERROR(__xludf.DUMMYFUNCTION("""COMPUTED_VALUE"""),"CS3408")</f>
        <v>CS3408</v>
      </c>
      <c r="E30" s="2" t="str">
        <f>IFERROR(__xludf.DUMMYFUNCTION("""COMPUTED_VALUE"""),"19AI408")</f>
        <v>19AI408</v>
      </c>
      <c r="F30" s="7" t="str">
        <f>IFERROR(__xludf.DUMMYFUNCTION("""COMPUTED_VALUE"""),"Data Structures")</f>
        <v>Data Structures</v>
      </c>
      <c r="G30" s="2" t="str">
        <f>IFERROR(__xludf.DUMMYFUNCTION("""COMPUTED_VALUE"""),"19AI304 / CS3304")</f>
        <v>19AI304 / CS3304</v>
      </c>
      <c r="H30" s="2">
        <f>IFERROR(__xludf.DUMMYFUNCTION("""COMPUTED_VALUE"""),2)</f>
        <v>2</v>
      </c>
      <c r="I30" s="2">
        <f>IFERROR(__xludf.DUMMYFUNCTION("""COMPUTED_VALUE"""),2)</f>
        <v>2</v>
      </c>
      <c r="J30" s="2">
        <f>IFERROR(__xludf.DUMMYFUNCTION("""COMPUTED_VALUE"""),1)</f>
        <v>1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IFERROR(__xludf.DUMMYFUNCTION("""COMPUTED_VALUE"""),"CS3410")</f>
        <v>CS3410</v>
      </c>
      <c r="E31" s="2" t="str">
        <f>IFERROR(__xludf.DUMMYFUNCTION("""COMPUTED_VALUE"""),"19AI410")</f>
        <v>19AI410</v>
      </c>
      <c r="F31" s="7" t="str">
        <f>IFERROR(__xludf.DUMMYFUNCTION("""COMPUTED_VALUE"""),"Introduction to Machine Learning")</f>
        <v>Introduction to Machine Learning</v>
      </c>
      <c r="G31" s="2" t="str">
        <f>IFERROR(__xludf.DUMMYFUNCTION("""COMPUTED_VALUE"""),"-")</f>
        <v>-</v>
      </c>
      <c r="H31" s="2">
        <f>IFERROR(__xludf.DUMMYFUNCTION("""COMPUTED_VALUE"""),2)</f>
        <v>2</v>
      </c>
      <c r="I31" s="2">
        <f>IFERROR(__xludf.DUMMYFUNCTION("""COMPUTED_VALUE"""),2)</f>
        <v>2</v>
      </c>
      <c r="J31" s="2">
        <f>IFERROR(__xludf.DUMMYFUNCTION("""COMPUTED_VALUE"""),1)</f>
        <v>1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IFERROR(__xludf.DUMMYFUNCTION("""COMPUTED_VALUE"""),"CS3414")</f>
        <v>CS3414</v>
      </c>
      <c r="E32" s="2" t="str">
        <f>IFERROR(__xludf.DUMMYFUNCTION("""COMPUTED_VALUE"""),"19AI414")</f>
        <v>19AI414</v>
      </c>
      <c r="F32" s="7" t="str">
        <f>IFERROR(__xludf.DUMMYFUNCTION("""COMPUTED_VALUE"""),"Fundamentals of Web Application Development")</f>
        <v>Fundamentals of Web Application Development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IFERROR(__xludf.DUMMYFUNCTION("""COMPUTED_VALUE"""),3)</f>
        <v>3</v>
      </c>
      <c r="J32" s="2">
        <f>IFERROR(__xludf.DUMMYFUNCTION("""COMPUTED_VALUE"""),2)</f>
        <v>2</v>
      </c>
      <c r="K32" s="2" t="str">
        <f>IFERROR(__xludf.DUMMYFUNCTION("""COMPUTED_VALUE"""),"CGPA")</f>
        <v>CGPA</v>
      </c>
      <c r="L32" s="2" t="str">
        <f>IFERROR(__xludf.DUMMYFUNCTION("""COMPUTED_VALUE"""),"TIP (10 Expts)")</f>
        <v>TIP (10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IFERROR(__xludf.DUMMYFUNCTION("""COMPUTED_VALUE"""),"CS3541")</f>
        <v>CS3541</v>
      </c>
      <c r="E33" s="2" t="str">
        <f>IFERROR(__xludf.DUMMYFUNCTION("""COMPUTED_VALUE"""),"19AI541")</f>
        <v>19AI541</v>
      </c>
      <c r="F33" s="7" t="str">
        <f>IFERROR(__xludf.DUMMYFUNCTION("""COMPUTED_VALUE"""),"Cloud Computing")</f>
        <v>Cloud Computing</v>
      </c>
      <c r="G33" s="2" t="str">
        <f>IFERROR(__xludf.DUMMYFUNCTION("""COMPUTED_VALUE"""),"19CS406")</f>
        <v>19CS406</v>
      </c>
      <c r="H33" s="2">
        <f>IFERROR(__xludf.DUMMYFUNCTION("""COMPUTED_VALUE"""),3)</f>
        <v>3</v>
      </c>
      <c r="I33" s="2">
        <f>IFERROR(__xludf.DUMMYFUNCTION("""COMPUTED_VALUE"""),3)</f>
        <v>3</v>
      </c>
      <c r="J33" s="2">
        <f>IFERROR(__xludf.DUMMYFUNCTION("""COMPUTED_VALUE"""),1)</f>
        <v>1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IFERROR(__xludf.DUMMYFUNCTION("""COMPUTED_VALUE"""),"Any 1")</f>
        <v>Any 1</v>
      </c>
      <c r="C34" s="2" t="str">
        <f>IFERROR(__xludf.DUMMYFUNCTION("""COMPUTED_VALUE"""),"PC")</f>
        <v>PC</v>
      </c>
      <c r="D34" s="2" t="str">
        <f>IFERROR(__xludf.DUMMYFUNCTION("""COMPUTED_VALUE"""),"CS3553")</f>
        <v>CS3553</v>
      </c>
      <c r="E34" s="2" t="str">
        <f>IFERROR(__xludf.DUMMYFUNCTION("""COMPUTED_VALUE"""),"19AI553")</f>
        <v>19AI553</v>
      </c>
      <c r="F34" s="7" t="str">
        <f>IFERROR(__xludf.DUMMYFUNCTION("""COMPUTED_VALUE"""),"Advanced Java Web Applications")</f>
        <v>Advanced Java Web Applications</v>
      </c>
      <c r="G34" s="2" t="str">
        <f>IFERROR(__xludf.DUMMYFUNCTION("""COMPUTED_VALUE"""),"19AI307")</f>
        <v>19AI307</v>
      </c>
      <c r="H34" s="2">
        <f>IFERROR(__xludf.DUMMYFUNCTION("""COMPUTED_VALUE"""),2)</f>
        <v>2</v>
      </c>
      <c r="I34" s="2">
        <f>IFERROR(__xludf.DUMMYFUNCTION("""COMPUTED_VALUE"""),2)</f>
        <v>2</v>
      </c>
      <c r="J34" s="2">
        <f>IFERROR(__xludf.DUMMYFUNCTION("""COMPUTED_VALUE"""),1)</f>
        <v>1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 t="str">
        <f>IFERROR(__xludf.DUMMYFUNCTION("""COMPUTED_VALUE"""),"Any 1")</f>
        <v>Any 1</v>
      </c>
      <c r="C35" s="2" t="str">
        <f>IFERROR(__xludf.DUMMYFUNCTION("""COMPUTED_VALUE"""),"PC")</f>
        <v>PC</v>
      </c>
      <c r="D35" s="2" t="str">
        <f>IFERROR(__xludf.DUMMYFUNCTION("""COMPUTED_VALUE"""),"CS1567")</f>
        <v>CS1567</v>
      </c>
      <c r="E35" s="2" t="str">
        <f>IFERROR(__xludf.DUMMYFUNCTION("""COMPUTED_VALUE"""),"19CS567")</f>
        <v>19CS567</v>
      </c>
      <c r="F35" s="7" t="str">
        <f>IFERROR(__xludf.DUMMYFUNCTION("""COMPUTED_VALUE"""),"Cloud Native App Development")</f>
        <v>Cloud Native App Development</v>
      </c>
      <c r="G35" s="2" t="str">
        <f>IFERROR(__xludf.DUMMYFUNCTION("""COMPUTED_VALUE"""),"-")</f>
        <v>-</v>
      </c>
      <c r="H35" s="2">
        <f>IFERROR(__xludf.DUMMYFUNCTION("""COMPUTED_VALUE"""),2)</f>
        <v>2</v>
      </c>
      <c r="I35" s="2">
        <f>IFERROR(__xludf.DUMMYFUNCTION("""COMPUTED_VALUE"""),2)</f>
        <v>2</v>
      </c>
      <c r="J35" s="2">
        <f>IFERROR(__xludf.DUMMYFUNCTION("""COMPUTED_VALUE"""),1)</f>
        <v>1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 t="str">
        <f>IFERROR(__xludf.DUMMYFUNCTION("""COMPUTED_VALUE"""),"Any 1")</f>
        <v>Any 1</v>
      </c>
      <c r="C36" s="2" t="str">
        <f>IFERROR(__xludf.DUMMYFUNCTION("""COMPUTED_VALUE"""),"PC")</f>
        <v>PC</v>
      </c>
      <c r="D36" s="2" t="str">
        <f>IFERROR(__xludf.DUMMYFUNCTION("""COMPUTED_VALUE"""),"CS3545")</f>
        <v>CS3545</v>
      </c>
      <c r="E36" s="2" t="str">
        <f>IFERROR(__xludf.DUMMYFUNCTION("""COMPUTED_VALUE"""),"19AI545")</f>
        <v>19AI545</v>
      </c>
      <c r="F36" s="7" t="str">
        <f>IFERROR(__xludf.DUMMYFUNCTION("""COMPUTED_VALUE"""),"Modern Web Application Development")</f>
        <v>Modern Web Application Development</v>
      </c>
      <c r="G36" s="2" t="str">
        <f>IFERROR(__xludf.DUMMYFUNCTION("""COMPUTED_VALUE"""),"19CS410")</f>
        <v>19CS410</v>
      </c>
      <c r="H36" s="2">
        <f>IFERROR(__xludf.DUMMYFUNCTION("""COMPUTED_VALUE"""),2)</f>
        <v>2</v>
      </c>
      <c r="I36" s="2">
        <f>IFERROR(__xludf.DUMMYFUNCTION("""COMPUTED_VALUE"""),2)</f>
        <v>2</v>
      </c>
      <c r="J36" s="2">
        <f>IFERROR(__xludf.DUMMYFUNCTION("""COMPUTED_VALUE"""),1)</f>
        <v>1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IFERROR(__xludf.DUMMYFUNCTION("""COMPUTED_VALUE"""),"CS3546")</f>
        <v>CS3546</v>
      </c>
      <c r="E37" s="2" t="str">
        <f>IFERROR(__xludf.DUMMYFUNCTION("""COMPUTED_VALUE"""),"19AI546")</f>
        <v>19AI546</v>
      </c>
      <c r="F37" s="7" t="str">
        <f>IFERROR(__xludf.DUMMYFUNCTION("""COMPUTED_VALUE"""),"Web Server Programming")</f>
        <v>Web Server Programming</v>
      </c>
      <c r="G37" s="2" t="str">
        <f>IFERROR(__xludf.DUMMYFUNCTION("""COMPUTED_VALUE"""),"19CS401")</f>
        <v>19CS401</v>
      </c>
      <c r="H37" s="2">
        <f>IFERROR(__xludf.DUMMYFUNCTION("""COMPUTED_VALUE"""),2)</f>
        <v>2</v>
      </c>
      <c r="I37" s="2">
        <f>IFERROR(__xludf.DUMMYFUNCTION("""COMPUTED_VALUE"""),2)</f>
        <v>2</v>
      </c>
      <c r="J37" s="2">
        <f>IFERROR(__xludf.DUMMYFUNCTION("""COMPUTED_VALUE"""),1)</f>
        <v>1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IFERROR(__xludf.DUMMYFUNCTION("""COMPUTED_VALUE"""),"CS4508")</f>
        <v>CS4508</v>
      </c>
      <c r="E38" s="2" t="str">
        <f>IFERROR(__xludf.DUMMYFUNCTION("""COMPUTED_VALUE"""),"19AM508")</f>
        <v>19AM508</v>
      </c>
      <c r="F38" s="7" t="str">
        <f>IFERROR(__xludf.DUMMYFUNCTION("""COMPUTED_VALUE"""),"Introduction to IoT")</f>
        <v>Introduction to IoT</v>
      </c>
      <c r="G38" s="2" t="str">
        <f>IFERROR(__xludf.DUMMYFUNCTION("""COMPUTED_VALUE"""),"-")</f>
        <v>-</v>
      </c>
      <c r="H38" s="2">
        <f>IFERROR(__xludf.DUMMYFUNCTION("""COMPUTED_VALUE"""),2)</f>
        <v>2</v>
      </c>
      <c r="I38" s="2">
        <f>IFERROR(__xludf.DUMMYFUNCTION("""COMPUTED_VALUE"""),2)</f>
        <v>2</v>
      </c>
      <c r="J38" s="2">
        <f>IFERROR(__xludf.DUMMYFUNCTION("""COMPUTED_VALUE"""),1)</f>
        <v>1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IFERROR(__xludf.DUMMYFUNCTION("""COMPUTED_VALUE"""),"CS1404")</f>
        <v>CS1404</v>
      </c>
      <c r="E39" s="2" t="str">
        <f>IFERROR(__xludf.DUMMYFUNCTION("""COMPUTED_VALUE"""),"19CS404")</f>
        <v>19CS404</v>
      </c>
      <c r="F39" s="3" t="str">
        <f>IFERROR(__xludf.DUMMYFUNCTION("""COMPUTED_VALUE"""),"Database Management System and its Applications")</f>
        <v>Database Management System and its Applications</v>
      </c>
      <c r="G39" s="2" t="str">
        <f>IFERROR(__xludf.DUMMYFUNCTION("""COMPUTED_VALUE"""),"19AI301/19AI304/19CS301/19CS302/19CS303")</f>
        <v>19AI301/19AI304/19CS301/19CS302/19CS303</v>
      </c>
      <c r="H39" s="2">
        <f>IFERROR(__xludf.DUMMYFUNCTION("""COMPUTED_VALUE"""),3)</f>
        <v>3</v>
      </c>
      <c r="I39" s="2">
        <f>IFERROR(__xludf.DUMMYFUNCTION("""COMPUTED_VALUE"""),3)</f>
        <v>3</v>
      </c>
      <c r="J39" s="2">
        <f>IFERROR(__xludf.DUMMYFUNCTION("""COMPUTED_VALUE"""),1)</f>
        <v>1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IFERROR(__xludf.DUMMYFUNCTION("""COMPUTED_VALUE"""),"CS1405")</f>
        <v>CS1405</v>
      </c>
      <c r="E40" s="2" t="str">
        <f>IFERROR(__xludf.DUMMYFUNCTION("""COMPUTED_VALUE"""),"19CS405")</f>
        <v>19CS405</v>
      </c>
      <c r="F40" s="7" t="str">
        <f>IFERROR(__xludf.DUMMYFUNCTION("""COMPUTED_VALUE"""),"Operating System")</f>
        <v>Operating System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IFERROR(__xludf.DUMMYFUNCTION("""COMPUTED_VALUE"""),3)</f>
        <v>3</v>
      </c>
      <c r="J40" s="2">
        <f>IFERROR(__xludf.DUMMYFUNCTION("""COMPUTED_VALUE"""),1)</f>
        <v>1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IFERROR(__xludf.DUMMYFUNCTION("""COMPUTED_VALUE"""),"CS1406")</f>
        <v>CS1406</v>
      </c>
      <c r="E41" s="2" t="str">
        <f>IFERROR(__xludf.DUMMYFUNCTION("""COMPUTED_VALUE"""),"19CS406")</f>
        <v>19CS406</v>
      </c>
      <c r="F41" s="7" t="str">
        <f>IFERROR(__xludf.DUMMYFUNCTION("""COMPUTED_VALUE"""),"Computer Networks")</f>
        <v>Computer Networks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IFERROR(__xludf.DUMMYFUNCTION("""COMPUTED_VALUE"""),3)</f>
        <v>3</v>
      </c>
      <c r="J41" s="2">
        <f>IFERROR(__xludf.DUMMYFUNCTION("""COMPUTED_VALUE"""),1)</f>
        <v>1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IFERROR(__xludf.DUMMYFUNCTION("""COMPUTED_VALUE"""),"CS1407")</f>
        <v>CS1407</v>
      </c>
      <c r="E42" s="2" t="str">
        <f>IFERROR(__xludf.DUMMYFUNCTION("""COMPUTED_VALUE"""),"19CS407")</f>
        <v>19CS407</v>
      </c>
      <c r="F42" s="7" t="str">
        <f>IFERROR(__xludf.DUMMYFUNCTION("""COMPUTED_VALUE"""),"Theory of Computation")</f>
        <v>Theory of Computation</v>
      </c>
      <c r="G42" s="2" t="str">
        <f>IFERROR(__xludf.DUMMYFUNCTION("""COMPUTED_VALUE"""),"19MA206")</f>
        <v>19MA206</v>
      </c>
      <c r="H42" s="2">
        <f>IFERROR(__xludf.DUMMYFUNCTION("""COMPUTED_VALUE"""),3)</f>
        <v>3</v>
      </c>
      <c r="I42" s="2">
        <f>IFERROR(__xludf.DUMMYFUNCTION("""COMPUTED_VALUE"""),3)</f>
        <v>3</v>
      </c>
      <c r="J42" s="2">
        <f>IFERROR(__xludf.DUMMYFUNCTION("""COMPUTED_VALUE"""),0)</f>
        <v>0</v>
      </c>
      <c r="K42" s="2" t="str">
        <f>IFERROR(__xludf.DUMMYFUNCTION("""COMPUTED_VALUE"""),"CGPA")</f>
        <v>CGPA</v>
      </c>
      <c r="L42" s="2" t="str">
        <f>IFERROR(__xludf.DUMMYFUNCTION("""COMPUTED_VALUE"""),"Theory")</f>
        <v>Theory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IFERROR(__xludf.DUMMYFUNCTION("""COMPUTED_VALUE"""),"CS1408")</f>
        <v>CS1408</v>
      </c>
      <c r="E43" s="2" t="str">
        <f>IFERROR(__xludf.DUMMYFUNCTION("""COMPUTED_VALUE"""),"19CS408")</f>
        <v>19CS408</v>
      </c>
      <c r="F43" s="7" t="str">
        <f>IFERROR(__xludf.DUMMYFUNCTION("""COMPUTED_VALUE"""),"Software Engineering")</f>
        <v>Software Engineering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IFERROR(__xludf.DUMMYFUNCTION("""COMPUTED_VALUE"""),3)</f>
        <v>3</v>
      </c>
      <c r="J43" s="2">
        <f>IFERROR(__xludf.DUMMYFUNCTION("""COMPUTED_VALUE"""),1)</f>
        <v>1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IFERROR(__xludf.DUMMYFUNCTION("""COMPUTED_VALUE"""),"CS1409")</f>
        <v>CS1409</v>
      </c>
      <c r="E44" s="2" t="str">
        <f>IFERROR(__xludf.DUMMYFUNCTION("""COMPUTED_VALUE"""),"19CS409")</f>
        <v>19CS409</v>
      </c>
      <c r="F44" s="7" t="str">
        <f>IFERROR(__xludf.DUMMYFUNCTION("""COMPUTED_VALUE"""),"Compiler Design")</f>
        <v>Compiler Design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IFERROR(__xludf.DUMMYFUNCTION("""COMPUTED_VALUE"""),3)</f>
        <v>3</v>
      </c>
      <c r="J44" s="2">
        <f>IFERROR(__xludf.DUMMYFUNCTION("""COMPUTED_VALUE"""),1)</f>
        <v>1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IFERROR(__xludf.DUMMYFUNCTION("""COMPUTED_VALUE"""),"CS1415")</f>
        <v>CS1415</v>
      </c>
      <c r="E45" s="2" t="str">
        <f>IFERROR(__xludf.DUMMYFUNCTION("""COMPUTED_VALUE"""),"19CS415")</f>
        <v>19CS415</v>
      </c>
      <c r="F45" s="7" t="str">
        <f>IFERROR(__xludf.DUMMYFUNCTION("""COMPUTED_VALUE"""),"Cryptography")</f>
        <v>Cryptography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IFERROR(__xludf.DUMMYFUNCTION("""COMPUTED_VALUE"""),2)</f>
        <v>2</v>
      </c>
      <c r="J45" s="2">
        <f>IFERROR(__xludf.DUMMYFUNCTION("""COMPUTED_VALUE"""),1)</f>
        <v>1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IFERROR(__xludf.DUMMYFUNCTION("""COMPUTED_VALUE"""),"CS3303")</f>
        <v>CS3303</v>
      </c>
      <c r="E46" s="2" t="str">
        <f>IFERROR(__xludf.DUMMYFUNCTION("""COMPUTED_VALUE"""),"19AI303")</f>
        <v>19AI303</v>
      </c>
      <c r="F46" s="7" t="str">
        <f>IFERROR(__xludf.DUMMYFUNCTION("""COMPUTED_VALUE"""),"Engineering Mechanics and Product Development")</f>
        <v>Engineering Mechanics and Product Development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IFERROR(__xludf.DUMMYFUNCTION("""COMPUTED_VALUE"""),2)</f>
        <v>2</v>
      </c>
      <c r="J46" s="2">
        <f>IFERROR(__xludf.DUMMYFUNCTION("""COMPUTED_VALUE"""),1)</f>
        <v>1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IFERROR(__xludf.DUMMYFUNCTION("""COMPUTED_VALUE"""),"CS3306")</f>
        <v>CS3306</v>
      </c>
      <c r="E47" s="2" t="str">
        <f>IFERROR(__xludf.DUMMYFUNCTION("""COMPUTED_VALUE"""),"19AI306")</f>
        <v>19AI306</v>
      </c>
      <c r="F47" s="7" t="str">
        <f>IFERROR(__xludf.DUMMYFUNCTION("""COMPUTED_VALUE"""),"Object Oriented Programming using C++")</f>
        <v>Object Oriented Programming using C++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IFERROR(__xludf.DUMMYFUNCTION("""COMPUTED_VALUE"""),2)</f>
        <v>2</v>
      </c>
      <c r="J47" s="2">
        <f>IFERROR(__xludf.DUMMYFUNCTION("""COMPUTED_VALUE"""),1)</f>
        <v>1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IFERROR(__xludf.DUMMYFUNCTION("""COMPUTED_VALUE"""),"CS3308")</f>
        <v>CS3308</v>
      </c>
      <c r="E48" s="2" t="str">
        <f>IFERROR(__xludf.DUMMYFUNCTION("""COMPUTED_VALUE"""),"19AI308")</f>
        <v>19AI308</v>
      </c>
      <c r="F48" s="7" t="str">
        <f>IFERROR(__xludf.DUMMYFUNCTION("""COMPUTED_VALUE"""),"Object Oriented Programming using C#")</f>
        <v>Object Oriented Programming using C#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IFERROR(__xludf.DUMMYFUNCTION("""COMPUTED_VALUE"""),2)</f>
        <v>2</v>
      </c>
      <c r="J48" s="2">
        <f>IFERROR(__xludf.DUMMYFUNCTION("""COMPUTED_VALUE"""),1)</f>
        <v>1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IFERROR(__xludf.DUMMYFUNCTION("""COMPUTED_VALUE"""),"CS3403")</f>
        <v>CS3403</v>
      </c>
      <c r="E49" s="2" t="str">
        <f>IFERROR(__xludf.DUMMYFUNCTION("""COMPUTED_VALUE"""),"19AI403")</f>
        <v>19AI403</v>
      </c>
      <c r="F49" s="7" t="str">
        <f>IFERROR(__xludf.DUMMYFUNCTION("""COMPUTED_VALUE"""),"Introduction to Data Science")</f>
        <v>Introduction to Data Science</v>
      </c>
      <c r="G49" s="2" t="str">
        <f>IFERROR(__xludf.DUMMYFUNCTION("""COMPUTED_VALUE"""),"19CS301")</f>
        <v>19CS301</v>
      </c>
      <c r="H49" s="2">
        <f>IFERROR(__xludf.DUMMYFUNCTION("""COMPUTED_VALUE"""),2)</f>
        <v>2</v>
      </c>
      <c r="I49" s="2">
        <f>IFERROR(__xludf.DUMMYFUNCTION("""COMPUTED_VALUE"""),2)</f>
        <v>2</v>
      </c>
      <c r="J49" s="2">
        <f>IFERROR(__xludf.DUMMYFUNCTION("""COMPUTED_VALUE"""),1)</f>
        <v>1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IFERROR(__xludf.DUMMYFUNCTION("""COMPUTED_VALUE"""),"CS3406")</f>
        <v>CS3406</v>
      </c>
      <c r="E50" s="2" t="str">
        <f>IFERROR(__xludf.DUMMYFUNCTION("""COMPUTED_VALUE"""),"19AI406")</f>
        <v>19AI406</v>
      </c>
      <c r="F50" s="7" t="str">
        <f>IFERROR(__xludf.DUMMYFUNCTION("""COMPUTED_VALUE"""),"Digital Image Processing Techniques")</f>
        <v>Digital Image Processing Techniques</v>
      </c>
      <c r="G50" s="2" t="str">
        <f>IFERROR(__xludf.DUMMYFUNCTION("""COMPUTED_VALUE"""),"-")</f>
        <v>-</v>
      </c>
      <c r="H50" s="2">
        <f>IFERROR(__xludf.DUMMYFUNCTION("""COMPUTED_VALUE"""),2)</f>
        <v>2</v>
      </c>
      <c r="I50" s="2">
        <f>IFERROR(__xludf.DUMMYFUNCTION("""COMPUTED_VALUE"""),2)</f>
        <v>2</v>
      </c>
      <c r="J50" s="2">
        <f>IFERROR(__xludf.DUMMYFUNCTION("""COMPUTED_VALUE"""),1)</f>
        <v>1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IFERROR(__xludf.DUMMYFUNCTION("""COMPUTED_VALUE"""),"CS3407")</f>
        <v>CS3407</v>
      </c>
      <c r="E51" s="2" t="str">
        <f>IFERROR(__xludf.DUMMYFUNCTION("""COMPUTED_VALUE"""),"19AI407")</f>
        <v>19AI407</v>
      </c>
      <c r="F51" s="7" t="str">
        <f>IFERROR(__xludf.DUMMYFUNCTION("""COMPUTED_VALUE"""),"Parallel Computing Architecture")</f>
        <v>Parallel Computing Architecture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IFERROR(__xludf.DUMMYFUNCTION("""COMPUTED_VALUE"""),3)</f>
        <v>3</v>
      </c>
      <c r="J51" s="2">
        <f>IFERROR(__xludf.DUMMYFUNCTION("""COMPUTED_VALUE"""),1)</f>
        <v>1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IFERROR(__xludf.DUMMYFUNCTION("""COMPUTED_VALUE"""),"CS3409")</f>
        <v>CS3409</v>
      </c>
      <c r="E52" s="2" t="str">
        <f>IFERROR(__xludf.DUMMYFUNCTION("""COMPUTED_VALUE"""),"19AI409")</f>
        <v>19AI409</v>
      </c>
      <c r="F52" s="7" t="str">
        <f>IFERROR(__xludf.DUMMYFUNCTION("""COMPUTED_VALUE"""),"Applied Artificial Intelligence")</f>
        <v>Applied Artificial Intelligence</v>
      </c>
      <c r="G52" s="2" t="str">
        <f>IFERROR(__xludf.DUMMYFUNCTION("""COMPUTED_VALUE"""),"19AI405/19CS301")</f>
        <v>19AI405/19CS301</v>
      </c>
      <c r="H52" s="2">
        <f>IFERROR(__xludf.DUMMYFUNCTION("""COMPUTED_VALUE"""),2)</f>
        <v>2</v>
      </c>
      <c r="I52" s="2">
        <f>IFERROR(__xludf.DUMMYFUNCTION("""COMPUTED_VALUE"""),2)</f>
        <v>2</v>
      </c>
      <c r="J52" s="2">
        <f>IFERROR(__xludf.DUMMYFUNCTION("""COMPUTED_VALUE"""),1)</f>
        <v>1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IFERROR(__xludf.DUMMYFUNCTION("""COMPUTED_VALUE"""),"CS3411")</f>
        <v>CS3411</v>
      </c>
      <c r="E53" s="2" t="str">
        <f>IFERROR(__xludf.DUMMYFUNCTION("""COMPUTED_VALUE"""),"19AI411")</f>
        <v>19AI411</v>
      </c>
      <c r="F53" s="7" t="str">
        <f>IFERROR(__xludf.DUMMYFUNCTION("""COMPUTED_VALUE"""),"Neural Networks")</f>
        <v>Neural Networks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IFERROR(__xludf.DUMMYFUNCTION("""COMPUTED_VALUE"""),2)</f>
        <v>2</v>
      </c>
      <c r="J53" s="2">
        <f>IFERROR(__xludf.DUMMYFUNCTION("""COMPUTED_VALUE"""),1)</f>
        <v>1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IFERROR(__xludf.DUMMYFUNCTION("""COMPUTED_VALUE"""),"CS3412")</f>
        <v>CS3412</v>
      </c>
      <c r="E54" s="2" t="str">
        <f>IFERROR(__xludf.DUMMYFUNCTION("""COMPUTED_VALUE"""),"19AI412")</f>
        <v>19AI412</v>
      </c>
      <c r="F54" s="7" t="str">
        <f>IFERROR(__xludf.DUMMYFUNCTION("""COMPUTED_VALUE"""),"Web Data Mining")</f>
        <v>Web Data Mining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IFERROR(__xludf.DUMMYFUNCTION("""COMPUTED_VALUE"""),3)</f>
        <v>3</v>
      </c>
      <c r="J54" s="2">
        <f>IFERROR(__xludf.DUMMYFUNCTION("""COMPUTED_VALUE"""),1)</f>
        <v>1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IFERROR(__xludf.DUMMYFUNCTION("""COMPUTED_VALUE"""),"CS3413")</f>
        <v>CS3413</v>
      </c>
      <c r="E55" s="2" t="str">
        <f>IFERROR(__xludf.DUMMYFUNCTION("""COMPUTED_VALUE"""),"19AI413")</f>
        <v>19AI413</v>
      </c>
      <c r="F55" s="7" t="str">
        <f>IFERROR(__xludf.DUMMYFUNCTION("""COMPUTED_VALUE"""),"Deep Learning and its Applications")</f>
        <v>Deep Learning and its Applications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IFERROR(__xludf.DUMMYFUNCTION("""COMPUTED_VALUE"""),2)</f>
        <v>2</v>
      </c>
      <c r="J55" s="2">
        <f>IFERROR(__xludf.DUMMYFUNCTION("""COMPUTED_VALUE"""),1)</f>
        <v>1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IFERROR(__xludf.DUMMYFUNCTION("""COMPUTED_VALUE"""),"CS3501")</f>
        <v>CS3501</v>
      </c>
      <c r="E56" s="2" t="str">
        <f>IFERROR(__xludf.DUMMYFUNCTION("""COMPUTED_VALUE"""),"19AI501")</f>
        <v>19AI501</v>
      </c>
      <c r="F56" s="3" t="str">
        <f>IFERROR(__xludf.DUMMYFUNCTION("""COMPUTED_VALUE"""),"Applications of Artificial Intelligence")</f>
        <v>Applications of Artificial Intelligence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IFERROR(__xludf.DUMMYFUNCTION("""COMPUTED_VALUE"""),2)</f>
        <v>2</v>
      </c>
      <c r="J56" s="2">
        <f>IFERROR(__xludf.DUMMYFUNCTION("""COMPUTED_VALUE"""),1)</f>
        <v>1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IFERROR(__xludf.DUMMYFUNCTION("""COMPUTED_VALUE"""),"CS3502")</f>
        <v>CS3502</v>
      </c>
      <c r="E57" s="2" t="str">
        <f>IFERROR(__xludf.DUMMYFUNCTION("""COMPUTED_VALUE"""),"19AI502")</f>
        <v>19AI502</v>
      </c>
      <c r="F57" s="7" t="str">
        <f>IFERROR(__xludf.DUMMYFUNCTION("""COMPUTED_VALUE"""),"Applied Natural Language Processing")</f>
        <v>Applied Natural Language Processing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IFERROR(__xludf.DUMMYFUNCTION("""COMPUTED_VALUE"""),2)</f>
        <v>2</v>
      </c>
      <c r="J57" s="2">
        <f>IFERROR(__xludf.DUMMYFUNCTION("""COMPUTED_VALUE"""),1)</f>
        <v>1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IFERROR(__xludf.DUMMYFUNCTION("""COMPUTED_VALUE"""),"CS3503")</f>
        <v>CS3503</v>
      </c>
      <c r="E58" s="2" t="str">
        <f>IFERROR(__xludf.DUMMYFUNCTION("""COMPUTED_VALUE"""),"19AI503")</f>
        <v>19AI503</v>
      </c>
      <c r="F58" s="7" t="str">
        <f>IFERROR(__xludf.DUMMYFUNCTION("""COMPUTED_VALUE"""),"Computer Vision")</f>
        <v>Computer Vision</v>
      </c>
      <c r="G58" s="2" t="str">
        <f>IFERROR(__xludf.DUMMYFUNCTION("""COMPUTED_VALUE"""),"19CS301")</f>
        <v>19CS301</v>
      </c>
      <c r="H58" s="2">
        <f>IFERROR(__xludf.DUMMYFUNCTION("""COMPUTED_VALUE"""),2)</f>
        <v>2</v>
      </c>
      <c r="I58" s="2">
        <f>IFERROR(__xludf.DUMMYFUNCTION("""COMPUTED_VALUE"""),2)</f>
        <v>2</v>
      </c>
      <c r="J58" s="2">
        <f>IFERROR(__xludf.DUMMYFUNCTION("""COMPUTED_VALUE"""),1)</f>
        <v>1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IFERROR(__xludf.DUMMYFUNCTION("""COMPUTED_VALUE"""),"CS3504")</f>
        <v>CS3504</v>
      </c>
      <c r="E59" s="2" t="str">
        <f>IFERROR(__xludf.DUMMYFUNCTION("""COMPUTED_VALUE"""),"19AI504")</f>
        <v>19AI504</v>
      </c>
      <c r="F59" s="7" t="str">
        <f>IFERROR(__xludf.DUMMYFUNCTION("""COMPUTED_VALUE"""),"Mobile Robotics")</f>
        <v>Mobile Robotics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IFERROR(__xludf.DUMMYFUNCTION("""COMPUTED_VALUE"""),2)</f>
        <v>2</v>
      </c>
      <c r="J59" s="2">
        <f>IFERROR(__xludf.DUMMYFUNCTION("""COMPUTED_VALUE"""),1)</f>
        <v>1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IFERROR(__xludf.DUMMYFUNCTION("""COMPUTED_VALUE"""),"CS3505")</f>
        <v>CS3505</v>
      </c>
      <c r="E60" s="2" t="str">
        <f>IFERROR(__xludf.DUMMYFUNCTION("""COMPUTED_VALUE"""),"19AI505")</f>
        <v>19AI505</v>
      </c>
      <c r="F60" s="3" t="str">
        <f>IFERROR(__xludf.DUMMYFUNCTION("""COMPUTED_VALUE"""),"Reinforcement Learning")</f>
        <v>Reinforcement Learning</v>
      </c>
      <c r="G60" s="2" t="str">
        <f>IFERROR(__xludf.DUMMYFUNCTION("""COMPUTED_VALUE"""),"19CS301")</f>
        <v>19CS301</v>
      </c>
      <c r="H60" s="2">
        <f>IFERROR(__xludf.DUMMYFUNCTION("""COMPUTED_VALUE"""),2)</f>
        <v>2</v>
      </c>
      <c r="I60" s="2">
        <f>IFERROR(__xludf.DUMMYFUNCTION("""COMPUTED_VALUE"""),2)</f>
        <v>2</v>
      </c>
      <c r="J60" s="2">
        <f>IFERROR(__xludf.DUMMYFUNCTION("""COMPUTED_VALUE"""),1)</f>
        <v>1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IFERROR(__xludf.DUMMYFUNCTION("""COMPUTED_VALUE"""),"CS3506")</f>
        <v>CS3506</v>
      </c>
      <c r="E61" s="2" t="str">
        <f>IFERROR(__xludf.DUMMYFUNCTION("""COMPUTED_VALUE"""),"19AI506")</f>
        <v>19AI506</v>
      </c>
      <c r="F61" s="3" t="str">
        <f>IFERROR(__xludf.DUMMYFUNCTION("""COMPUTED_VALUE"""),"Speech Analysis and Processing")</f>
        <v>Speech Analysis and Processing</v>
      </c>
      <c r="G61" s="2" t="str">
        <f>IFERROR(__xludf.DUMMYFUNCTION("""COMPUTED_VALUE"""),"-")</f>
        <v>-</v>
      </c>
      <c r="H61" s="2">
        <f>IFERROR(__xludf.DUMMYFUNCTION("""COMPUTED_VALUE"""),2)</f>
        <v>2</v>
      </c>
      <c r="I61" s="2">
        <f>IFERROR(__xludf.DUMMYFUNCTION("""COMPUTED_VALUE"""),2)</f>
        <v>2</v>
      </c>
      <c r="J61" s="2">
        <f>IFERROR(__xludf.DUMMYFUNCTION("""COMPUTED_VALUE"""),1)</f>
        <v>1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IFERROR(__xludf.DUMMYFUNCTION("""COMPUTED_VALUE"""),"CS3507")</f>
        <v>CS3507</v>
      </c>
      <c r="E62" s="2" t="str">
        <f>IFERROR(__xludf.DUMMYFUNCTION("""COMPUTED_VALUE"""),"19AI507")</f>
        <v>19AI507</v>
      </c>
      <c r="F62" s="7" t="str">
        <f>IFERROR(__xludf.DUMMYFUNCTION("""COMPUTED_VALUE"""),"Special Topics in Artificial Intelligence")</f>
        <v>Special Topics in Artificial Intelligence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IFERROR(__xludf.DUMMYFUNCTION("""COMPUTED_VALUE"""),2)</f>
        <v>2</v>
      </c>
      <c r="J62" s="2">
        <f>IFERROR(__xludf.DUMMYFUNCTION("""COMPUTED_VALUE"""),1)</f>
        <v>1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IFERROR(__xludf.DUMMYFUNCTION("""COMPUTED_VALUE"""),"CS3508")</f>
        <v>CS3508</v>
      </c>
      <c r="E63" s="2" t="str">
        <f>IFERROR(__xludf.DUMMYFUNCTION("""COMPUTED_VALUE"""),"19AI508")</f>
        <v>19AI508</v>
      </c>
      <c r="F63" s="3" t="str">
        <f>IFERROR(__xludf.DUMMYFUNCTION("""COMPUTED_VALUE"""),"Soft Computing Techniques")</f>
        <v>Soft Computing Techniques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IFERROR(__xludf.DUMMYFUNCTION("""COMPUTED_VALUE"""),2)</f>
        <v>2</v>
      </c>
      <c r="J63" s="2">
        <f>IFERROR(__xludf.DUMMYFUNCTION("""COMPUTED_VALUE"""),1)</f>
        <v>1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IFERROR(__xludf.DUMMYFUNCTION("""COMPUTED_VALUE"""),"CS3509")</f>
        <v>CS3509</v>
      </c>
      <c r="E64" s="2" t="str">
        <f>IFERROR(__xludf.DUMMYFUNCTION("""COMPUTED_VALUE"""),"19AI509")</f>
        <v>19AI509</v>
      </c>
      <c r="F64" s="7" t="str">
        <f>IFERROR(__xludf.DUMMYFUNCTION("""COMPUTED_VALUE"""),"Concepts of Virtual And Augmented Reality")</f>
        <v>Concepts of Virtual And Augmented Reality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IFERROR(__xludf.DUMMYFUNCTION("""COMPUTED_VALUE"""),2)</f>
        <v>2</v>
      </c>
      <c r="J64" s="2">
        <f>IFERROR(__xludf.DUMMYFUNCTION("""COMPUTED_VALUE"""),1)</f>
        <v>1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IFERROR(__xludf.DUMMYFUNCTION("""COMPUTED_VALUE"""),"CS3510")</f>
        <v>CS3510</v>
      </c>
      <c r="E65" s="2" t="str">
        <f>IFERROR(__xludf.DUMMYFUNCTION("""COMPUTED_VALUE"""),"19AI510")</f>
        <v>19AI510</v>
      </c>
      <c r="F65" s="7" t="str">
        <f>IFERROR(__xludf.DUMMYFUNCTION("""COMPUTED_VALUE"""),"Mobile VR And AI In Unity")</f>
        <v>Mobile VR And AI In Unity</v>
      </c>
      <c r="G65" s="2" t="str">
        <f>IFERROR(__xludf.DUMMYFUNCTION("""COMPUTED_VALUE"""),"19AI410/19CS302")</f>
        <v>19AI410/19CS302</v>
      </c>
      <c r="H65" s="2">
        <f>IFERROR(__xludf.DUMMYFUNCTION("""COMPUTED_VALUE"""),2)</f>
        <v>2</v>
      </c>
      <c r="I65" s="2">
        <f>IFERROR(__xludf.DUMMYFUNCTION("""COMPUTED_VALUE"""),2)</f>
        <v>2</v>
      </c>
      <c r="J65" s="2">
        <f>IFERROR(__xludf.DUMMYFUNCTION("""COMPUTED_VALUE"""),1)</f>
        <v>1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IFERROR(__xludf.DUMMYFUNCTION("""COMPUTED_VALUE"""),"CS3511")</f>
        <v>CS3511</v>
      </c>
      <c r="E66" s="2" t="str">
        <f>IFERROR(__xludf.DUMMYFUNCTION("""COMPUTED_VALUE"""),"19AI511")</f>
        <v>19AI511</v>
      </c>
      <c r="F66" s="7" t="str">
        <f>IFERROR(__xludf.DUMMYFUNCTION("""COMPUTED_VALUE"""),"Scientific and Engineering Data Visualization")</f>
        <v>Scientific and Engineering Data Visualization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IFERROR(__xludf.DUMMYFUNCTION("""COMPUTED_VALUE"""),2)</f>
        <v>2</v>
      </c>
      <c r="J66" s="2">
        <f>IFERROR(__xludf.DUMMYFUNCTION("""COMPUTED_VALUE"""),1)</f>
        <v>1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IFERROR(__xludf.DUMMYFUNCTION("""COMPUTED_VALUE"""),"CS3512")</f>
        <v>CS3512</v>
      </c>
      <c r="E67" s="2" t="str">
        <f>IFERROR(__xludf.DUMMYFUNCTION("""COMPUTED_VALUE"""),"19AI512")</f>
        <v>19AI512</v>
      </c>
      <c r="F67" s="7" t="str">
        <f>IFERROR(__xludf.DUMMYFUNCTION("""COMPUTED_VALUE"""),"NoSQL Database Design")</f>
        <v>NoSQL Database Design</v>
      </c>
      <c r="G67" s="2" t="str">
        <f>IFERROR(__xludf.DUMMYFUNCTION("""COMPUTED_VALUE"""),"19CS301")</f>
        <v>19CS301</v>
      </c>
      <c r="H67" s="2">
        <f>IFERROR(__xludf.DUMMYFUNCTION("""COMPUTED_VALUE"""),2)</f>
        <v>2</v>
      </c>
      <c r="I67" s="2">
        <f>IFERROR(__xludf.DUMMYFUNCTION("""COMPUTED_VALUE"""),2)</f>
        <v>2</v>
      </c>
      <c r="J67" s="2">
        <f>IFERROR(__xludf.DUMMYFUNCTION("""COMPUTED_VALUE"""),1)</f>
        <v>1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IFERROR(__xludf.DUMMYFUNCTION("""COMPUTED_VALUE"""),"CS3513")</f>
        <v>CS3513</v>
      </c>
      <c r="E68" s="2" t="str">
        <f>IFERROR(__xludf.DUMMYFUNCTION("""COMPUTED_VALUE"""),"19AI513")</f>
        <v>19AI513</v>
      </c>
      <c r="F68" s="7" t="str">
        <f>IFERROR(__xludf.DUMMYFUNCTION("""COMPUTED_VALUE"""),"Game Programming")</f>
        <v>Game Programming</v>
      </c>
      <c r="G68" s="2" t="str">
        <f>IFERROR(__xludf.DUMMYFUNCTION("""COMPUTED_VALUE"""),"19CS401")</f>
        <v>19CS401</v>
      </c>
      <c r="H68" s="2">
        <f>IFERROR(__xludf.DUMMYFUNCTION("""COMPUTED_VALUE"""),2)</f>
        <v>2</v>
      </c>
      <c r="I68" s="2">
        <f>IFERROR(__xludf.DUMMYFUNCTION("""COMPUTED_VALUE"""),2)</f>
        <v>2</v>
      </c>
      <c r="J68" s="2">
        <f>IFERROR(__xludf.DUMMYFUNCTION("""COMPUTED_VALUE"""),2)</f>
        <v>2</v>
      </c>
      <c r="K68" s="2" t="str">
        <f>IFERROR(__xludf.DUMMYFUNCTION("""COMPUTED_VALUE"""),"CGPA")</f>
        <v>CGPA</v>
      </c>
      <c r="L68" s="2" t="str">
        <f>IFERROR(__xludf.DUMMYFUNCTION("""COMPUTED_VALUE"""),"TIP (10 Expts)")</f>
        <v>TIP (10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IFERROR(__xludf.DUMMYFUNCTION("""COMPUTED_VALUE"""),"CS3514")</f>
        <v>CS3514</v>
      </c>
      <c r="E69" s="2" t="str">
        <f>IFERROR(__xludf.DUMMYFUNCTION("""COMPUTED_VALUE"""),"19AI514")</f>
        <v>19AI514</v>
      </c>
      <c r="F69" s="7" t="str">
        <f>IFERROR(__xludf.DUMMYFUNCTION("""COMPUTED_VALUE"""),"Self Driving Car")</f>
        <v>Self Driving Car</v>
      </c>
      <c r="G69" s="2" t="str">
        <f>IFERROR(__xludf.DUMMYFUNCTION("""COMPUTED_VALUE"""),"19CS301/19AI410")</f>
        <v>19CS301/19AI410</v>
      </c>
      <c r="H69" s="2">
        <f>IFERROR(__xludf.DUMMYFUNCTION("""COMPUTED_VALUE"""),2)</f>
        <v>2</v>
      </c>
      <c r="I69" s="2">
        <f>IFERROR(__xludf.DUMMYFUNCTION("""COMPUTED_VALUE"""),2)</f>
        <v>2</v>
      </c>
      <c r="J69" s="2">
        <f>IFERROR(__xludf.DUMMYFUNCTION("""COMPUTED_VALUE"""),2)</f>
        <v>2</v>
      </c>
      <c r="K69" s="2" t="str">
        <f>IFERROR(__xludf.DUMMYFUNCTION("""COMPUTED_VALUE"""),"CGPA")</f>
        <v>CGPA</v>
      </c>
      <c r="L69" s="2" t="str">
        <f>IFERROR(__xludf.DUMMYFUNCTION("""COMPUTED_VALUE"""),"TIP (10 Expts)")</f>
        <v>TIP (10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IFERROR(__xludf.DUMMYFUNCTION("""COMPUTED_VALUE"""),"CS3515")</f>
        <v>CS3515</v>
      </c>
      <c r="E70" s="2" t="str">
        <f>IFERROR(__xludf.DUMMYFUNCTION("""COMPUTED_VALUE"""),"19AI515")</f>
        <v>19AI515</v>
      </c>
      <c r="F70" s="7" t="str">
        <f>IFERROR(__xludf.DUMMYFUNCTION("""COMPUTED_VALUE"""),"Smart Manufacturing Technology")</f>
        <v>Smart Manufacturing Technology</v>
      </c>
      <c r="G70" s="2" t="str">
        <f>IFERROR(__xludf.DUMMYFUNCTION("""COMPUTED_VALUE"""),"-")</f>
        <v>-</v>
      </c>
      <c r="H70" s="2">
        <f>IFERROR(__xludf.DUMMYFUNCTION("""COMPUTED_VALUE"""),2)</f>
        <v>2</v>
      </c>
      <c r="I70" s="2">
        <f>IFERROR(__xludf.DUMMYFUNCTION("""COMPUTED_VALUE"""),2)</f>
        <v>2</v>
      </c>
      <c r="J70" s="2">
        <f>IFERROR(__xludf.DUMMYFUNCTION("""COMPUTED_VALUE"""),1)</f>
        <v>1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IFERROR(__xludf.DUMMYFUNCTION("""COMPUTED_VALUE"""),"CS1520")</f>
        <v>CS1520</v>
      </c>
      <c r="E71" s="2" t="str">
        <f>IFERROR(__xludf.DUMMYFUNCTION("""COMPUTED_VALUE"""),"19CS520")</f>
        <v>19CS520</v>
      </c>
      <c r="F71" s="7" t="str">
        <f>IFERROR(__xludf.DUMMYFUNCTION("""COMPUTED_VALUE"""),"Big Data Analytics")</f>
        <v>Big Data Analytics</v>
      </c>
      <c r="G71" s="2" t="str">
        <f>IFERROR(__xludf.DUMMYFUNCTION("""COMPUTED_VALUE"""),"19CS411/19CS519")</f>
        <v>19CS411/19CS519</v>
      </c>
      <c r="H71" s="2">
        <f>IFERROR(__xludf.DUMMYFUNCTION("""COMPUTED_VALUE"""),3)</f>
        <v>3</v>
      </c>
      <c r="I71" s="2">
        <f>IFERROR(__xludf.DUMMYFUNCTION("""COMPUTED_VALUE"""),3)</f>
        <v>3</v>
      </c>
      <c r="J71" s="2">
        <f>IFERROR(__xludf.DUMMYFUNCTION("""COMPUTED_VALUE"""),0)</f>
        <v>0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IFERROR(__xludf.DUMMYFUNCTION("""COMPUTED_VALUE"""),"CS3517")</f>
        <v>CS3517</v>
      </c>
      <c r="E72" s="2" t="str">
        <f>IFERROR(__xludf.DUMMYFUNCTION("""COMPUTED_VALUE"""),"19AI517")</f>
        <v>19AI517</v>
      </c>
      <c r="F72" s="7" t="str">
        <f>IFERROR(__xludf.DUMMYFUNCTION("""COMPUTED_VALUE"""),"Business Analytics")</f>
        <v>Business Analytics</v>
      </c>
      <c r="G72" s="2" t="str">
        <f>IFERROR(__xludf.DUMMYFUNCTION("""COMPUTED_VALUE"""),"-")</f>
        <v>-</v>
      </c>
      <c r="H72" s="2">
        <f>IFERROR(__xludf.DUMMYFUNCTION("""COMPUTED_VALUE"""),2)</f>
        <v>2</v>
      </c>
      <c r="I72" s="2">
        <f>IFERROR(__xludf.DUMMYFUNCTION("""COMPUTED_VALUE"""),2)</f>
        <v>2</v>
      </c>
      <c r="J72" s="2">
        <f>IFERROR(__xludf.DUMMYFUNCTION("""COMPUTED_VALUE"""),1)</f>
        <v>1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IFERROR(__xludf.DUMMYFUNCTION("""COMPUTED_VALUE"""),"CS3518")</f>
        <v>CS3518</v>
      </c>
      <c r="E73" s="2" t="str">
        <f>IFERROR(__xludf.DUMMYFUNCTION("""COMPUTED_VALUE"""),"19AI518")</f>
        <v>19AI518</v>
      </c>
      <c r="F73" s="7" t="str">
        <f>IFERROR(__xludf.DUMMYFUNCTION("""COMPUTED_VALUE"""),"Cognitive Systems")</f>
        <v>Cognitive Systems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IFERROR(__xludf.DUMMYFUNCTION("""COMPUTED_VALUE"""),3)</f>
        <v>3</v>
      </c>
      <c r="J73" s="2">
        <f>IFERROR(__xludf.DUMMYFUNCTION("""COMPUTED_VALUE"""),0)</f>
        <v>0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IFERROR(__xludf.DUMMYFUNCTION("""COMPUTED_VALUE"""),"CS3519")</f>
        <v>CS3519</v>
      </c>
      <c r="E74" s="2" t="str">
        <f>IFERROR(__xludf.DUMMYFUNCTION("""COMPUTED_VALUE"""),"19AI519")</f>
        <v>19AI519</v>
      </c>
      <c r="F74" s="7" t="str">
        <f>IFERROR(__xludf.DUMMYFUNCTION("""COMPUTED_VALUE"""),"Distributed Database")</f>
        <v>Distributed Database</v>
      </c>
      <c r="G74" s="2" t="str">
        <f>IFERROR(__xludf.DUMMYFUNCTION("""COMPUTED_VALUE"""),"19CS404")</f>
        <v>19CS404</v>
      </c>
      <c r="H74" s="2">
        <f>IFERROR(__xludf.DUMMYFUNCTION("""COMPUTED_VALUE"""),3)</f>
        <v>3</v>
      </c>
      <c r="I74" s="2">
        <f>IFERROR(__xludf.DUMMYFUNCTION("""COMPUTED_VALUE"""),3)</f>
        <v>3</v>
      </c>
      <c r="J74" s="2">
        <f>IFERROR(__xludf.DUMMYFUNCTION("""COMPUTED_VALUE"""),0)</f>
        <v>0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IFERROR(__xludf.DUMMYFUNCTION("""COMPUTED_VALUE"""),"CS1521")</f>
        <v>CS1521</v>
      </c>
      <c r="E75" s="2" t="str">
        <f>IFERROR(__xludf.DUMMYFUNCTION("""COMPUTED_VALUE"""),"19CS521")</f>
        <v>19CS521</v>
      </c>
      <c r="F75" s="7" t="str">
        <f>IFERROR(__xludf.DUMMYFUNCTION("""COMPUTED_VALUE"""),"Data Warehousing and Data Mining")</f>
        <v>Data Warehousing and Data Mining</v>
      </c>
      <c r="G75" s="2" t="str">
        <f>IFERROR(__xludf.DUMMYFUNCTION("""COMPUTED_VALUE"""),"19CS404")</f>
        <v>19CS404</v>
      </c>
      <c r="H75" s="2">
        <f>IFERROR(__xludf.DUMMYFUNCTION("""COMPUTED_VALUE"""),3)</f>
        <v>3</v>
      </c>
      <c r="I75" s="2">
        <f>IFERROR(__xludf.DUMMYFUNCTION("""COMPUTED_VALUE"""),3)</f>
        <v>3</v>
      </c>
      <c r="J75" s="2">
        <f>IFERROR(__xludf.DUMMYFUNCTION("""COMPUTED_VALUE"""),0)</f>
        <v>0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IFERROR(__xludf.DUMMYFUNCTION("""COMPUTED_VALUE"""),"CS3521")</f>
        <v>CS3521</v>
      </c>
      <c r="E76" s="2" t="str">
        <f>IFERROR(__xludf.DUMMYFUNCTION("""COMPUTED_VALUE"""),"19AI521")</f>
        <v>19AI521</v>
      </c>
      <c r="F76" s="7" t="str">
        <f>IFERROR(__xludf.DUMMYFUNCTION("""COMPUTED_VALUE"""),"Expert Systems")</f>
        <v>Expert Systems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IFERROR(__xludf.DUMMYFUNCTION("""COMPUTED_VALUE"""),3)</f>
        <v>3</v>
      </c>
      <c r="J76" s="2">
        <f>IFERROR(__xludf.DUMMYFUNCTION("""COMPUTED_VALUE"""),0)</f>
        <v>0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IFERROR(__xludf.DUMMYFUNCTION("""COMPUTED_VALUE"""),"CS3522")</f>
        <v>CS3522</v>
      </c>
      <c r="E77" s="2" t="str">
        <f>IFERROR(__xludf.DUMMYFUNCTION("""COMPUTED_VALUE"""),"19AI522")</f>
        <v>19AI522</v>
      </c>
      <c r="F77" s="7" t="str">
        <f>IFERROR(__xludf.DUMMYFUNCTION("""COMPUTED_VALUE"""),"Knowledge Engineering")</f>
        <v>Knowledge Engineering</v>
      </c>
      <c r="G77" s="2" t="str">
        <f>IFERROR(__xludf.DUMMYFUNCTION("""COMPUTED_VALUE"""),"19CS410")</f>
        <v>19CS410</v>
      </c>
      <c r="H77" s="2">
        <f>IFERROR(__xludf.DUMMYFUNCTION("""COMPUTED_VALUE"""),3)</f>
        <v>3</v>
      </c>
      <c r="I77" s="2">
        <f>IFERROR(__xludf.DUMMYFUNCTION("""COMPUTED_VALUE"""),3)</f>
        <v>3</v>
      </c>
      <c r="J77" s="2">
        <f>IFERROR(__xludf.DUMMYFUNCTION("""COMPUTED_VALUE"""),0)</f>
        <v>0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IFERROR(__xludf.DUMMYFUNCTION("""COMPUTED_VALUE"""),"CS3523")</f>
        <v>CS3523</v>
      </c>
      <c r="E78" s="2" t="str">
        <f>IFERROR(__xludf.DUMMYFUNCTION("""COMPUTED_VALUE"""),"19AI523")</f>
        <v>19AI523</v>
      </c>
      <c r="F78" s="7" t="str">
        <f>IFERROR(__xludf.DUMMYFUNCTION("""COMPUTED_VALUE"""),"Mobile Database")</f>
        <v>Mobile Database</v>
      </c>
      <c r="G78" s="2" t="str">
        <f>IFERROR(__xludf.DUMMYFUNCTION("""COMPUTED_VALUE"""),"-")</f>
        <v>-</v>
      </c>
      <c r="H78" s="2">
        <f>IFERROR(__xludf.DUMMYFUNCTION("""COMPUTED_VALUE"""),3)</f>
        <v>3</v>
      </c>
      <c r="I78" s="2">
        <f>IFERROR(__xludf.DUMMYFUNCTION("""COMPUTED_VALUE"""),3)</f>
        <v>3</v>
      </c>
      <c r="J78" s="2">
        <f>IFERROR(__xludf.DUMMYFUNCTION("""COMPUTED_VALUE"""),0)</f>
        <v>0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IFERROR(__xludf.DUMMYFUNCTION("""COMPUTED_VALUE"""),"CS3524")</f>
        <v>CS3524</v>
      </c>
      <c r="E79" s="2" t="str">
        <f>IFERROR(__xludf.DUMMYFUNCTION("""COMPUTED_VALUE"""),"19AI524")</f>
        <v>19AI524</v>
      </c>
      <c r="F79" s="7" t="str">
        <f>IFERROR(__xludf.DUMMYFUNCTION("""COMPUTED_VALUE"""),"Multimedia Database")</f>
        <v>Multimedia Database</v>
      </c>
      <c r="G79" s="2" t="str">
        <f>IFERROR(__xludf.DUMMYFUNCTION("""COMPUTED_VALUE"""),"19CS410")</f>
        <v>19CS410</v>
      </c>
      <c r="H79" s="2">
        <f>IFERROR(__xludf.DUMMYFUNCTION("""COMPUTED_VALUE"""),3)</f>
        <v>3</v>
      </c>
      <c r="I79" s="2">
        <f>IFERROR(__xludf.DUMMYFUNCTION("""COMPUTED_VALUE"""),3)</f>
        <v>3</v>
      </c>
      <c r="J79" s="2">
        <f>IFERROR(__xludf.DUMMYFUNCTION("""COMPUTED_VALUE"""),0)</f>
        <v>0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IFERROR(__xludf.DUMMYFUNCTION("""COMPUTED_VALUE"""),"CS3525")</f>
        <v>CS3525</v>
      </c>
      <c r="E80" s="2" t="str">
        <f>IFERROR(__xludf.DUMMYFUNCTION("""COMPUTED_VALUE"""),"19AI525")</f>
        <v>19AI525</v>
      </c>
      <c r="F80" s="7" t="str">
        <f>IFERROR(__xludf.DUMMYFUNCTION("""COMPUTED_VALUE"""),"Video Processing")</f>
        <v>Video Processing</v>
      </c>
      <c r="G80" s="2" t="str">
        <f>IFERROR(__xludf.DUMMYFUNCTION("""COMPUTED_VALUE"""),"19CS301")</f>
        <v>19CS301</v>
      </c>
      <c r="H80" s="2">
        <f>IFERROR(__xludf.DUMMYFUNCTION("""COMPUTED_VALUE"""),2)</f>
        <v>2</v>
      </c>
      <c r="I80" s="2">
        <f>IFERROR(__xludf.DUMMYFUNCTION("""COMPUTED_VALUE"""),2)</f>
        <v>2</v>
      </c>
      <c r="J80" s="2">
        <f>IFERROR(__xludf.DUMMYFUNCTION("""COMPUTED_VALUE"""),1)</f>
        <v>1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IFERROR(__xludf.DUMMYFUNCTION("""COMPUTED_VALUE"""),"CS3526")</f>
        <v>CS3526</v>
      </c>
      <c r="E81" s="2" t="str">
        <f>IFERROR(__xludf.DUMMYFUNCTION("""COMPUTED_VALUE"""),"19AI526")</f>
        <v>19AI526</v>
      </c>
      <c r="F81" s="7" t="str">
        <f>IFERROR(__xludf.DUMMYFUNCTION("""COMPUTED_VALUE"""),"Information Security and Access Control")</f>
        <v>Information Security and Access Control</v>
      </c>
      <c r="G81" s="2" t="str">
        <f>IFERROR(__xludf.DUMMYFUNCTION("""COMPUTED_VALUE"""),"19AI527")</f>
        <v>19AI527</v>
      </c>
      <c r="H81" s="2">
        <f>IFERROR(__xludf.DUMMYFUNCTION("""COMPUTED_VALUE"""),2)</f>
        <v>2</v>
      </c>
      <c r="I81" s="2">
        <f>IFERROR(__xludf.DUMMYFUNCTION("""COMPUTED_VALUE"""),2)</f>
        <v>2</v>
      </c>
      <c r="J81" s="2">
        <f>IFERROR(__xludf.DUMMYFUNCTION("""COMPUTED_VALUE"""),1)</f>
        <v>1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IFERROR(__xludf.DUMMYFUNCTION("""COMPUTED_VALUE"""),"CS3527")</f>
        <v>CS3527</v>
      </c>
      <c r="E82" s="2" t="str">
        <f>IFERROR(__xludf.DUMMYFUNCTION("""COMPUTED_VALUE"""),"19AI527")</f>
        <v>19AI527</v>
      </c>
      <c r="F82" s="7" t="str">
        <f>IFERROR(__xludf.DUMMYFUNCTION("""COMPUTED_VALUE"""),"Security Assessment and Risk Analysis")</f>
        <v>Security Assessment and Risk Analysis</v>
      </c>
      <c r="G82" s="2" t="str">
        <f>IFERROR(__xludf.DUMMYFUNCTION("""COMPUTED_VALUE"""),"-")</f>
        <v>-</v>
      </c>
      <c r="H82" s="2">
        <f>IFERROR(__xludf.DUMMYFUNCTION("""COMPUTED_VALUE"""),3)</f>
        <v>3</v>
      </c>
      <c r="I82" s="2">
        <f>IFERROR(__xludf.DUMMYFUNCTION("""COMPUTED_VALUE"""),3)</f>
        <v>3</v>
      </c>
      <c r="J82" s="2">
        <f>IFERROR(__xludf.DUMMYFUNCTION("""COMPUTED_VALUE"""),1)</f>
        <v>1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IFERROR(__xludf.DUMMYFUNCTION("""COMPUTED_VALUE"""),"CS3528")</f>
        <v>CS3528</v>
      </c>
      <c r="E83" s="2" t="str">
        <f>IFERROR(__xludf.DUMMYFUNCTION("""COMPUTED_VALUE"""),"19AI528")</f>
        <v>19AI528</v>
      </c>
      <c r="F83" s="7" t="str">
        <f>IFERROR(__xludf.DUMMYFUNCTION("""COMPUTED_VALUE"""),"Advanced Graph Theory and Applications")</f>
        <v>Advanced Graph Theory and Applications</v>
      </c>
      <c r="G83" s="2" t="str">
        <f>IFERROR(__xludf.DUMMYFUNCTION("""COMPUTED_VALUE"""),"19CS402")</f>
        <v>19CS402</v>
      </c>
      <c r="H83" s="2">
        <f>IFERROR(__xludf.DUMMYFUNCTION("""COMPUTED_VALUE"""),2)</f>
        <v>2</v>
      </c>
      <c r="I83" s="2">
        <f>IFERROR(__xludf.DUMMYFUNCTION("""COMPUTED_VALUE"""),2)</f>
        <v>2</v>
      </c>
      <c r="J83" s="2">
        <f>IFERROR(__xludf.DUMMYFUNCTION("""COMPUTED_VALUE"""),1)</f>
        <v>1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IFERROR(__xludf.DUMMYFUNCTION("""COMPUTED_VALUE"""),"CS3529")</f>
        <v>CS3529</v>
      </c>
      <c r="E84" s="2" t="str">
        <f>IFERROR(__xludf.DUMMYFUNCTION("""COMPUTED_VALUE"""),"19AI529")</f>
        <v>19AI529</v>
      </c>
      <c r="F84" s="7" t="str">
        <f>IFERROR(__xludf.DUMMYFUNCTION("""COMPUTED_VALUE"""),"Advanced Data Structures")</f>
        <v>Advanced Data Structures</v>
      </c>
      <c r="G84" s="2" t="str">
        <f>IFERROR(__xludf.DUMMYFUNCTION("""COMPUTED_VALUE"""),"19CS401")</f>
        <v>19CS401</v>
      </c>
      <c r="H84" s="2">
        <f>IFERROR(__xludf.DUMMYFUNCTION("""COMPUTED_VALUE"""),2)</f>
        <v>2</v>
      </c>
      <c r="I84" s="2">
        <f>IFERROR(__xludf.DUMMYFUNCTION("""COMPUTED_VALUE"""),2)</f>
        <v>2</v>
      </c>
      <c r="J84" s="2">
        <f>IFERROR(__xludf.DUMMYFUNCTION("""COMPUTED_VALUE"""),1)</f>
        <v>1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IFERROR(__xludf.DUMMYFUNCTION("""COMPUTED_VALUE"""),"CS3530")</f>
        <v>CS3530</v>
      </c>
      <c r="E85" s="2" t="str">
        <f>IFERROR(__xludf.DUMMYFUNCTION("""COMPUTED_VALUE"""),"19AI530")</f>
        <v>19AI530</v>
      </c>
      <c r="F85" s="7" t="str">
        <f>IFERROR(__xludf.DUMMYFUNCTION("""COMPUTED_VALUE"""),"Control of Robotic Systems")</f>
        <v>Control of Robotic Systems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IFERROR(__xludf.DUMMYFUNCTION("""COMPUTED_VALUE"""),2)</f>
        <v>2</v>
      </c>
      <c r="J85" s="2">
        <f>IFERROR(__xludf.DUMMYFUNCTION("""COMPUTED_VALUE"""),1)</f>
        <v>1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IFERROR(__xludf.DUMMYFUNCTION("""COMPUTED_VALUE"""),"CS3531")</f>
        <v>CS3531</v>
      </c>
      <c r="E86" s="2" t="str">
        <f>IFERROR(__xludf.DUMMYFUNCTION("""COMPUTED_VALUE"""),"19AI531")</f>
        <v>19AI531</v>
      </c>
      <c r="F86" s="7" t="str">
        <f>IFERROR(__xludf.DUMMYFUNCTION("""COMPUTED_VALUE"""),"Cryptography and Security")</f>
        <v>Cryptography and Security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IFERROR(__xludf.DUMMYFUNCTION("""COMPUTED_VALUE"""),2)</f>
        <v>2</v>
      </c>
      <c r="J86" s="2">
        <f>IFERROR(__xludf.DUMMYFUNCTION("""COMPUTED_VALUE"""),1)</f>
        <v>1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IFERROR(__xludf.DUMMYFUNCTION("""COMPUTED_VALUE"""),"CS3532")</f>
        <v>CS3532</v>
      </c>
      <c r="E87" s="2" t="str">
        <f>IFERROR(__xludf.DUMMYFUNCTION("""COMPUTED_VALUE"""),"19AI532")</f>
        <v>19AI532</v>
      </c>
      <c r="F87" s="7" t="str">
        <f>IFERROR(__xludf.DUMMYFUNCTION("""COMPUTED_VALUE"""),"Information Theory for Cyber Security")</f>
        <v>Information Theory for Cyber Security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IFERROR(__xludf.DUMMYFUNCTION("""COMPUTED_VALUE"""),2)</f>
        <v>2</v>
      </c>
      <c r="J87" s="2">
        <f>IFERROR(__xludf.DUMMYFUNCTION("""COMPUTED_VALUE"""),1)</f>
        <v>1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IFERROR(__xludf.DUMMYFUNCTION("""COMPUTED_VALUE"""),"CS3533")</f>
        <v>CS3533</v>
      </c>
      <c r="E88" s="2" t="str">
        <f>IFERROR(__xludf.DUMMYFUNCTION("""COMPUTED_VALUE"""),"19AI533")</f>
        <v>19AI533</v>
      </c>
      <c r="F88" s="7" t="str">
        <f>IFERROR(__xludf.DUMMYFUNCTION("""COMPUTED_VALUE"""),"Introduction to Robotics")</f>
        <v>Introduction to Robotics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IFERROR(__xludf.DUMMYFUNCTION("""COMPUTED_VALUE"""),2)</f>
        <v>2</v>
      </c>
      <c r="J88" s="2">
        <f>IFERROR(__xludf.DUMMYFUNCTION("""COMPUTED_VALUE"""),1)</f>
        <v>1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IFERROR(__xludf.DUMMYFUNCTION("""COMPUTED_VALUE"""),"CS3534")</f>
        <v>CS3534</v>
      </c>
      <c r="E89" s="2" t="str">
        <f>IFERROR(__xludf.DUMMYFUNCTION("""COMPUTED_VALUE"""),"19AI534")</f>
        <v>19AI534</v>
      </c>
      <c r="F89" s="7" t="str">
        <f>IFERROR(__xludf.DUMMYFUNCTION("""COMPUTED_VALUE"""),"Kinematics and Dynamics of Robots")</f>
        <v>Kinematics and Dynamics of Robots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IFERROR(__xludf.DUMMYFUNCTION("""COMPUTED_VALUE"""),2)</f>
        <v>2</v>
      </c>
      <c r="J89" s="2">
        <f>IFERROR(__xludf.DUMMYFUNCTION("""COMPUTED_VALUE"""),1)</f>
        <v>1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IFERROR(__xludf.DUMMYFUNCTION("""COMPUTED_VALUE"""),"CS3535")</f>
        <v>CS3535</v>
      </c>
      <c r="E90" s="2" t="str">
        <f>IFERROR(__xludf.DUMMYFUNCTION("""COMPUTED_VALUE"""),"19AI535")</f>
        <v>19AI535</v>
      </c>
      <c r="F90" s="7" t="str">
        <f>IFERROR(__xludf.DUMMYFUNCTION("""COMPUTED_VALUE"""),"Robotic Sensors")</f>
        <v>Robotic Sensors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IFERROR(__xludf.DUMMYFUNCTION("""COMPUTED_VALUE"""),2)</f>
        <v>2</v>
      </c>
      <c r="J90" s="2">
        <f>IFERROR(__xludf.DUMMYFUNCTION("""COMPUTED_VALUE"""),1)</f>
        <v>1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IFERROR(__xludf.DUMMYFUNCTION("""COMPUTED_VALUE"""),"CS3536")</f>
        <v>CS3536</v>
      </c>
      <c r="E91" s="2" t="str">
        <f>IFERROR(__xludf.DUMMYFUNCTION("""COMPUTED_VALUE"""),"19AI536")</f>
        <v>19AI536</v>
      </c>
      <c r="F91" s="7" t="str">
        <f>IFERROR(__xludf.DUMMYFUNCTION("""COMPUTED_VALUE"""),"Steganography and Digital Watermarking")</f>
        <v>Steganography and Digital Watermarking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IFERROR(__xludf.DUMMYFUNCTION("""COMPUTED_VALUE"""),2)</f>
        <v>2</v>
      </c>
      <c r="J91" s="2">
        <f>IFERROR(__xludf.DUMMYFUNCTION("""COMPUTED_VALUE"""),1)</f>
        <v>1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IFERROR(__xludf.DUMMYFUNCTION("""COMPUTED_VALUE"""),"CS3537")</f>
        <v>CS3537</v>
      </c>
      <c r="E92" s="2" t="str">
        <f>IFERROR(__xludf.DUMMYFUNCTION("""COMPUTED_VALUE"""),"19AI537")</f>
        <v>19AI537</v>
      </c>
      <c r="F92" s="7" t="str">
        <f>IFERROR(__xludf.DUMMYFUNCTION("""COMPUTED_VALUE"""),"Computer Graphics for Virtual Reality")</f>
        <v>Computer Graphics for Virtual Reality</v>
      </c>
      <c r="G92" s="2" t="str">
        <f>IFERROR(__xludf.DUMMYFUNCTION("""COMPUTED_VALUE"""),"-")</f>
        <v>-</v>
      </c>
      <c r="H92" s="2">
        <f>IFERROR(__xludf.DUMMYFUNCTION("""COMPUTED_VALUE"""),2)</f>
        <v>2</v>
      </c>
      <c r="I92" s="2">
        <f>IFERROR(__xludf.DUMMYFUNCTION("""COMPUTED_VALUE"""),2)</f>
        <v>2</v>
      </c>
      <c r="J92" s="2">
        <f>IFERROR(__xludf.DUMMYFUNCTION("""COMPUTED_VALUE"""),1)</f>
        <v>1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IFERROR(__xludf.DUMMYFUNCTION("""COMPUTED_VALUE"""),"CS3538")</f>
        <v>CS3538</v>
      </c>
      <c r="E93" s="2" t="str">
        <f>IFERROR(__xludf.DUMMYFUNCTION("""COMPUTED_VALUE"""),"19AI538")</f>
        <v>19AI538</v>
      </c>
      <c r="F93" s="7" t="str">
        <f>IFERROR(__xludf.DUMMYFUNCTION("""COMPUTED_VALUE"""),"Mathematical Modelling and Computer Aided Engineering")</f>
        <v>Mathematical Modelling and Computer Aided Engineering</v>
      </c>
      <c r="G93" s="2" t="str">
        <f>IFERROR(__xludf.DUMMYFUNCTION("""COMPUTED_VALUE"""),"-")</f>
        <v>-</v>
      </c>
      <c r="H93" s="2">
        <f>IFERROR(__xludf.DUMMYFUNCTION("""COMPUTED_VALUE"""),2)</f>
        <v>2</v>
      </c>
      <c r="I93" s="2">
        <f>IFERROR(__xludf.DUMMYFUNCTION("""COMPUTED_VALUE"""),2)</f>
        <v>2</v>
      </c>
      <c r="J93" s="2">
        <f>IFERROR(__xludf.DUMMYFUNCTION("""COMPUTED_VALUE"""),1)</f>
        <v>1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IFERROR(__xludf.DUMMYFUNCTION("""COMPUTED_VALUE"""),"CS3539")</f>
        <v>CS3539</v>
      </c>
      <c r="E94" s="2" t="str">
        <f>IFERROR(__xludf.DUMMYFUNCTION("""COMPUTED_VALUE"""),"19AI539")</f>
        <v>19AI539</v>
      </c>
      <c r="F94" s="7" t="str">
        <f>IFERROR(__xludf.DUMMYFUNCTION("""COMPUTED_VALUE"""),"Mobile User Interface Development")</f>
        <v>Mobile User Interface Development</v>
      </c>
      <c r="G94" s="2" t="str">
        <f>IFERROR(__xludf.DUMMYFUNCTION("""COMPUTED_VALUE"""),"19CS401")</f>
        <v>19CS401</v>
      </c>
      <c r="H94" s="2">
        <f>IFERROR(__xludf.DUMMYFUNCTION("""COMPUTED_VALUE"""),2)</f>
        <v>2</v>
      </c>
      <c r="I94" s="2">
        <f>IFERROR(__xludf.DUMMYFUNCTION("""COMPUTED_VALUE"""),2)</f>
        <v>2</v>
      </c>
      <c r="J94" s="2">
        <f>IFERROR(__xludf.DUMMYFUNCTION("""COMPUTED_VALUE"""),1)</f>
        <v>1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IFERROR(__xludf.DUMMYFUNCTION("""COMPUTED_VALUE"""),"CS3540")</f>
        <v>CS3540</v>
      </c>
      <c r="E95" s="2" t="str">
        <f>IFERROR(__xludf.DUMMYFUNCTION("""COMPUTED_VALUE"""),"19AI540")</f>
        <v>19AI540</v>
      </c>
      <c r="F95" s="7" t="str">
        <f>IFERROR(__xludf.DUMMYFUNCTION("""COMPUTED_VALUE"""),"Programming Mobile Devices")</f>
        <v>Programming Mobile Devices</v>
      </c>
      <c r="G95" s="2" t="str">
        <f>IFERROR(__xludf.DUMMYFUNCTION("""COMPUTED_VALUE"""),"19CS401")</f>
        <v>19CS401</v>
      </c>
      <c r="H95" s="2">
        <f>IFERROR(__xludf.DUMMYFUNCTION("""COMPUTED_VALUE"""),2)</f>
        <v>2</v>
      </c>
      <c r="I95" s="2">
        <f>IFERROR(__xludf.DUMMYFUNCTION("""COMPUTED_VALUE"""),2)</f>
        <v>2</v>
      </c>
      <c r="J95" s="2">
        <f>IFERROR(__xludf.DUMMYFUNCTION("""COMPUTED_VALUE"""),1)</f>
        <v>1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IFERROR(__xludf.DUMMYFUNCTION("""COMPUTED_VALUE"""),"CS3542")</f>
        <v>CS3542</v>
      </c>
      <c r="E96" s="2" t="str">
        <f>IFERROR(__xludf.DUMMYFUNCTION("""COMPUTED_VALUE"""),"19AI542")</f>
        <v>19AI542</v>
      </c>
      <c r="F96" s="7" t="str">
        <f>IFERROR(__xludf.DUMMYFUNCTION("""COMPUTED_VALUE"""),"Agile Software Development")</f>
        <v>Agile Software Development</v>
      </c>
      <c r="G96" s="2" t="str">
        <f>IFERROR(__xludf.DUMMYFUNCTION("""COMPUTED_VALUE"""),"19CS301")</f>
        <v>19CS301</v>
      </c>
      <c r="H96" s="2">
        <f>IFERROR(__xludf.DUMMYFUNCTION("""COMPUTED_VALUE"""),3)</f>
        <v>3</v>
      </c>
      <c r="I96" s="2">
        <f>IFERROR(__xludf.DUMMYFUNCTION("""COMPUTED_VALUE"""),3)</f>
        <v>3</v>
      </c>
      <c r="J96" s="2">
        <f>IFERROR(__xludf.DUMMYFUNCTION("""COMPUTED_VALUE"""),1)</f>
        <v>1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IFERROR(__xludf.DUMMYFUNCTION("""COMPUTED_VALUE"""),"CS3543")</f>
        <v>CS3543</v>
      </c>
      <c r="E97" s="2" t="str">
        <f>IFERROR(__xludf.DUMMYFUNCTION("""COMPUTED_VALUE"""),"19AI543")</f>
        <v>19AI543</v>
      </c>
      <c r="F97" s="7" t="str">
        <f>IFERROR(__xludf.DUMMYFUNCTION("""COMPUTED_VALUE"""),"Software Testing")</f>
        <v>Software Testing</v>
      </c>
      <c r="G97" s="2" t="str">
        <f>IFERROR(__xludf.DUMMYFUNCTION("""COMPUTED_VALUE"""),"19CS301")</f>
        <v>19CS301</v>
      </c>
      <c r="H97" s="2">
        <f>IFERROR(__xludf.DUMMYFUNCTION("""COMPUTED_VALUE"""),2)</f>
        <v>2</v>
      </c>
      <c r="I97" s="2">
        <f>IFERROR(__xludf.DUMMYFUNCTION("""COMPUTED_VALUE"""),2)</f>
        <v>2</v>
      </c>
      <c r="J97" s="2">
        <f>IFERROR(__xludf.DUMMYFUNCTION("""COMPUTED_VALUE"""),1)</f>
        <v>1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IFERROR(__xludf.DUMMYFUNCTION("""COMPUTED_VALUE"""),"PE")</f>
        <v>PE</v>
      </c>
      <c r="D98" s="2" t="str">
        <f>IFERROR(__xludf.DUMMYFUNCTION("""COMPUTED_VALUE"""),"CS3544")</f>
        <v>CS3544</v>
      </c>
      <c r="E98" s="2" t="str">
        <f>IFERROR(__xludf.DUMMYFUNCTION("""COMPUTED_VALUE"""),"19AI544")</f>
        <v>19AI544</v>
      </c>
      <c r="F98" s="7" t="str">
        <f>IFERROR(__xludf.DUMMYFUNCTION("""COMPUTED_VALUE"""),"Virtualization and Containerization")</f>
        <v>Virtualization and Containerization</v>
      </c>
      <c r="G98" s="2" t="str">
        <f>IFERROR(__xludf.DUMMYFUNCTION("""COMPUTED_VALUE"""),"19CS405/19CS406")</f>
        <v>19CS405/19CS406</v>
      </c>
      <c r="H98" s="2">
        <f>IFERROR(__xludf.DUMMYFUNCTION("""COMPUTED_VALUE"""),2)</f>
        <v>2</v>
      </c>
      <c r="I98" s="2">
        <f>IFERROR(__xludf.DUMMYFUNCTION("""COMPUTED_VALUE"""),2)</f>
        <v>2</v>
      </c>
      <c r="J98" s="2">
        <f>IFERROR(__xludf.DUMMYFUNCTION("""COMPUTED_VALUE"""),1)</f>
        <v>1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IFERROR(__xludf.DUMMYFUNCTION("""COMPUTED_VALUE"""),"CS3547")</f>
        <v>CS3547</v>
      </c>
      <c r="E99" s="2" t="str">
        <f>IFERROR(__xludf.DUMMYFUNCTION("""COMPUTED_VALUE"""),"19AI547")</f>
        <v>19AI547</v>
      </c>
      <c r="F99" s="7" t="str">
        <f>IFERROR(__xludf.DUMMYFUNCTION("""COMPUTED_VALUE"""),"Blockchain for Business")</f>
        <v>Blockchain for Business</v>
      </c>
      <c r="G99" s="2" t="str">
        <f>IFERROR(__xludf.DUMMYFUNCTION("""COMPUTED_VALUE"""),"19CS301")</f>
        <v>19CS301</v>
      </c>
      <c r="H99" s="2">
        <f>IFERROR(__xludf.DUMMYFUNCTION("""COMPUTED_VALUE"""),2)</f>
        <v>2</v>
      </c>
      <c r="I99" s="2">
        <f>IFERROR(__xludf.DUMMYFUNCTION("""COMPUTED_VALUE"""),2)</f>
        <v>2</v>
      </c>
      <c r="J99" s="2">
        <f>IFERROR(__xludf.DUMMYFUNCTION("""COMPUTED_VALUE"""),1)</f>
        <v>1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IFERROR(__xludf.DUMMYFUNCTION("""COMPUTED_VALUE"""),"PE")</f>
        <v>PE</v>
      </c>
      <c r="D100" s="2" t="str">
        <f>IFERROR(__xludf.DUMMYFUNCTION("""COMPUTED_VALUE"""),"CS3548")</f>
        <v>CS3548</v>
      </c>
      <c r="E100" s="2" t="str">
        <f>IFERROR(__xludf.DUMMYFUNCTION("""COMPUTED_VALUE"""),"19AI548")</f>
        <v>19AI548</v>
      </c>
      <c r="F100" s="7" t="str">
        <f>IFERROR(__xludf.DUMMYFUNCTION("""COMPUTED_VALUE"""),"Robot Programming")</f>
        <v>Robot Programming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IFERROR(__xludf.DUMMYFUNCTION("""COMPUTED_VALUE"""),2)</f>
        <v>2</v>
      </c>
      <c r="J100" s="2">
        <f>IFERROR(__xludf.DUMMYFUNCTION("""COMPUTED_VALUE"""),1)</f>
        <v>1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IFERROR(__xludf.DUMMYFUNCTION("""COMPUTED_VALUE"""),"PE")</f>
        <v>PE</v>
      </c>
      <c r="D101" s="2" t="str">
        <f>IFERROR(__xludf.DUMMYFUNCTION("""COMPUTED_VALUE"""),"CS3549")</f>
        <v>CS3549</v>
      </c>
      <c r="E101" s="2" t="str">
        <f>IFERROR(__xludf.DUMMYFUNCTION("""COMPUTED_VALUE"""),"19AI549")</f>
        <v>19AI549</v>
      </c>
      <c r="F101" s="7" t="str">
        <f>IFERROR(__xludf.DUMMYFUNCTION("""COMPUTED_VALUE"""),"Drone Assembly and Applications")</f>
        <v>Drone Assembly and Applications</v>
      </c>
      <c r="G101" s="2" t="str">
        <f>IFERROR(__xludf.DUMMYFUNCTION("""COMPUTED_VALUE"""),"-")</f>
        <v>-</v>
      </c>
      <c r="H101" s="2">
        <f>IFERROR(__xludf.DUMMYFUNCTION("""COMPUTED_VALUE"""),2)</f>
        <v>2</v>
      </c>
      <c r="I101" s="2">
        <f>IFERROR(__xludf.DUMMYFUNCTION("""COMPUTED_VALUE"""),2)</f>
        <v>2</v>
      </c>
      <c r="J101" s="2">
        <f>IFERROR(__xludf.DUMMYFUNCTION("""COMPUTED_VALUE"""),1)</f>
        <v>1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IFERROR(__xludf.DUMMYFUNCTION("""COMPUTED_VALUE"""),"CS3550")</f>
        <v>CS3550</v>
      </c>
      <c r="E102" s="2" t="str">
        <f>IFERROR(__xludf.DUMMYFUNCTION("""COMPUTED_VALUE"""),"19AI550")</f>
        <v>19AI550</v>
      </c>
      <c r="F102" s="7" t="str">
        <f>IFERROR(__xludf.DUMMYFUNCTION("""COMPUTED_VALUE"""),"Artificial Intelligence for Games")</f>
        <v>Artificial Intelligence for Games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IFERROR(__xludf.DUMMYFUNCTION("""COMPUTED_VALUE"""),2)</f>
        <v>2</v>
      </c>
      <c r="J102" s="2">
        <f>IFERROR(__xludf.DUMMYFUNCTION("""COMPUTED_VALUE"""),1)</f>
        <v>1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IFERROR(__xludf.DUMMYFUNCTION("""COMPUTED_VALUE"""),"CS3551")</f>
        <v>CS3551</v>
      </c>
      <c r="E103" s="2" t="str">
        <f>IFERROR(__xludf.DUMMYFUNCTION("""COMPUTED_VALUE"""),"19AI551")</f>
        <v>19AI551</v>
      </c>
      <c r="F103" s="7" t="str">
        <f>IFERROR(__xludf.DUMMYFUNCTION("""COMPUTED_VALUE"""),"Drone Design and Control")</f>
        <v>Drone Design and Control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IFERROR(__xludf.DUMMYFUNCTION("""COMPUTED_VALUE"""),2)</f>
        <v>2</v>
      </c>
      <c r="J103" s="2">
        <f>IFERROR(__xludf.DUMMYFUNCTION("""COMPUTED_VALUE"""),1)</f>
        <v>1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IFERROR(__xludf.DUMMYFUNCTION("""COMPUTED_VALUE"""),"CS3552")</f>
        <v>CS3552</v>
      </c>
      <c r="E104" s="2" t="str">
        <f>IFERROR(__xludf.DUMMYFUNCTION("""COMPUTED_VALUE"""),"19AI552")</f>
        <v>19AI552</v>
      </c>
      <c r="F104" s="7" t="str">
        <f>IFERROR(__xludf.DUMMYFUNCTION("""COMPUTED_VALUE"""),"Web Application User Interface Development")</f>
        <v>Web Application User Interface Development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IFERROR(__xludf.DUMMYFUNCTION("""COMPUTED_VALUE"""),2)</f>
        <v>2</v>
      </c>
      <c r="J104" s="2">
        <f>IFERROR(__xludf.DUMMYFUNCTION("""COMPUTED_VALUE"""),1)</f>
        <v>1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IFERROR(__xludf.DUMMYFUNCTION("""COMPUTED_VALUE"""),"CS3554")</f>
        <v>CS3554</v>
      </c>
      <c r="E105" s="2" t="str">
        <f>IFERROR(__xludf.DUMMYFUNCTION("""COMPUTED_VALUE"""),"19AI554")</f>
        <v>19AI554</v>
      </c>
      <c r="F105" s="7" t="str">
        <f>IFERROR(__xludf.DUMMYFUNCTION("""COMPUTED_VALUE"""),"Fundamentals of Large Language Models")</f>
        <v>Fundamentals of Large Language Models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IFERROR(__xludf.DUMMYFUNCTION("""COMPUTED_VALUE"""),2)</f>
        <v>2</v>
      </c>
      <c r="J105" s="2">
        <f>IFERROR(__xludf.DUMMYFUNCTION("""COMPUTED_VALUE"""),1)</f>
        <v>1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IFERROR(__xludf.DUMMYFUNCTION("""COMPUTED_VALUE"""),"CS3555")</f>
        <v>CS3555</v>
      </c>
      <c r="E106" s="2" t="str">
        <f>IFERROR(__xludf.DUMMYFUNCTION("""COMPUTED_VALUE"""),"19AI555")</f>
        <v>19AI555</v>
      </c>
      <c r="F106" s="7" t="str">
        <f>IFERROR(__xludf.DUMMYFUNCTION("""COMPUTED_VALUE"""),"Exploratory Data Analysis")</f>
        <v>Exploratory Data Analysis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IFERROR(__xludf.DUMMYFUNCTION("""COMPUTED_VALUE"""),2)</f>
        <v>2</v>
      </c>
      <c r="J106" s="2">
        <f>IFERROR(__xludf.DUMMYFUNCTION("""COMPUTED_VALUE"""),1)</f>
        <v>1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IFERROR(__xludf.DUMMYFUNCTION("""COMPUTED_VALUE"""),"CS3556")</f>
        <v>CS3556</v>
      </c>
      <c r="E107" s="2" t="str">
        <f>IFERROR(__xludf.DUMMYFUNCTION("""COMPUTED_VALUE"""),"19AI556")</f>
        <v>19AI556</v>
      </c>
      <c r="F107" s="7" t="str">
        <f>IFERROR(__xludf.DUMMYFUNCTION("""COMPUTED_VALUE"""),"Recommender Systems")</f>
        <v>Recommender Systems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IFERROR(__xludf.DUMMYFUNCTION("""COMPUTED_VALUE"""),2)</f>
        <v>2</v>
      </c>
      <c r="J107" s="2">
        <f>IFERROR(__xludf.DUMMYFUNCTION("""COMPUTED_VALUE"""),1)</f>
        <v>1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IFERROR(__xludf.DUMMYFUNCTION("""COMPUTED_VALUE"""),"CS3557")</f>
        <v>CS3557</v>
      </c>
      <c r="E108" s="2" t="str">
        <f>IFERROR(__xludf.DUMMYFUNCTION("""COMPUTED_VALUE"""),"19AI557")</f>
        <v>19AI557</v>
      </c>
      <c r="F108" s="7" t="str">
        <f>IFERROR(__xludf.DUMMYFUNCTION("""COMPUTED_VALUE"""),"Neural Networks and Deep Learning")</f>
        <v>Neural Networks and Deep Learning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IFERROR(__xludf.DUMMYFUNCTION("""COMPUTED_VALUE"""),2)</f>
        <v>2</v>
      </c>
      <c r="J108" s="2">
        <f>IFERROR(__xludf.DUMMYFUNCTION("""COMPUTED_VALUE"""),1)</f>
        <v>1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IFERROR(__xludf.DUMMYFUNCTION("""COMPUTED_VALUE"""),"CS3558")</f>
        <v>CS3558</v>
      </c>
      <c r="E109" s="2" t="str">
        <f>IFERROR(__xludf.DUMMYFUNCTION("""COMPUTED_VALUE"""),"19AI558")</f>
        <v>19AI558</v>
      </c>
      <c r="F109" s="7" t="str">
        <f>IFERROR(__xludf.DUMMYFUNCTION("""COMPUTED_VALUE"""),"Text and Speech Analysis")</f>
        <v>Text and Speech Analysis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IFERROR(__xludf.DUMMYFUNCTION("""COMPUTED_VALUE"""),2)</f>
        <v>2</v>
      </c>
      <c r="J109" s="2">
        <f>IFERROR(__xludf.DUMMYFUNCTION("""COMPUTED_VALUE"""),1)</f>
        <v>1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IFERROR(__xludf.DUMMYFUNCTION("""COMPUTED_VALUE"""),"CS3559")</f>
        <v>CS3559</v>
      </c>
      <c r="E110" s="2" t="str">
        <f>IFERROR(__xludf.DUMMYFUNCTION("""COMPUTED_VALUE"""),"19AI559")</f>
        <v>19AI559</v>
      </c>
      <c r="F110" s="7" t="str">
        <f>IFERROR(__xludf.DUMMYFUNCTION("""COMPUTED_VALUE"""),"Image and Video Analytics")</f>
        <v>Image and Video Analytics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IFERROR(__xludf.DUMMYFUNCTION("""COMPUTED_VALUE"""),2)</f>
        <v>2</v>
      </c>
      <c r="J110" s="2">
        <f>IFERROR(__xludf.DUMMYFUNCTION("""COMPUTED_VALUE"""),1)</f>
        <v>1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IFERROR(__xludf.DUMMYFUNCTION("""COMPUTED_VALUE"""),"CS3560")</f>
        <v>CS3560</v>
      </c>
      <c r="E111" s="2" t="str">
        <f>IFERROR(__xludf.DUMMYFUNCTION("""COMPUTED_VALUE"""),"19AI560")</f>
        <v>19AI560</v>
      </c>
      <c r="F111" s="3" t="str">
        <f>IFERROR(__xludf.DUMMYFUNCTION("""COMPUTED_VALUE"""),"Augmented Reality and ARCore")</f>
        <v>Augmented Reality and ARCore</v>
      </c>
      <c r="G111" s="2" t="str">
        <f>IFERROR(__xludf.DUMMYFUNCTION("""COMPUTED_VALUE"""),"-")</f>
        <v>-</v>
      </c>
      <c r="H111" s="2">
        <f>IFERROR(__xludf.DUMMYFUNCTION("""COMPUTED_VALUE"""),2)</f>
        <v>2</v>
      </c>
      <c r="I111" s="2">
        <f>IFERROR(__xludf.DUMMYFUNCTION("""COMPUTED_VALUE"""),2)</f>
        <v>2</v>
      </c>
      <c r="J111" s="2">
        <f>IFERROR(__xludf.DUMMYFUNCTION("""COMPUTED_VALUE"""),1)</f>
        <v>1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IFERROR(__xludf.DUMMYFUNCTION("""COMPUTED_VALUE"""),"CS3561")</f>
        <v>CS3561</v>
      </c>
      <c r="E112" s="2" t="str">
        <f>IFERROR(__xludf.DUMMYFUNCTION("""COMPUTED_VALUE"""),"19AI561")</f>
        <v>19AI561</v>
      </c>
      <c r="F112" s="3" t="str">
        <f>IFERROR(__xludf.DUMMYFUNCTION("""COMPUTED_VALUE"""),"Extended Reality")</f>
        <v>Extended Reality</v>
      </c>
      <c r="G112" s="2" t="str">
        <f>IFERROR(__xludf.DUMMYFUNCTION("""COMPUTED_VALUE"""),"CS3307")</f>
        <v>CS3307</v>
      </c>
      <c r="H112" s="2">
        <f>IFERROR(__xludf.DUMMYFUNCTION("""COMPUTED_VALUE"""),2)</f>
        <v>2</v>
      </c>
      <c r="I112" s="2">
        <f>IFERROR(__xludf.DUMMYFUNCTION("""COMPUTED_VALUE"""),2)</f>
        <v>2</v>
      </c>
      <c r="J112" s="2">
        <f>IFERROR(__xludf.DUMMYFUNCTION("""COMPUTED_VALUE"""),1)</f>
        <v>1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IFERROR(__xludf.DUMMYFUNCTION("""COMPUTED_VALUE"""),"CS4401")</f>
        <v>CS4401</v>
      </c>
      <c r="E113" s="2" t="str">
        <f>IFERROR(__xludf.DUMMYFUNCTION("""COMPUTED_VALUE"""),"19AM401")</f>
        <v>19AM401</v>
      </c>
      <c r="F113" s="3" t="str">
        <f>IFERROR(__xludf.DUMMYFUNCTION("""COMPUTED_VALUE"""),"Time Series Analysis and Forecasting")</f>
        <v>Time Series Analysis and Forecasting</v>
      </c>
      <c r="G113" s="2" t="str">
        <f>IFERROR(__xludf.DUMMYFUNCTION("""COMPUTED_VALUE"""),"-")</f>
        <v>-</v>
      </c>
      <c r="H113" s="2">
        <f>IFERROR(__xludf.DUMMYFUNCTION("""COMPUTED_VALUE"""),3)</f>
        <v>3</v>
      </c>
      <c r="I113" s="2">
        <f>IFERROR(__xludf.DUMMYFUNCTION("""COMPUTED_VALUE"""),3)</f>
        <v>3</v>
      </c>
      <c r="J113" s="2">
        <f>IFERROR(__xludf.DUMMYFUNCTION("""COMPUTED_VALUE"""),1)</f>
        <v>1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IFERROR(__xludf.DUMMYFUNCTION("""COMPUTED_VALUE"""),"CS4406")</f>
        <v>CS4406</v>
      </c>
      <c r="E114" s="2" t="str">
        <f>IFERROR(__xludf.DUMMYFUNCTION("""COMPUTED_VALUE"""),"19AM406")</f>
        <v>19AM406</v>
      </c>
      <c r="F114" s="3" t="str">
        <f>IFERROR(__xludf.DUMMYFUNCTION("""COMPUTED_VALUE"""),"Blockchain and Cryptocurrency")</f>
        <v>Blockchain and Cryptocurrency</v>
      </c>
      <c r="G114" s="2" t="str">
        <f>IFERROR(__xludf.DUMMYFUNCTION("""COMPUTED_VALUE"""),"-")</f>
        <v>-</v>
      </c>
      <c r="H114" s="2">
        <f>IFERROR(__xludf.DUMMYFUNCTION("""COMPUTED_VALUE"""),3)</f>
        <v>3</v>
      </c>
      <c r="I114" s="2">
        <f>IFERROR(__xludf.DUMMYFUNCTION("""COMPUTED_VALUE"""),3)</f>
        <v>3</v>
      </c>
      <c r="J114" s="2">
        <f>IFERROR(__xludf.DUMMYFUNCTION("""COMPUTED_VALUE"""),0)</f>
        <v>0</v>
      </c>
      <c r="K114" s="2" t="str">
        <f>IFERROR(__xludf.DUMMYFUNCTION("""COMPUTED_VALUE"""),"CGPA")</f>
        <v>CGPA</v>
      </c>
      <c r="L114" s="2" t="str">
        <f>IFERROR(__xludf.DUMMYFUNCTION("""COMPUTED_VALUE"""),"Theory")</f>
        <v>Theory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IFERROR(__xludf.DUMMYFUNCTION("""COMPUTED_VALUE"""),"CS4407")</f>
        <v>CS4407</v>
      </c>
      <c r="E115" s="2" t="str">
        <f>IFERROR(__xludf.DUMMYFUNCTION("""COMPUTED_VALUE"""),"19AM407")</f>
        <v>19AM407</v>
      </c>
      <c r="F115" s="3" t="str">
        <f>IFERROR(__xludf.DUMMYFUNCTION("""COMPUTED_VALUE"""),"Cyber Forensics")</f>
        <v>Cyber Forensics</v>
      </c>
      <c r="G115" s="2" t="str">
        <f>IFERROR(__xludf.DUMMYFUNCTION("""COMPUTED_VALUE"""),"-")</f>
        <v>-</v>
      </c>
      <c r="H115" s="2">
        <f>IFERROR(__xludf.DUMMYFUNCTION("""COMPUTED_VALUE"""),3)</f>
        <v>3</v>
      </c>
      <c r="I115" s="2">
        <f>IFERROR(__xludf.DUMMYFUNCTION("""COMPUTED_VALUE"""),3)</f>
        <v>3</v>
      </c>
      <c r="J115" s="2">
        <f>IFERROR(__xludf.DUMMYFUNCTION("""COMPUTED_VALUE"""),0)</f>
        <v>0</v>
      </c>
      <c r="K115" s="2" t="str">
        <f>IFERROR(__xludf.DUMMYFUNCTION("""COMPUTED_VALUE"""),"CGPA")</f>
        <v>CGPA</v>
      </c>
      <c r="L115" s="2" t="str">
        <f>IFERROR(__xludf.DUMMYFUNCTION("""COMPUTED_VALUE"""),"Theory")</f>
        <v>Theory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IFERROR(__xludf.DUMMYFUNCTION("""COMPUTED_VALUE"""),"PE")</f>
        <v>PE</v>
      </c>
      <c r="D116" s="2" t="str">
        <f>IFERROR(__xludf.DUMMYFUNCTION("""COMPUTED_VALUE"""),"CS4501")</f>
        <v>CS4501</v>
      </c>
      <c r="E116" s="2" t="str">
        <f>IFERROR(__xludf.DUMMYFUNCTION("""COMPUTED_VALUE"""),"19AM501")</f>
        <v>19AM501</v>
      </c>
      <c r="F116" s="3" t="str">
        <f>IFERROR(__xludf.DUMMYFUNCTION("""COMPUTED_VALUE"""),"Machine Learning for Bioinformatics")</f>
        <v>Machine Learning for Bioinformatics</v>
      </c>
      <c r="G116" s="2" t="str">
        <f>IFERROR(__xludf.DUMMYFUNCTION("""COMPUTED_VALUE"""),"-")</f>
        <v>-</v>
      </c>
      <c r="H116" s="2">
        <f>IFERROR(__xludf.DUMMYFUNCTION("""COMPUTED_VALUE"""),3)</f>
        <v>3</v>
      </c>
      <c r="I116" s="2">
        <f>IFERROR(__xludf.DUMMYFUNCTION("""COMPUTED_VALUE"""),3)</f>
        <v>3</v>
      </c>
      <c r="J116" s="2">
        <f>IFERROR(__xludf.DUMMYFUNCTION("""COMPUTED_VALUE"""),0)</f>
        <v>0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IFERROR(__xludf.DUMMYFUNCTION("""COMPUTED_VALUE"""),"CS4502")</f>
        <v>CS4502</v>
      </c>
      <c r="E117" s="2" t="str">
        <f>IFERROR(__xludf.DUMMYFUNCTION("""COMPUTED_VALUE"""),"19AM502")</f>
        <v>19AM502</v>
      </c>
      <c r="F117" s="7" t="str">
        <f>IFERROR(__xludf.DUMMYFUNCTION("""COMPUTED_VALUE"""),"Genetic Algorithms")</f>
        <v>Genetic Algorithms</v>
      </c>
      <c r="G117" s="2" t="str">
        <f>IFERROR(__xludf.DUMMYFUNCTION("""COMPUTED_VALUE"""),"-")</f>
        <v>-</v>
      </c>
      <c r="H117" s="2">
        <f>IFERROR(__xludf.DUMMYFUNCTION("""COMPUTED_VALUE"""),2)</f>
        <v>2</v>
      </c>
      <c r="I117" s="2">
        <f>IFERROR(__xludf.DUMMYFUNCTION("""COMPUTED_VALUE"""),2)</f>
        <v>2</v>
      </c>
      <c r="J117" s="2">
        <f>IFERROR(__xludf.DUMMYFUNCTION("""COMPUTED_VALUE"""),1)</f>
        <v>1</v>
      </c>
      <c r="K117" s="2" t="str">
        <f>IFERROR(__xludf.DUMMYFUNCTION("""COMPUTED_VALUE"""),"CGPA")</f>
        <v>CGPA</v>
      </c>
      <c r="L117" s="2" t="str">
        <f>IFERROR(__xludf.DUMMYFUNCTION("""COMPUTED_VALUE"""),"TIP (6 Expts)")</f>
        <v>TIP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IFERROR(__xludf.DUMMYFUNCTION("""COMPUTED_VALUE"""),"PE")</f>
        <v>PE</v>
      </c>
      <c r="D118" s="2" t="str">
        <f>IFERROR(__xludf.DUMMYFUNCTION("""COMPUTED_VALUE"""),"CS4503")</f>
        <v>CS4503</v>
      </c>
      <c r="E118" s="2" t="str">
        <f>IFERROR(__xludf.DUMMYFUNCTION("""COMPUTED_VALUE"""),"19AM503")</f>
        <v>19AM503</v>
      </c>
      <c r="F118" s="3" t="str">
        <f>IFERROR(__xludf.DUMMYFUNCTION("""COMPUTED_VALUE"""),"Data Modeling")</f>
        <v>Data Modeling</v>
      </c>
      <c r="G118" s="2" t="str">
        <f>IFERROR(__xludf.DUMMYFUNCTION("""COMPUTED_VALUE"""),"-")</f>
        <v>-</v>
      </c>
      <c r="H118" s="2">
        <f>IFERROR(__xludf.DUMMYFUNCTION("""COMPUTED_VALUE"""),3)</f>
        <v>3</v>
      </c>
      <c r="I118" s="2">
        <f>IFERROR(__xludf.DUMMYFUNCTION("""COMPUTED_VALUE"""),3)</f>
        <v>3</v>
      </c>
      <c r="J118" s="2">
        <f>IFERROR(__xludf.DUMMYFUNCTION("""COMPUTED_VALUE"""),0)</f>
        <v>0</v>
      </c>
      <c r="K118" s="2" t="str">
        <f>IFERROR(__xludf.DUMMYFUNCTION("""COMPUTED_VALUE"""),"CGPA")</f>
        <v>CGPA</v>
      </c>
      <c r="L118" s="2" t="str">
        <f>IFERROR(__xludf.DUMMYFUNCTION("""COMPUTED_VALUE"""),"Theory")</f>
        <v>Theory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IFERROR(__xludf.DUMMYFUNCTION("""COMPUTED_VALUE"""),"PE")</f>
        <v>PE</v>
      </c>
      <c r="D119" s="2" t="str">
        <f>IFERROR(__xludf.DUMMYFUNCTION("""COMPUTED_VALUE"""),"CS4504")</f>
        <v>CS4504</v>
      </c>
      <c r="E119" s="2" t="str">
        <f>IFERROR(__xludf.DUMMYFUNCTION("""COMPUTED_VALUE"""),"19AM504")</f>
        <v>19AM504</v>
      </c>
      <c r="F119" s="7" t="str">
        <f>IFERROR(__xludf.DUMMYFUNCTION("""COMPUTED_VALUE"""),"Brain Computer Interaction")</f>
        <v>Brain Computer Interaction</v>
      </c>
      <c r="G119" s="2" t="str">
        <f>IFERROR(__xludf.DUMMYFUNCTION("""COMPUTED_VALUE"""),"-")</f>
        <v>-</v>
      </c>
      <c r="H119" s="2">
        <f>IFERROR(__xludf.DUMMYFUNCTION("""COMPUTED_VALUE"""),3)</f>
        <v>3</v>
      </c>
      <c r="I119" s="2">
        <f>IFERROR(__xludf.DUMMYFUNCTION("""COMPUTED_VALUE"""),3)</f>
        <v>3</v>
      </c>
      <c r="J119" s="2">
        <f>IFERROR(__xludf.DUMMYFUNCTION("""COMPUTED_VALUE"""),0)</f>
        <v>0</v>
      </c>
      <c r="K119" s="2" t="str">
        <f>IFERROR(__xludf.DUMMYFUNCTION("""COMPUTED_VALUE"""),"CGPA")</f>
        <v>CGPA</v>
      </c>
      <c r="L119" s="2" t="str">
        <f>IFERROR(__xludf.DUMMYFUNCTION("""COMPUTED_VALUE"""),"Theory")</f>
        <v>Theory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IFERROR(__xludf.DUMMYFUNCTION("""COMPUTED_VALUE"""),"CS4505")</f>
        <v>CS4505</v>
      </c>
      <c r="E120" s="2" t="str">
        <f>IFERROR(__xludf.DUMMYFUNCTION("""COMPUTED_VALUE"""),"19AM505")</f>
        <v>19AM505</v>
      </c>
      <c r="F120" s="7" t="str">
        <f>IFERROR(__xludf.DUMMYFUNCTION("""COMPUTED_VALUE"""),"Statistical Learning Theory")</f>
        <v>Statistical Learning Theory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IFERROR(__xludf.DUMMYFUNCTION("""COMPUTED_VALUE"""),2)</f>
        <v>2</v>
      </c>
      <c r="J120" s="2">
        <f>IFERROR(__xludf.DUMMYFUNCTION("""COMPUTED_VALUE"""),1)</f>
        <v>1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IFERROR(__xludf.DUMMYFUNCTION("""COMPUTED_VALUE"""),"CS4506")</f>
        <v>CS4506</v>
      </c>
      <c r="E121" s="2" t="str">
        <f>IFERROR(__xludf.DUMMYFUNCTION("""COMPUTED_VALUE"""),"19AM506")</f>
        <v>19AM506</v>
      </c>
      <c r="F121" s="7" t="str">
        <f>IFERROR(__xludf.DUMMYFUNCTION("""COMPUTED_VALUE"""),"Sensors and Actuators for IoT")</f>
        <v>Sensors and Actuators for IoT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IFERROR(__xludf.DUMMYFUNCTION("""COMPUTED_VALUE"""),2)</f>
        <v>2</v>
      </c>
      <c r="J121" s="2">
        <f>IFERROR(__xludf.DUMMYFUNCTION("""COMPUTED_VALUE"""),1)</f>
        <v>1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IFERROR(__xludf.DUMMYFUNCTION("""COMPUTED_VALUE"""),"CS4507")</f>
        <v>CS4507</v>
      </c>
      <c r="E122" s="2" t="str">
        <f>IFERROR(__xludf.DUMMYFUNCTION("""COMPUTED_VALUE"""),"19AM507")</f>
        <v>19AM507</v>
      </c>
      <c r="F122" s="7" t="str">
        <f>IFERROR(__xludf.DUMMYFUNCTION("""COMPUTED_VALUE"""),"Security and Trust in IoT")</f>
        <v>Security and Trust in IoT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IFERROR(__xludf.DUMMYFUNCTION("""COMPUTED_VALUE"""),2)</f>
        <v>2</v>
      </c>
      <c r="J122" s="2">
        <f>IFERROR(__xludf.DUMMYFUNCTION("""COMPUTED_VALUE"""),1)</f>
        <v>1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5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IFERROR(__xludf.DUMMYFUNCTION("""COMPUTED_VALUE"""),"CS4509")</f>
        <v>CS4509</v>
      </c>
      <c r="E123" s="26" t="str">
        <f>IFERROR(__xludf.DUMMYFUNCTION("""COMPUTED_VALUE"""),"19AM509")</f>
        <v>19AM509</v>
      </c>
      <c r="F123" s="27" t="str">
        <f>IFERROR(__xludf.DUMMYFUNCTION("""COMPUTED_VALUE"""),"Industrial Internet of Things")</f>
        <v>Industrial Internet of Things</v>
      </c>
      <c r="G123" s="26" t="str">
        <f>IFERROR(__xludf.DUMMYFUNCTION("""COMPUTED_VALUE"""),"-")</f>
        <v>-</v>
      </c>
      <c r="H123" s="26">
        <f>IFERROR(__xludf.DUMMYFUNCTION("""COMPUTED_VALUE"""),2)</f>
        <v>2</v>
      </c>
      <c r="I123" s="26">
        <f>IFERROR(__xludf.DUMMYFUNCTION("""COMPUTED_VALUE"""),2)</f>
        <v>2</v>
      </c>
      <c r="J123" s="26">
        <f>IFERROR(__xludf.DUMMYFUNCTION("""COMPUTED_VALUE"""),1)</f>
        <v>1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</row>
    <row r="124" ht="13.2" spans="1:15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IFERROR(__xludf.DUMMYFUNCTION("""COMPUTED_VALUE"""),"CS4510")</f>
        <v>CS4510</v>
      </c>
      <c r="E124" s="26" t="str">
        <f>IFERROR(__xludf.DUMMYFUNCTION("""COMPUTED_VALUE"""),"19AM510")</f>
        <v>19AM510</v>
      </c>
      <c r="F124" s="27" t="str">
        <f>IFERROR(__xludf.DUMMYFUNCTION("""COMPUTED_VALUE"""),"Software for Embedded Systems")</f>
        <v>Software for Embedded Systems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IFERROR(__xludf.DUMMYFUNCTION("""COMPUTED_VALUE"""),2)</f>
        <v>2</v>
      </c>
      <c r="J124" s="26">
        <f>IFERROR(__xludf.DUMMYFUNCTION("""COMPUTED_VALUE"""),1)</f>
        <v>1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</row>
    <row r="125" ht="13.2" spans="1:15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IFERROR(__xludf.DUMMYFUNCTION("""COMPUTED_VALUE"""),"CS4511")</f>
        <v>CS4511</v>
      </c>
      <c r="E125" s="26" t="str">
        <f>IFERROR(__xludf.DUMMYFUNCTION("""COMPUTED_VALUE"""),"19AM511")</f>
        <v>19AM511</v>
      </c>
      <c r="F125" s="27" t="str">
        <f>IFERROR(__xludf.DUMMYFUNCTION("""COMPUTED_VALUE"""),"IoT Architecture and Protocols")</f>
        <v>IoT Architecture and Protocols</v>
      </c>
      <c r="G125" s="26" t="str">
        <f>IFERROR(__xludf.DUMMYFUNCTION("""COMPUTED_VALUE"""),"-")</f>
        <v>-</v>
      </c>
      <c r="H125" s="26">
        <f>IFERROR(__xludf.DUMMYFUNCTION("""COMPUTED_VALUE"""),3)</f>
        <v>3</v>
      </c>
      <c r="I125" s="26">
        <f>IFERROR(__xludf.DUMMYFUNCTION("""COMPUTED_VALUE"""),3)</f>
        <v>3</v>
      </c>
      <c r="J125" s="26">
        <f>IFERROR(__xludf.DUMMYFUNCTION("""COMPUTED_VALUE"""),0)</f>
        <v>0</v>
      </c>
      <c r="K125" s="26" t="str">
        <f>IFERROR(__xludf.DUMMYFUNCTION("""COMPUTED_VALUE"""),"CGPA")</f>
        <v>CGPA</v>
      </c>
      <c r="L125" s="26" t="str">
        <f>IFERROR(__xludf.DUMMYFUNCTION("""COMPUTED_VALUE"""),"Theory")</f>
        <v>Theory</v>
      </c>
      <c r="M125" s="26"/>
      <c r="N125" s="26"/>
      <c r="O125" s="26"/>
    </row>
    <row r="126" ht="13.2" spans="1:15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IFERROR(__xludf.DUMMYFUNCTION("""COMPUTED_VALUE"""),"CS4512")</f>
        <v>CS4512</v>
      </c>
      <c r="E126" s="26" t="str">
        <f>IFERROR(__xludf.DUMMYFUNCTION("""COMPUTED_VALUE"""),"19AM512")</f>
        <v>19AM512</v>
      </c>
      <c r="F126" s="27" t="str">
        <f>IFERROR(__xludf.DUMMYFUNCTION("""COMPUTED_VALUE"""),"Arduino for IoT")</f>
        <v>Arduino for IoT</v>
      </c>
      <c r="G126" s="26" t="str">
        <f>IFERROR(__xludf.DUMMYFUNCTION("""COMPUTED_VALUE"""),"-")</f>
        <v>-</v>
      </c>
      <c r="H126" s="26">
        <f>IFERROR(__xludf.DUMMYFUNCTION("""COMPUTED_VALUE"""),2)</f>
        <v>2</v>
      </c>
      <c r="I126" s="26">
        <f>IFERROR(__xludf.DUMMYFUNCTION("""COMPUTED_VALUE"""),2)</f>
        <v>2</v>
      </c>
      <c r="J126" s="26">
        <f>IFERROR(__xludf.DUMMYFUNCTION("""COMPUTED_VALUE"""),1)</f>
        <v>1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</row>
    <row r="127" ht="13.2" spans="1:15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IFERROR(__xludf.DUMMYFUNCTION("""COMPUTED_VALUE"""),"CS4513")</f>
        <v>CS4513</v>
      </c>
      <c r="E127" s="26" t="str">
        <f>IFERROR(__xludf.DUMMYFUNCTION("""COMPUTED_VALUE"""),"19AM513")</f>
        <v>19AM513</v>
      </c>
      <c r="F127" s="27" t="str">
        <f>IFERROR(__xludf.DUMMYFUNCTION("""COMPUTED_VALUE"""),"Raspberry Pi for IoT")</f>
        <v>Raspberry Pi for IoT</v>
      </c>
      <c r="G127" s="26" t="str">
        <f>IFERROR(__xludf.DUMMYFUNCTION("""COMPUTED_VALUE"""),"-")</f>
        <v>-</v>
      </c>
      <c r="H127" s="26">
        <f>IFERROR(__xludf.DUMMYFUNCTION("""COMPUTED_VALUE"""),2)</f>
        <v>2</v>
      </c>
      <c r="I127" s="26">
        <f>IFERROR(__xludf.DUMMYFUNCTION("""COMPUTED_VALUE"""),2)</f>
        <v>2</v>
      </c>
      <c r="J127" s="26">
        <f>IFERROR(__xludf.DUMMYFUNCTION("""COMPUTED_VALUE"""),1)</f>
        <v>1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</row>
    <row r="128" ht="13.2" spans="1:15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IFERROR(__xludf.DUMMYFUNCTION("""COMPUTED_VALUE"""),"CS4514")</f>
        <v>CS4514</v>
      </c>
      <c r="E128" s="26" t="str">
        <f>IFERROR(__xludf.DUMMYFUNCTION("""COMPUTED_VALUE"""),"19AM514")</f>
        <v>19AM514</v>
      </c>
      <c r="F128" s="27" t="str">
        <f>IFERROR(__xludf.DUMMYFUNCTION("""COMPUTED_VALUE"""),"Motion Planning Techniques")</f>
        <v>Motion Planning Techniques</v>
      </c>
      <c r="G128" s="26" t="str">
        <f>IFERROR(__xludf.DUMMYFUNCTION("""COMPUTED_VALUE"""),"-")</f>
        <v>-</v>
      </c>
      <c r="H128" s="26">
        <f>IFERROR(__xludf.DUMMYFUNCTION("""COMPUTED_VALUE"""),2)</f>
        <v>2</v>
      </c>
      <c r="I128" s="26">
        <f>IFERROR(__xludf.DUMMYFUNCTION("""COMPUTED_VALUE"""),2)</f>
        <v>2</v>
      </c>
      <c r="J128" s="26">
        <f>IFERROR(__xludf.DUMMYFUNCTION("""COMPUTED_VALUE"""),1)</f>
        <v>1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</row>
    <row r="129" ht="13.2" spans="1:15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IFERROR(__xludf.DUMMYFUNCTION("""COMPUTED_VALUE"""),"CS4515")</f>
        <v>CS4515</v>
      </c>
      <c r="E129" s="26" t="str">
        <f>IFERROR(__xludf.DUMMYFUNCTION("""COMPUTED_VALUE"""),"19AM515")</f>
        <v>19AM515</v>
      </c>
      <c r="F129" s="27" t="str">
        <f>IFERROR(__xludf.DUMMYFUNCTION("""COMPUTED_VALUE"""),"Advanced Java Programming")</f>
        <v>Advanced Java Programming</v>
      </c>
      <c r="G129" s="26" t="str">
        <f>IFERROR(__xludf.DUMMYFUNCTION("""COMPUTED_VALUE"""),"-")</f>
        <v>-</v>
      </c>
      <c r="H129" s="26">
        <f>IFERROR(__xludf.DUMMYFUNCTION("""COMPUTED_VALUE"""),2)</f>
        <v>2</v>
      </c>
      <c r="I129" s="26">
        <f>IFERROR(__xludf.DUMMYFUNCTION("""COMPUTED_VALUE"""),2)</f>
        <v>2</v>
      </c>
      <c r="J129" s="26">
        <f>IFERROR(__xludf.DUMMYFUNCTION("""COMPUTED_VALUE"""),1)</f>
        <v>1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</row>
    <row r="130" ht="13.2" spans="1:15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IFERROR(__xludf.DUMMYFUNCTION("""COMPUTED_VALUE"""),"CS4516")</f>
        <v>CS4516</v>
      </c>
      <c r="E130" s="26" t="str">
        <f>IFERROR(__xludf.DUMMYFUNCTION("""COMPUTED_VALUE"""),"19AM516")</f>
        <v>19AM516</v>
      </c>
      <c r="F130" s="27" t="str">
        <f>IFERROR(__xludf.DUMMYFUNCTION("""COMPUTED_VALUE"""),"Python Programming for IoT")</f>
        <v>Python Programming for IoT</v>
      </c>
      <c r="G130" s="26" t="str">
        <f>IFERROR(__xludf.DUMMYFUNCTION("""COMPUTED_VALUE"""),"-")</f>
        <v>-</v>
      </c>
      <c r="H130" s="26">
        <f>IFERROR(__xludf.DUMMYFUNCTION("""COMPUTED_VALUE"""),3)</f>
        <v>3</v>
      </c>
      <c r="I130" s="26">
        <f>IFERROR(__xludf.DUMMYFUNCTION("""COMPUTED_VALUE"""),3)</f>
        <v>3</v>
      </c>
      <c r="J130" s="26">
        <f>IFERROR(__xludf.DUMMYFUNCTION("""COMPUTED_VALUE"""),0)</f>
        <v>0</v>
      </c>
      <c r="K130" s="26" t="str">
        <f>IFERROR(__xludf.DUMMYFUNCTION("""COMPUTED_VALUE"""),"CGPA")</f>
        <v>CGPA</v>
      </c>
      <c r="L130" s="26" t="str">
        <f>IFERROR(__xludf.DUMMYFUNCTION("""COMPUTED_VALUE"""),"Theory")</f>
        <v>Theory</v>
      </c>
      <c r="M130" s="26"/>
      <c r="N130" s="26"/>
      <c r="O130" s="26"/>
    </row>
    <row r="131" ht="13.2" spans="1:15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IFERROR(__xludf.DUMMYFUNCTION("""COMPUTED_VALUE"""),"CS4517")</f>
        <v>CS4517</v>
      </c>
      <c r="E131" s="26" t="str">
        <f>IFERROR(__xludf.DUMMYFUNCTION("""COMPUTED_VALUE"""),"19AM517")</f>
        <v>19AM517</v>
      </c>
      <c r="F131" s="27" t="str">
        <f>IFERROR(__xludf.DUMMYFUNCTION("""COMPUTED_VALUE"""),"Applications of IoT in Robotics")</f>
        <v>Applications of IoT in Robotics</v>
      </c>
      <c r="G131" s="26" t="str">
        <f>IFERROR(__xludf.DUMMYFUNCTION("""COMPUTED_VALUE"""),"-")</f>
        <v>-</v>
      </c>
      <c r="H131" s="26">
        <f>IFERROR(__xludf.DUMMYFUNCTION("""COMPUTED_VALUE"""),3)</f>
        <v>3</v>
      </c>
      <c r="I131" s="26">
        <f>IFERROR(__xludf.DUMMYFUNCTION("""COMPUTED_VALUE"""),3)</f>
        <v>3</v>
      </c>
      <c r="J131" s="26">
        <f>IFERROR(__xludf.DUMMYFUNCTION("""COMPUTED_VALUE"""),0)</f>
        <v>0</v>
      </c>
      <c r="K131" s="26" t="str">
        <f>IFERROR(__xludf.DUMMYFUNCTION("""COMPUTED_VALUE"""),"CGPA")</f>
        <v>CGPA</v>
      </c>
      <c r="L131" s="26" t="str">
        <f>IFERROR(__xludf.DUMMYFUNCTION("""COMPUTED_VALUE"""),"Theory")</f>
        <v>Theory</v>
      </c>
      <c r="M131" s="26"/>
      <c r="N131" s="26"/>
      <c r="O131" s="26"/>
    </row>
    <row r="132" ht="13.2" spans="1:15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IFERROR(__xludf.DUMMYFUNCTION("""COMPUTED_VALUE"""),"CS4518")</f>
        <v>CS4518</v>
      </c>
      <c r="E132" s="26" t="str">
        <f>IFERROR(__xludf.DUMMYFUNCTION("""COMPUTED_VALUE"""),"19AM518")</f>
        <v>19AM518</v>
      </c>
      <c r="F132" s="27" t="str">
        <f>IFERROR(__xludf.DUMMYFUNCTION("""COMPUTED_VALUE"""),"Programming for IoT Boards")</f>
        <v>Programming for IoT Boards</v>
      </c>
      <c r="G132" s="26" t="str">
        <f>IFERROR(__xludf.DUMMYFUNCTION("""COMPUTED_VALUE"""),"-")</f>
        <v>-</v>
      </c>
      <c r="H132" s="26">
        <f>IFERROR(__xludf.DUMMYFUNCTION("""COMPUTED_VALUE"""),3)</f>
        <v>3</v>
      </c>
      <c r="I132" s="26">
        <f>IFERROR(__xludf.DUMMYFUNCTION("""COMPUTED_VALUE"""),3)</f>
        <v>3</v>
      </c>
      <c r="J132" s="26">
        <f>IFERROR(__xludf.DUMMYFUNCTION("""COMPUTED_VALUE"""),0)</f>
        <v>0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</row>
    <row r="133" ht="13.2" spans="1:15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IFERROR(__xludf.DUMMYFUNCTION("""COMPUTED_VALUE"""),"CS4519")</f>
        <v>CS4519</v>
      </c>
      <c r="E133" s="26" t="str">
        <f>IFERROR(__xludf.DUMMYFUNCTION("""COMPUTED_VALUE"""),"19AM519")</f>
        <v>19AM519</v>
      </c>
      <c r="F133" s="27" t="str">
        <f>IFERROR(__xludf.DUMMYFUNCTION("""COMPUTED_VALUE"""),"Design of Smart Cities")</f>
        <v>Design of Smart Cities</v>
      </c>
      <c r="G133" s="26" t="str">
        <f>IFERROR(__xludf.DUMMYFUNCTION("""COMPUTED_VALUE"""),"-")</f>
        <v>-</v>
      </c>
      <c r="H133" s="26">
        <f>IFERROR(__xludf.DUMMYFUNCTION("""COMPUTED_VALUE"""),3)</f>
        <v>3</v>
      </c>
      <c r="I133" s="26">
        <f>IFERROR(__xludf.DUMMYFUNCTION("""COMPUTED_VALUE"""),3)</f>
        <v>3</v>
      </c>
      <c r="J133" s="26">
        <f>IFERROR(__xludf.DUMMYFUNCTION("""COMPUTED_VALUE"""),0)</f>
        <v>0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</row>
    <row r="134" ht="13.2" spans="1:15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IFERROR(__xludf.DUMMYFUNCTION("""COMPUTED_VALUE"""),"CS4520")</f>
        <v>CS4520</v>
      </c>
      <c r="E134" s="26" t="str">
        <f>IFERROR(__xludf.DUMMYFUNCTION("""COMPUTED_VALUE"""),"19AM520")</f>
        <v>19AM520</v>
      </c>
      <c r="F134" s="27" t="str">
        <f>IFERROR(__xludf.DUMMYFUNCTION("""COMPUTED_VALUE"""),"IoT and Multimedia Technology")</f>
        <v>IoT and Multimedia Technology</v>
      </c>
      <c r="G134" s="26" t="str">
        <f>IFERROR(__xludf.DUMMYFUNCTION("""COMPUTED_VALUE"""),"-")</f>
        <v>-</v>
      </c>
      <c r="H134" s="26">
        <f>IFERROR(__xludf.DUMMYFUNCTION("""COMPUTED_VALUE"""),3)</f>
        <v>3</v>
      </c>
      <c r="I134" s="26">
        <f>IFERROR(__xludf.DUMMYFUNCTION("""COMPUTED_VALUE"""),3)</f>
        <v>3</v>
      </c>
      <c r="J134" s="26">
        <f>IFERROR(__xludf.DUMMYFUNCTION("""COMPUTED_VALUE"""),0)</f>
        <v>0</v>
      </c>
      <c r="K134" s="26" t="str">
        <f>IFERROR(__xludf.DUMMYFUNCTION("""COMPUTED_VALUE"""),"CGPA")</f>
        <v>CGPA</v>
      </c>
      <c r="L134" s="26" t="str">
        <f>IFERROR(__xludf.DUMMYFUNCTION("""COMPUTED_VALUE"""),"Theory")</f>
        <v>Theory</v>
      </c>
      <c r="M134" s="26"/>
      <c r="N134" s="26"/>
      <c r="O134" s="26"/>
    </row>
    <row r="135" ht="13.2" spans="1:15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IFERROR(__xludf.DUMMYFUNCTION("""COMPUTED_VALUE"""),"CS4521")</f>
        <v>CS4521</v>
      </c>
      <c r="E135" s="26" t="str">
        <f>IFERROR(__xludf.DUMMYFUNCTION("""COMPUTED_VALUE"""),"19AM521")</f>
        <v>19AM521</v>
      </c>
      <c r="F135" s="27" t="str">
        <f>IFERROR(__xludf.DUMMYFUNCTION("""COMPUTED_VALUE"""),"Mobile Application Development for IoT")</f>
        <v>Mobile Application Development for IoT</v>
      </c>
      <c r="G135" s="26" t="str">
        <f>IFERROR(__xludf.DUMMYFUNCTION("""COMPUTED_VALUE"""),"-")</f>
        <v>-</v>
      </c>
      <c r="H135" s="26">
        <f>IFERROR(__xludf.DUMMYFUNCTION("""COMPUTED_VALUE"""),3)</f>
        <v>3</v>
      </c>
      <c r="I135" s="26">
        <f>IFERROR(__xludf.DUMMYFUNCTION("""COMPUTED_VALUE"""),3)</f>
        <v>3</v>
      </c>
      <c r="J135" s="26">
        <f>IFERROR(__xludf.DUMMYFUNCTION("""COMPUTED_VALUE"""),0)</f>
        <v>0</v>
      </c>
      <c r="K135" s="26" t="str">
        <f>IFERROR(__xludf.DUMMYFUNCTION("""COMPUTED_VALUE"""),"CGPA")</f>
        <v>CGPA</v>
      </c>
      <c r="L135" s="26" t="str">
        <f>IFERROR(__xludf.DUMMYFUNCTION("""COMPUTED_VALUE"""),"Theory")</f>
        <v>Theory</v>
      </c>
      <c r="M135" s="26"/>
      <c r="N135" s="26"/>
      <c r="O135" s="26"/>
    </row>
    <row r="136" ht="13.2" spans="1:15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IFERROR(__xludf.DUMMYFUNCTION("""COMPUTED_VALUE"""),"CS4522")</f>
        <v>CS4522</v>
      </c>
      <c r="E136" s="26" t="str">
        <f>IFERROR(__xludf.DUMMYFUNCTION("""COMPUTED_VALUE"""),"19AM522")</f>
        <v>19AM522</v>
      </c>
      <c r="F136" s="27" t="str">
        <f>IFERROR(__xludf.DUMMYFUNCTION("""COMPUTED_VALUE"""),"Open Source Programming for IoT")</f>
        <v>Open Source Programming for IoT</v>
      </c>
      <c r="G136" s="26" t="str">
        <f>IFERROR(__xludf.DUMMYFUNCTION("""COMPUTED_VALUE"""),"-")</f>
        <v>-</v>
      </c>
      <c r="H136" s="26">
        <f>IFERROR(__xludf.DUMMYFUNCTION("""COMPUTED_VALUE"""),3)</f>
        <v>3</v>
      </c>
      <c r="I136" s="26">
        <f>IFERROR(__xludf.DUMMYFUNCTION("""COMPUTED_VALUE"""),3)</f>
        <v>3</v>
      </c>
      <c r="J136" s="26">
        <f>IFERROR(__xludf.DUMMYFUNCTION("""COMPUTED_VALUE"""),0)</f>
        <v>0</v>
      </c>
      <c r="K136" s="26" t="str">
        <f>IFERROR(__xludf.DUMMYFUNCTION("""COMPUTED_VALUE"""),"CGPA")</f>
        <v>CGPA</v>
      </c>
      <c r="L136" s="26" t="str">
        <f>IFERROR(__xludf.DUMMYFUNCTION("""COMPUTED_VALUE"""),"Theory")</f>
        <v>Theory</v>
      </c>
      <c r="M136" s="26"/>
      <c r="N136" s="26"/>
      <c r="O136" s="26"/>
    </row>
    <row r="137" ht="13.2" spans="1:15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IFERROR(__xludf.DUMMYFUNCTION("""COMPUTED_VALUE"""),"CS1416")</f>
        <v>CS1416</v>
      </c>
      <c r="E137" s="26" t="str">
        <f>IFERROR(__xludf.DUMMYFUNCTION("""COMPUTED_VALUE"""),"19CS416")</f>
        <v>19CS416</v>
      </c>
      <c r="F137" s="27" t="str">
        <f>IFERROR(__xludf.DUMMYFUNCTION("""COMPUTED_VALUE"""),"Cloud Security")</f>
        <v>Cloud Security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IFERROR(__xludf.DUMMYFUNCTION("""COMPUTED_VALUE"""),2)</f>
        <v>2</v>
      </c>
      <c r="J137" s="26">
        <f>IFERROR(__xludf.DUMMYFUNCTION("""COMPUTED_VALUE"""),1)</f>
        <v>1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</row>
    <row r="138" ht="13.2" spans="1:15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IFERROR(__xludf.DUMMYFUNCTION("""COMPUTED_VALUE"""),"CS1417")</f>
        <v>CS1417</v>
      </c>
      <c r="E138" s="26" t="str">
        <f>IFERROR(__xludf.DUMMYFUNCTION("""COMPUTED_VALUE"""),"19CS417")</f>
        <v>19CS417</v>
      </c>
      <c r="F138" s="27" t="str">
        <f>IFERROR(__xludf.DUMMYFUNCTION("""COMPUTED_VALUE"""),"Ethical Hacking Techniques")</f>
        <v>Ethical Hacking Techniques</v>
      </c>
      <c r="G138" s="26" t="str">
        <f>IFERROR(__xludf.DUMMYFUNCTION("""COMPUTED_VALUE"""),"-")</f>
        <v>-</v>
      </c>
      <c r="H138" s="26">
        <f>IFERROR(__xludf.DUMMYFUNCTION("""COMPUTED_VALUE"""),2)</f>
        <v>2</v>
      </c>
      <c r="I138" s="26">
        <f>IFERROR(__xludf.DUMMYFUNCTION("""COMPUTED_VALUE"""),2)</f>
        <v>2</v>
      </c>
      <c r="J138" s="26">
        <f>IFERROR(__xludf.DUMMYFUNCTION("""COMPUTED_VALUE"""),1)</f>
        <v>1</v>
      </c>
      <c r="K138" s="26" t="str">
        <f>IFERROR(__xludf.DUMMYFUNCTION("""COMPUTED_VALUE"""),"CGPA")</f>
        <v>CGPA</v>
      </c>
      <c r="L138" s="26" t="str">
        <f>IFERROR(__xludf.DUMMYFUNCTION("""COMPUTED_VALUE"""),"TIP (6 Expts)")</f>
        <v>TIP (6 Expts)</v>
      </c>
      <c r="M138" s="26"/>
      <c r="N138" s="26"/>
      <c r="O138" s="26"/>
    </row>
    <row r="139" ht="13.2" spans="1:15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IFERROR(__xludf.DUMMYFUNCTION("""COMPUTED_VALUE"""),"CS1418")</f>
        <v>CS1418</v>
      </c>
      <c r="E139" s="26" t="str">
        <f>IFERROR(__xludf.DUMMYFUNCTION("""COMPUTED_VALUE"""),"19CS418")</f>
        <v>19CS418</v>
      </c>
      <c r="F139" s="27" t="str">
        <f>IFERROR(__xludf.DUMMYFUNCTION("""COMPUTED_VALUE"""),"Cyber Law and Compliance")</f>
        <v>Cyber Law and Compliance</v>
      </c>
      <c r="G139" s="26" t="str">
        <f>IFERROR(__xludf.DUMMYFUNCTION("""COMPUTED_VALUE"""),"-")</f>
        <v>-</v>
      </c>
      <c r="H139" s="26">
        <f>IFERROR(__xludf.DUMMYFUNCTION("""COMPUTED_VALUE"""),3)</f>
        <v>3</v>
      </c>
      <c r="I139" s="26">
        <f>IFERROR(__xludf.DUMMYFUNCTION("""COMPUTED_VALUE"""),3)</f>
        <v>3</v>
      </c>
      <c r="J139" s="26">
        <f>IFERROR(__xludf.DUMMYFUNCTION("""COMPUTED_VALUE"""),0)</f>
        <v>0</v>
      </c>
      <c r="K139" s="26" t="str">
        <f>IFERROR(__xludf.DUMMYFUNCTION("""COMPUTED_VALUE"""),"CGPA")</f>
        <v>CGPA</v>
      </c>
      <c r="L139" s="26" t="str">
        <f>IFERROR(__xludf.DUMMYFUNCTION("""COMPUTED_VALUE"""),"Theory")</f>
        <v>Theory</v>
      </c>
      <c r="M139" s="26"/>
      <c r="N139" s="26"/>
      <c r="O139" s="26"/>
    </row>
    <row r="140" ht="13.2" spans="1:15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IFERROR(__xludf.DUMMYFUNCTION("""COMPUTED_VALUE"""),"CS1419")</f>
        <v>CS1419</v>
      </c>
      <c r="E140" s="26" t="str">
        <f>IFERROR(__xludf.DUMMYFUNCTION("""COMPUTED_VALUE"""),"19CS419")</f>
        <v>19CS419</v>
      </c>
      <c r="F140" s="27" t="str">
        <f>IFERROR(__xludf.DUMMYFUNCTION("""COMPUTED_VALUE"""),"Digital Forensics and Digital Investigations")</f>
        <v>Digital Forensics and Digital Investigations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IFERROR(__xludf.DUMMYFUNCTION("""COMPUTED_VALUE"""),2)</f>
        <v>2</v>
      </c>
      <c r="J140" s="26">
        <f>IFERROR(__xludf.DUMMYFUNCTION("""COMPUTED_VALUE"""),1)</f>
        <v>1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</row>
    <row r="141" ht="13.2" spans="1:15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IFERROR(__xludf.DUMMYFUNCTION("""COMPUTED_VALUE"""),"CS1420")</f>
        <v>CS1420</v>
      </c>
      <c r="E141" s="26" t="str">
        <f>IFERROR(__xludf.DUMMYFUNCTION("""COMPUTED_VALUE"""),"19CS420")</f>
        <v>19CS420</v>
      </c>
      <c r="F141" s="27" t="str">
        <f>IFERROR(__xludf.DUMMYFUNCTION("""COMPUTED_VALUE"""),"Prototyping of IoT Systems")</f>
        <v>Prototyping of IoT Systems</v>
      </c>
      <c r="G141" s="26" t="str">
        <f>IFERROR(__xludf.DUMMYFUNCTION("""COMPUTED_VALUE"""),"-")</f>
        <v>-</v>
      </c>
      <c r="H141" s="26">
        <f>IFERROR(__xludf.DUMMYFUNCTION("""COMPUTED_VALUE"""),2)</f>
        <v>2</v>
      </c>
      <c r="I141" s="26">
        <f>IFERROR(__xludf.DUMMYFUNCTION("""COMPUTED_VALUE"""),2)</f>
        <v>2</v>
      </c>
      <c r="J141" s="26">
        <f>IFERROR(__xludf.DUMMYFUNCTION("""COMPUTED_VALUE"""),1)</f>
        <v>1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</row>
    <row r="142" ht="13.2" spans="1:15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IFERROR(__xludf.DUMMYFUNCTION("""COMPUTED_VALUE"""),"CS1421")</f>
        <v>CS1421</v>
      </c>
      <c r="E142" s="26" t="str">
        <f>IFERROR(__xludf.DUMMYFUNCTION("""COMPUTED_VALUE"""),"19CS421")</f>
        <v>19CS421</v>
      </c>
      <c r="F142" s="27" t="str">
        <f>IFERROR(__xludf.DUMMYFUNCTION("""COMPUTED_VALUE"""),"Edge Computing")</f>
        <v>Edge Computing</v>
      </c>
      <c r="G142" s="26" t="str">
        <f>IFERROR(__xludf.DUMMYFUNCTION("""COMPUTED_VALUE"""),"-")</f>
        <v>-</v>
      </c>
      <c r="H142" s="26">
        <f>IFERROR(__xludf.DUMMYFUNCTION("""COMPUTED_VALUE"""),2)</f>
        <v>2</v>
      </c>
      <c r="I142" s="26">
        <f>IFERROR(__xludf.DUMMYFUNCTION("""COMPUTED_VALUE"""),2)</f>
        <v>2</v>
      </c>
      <c r="J142" s="26">
        <f>IFERROR(__xludf.DUMMYFUNCTION("""COMPUTED_VALUE"""),1)</f>
        <v>1</v>
      </c>
      <c r="K142" s="26" t="str">
        <f>IFERROR(__xludf.DUMMYFUNCTION("""COMPUTED_VALUE"""),"CGPA")</f>
        <v>CGPA</v>
      </c>
      <c r="L142" s="26" t="str">
        <f>IFERROR(__xludf.DUMMYFUNCTION("""COMPUTED_VALUE"""),"TIP (6 Expts)")</f>
        <v>TIP (6 Expts)</v>
      </c>
      <c r="M142" s="26"/>
      <c r="N142" s="26"/>
      <c r="O142" s="26"/>
    </row>
    <row r="143" ht="13.2" spans="1:15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IFERROR(__xludf.DUMMYFUNCTION("""COMPUTED_VALUE"""),"CS1422")</f>
        <v>CS1422</v>
      </c>
      <c r="E143" s="26" t="str">
        <f>IFERROR(__xludf.DUMMYFUNCTION("""COMPUTED_VALUE"""),"19CS422")</f>
        <v>19CS422</v>
      </c>
      <c r="F143" s="27" t="str">
        <f>IFERROR(__xludf.DUMMYFUNCTION("""COMPUTED_VALUE"""),"Security for IoT Systems")</f>
        <v>Security for IoT Systems</v>
      </c>
      <c r="G143" s="26" t="str">
        <f>IFERROR(__xludf.DUMMYFUNCTION("""COMPUTED_VALUE"""),"-")</f>
        <v>-</v>
      </c>
      <c r="H143" s="26">
        <f>IFERROR(__xludf.DUMMYFUNCTION("""COMPUTED_VALUE"""),3)</f>
        <v>3</v>
      </c>
      <c r="I143" s="26">
        <f>IFERROR(__xludf.DUMMYFUNCTION("""COMPUTED_VALUE"""),3)</f>
        <v>3</v>
      </c>
      <c r="J143" s="26">
        <f>IFERROR(__xludf.DUMMYFUNCTION("""COMPUTED_VALUE"""),0)</f>
        <v>0</v>
      </c>
      <c r="K143" s="26" t="str">
        <f>IFERROR(__xludf.DUMMYFUNCTION("""COMPUTED_VALUE"""),"CGPA")</f>
        <v>CGPA</v>
      </c>
      <c r="L143" s="26" t="str">
        <f>IFERROR(__xludf.DUMMYFUNCTION("""COMPUTED_VALUE"""),"Theory")</f>
        <v>Theory</v>
      </c>
      <c r="M143" s="26"/>
      <c r="N143" s="26"/>
      <c r="O143" s="26"/>
    </row>
    <row r="144" ht="13.2" spans="1:15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IFERROR(__xludf.DUMMYFUNCTION("""COMPUTED_VALUE"""),"CS1502")</f>
        <v>CS1502</v>
      </c>
      <c r="E144" s="26" t="str">
        <f>IFERROR(__xludf.DUMMYFUNCTION("""COMPUTED_VALUE"""),"19CS502")</f>
        <v>19CS502</v>
      </c>
      <c r="F144" s="27" t="str">
        <f>IFERROR(__xludf.DUMMYFUNCTION("""COMPUTED_VALUE"""),"Computer Graphics and Multimedia")</f>
        <v>Computer Graphics and Multimedia</v>
      </c>
      <c r="G144" s="26" t="str">
        <f>IFERROR(__xludf.DUMMYFUNCTION("""COMPUTED_VALUE"""),"19CS401")</f>
        <v>19CS401</v>
      </c>
      <c r="H144" s="26">
        <f>IFERROR(__xludf.DUMMYFUNCTION("""COMPUTED_VALUE"""),3)</f>
        <v>3</v>
      </c>
      <c r="I144" s="26">
        <f>IFERROR(__xludf.DUMMYFUNCTION("""COMPUTED_VALUE"""),3)</f>
        <v>3</v>
      </c>
      <c r="J144" s="26">
        <f>IFERROR(__xludf.DUMMYFUNCTION("""COMPUTED_VALUE"""),0)</f>
        <v>0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</row>
    <row r="145" ht="13.2" spans="1:15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IFERROR(__xludf.DUMMYFUNCTION("""COMPUTED_VALUE"""),"CS1503")</f>
        <v>CS1503</v>
      </c>
      <c r="E145" s="26" t="str">
        <f>IFERROR(__xludf.DUMMYFUNCTION("""COMPUTED_VALUE"""),"19CS503")</f>
        <v>19CS503</v>
      </c>
      <c r="F145" s="27" t="str">
        <f>IFERROR(__xludf.DUMMYFUNCTION("""COMPUTED_VALUE"""),"Developing Web Application in .Net")</f>
        <v>Developing Web Application in .Net</v>
      </c>
      <c r="G145" s="26" t="str">
        <f>IFERROR(__xludf.DUMMYFUNCTION("""COMPUTED_VALUE"""),"19CS404/19CS410")</f>
        <v>19CS404/19CS410</v>
      </c>
      <c r="H145" s="26">
        <f>IFERROR(__xludf.DUMMYFUNCTION("""COMPUTED_VALUE"""),3)</f>
        <v>3</v>
      </c>
      <c r="I145" s="26">
        <f>IFERROR(__xludf.DUMMYFUNCTION("""COMPUTED_VALUE"""),3)</f>
        <v>3</v>
      </c>
      <c r="J145" s="26">
        <f>IFERROR(__xludf.DUMMYFUNCTION("""COMPUTED_VALUE"""),0)</f>
        <v>0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</row>
    <row r="146" ht="13.2" spans="1:15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IFERROR(__xludf.DUMMYFUNCTION("""COMPUTED_VALUE"""),"CS1504")</f>
        <v>CS1504</v>
      </c>
      <c r="E146" s="26" t="str">
        <f>IFERROR(__xludf.DUMMYFUNCTION("""COMPUTED_VALUE"""),"19CS504")</f>
        <v>19CS504</v>
      </c>
      <c r="F146" s="27" t="str">
        <f>IFERROR(__xludf.DUMMYFUNCTION("""COMPUTED_VALUE"""),"Software Project Management")</f>
        <v>Software Project Management</v>
      </c>
      <c r="G146" s="26" t="str">
        <f>IFERROR(__xludf.DUMMYFUNCTION("""COMPUTED_VALUE"""),"19CS408")</f>
        <v>19CS408</v>
      </c>
      <c r="H146" s="26">
        <f>IFERROR(__xludf.DUMMYFUNCTION("""COMPUTED_VALUE"""),3)</f>
        <v>3</v>
      </c>
      <c r="I146" s="26">
        <f>IFERROR(__xludf.DUMMYFUNCTION("""COMPUTED_VALUE"""),3)</f>
        <v>3</v>
      </c>
      <c r="J146" s="26">
        <f>IFERROR(__xludf.DUMMYFUNCTION("""COMPUTED_VALUE"""),0)</f>
        <v>0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</row>
    <row r="147" ht="13.2" spans="1:15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IFERROR(__xludf.DUMMYFUNCTION("""COMPUTED_VALUE"""),"CS1505")</f>
        <v>CS1505</v>
      </c>
      <c r="E147" s="26" t="str">
        <f>IFERROR(__xludf.DUMMYFUNCTION("""COMPUTED_VALUE"""),"19CS505")</f>
        <v>19CS505</v>
      </c>
      <c r="F147" s="27" t="str">
        <f>IFERROR(__xludf.DUMMYFUNCTION("""COMPUTED_VALUE"""),"Service Oriented Architecture")</f>
        <v>Service Oriented Architecture</v>
      </c>
      <c r="G147" s="26" t="str">
        <f>IFERROR(__xludf.DUMMYFUNCTION("""COMPUTED_VALUE"""),"-")</f>
        <v>-</v>
      </c>
      <c r="H147" s="26">
        <f>IFERROR(__xludf.DUMMYFUNCTION("""COMPUTED_VALUE"""),3)</f>
        <v>3</v>
      </c>
      <c r="I147" s="26">
        <f>IFERROR(__xludf.DUMMYFUNCTION("""COMPUTED_VALUE"""),3)</f>
        <v>3</v>
      </c>
      <c r="J147" s="26">
        <f>IFERROR(__xludf.DUMMYFUNCTION("""COMPUTED_VALUE"""),0)</f>
        <v>0</v>
      </c>
      <c r="K147" s="26" t="str">
        <f>IFERROR(__xludf.DUMMYFUNCTION("""COMPUTED_VALUE"""),"CGPA")</f>
        <v>CGPA</v>
      </c>
      <c r="L147" s="26" t="str">
        <f>IFERROR(__xludf.DUMMYFUNCTION("""COMPUTED_VALUE"""),"Theory")</f>
        <v>Theory</v>
      </c>
      <c r="M147" s="26"/>
      <c r="N147" s="26"/>
      <c r="O147" s="26"/>
    </row>
    <row r="148" ht="13.2" spans="1:15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IFERROR(__xludf.DUMMYFUNCTION("""COMPUTED_VALUE"""),"CS1506")</f>
        <v>CS1506</v>
      </c>
      <c r="E148" s="26" t="str">
        <f>IFERROR(__xludf.DUMMYFUNCTION("""COMPUTED_VALUE"""),"19CS506")</f>
        <v>19CS506</v>
      </c>
      <c r="F148" s="27" t="str">
        <f>IFERROR(__xludf.DUMMYFUNCTION("""COMPUTED_VALUE"""),"Multicore Architecture")</f>
        <v>Multicore Architecture</v>
      </c>
      <c r="G148" s="26" t="str">
        <f>IFERROR(__xludf.DUMMYFUNCTION("""COMPUTED_VALUE"""),"19CS305")</f>
        <v>19CS305</v>
      </c>
      <c r="H148" s="26">
        <f>IFERROR(__xludf.DUMMYFUNCTION("""COMPUTED_VALUE"""),3)</f>
        <v>3</v>
      </c>
      <c r="I148" s="26">
        <f>IFERROR(__xludf.DUMMYFUNCTION("""COMPUTED_VALUE"""),3)</f>
        <v>3</v>
      </c>
      <c r="J148" s="26">
        <f>IFERROR(__xludf.DUMMYFUNCTION("""COMPUTED_VALUE"""),0)</f>
        <v>0</v>
      </c>
      <c r="K148" s="26" t="str">
        <f>IFERROR(__xludf.DUMMYFUNCTION("""COMPUTED_VALUE"""),"CGPA")</f>
        <v>CGPA</v>
      </c>
      <c r="L148" s="26" t="str">
        <f>IFERROR(__xludf.DUMMYFUNCTION("""COMPUTED_VALUE"""),"Theory")</f>
        <v>Theory</v>
      </c>
      <c r="M148" s="26"/>
      <c r="N148" s="26"/>
      <c r="O148" s="26"/>
    </row>
    <row r="149" ht="13.2" spans="1:15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IFERROR(__xludf.DUMMYFUNCTION("""COMPUTED_VALUE"""),"CS1507")</f>
        <v>CS1507</v>
      </c>
      <c r="E149" s="26" t="str">
        <f>IFERROR(__xludf.DUMMYFUNCTION("""COMPUTED_VALUE"""),"19CS507")</f>
        <v>19CS507</v>
      </c>
      <c r="F149" s="27" t="str">
        <f>IFERROR(__xludf.DUMMYFUNCTION("""COMPUTED_VALUE"""),"Human Computer Interaction")</f>
        <v>Human Computer Interaction</v>
      </c>
      <c r="G149" s="26" t="str">
        <f>IFERROR(__xludf.DUMMYFUNCTION("""COMPUTED_VALUE"""),"19CS502/19CS408")</f>
        <v>19CS502/19CS408</v>
      </c>
      <c r="H149" s="26">
        <f>IFERROR(__xludf.DUMMYFUNCTION("""COMPUTED_VALUE"""),3)</f>
        <v>3</v>
      </c>
      <c r="I149" s="26">
        <f>IFERROR(__xludf.DUMMYFUNCTION("""COMPUTED_VALUE"""),3)</f>
        <v>3</v>
      </c>
      <c r="J149" s="26">
        <f>IFERROR(__xludf.DUMMYFUNCTION("""COMPUTED_VALUE"""),0)</f>
        <v>0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</row>
    <row r="150" ht="13.2" spans="1:15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IFERROR(__xludf.DUMMYFUNCTION("""COMPUTED_VALUE"""),"CS1508")</f>
        <v>CS1508</v>
      </c>
      <c r="E150" s="26" t="str">
        <f>IFERROR(__xludf.DUMMYFUNCTION("""COMPUTED_VALUE"""),"19CS508")</f>
        <v>19CS508</v>
      </c>
      <c r="F150" s="27" t="str">
        <f>IFERROR(__xludf.DUMMYFUNCTION("""COMPUTED_VALUE"""),"Parallel and Distributed Systems")</f>
        <v>Parallel and Distributed Systems</v>
      </c>
      <c r="G150" s="26" t="str">
        <f>IFERROR(__xludf.DUMMYFUNCTION("""COMPUTED_VALUE"""),"19CS305/19CS401")</f>
        <v>19CS305/19CS401</v>
      </c>
      <c r="H150" s="26">
        <f>IFERROR(__xludf.DUMMYFUNCTION("""COMPUTED_VALUE"""),3)</f>
        <v>3</v>
      </c>
      <c r="I150" s="26">
        <f>IFERROR(__xludf.DUMMYFUNCTION("""COMPUTED_VALUE"""),3)</f>
        <v>3</v>
      </c>
      <c r="J150" s="26">
        <f>IFERROR(__xludf.DUMMYFUNCTION("""COMPUTED_VALUE"""),0)</f>
        <v>0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</row>
    <row r="151" ht="13.2" spans="1:15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IFERROR(__xludf.DUMMYFUNCTION("""COMPUTED_VALUE"""),"CS1509")</f>
        <v>CS1509</v>
      </c>
      <c r="E151" s="26" t="str">
        <f>IFERROR(__xludf.DUMMYFUNCTION("""COMPUTED_VALUE"""),"19CS509")</f>
        <v>19CS509</v>
      </c>
      <c r="F151" s="27" t="str">
        <f>IFERROR(__xludf.DUMMYFUNCTION("""COMPUTED_VALUE"""),"Graph Theory and Applications")</f>
        <v>Graph Theory and Applications</v>
      </c>
      <c r="G151" s="26" t="str">
        <f>IFERROR(__xludf.DUMMYFUNCTION("""COMPUTED_VALUE"""),"19MA206")</f>
        <v>19MA206</v>
      </c>
      <c r="H151" s="26">
        <f>IFERROR(__xludf.DUMMYFUNCTION("""COMPUTED_VALUE"""),3)</f>
        <v>3</v>
      </c>
      <c r="I151" s="26">
        <f>IFERROR(__xludf.DUMMYFUNCTION("""COMPUTED_VALUE"""),3)</f>
        <v>3</v>
      </c>
      <c r="J151" s="26">
        <f>IFERROR(__xludf.DUMMYFUNCTION("""COMPUTED_VALUE"""),0)</f>
        <v>0</v>
      </c>
      <c r="K151" s="26" t="str">
        <f>IFERROR(__xludf.DUMMYFUNCTION("""COMPUTED_VALUE"""),"CGPA")</f>
        <v>CGPA</v>
      </c>
      <c r="L151" s="26" t="str">
        <f>IFERROR(__xludf.DUMMYFUNCTION("""COMPUTED_VALUE"""),"Theory")</f>
        <v>Theory</v>
      </c>
      <c r="M151" s="26"/>
      <c r="N151" s="26"/>
      <c r="O151" s="26"/>
    </row>
    <row r="152" ht="13.2" spans="1:15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IFERROR(__xludf.DUMMYFUNCTION("""COMPUTED_VALUE"""),"CS1510")</f>
        <v>CS1510</v>
      </c>
      <c r="E152" s="26" t="str">
        <f>IFERROR(__xludf.DUMMYFUNCTION("""COMPUTED_VALUE"""),"19CS510")</f>
        <v>19CS510</v>
      </c>
      <c r="F152" s="27" t="str">
        <f>IFERROR(__xludf.DUMMYFUNCTION("""COMPUTED_VALUE"""),"Social Network Analysis")</f>
        <v>Social Network Analysis</v>
      </c>
      <c r="G152" s="26" t="str">
        <f>IFERROR(__xludf.DUMMYFUNCTION("""COMPUTED_VALUE"""),"19CS501/19CS413")</f>
        <v>19CS501/19CS413</v>
      </c>
      <c r="H152" s="26">
        <f>IFERROR(__xludf.DUMMYFUNCTION("""COMPUTED_VALUE"""),3)</f>
        <v>3</v>
      </c>
      <c r="I152" s="26">
        <f>IFERROR(__xludf.DUMMYFUNCTION("""COMPUTED_VALUE"""),3)</f>
        <v>3</v>
      </c>
      <c r="J152" s="26">
        <f>IFERROR(__xludf.DUMMYFUNCTION("""COMPUTED_VALUE"""),0)</f>
        <v>0</v>
      </c>
      <c r="K152" s="26" t="str">
        <f>IFERROR(__xludf.DUMMYFUNCTION("""COMPUTED_VALUE"""),"CGPA")</f>
        <v>CGPA</v>
      </c>
      <c r="L152" s="26" t="str">
        <f>IFERROR(__xludf.DUMMYFUNCTION("""COMPUTED_VALUE"""),"Theory")</f>
        <v>Theory</v>
      </c>
      <c r="M152" s="26"/>
      <c r="N152" s="26"/>
      <c r="O152" s="26"/>
    </row>
    <row r="153" ht="13.2" spans="1:15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IFERROR(__xludf.DUMMYFUNCTION("""COMPUTED_VALUE"""),"CS1511")</f>
        <v>CS1511</v>
      </c>
      <c r="E153" s="26" t="str">
        <f>IFERROR(__xludf.DUMMYFUNCTION("""COMPUTED_VALUE"""),"19CS511")</f>
        <v>19CS511</v>
      </c>
      <c r="F153" s="27" t="str">
        <f>IFERROR(__xludf.DUMMYFUNCTION("""COMPUTED_VALUE"""),"Natural Language Processing")</f>
        <v>Natural Language Processing</v>
      </c>
      <c r="G153" s="26" t="str">
        <f>IFERROR(__xludf.DUMMYFUNCTION("""COMPUTED_VALUE"""),"19MA201")</f>
        <v>19MA201</v>
      </c>
      <c r="H153" s="26">
        <f>IFERROR(__xludf.DUMMYFUNCTION("""COMPUTED_VALUE"""),3)</f>
        <v>3</v>
      </c>
      <c r="I153" s="26">
        <f>IFERROR(__xludf.DUMMYFUNCTION("""COMPUTED_VALUE"""),3)</f>
        <v>3</v>
      </c>
      <c r="J153" s="26">
        <f>IFERROR(__xludf.DUMMYFUNCTION("""COMPUTED_VALUE"""),0)</f>
        <v>0</v>
      </c>
      <c r="K153" s="26" t="str">
        <f>IFERROR(__xludf.DUMMYFUNCTION("""COMPUTED_VALUE"""),"CGPA")</f>
        <v>CGPA</v>
      </c>
      <c r="L153" s="26" t="str">
        <f>IFERROR(__xludf.DUMMYFUNCTION("""COMPUTED_VALUE"""),"Theory")</f>
        <v>Theory</v>
      </c>
      <c r="M153" s="26"/>
      <c r="N153" s="26"/>
      <c r="O153" s="26"/>
    </row>
    <row r="154" ht="13.2" spans="1:15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IFERROR(__xludf.DUMMYFUNCTION("""COMPUTED_VALUE"""),"CS1512")</f>
        <v>CS1512</v>
      </c>
      <c r="E154" s="26" t="str">
        <f>IFERROR(__xludf.DUMMYFUNCTION("""COMPUTED_VALUE"""),"19CS512")</f>
        <v>19CS512</v>
      </c>
      <c r="F154" s="27" t="str">
        <f>IFERROR(__xludf.DUMMYFUNCTION("""COMPUTED_VALUE"""),"Soft Computing")</f>
        <v>Soft Computing</v>
      </c>
      <c r="G154" s="26" t="str">
        <f>IFERROR(__xludf.DUMMYFUNCTION("""COMPUTED_VALUE"""),"19CS501/19AI410")</f>
        <v>19CS501/19AI410</v>
      </c>
      <c r="H154" s="26">
        <f>IFERROR(__xludf.DUMMYFUNCTION("""COMPUTED_VALUE"""),3)</f>
        <v>3</v>
      </c>
      <c r="I154" s="26">
        <f>IFERROR(__xludf.DUMMYFUNCTION("""COMPUTED_VALUE"""),3)</f>
        <v>3</v>
      </c>
      <c r="J154" s="26">
        <f>IFERROR(__xludf.DUMMYFUNCTION("""COMPUTED_VALUE"""),0)</f>
        <v>0</v>
      </c>
      <c r="K154" s="26" t="str">
        <f>IFERROR(__xludf.DUMMYFUNCTION("""COMPUTED_VALUE"""),"CGPA")</f>
        <v>CGPA</v>
      </c>
      <c r="L154" s="26" t="str">
        <f>IFERROR(__xludf.DUMMYFUNCTION("""COMPUTED_VALUE"""),"Theory")</f>
        <v>Theory</v>
      </c>
      <c r="M154" s="26"/>
      <c r="N154" s="26"/>
      <c r="O154" s="26"/>
    </row>
    <row r="155" ht="13.2" spans="1:15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IFERROR(__xludf.DUMMYFUNCTION("""COMPUTED_VALUE"""),"CS1513")</f>
        <v>CS1513</v>
      </c>
      <c r="E155" s="26" t="str">
        <f>IFERROR(__xludf.DUMMYFUNCTION("""COMPUTED_VALUE"""),"19CS513")</f>
        <v>19CS513</v>
      </c>
      <c r="F155" s="27" t="str">
        <f>IFERROR(__xludf.DUMMYFUNCTION("""COMPUTED_VALUE"""),"Green Computing")</f>
        <v>Green Computing</v>
      </c>
      <c r="G155" s="26" t="str">
        <f>IFERROR(__xludf.DUMMYFUNCTION("""COMPUTED_VALUE"""),"-")</f>
        <v>-</v>
      </c>
      <c r="H155" s="26">
        <f>IFERROR(__xludf.DUMMYFUNCTION("""COMPUTED_VALUE"""),3)</f>
        <v>3</v>
      </c>
      <c r="I155" s="26">
        <f>IFERROR(__xludf.DUMMYFUNCTION("""COMPUTED_VALUE"""),3)</f>
        <v>3</v>
      </c>
      <c r="J155" s="26">
        <f>IFERROR(__xludf.DUMMYFUNCTION("""COMPUTED_VALUE"""),0)</f>
        <v>0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</row>
    <row r="156" ht="13.2" spans="1:15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IFERROR(__xludf.DUMMYFUNCTION("""COMPUTED_VALUE"""),"CS1514")</f>
        <v>CS1514</v>
      </c>
      <c r="E156" s="26" t="str">
        <f>IFERROR(__xludf.DUMMYFUNCTION("""COMPUTED_VALUE"""),"19CS514")</f>
        <v>19CS514</v>
      </c>
      <c r="F156" s="27" t="str">
        <f>IFERROR(__xludf.DUMMYFUNCTION("""COMPUTED_VALUE"""),"Network Management Systems")</f>
        <v>Network Management Systems</v>
      </c>
      <c r="G156" s="26" t="str">
        <f>IFERROR(__xludf.DUMMYFUNCTION("""COMPUTED_VALUE"""),"19CS406")</f>
        <v>19CS406</v>
      </c>
      <c r="H156" s="26">
        <f>IFERROR(__xludf.DUMMYFUNCTION("""COMPUTED_VALUE"""),3)</f>
        <v>3</v>
      </c>
      <c r="I156" s="26">
        <f>IFERROR(__xludf.DUMMYFUNCTION("""COMPUTED_VALUE"""),3)</f>
        <v>3</v>
      </c>
      <c r="J156" s="26">
        <f>IFERROR(__xludf.DUMMYFUNCTION("""COMPUTED_VALUE"""),0)</f>
        <v>0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</row>
    <row r="157" ht="13.2" spans="1:15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IFERROR(__xludf.DUMMYFUNCTION("""COMPUTED_VALUE"""),"CS1515")</f>
        <v>CS1515</v>
      </c>
      <c r="E157" s="26" t="str">
        <f>IFERROR(__xludf.DUMMYFUNCTION("""COMPUTED_VALUE"""),"19CS515")</f>
        <v>19CS515</v>
      </c>
      <c r="F157" s="27" t="str">
        <f>IFERROR(__xludf.DUMMYFUNCTION("""COMPUTED_VALUE"""),"Block Chain Architecture and its Use Cases")</f>
        <v>Block Chain Architecture and its Use Cases</v>
      </c>
      <c r="G157" s="26" t="str">
        <f>IFERROR(__xludf.DUMMYFUNCTION("""COMPUTED_VALUE"""),"19CS412")</f>
        <v>19CS412</v>
      </c>
      <c r="H157" s="26">
        <f>IFERROR(__xludf.DUMMYFUNCTION("""COMPUTED_VALUE"""),3)</f>
        <v>3</v>
      </c>
      <c r="I157" s="26">
        <f>IFERROR(__xludf.DUMMYFUNCTION("""COMPUTED_VALUE"""),3)</f>
        <v>3</v>
      </c>
      <c r="J157" s="26">
        <f>IFERROR(__xludf.DUMMYFUNCTION("""COMPUTED_VALUE"""),0)</f>
        <v>0</v>
      </c>
      <c r="K157" s="26" t="str">
        <f>IFERROR(__xludf.DUMMYFUNCTION("""COMPUTED_VALUE"""),"CGPA")</f>
        <v>CGPA</v>
      </c>
      <c r="L157" s="26" t="str">
        <f>IFERROR(__xludf.DUMMYFUNCTION("""COMPUTED_VALUE"""),"Theory")</f>
        <v>Theory</v>
      </c>
      <c r="M157" s="26"/>
      <c r="N157" s="26"/>
      <c r="O157" s="26"/>
    </row>
    <row r="158" ht="13.2" spans="1:15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IFERROR(__xludf.DUMMYFUNCTION("""COMPUTED_VALUE"""),"CS1516")</f>
        <v>CS1516</v>
      </c>
      <c r="E158" s="26" t="str">
        <f>IFERROR(__xludf.DUMMYFUNCTION("""COMPUTED_VALUE"""),"19CS516")</f>
        <v>19CS516</v>
      </c>
      <c r="F158" s="27" t="str">
        <f>IFERROR(__xludf.DUMMYFUNCTION("""COMPUTED_VALUE"""),"Software Testing and Quality Assurance")</f>
        <v>Software Testing and Quality Assurance</v>
      </c>
      <c r="G158" s="26" t="str">
        <f>IFERROR(__xludf.DUMMYFUNCTION("""COMPUTED_VALUE"""),"-")</f>
        <v>-</v>
      </c>
      <c r="H158" s="26">
        <f>IFERROR(__xludf.DUMMYFUNCTION("""COMPUTED_VALUE"""),3)</f>
        <v>3</v>
      </c>
      <c r="I158" s="26">
        <f>IFERROR(__xludf.DUMMYFUNCTION("""COMPUTED_VALUE"""),3)</f>
        <v>3</v>
      </c>
      <c r="J158" s="26">
        <f>IFERROR(__xludf.DUMMYFUNCTION("""COMPUTED_VALUE"""),0)</f>
        <v>0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</row>
    <row r="159" ht="13.2" spans="1:15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IFERROR(__xludf.DUMMYFUNCTION("""COMPUTED_VALUE"""),"CS1517")</f>
        <v>CS1517</v>
      </c>
      <c r="E159" s="26" t="str">
        <f>IFERROR(__xludf.DUMMYFUNCTION("""COMPUTED_VALUE"""),"19CS517")</f>
        <v>19CS517</v>
      </c>
      <c r="F159" s="27" t="str">
        <f>IFERROR(__xludf.DUMMYFUNCTION("""COMPUTED_VALUE"""),"Mobile Computing")</f>
        <v>Mobile Computing</v>
      </c>
      <c r="G159" s="26" t="str">
        <f>IFERROR(__xludf.DUMMYFUNCTION("""COMPUTED_VALUE"""),"19CS406")</f>
        <v>19CS406</v>
      </c>
      <c r="H159" s="26">
        <f>IFERROR(__xludf.DUMMYFUNCTION("""COMPUTED_VALUE"""),3)</f>
        <v>3</v>
      </c>
      <c r="I159" s="26">
        <f>IFERROR(__xludf.DUMMYFUNCTION("""COMPUTED_VALUE"""),3)</f>
        <v>3</v>
      </c>
      <c r="J159" s="26">
        <f>IFERROR(__xludf.DUMMYFUNCTION("""COMPUTED_VALUE"""),0)</f>
        <v>0</v>
      </c>
      <c r="K159" s="26" t="str">
        <f>IFERROR(__xludf.DUMMYFUNCTION("""COMPUTED_VALUE"""),"CGPA")</f>
        <v>CGPA</v>
      </c>
      <c r="L159" s="26" t="str">
        <f>IFERROR(__xludf.DUMMYFUNCTION("""COMPUTED_VALUE"""),"Theory")</f>
        <v>Theory</v>
      </c>
      <c r="M159" s="26"/>
      <c r="N159" s="26"/>
      <c r="O159" s="26"/>
    </row>
    <row r="160" ht="13.2" spans="1:15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IFERROR(__xludf.DUMMYFUNCTION("""COMPUTED_VALUE"""),"CS1518")</f>
        <v>CS1518</v>
      </c>
      <c r="E160" s="26" t="str">
        <f>IFERROR(__xludf.DUMMYFUNCTION("""COMPUTED_VALUE"""),"19CS518")</f>
        <v>19CS518</v>
      </c>
      <c r="F160" s="27" t="str">
        <f>IFERROR(__xludf.DUMMYFUNCTION("""COMPUTED_VALUE"""),"Game Design and Development")</f>
        <v>Game Design and Development</v>
      </c>
      <c r="G160" s="26" t="str">
        <f>IFERROR(__xludf.DUMMYFUNCTION("""COMPUTED_VALUE"""),"19CS502")</f>
        <v>19CS502</v>
      </c>
      <c r="H160" s="26">
        <f>IFERROR(__xludf.DUMMYFUNCTION("""COMPUTED_VALUE"""),3)</f>
        <v>3</v>
      </c>
      <c r="I160" s="26">
        <f>IFERROR(__xludf.DUMMYFUNCTION("""COMPUTED_VALUE"""),3)</f>
        <v>3</v>
      </c>
      <c r="J160" s="26">
        <f>IFERROR(__xludf.DUMMYFUNCTION("""COMPUTED_VALUE"""),0)</f>
        <v>0</v>
      </c>
      <c r="K160" s="26" t="str">
        <f>IFERROR(__xludf.DUMMYFUNCTION("""COMPUTED_VALUE"""),"CGPA")</f>
        <v>CGPA</v>
      </c>
      <c r="L160" s="26" t="str">
        <f>IFERROR(__xludf.DUMMYFUNCTION("""COMPUTED_VALUE"""),"Theory")</f>
        <v>Theory</v>
      </c>
      <c r="M160" s="26"/>
      <c r="N160" s="26"/>
      <c r="O160" s="26"/>
    </row>
    <row r="161" ht="13.2" spans="1:15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IFERROR(__xludf.DUMMYFUNCTION("""COMPUTED_VALUE"""),"CS1520")</f>
        <v>CS1520</v>
      </c>
      <c r="E161" s="26" t="str">
        <f>IFERROR(__xludf.DUMMYFUNCTION("""COMPUTED_VALUE"""),"19CS520")</f>
        <v>19CS520</v>
      </c>
      <c r="F161" s="27" t="str">
        <f>IFERROR(__xludf.DUMMYFUNCTION("""COMPUTED_VALUE"""),"Big Data Analytics")</f>
        <v>Big Data Analytics</v>
      </c>
      <c r="G161" s="26" t="str">
        <f>IFERROR(__xludf.DUMMYFUNCTION("""COMPUTED_VALUE"""),"19CS411/19CS519")</f>
        <v>19CS411/19CS519</v>
      </c>
      <c r="H161" s="26">
        <f>IFERROR(__xludf.DUMMYFUNCTION("""COMPUTED_VALUE"""),3)</f>
        <v>3</v>
      </c>
      <c r="I161" s="26">
        <f>IFERROR(__xludf.DUMMYFUNCTION("""COMPUTED_VALUE"""),3)</f>
        <v>3</v>
      </c>
      <c r="J161" s="26">
        <f>IFERROR(__xludf.DUMMYFUNCTION("""COMPUTED_VALUE"""),0)</f>
        <v>0</v>
      </c>
      <c r="K161" s="26" t="str">
        <f>IFERROR(__xludf.DUMMYFUNCTION("""COMPUTED_VALUE"""),"CGPA")</f>
        <v>CGPA</v>
      </c>
      <c r="L161" s="26" t="str">
        <f>IFERROR(__xludf.DUMMYFUNCTION("""COMPUTED_VALUE"""),"Theory")</f>
        <v>Theory</v>
      </c>
      <c r="M161" s="26"/>
      <c r="N161" s="26"/>
      <c r="O161" s="26"/>
    </row>
    <row r="162" ht="13.2" spans="1:15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IFERROR(__xludf.DUMMYFUNCTION("""COMPUTED_VALUE"""),"CS1521")</f>
        <v>CS1521</v>
      </c>
      <c r="E162" s="26" t="str">
        <f>IFERROR(__xludf.DUMMYFUNCTION("""COMPUTED_VALUE"""),"19CS521")</f>
        <v>19CS521</v>
      </c>
      <c r="F162" s="27" t="str">
        <f>IFERROR(__xludf.DUMMYFUNCTION("""COMPUTED_VALUE"""),"Data Warehousing and Data Mining")</f>
        <v>Data Warehousing and Data Mining</v>
      </c>
      <c r="G162" s="26" t="str">
        <f>IFERROR(__xludf.DUMMYFUNCTION("""COMPUTED_VALUE"""),"19CS404")</f>
        <v>19CS404</v>
      </c>
      <c r="H162" s="26">
        <f>IFERROR(__xludf.DUMMYFUNCTION("""COMPUTED_VALUE"""),3)</f>
        <v>3</v>
      </c>
      <c r="I162" s="26">
        <f>IFERROR(__xludf.DUMMYFUNCTION("""COMPUTED_VALUE"""),3)</f>
        <v>3</v>
      </c>
      <c r="J162" s="26">
        <f>IFERROR(__xludf.DUMMYFUNCTION("""COMPUTED_VALUE"""),0)</f>
        <v>0</v>
      </c>
      <c r="K162" s="26" t="str">
        <f>IFERROR(__xludf.DUMMYFUNCTION("""COMPUTED_VALUE"""),"CGPA")</f>
        <v>CGPA</v>
      </c>
      <c r="L162" s="26" t="str">
        <f>IFERROR(__xludf.DUMMYFUNCTION("""COMPUTED_VALUE"""),"Theory")</f>
        <v>Theory</v>
      </c>
      <c r="M162" s="26"/>
      <c r="N162" s="26"/>
      <c r="O162" s="26"/>
    </row>
    <row r="163" ht="13.2" spans="1:15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IFERROR(__xludf.DUMMYFUNCTION("""COMPUTED_VALUE"""),"CS1522")</f>
        <v>CS1522</v>
      </c>
      <c r="E163" s="26" t="str">
        <f>IFERROR(__xludf.DUMMYFUNCTION("""COMPUTED_VALUE"""),"19CS522")</f>
        <v>19CS522</v>
      </c>
      <c r="F163" s="27" t="str">
        <f>IFERROR(__xludf.DUMMYFUNCTION("""COMPUTED_VALUE"""),"Advanced Database Management System")</f>
        <v>Advanced Database Management System</v>
      </c>
      <c r="G163" s="26" t="str">
        <f>IFERROR(__xludf.DUMMYFUNCTION("""COMPUTED_VALUE"""),"19CS404")</f>
        <v>19CS404</v>
      </c>
      <c r="H163" s="26">
        <f>IFERROR(__xludf.DUMMYFUNCTION("""COMPUTED_VALUE"""),3)</f>
        <v>3</v>
      </c>
      <c r="I163" s="26">
        <f>IFERROR(__xludf.DUMMYFUNCTION("""COMPUTED_VALUE"""),3)</f>
        <v>3</v>
      </c>
      <c r="J163" s="26">
        <f>IFERROR(__xludf.DUMMYFUNCTION("""COMPUTED_VALUE"""),1)</f>
        <v>1</v>
      </c>
      <c r="K163" s="26" t="str">
        <f>IFERROR(__xludf.DUMMYFUNCTION("""COMPUTED_VALUE"""),"CGPA")</f>
        <v>CGPA</v>
      </c>
      <c r="L163" s="26" t="str">
        <f>IFERROR(__xludf.DUMMYFUNCTION("""COMPUTED_VALUE"""),"TIP (6 Expts)")</f>
        <v>TIP (6 Expts)</v>
      </c>
      <c r="M163" s="26"/>
      <c r="N163" s="26"/>
      <c r="O163" s="26"/>
    </row>
    <row r="164" ht="13.2" spans="1:15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IFERROR(__xludf.DUMMYFUNCTION("""COMPUTED_VALUE"""),"CS1523")</f>
        <v>CS1523</v>
      </c>
      <c r="E164" s="26" t="str">
        <f>IFERROR(__xludf.DUMMYFUNCTION("""COMPUTED_VALUE"""),"19CS523")</f>
        <v>19CS523</v>
      </c>
      <c r="F164" s="27" t="str">
        <f>IFERROR(__xludf.DUMMYFUNCTION("""COMPUTED_VALUE"""),"Information Retrieval")</f>
        <v>Information Retrieval</v>
      </c>
      <c r="G164" s="26" t="str">
        <f>IFERROR(__xludf.DUMMYFUNCTION("""COMPUTED_VALUE"""),"19AI410/ 19CS501/19CS413")</f>
        <v>19AI410/ 19CS501/19CS413</v>
      </c>
      <c r="H164" s="26">
        <f>IFERROR(__xludf.DUMMYFUNCTION("""COMPUTED_VALUE"""),3)</f>
        <v>3</v>
      </c>
      <c r="I164" s="26">
        <f>IFERROR(__xludf.DUMMYFUNCTION("""COMPUTED_VALUE"""),3)</f>
        <v>3</v>
      </c>
      <c r="J164" s="26">
        <f>IFERROR(__xludf.DUMMYFUNCTION("""COMPUTED_VALUE"""),0)</f>
        <v>0</v>
      </c>
      <c r="K164" s="26" t="str">
        <f>IFERROR(__xludf.DUMMYFUNCTION("""COMPUTED_VALUE"""),"CGPA")</f>
        <v>CGPA</v>
      </c>
      <c r="L164" s="26" t="str">
        <f>IFERROR(__xludf.DUMMYFUNCTION("""COMPUTED_VALUE"""),"Theory")</f>
        <v>Theory</v>
      </c>
      <c r="M164" s="26"/>
      <c r="N164" s="26"/>
      <c r="O164" s="26"/>
    </row>
    <row r="165" ht="13.2" spans="1:15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IFERROR(__xludf.DUMMYFUNCTION("""COMPUTED_VALUE"""),"CS1524")</f>
        <v>CS1524</v>
      </c>
      <c r="E165" s="26" t="str">
        <f>IFERROR(__xludf.DUMMYFUNCTION("""COMPUTED_VALUE"""),"19CS524")</f>
        <v>19CS524</v>
      </c>
      <c r="F165" s="27" t="str">
        <f>IFERROR(__xludf.DUMMYFUNCTION("""COMPUTED_VALUE"""),"Deep Learning")</f>
        <v>Deep Learning</v>
      </c>
      <c r="G165" s="26" t="str">
        <f>IFERROR(__xludf.DUMMYFUNCTION("""COMPUTED_VALUE"""),"19CS501")</f>
        <v>19CS501</v>
      </c>
      <c r="H165" s="26">
        <f>IFERROR(__xludf.DUMMYFUNCTION("""COMPUTED_VALUE"""),3)</f>
        <v>3</v>
      </c>
      <c r="I165" s="26">
        <f>IFERROR(__xludf.DUMMYFUNCTION("""COMPUTED_VALUE"""),3)</f>
        <v>3</v>
      </c>
      <c r="J165" s="26">
        <f>IFERROR(__xludf.DUMMYFUNCTION("""COMPUTED_VALUE"""),0)</f>
        <v>0</v>
      </c>
      <c r="K165" s="26" t="str">
        <f>IFERROR(__xludf.DUMMYFUNCTION("""COMPUTED_VALUE"""),"CGPA")</f>
        <v>CGPA</v>
      </c>
      <c r="L165" s="26" t="str">
        <f>IFERROR(__xludf.DUMMYFUNCTION("""COMPUTED_VALUE"""),"Theory")</f>
        <v>Theory</v>
      </c>
      <c r="M165" s="26"/>
      <c r="N165" s="26"/>
      <c r="O165" s="26"/>
    </row>
    <row r="166" ht="13.2" spans="1:15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IFERROR(__xludf.DUMMYFUNCTION("""COMPUTED_VALUE"""),"CS1526")</f>
        <v>CS1526</v>
      </c>
      <c r="E166" s="26" t="str">
        <f>IFERROR(__xludf.DUMMYFUNCTION("""COMPUTED_VALUE"""),"19CS526")</f>
        <v>19CS526</v>
      </c>
      <c r="F166" s="26" t="str">
        <f>IFERROR(__xludf.DUMMYFUNCTION("""COMPUTED_VALUE"""),"R Programming")</f>
        <v>R Programming</v>
      </c>
      <c r="G166" s="26" t="str">
        <f>IFERROR(__xludf.DUMMYFUNCTION("""COMPUTED_VALUE"""),"19CS301/19CS303")</f>
        <v>19CS301/19CS303</v>
      </c>
      <c r="H166" s="26">
        <f>IFERROR(__xludf.DUMMYFUNCTION("""COMPUTED_VALUE"""),2)</f>
        <v>2</v>
      </c>
      <c r="I166" s="26">
        <f>IFERROR(__xludf.DUMMYFUNCTION("""COMPUTED_VALUE"""),2)</f>
        <v>2</v>
      </c>
      <c r="J166" s="26">
        <f>IFERROR(__xludf.DUMMYFUNCTION("""COMPUTED_VALUE"""),1)</f>
        <v>1</v>
      </c>
      <c r="K166" s="26" t="str">
        <f>IFERROR(__xludf.DUMMYFUNCTION("""COMPUTED_VALUE"""),"CGPA")</f>
        <v>CGPA</v>
      </c>
      <c r="L166" s="26" t="str">
        <f>IFERROR(__xludf.DUMMYFUNCTION("""COMPUTED_VALUE"""),"TIP (6 Expts)")</f>
        <v>TIP (6 Expts)</v>
      </c>
      <c r="M166" s="26"/>
      <c r="N166" s="26"/>
      <c r="O166" s="26"/>
    </row>
    <row r="167" ht="13.2" spans="1:15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IFERROR(__xludf.DUMMYFUNCTION("""COMPUTED_VALUE"""),"CS1528")</f>
        <v>CS1528</v>
      </c>
      <c r="E167" s="26" t="str">
        <f>IFERROR(__xludf.DUMMYFUNCTION("""COMPUTED_VALUE"""),"19CS528")</f>
        <v>19CS528</v>
      </c>
      <c r="F167" s="27" t="str">
        <f>IFERROR(__xludf.DUMMYFUNCTION("""COMPUTED_VALUE"""),"Robotics and its Applications")</f>
        <v>Robotics and its Applications</v>
      </c>
      <c r="G167" s="26" t="str">
        <f>IFERROR(__xludf.DUMMYFUNCTION("""COMPUTED_VALUE"""),"19CS302/19EC408")</f>
        <v>19CS302/19EC408</v>
      </c>
      <c r="H167" s="26">
        <f>IFERROR(__xludf.DUMMYFUNCTION("""COMPUTED_VALUE"""),3)</f>
        <v>3</v>
      </c>
      <c r="I167" s="26">
        <f>IFERROR(__xludf.DUMMYFUNCTION("""COMPUTED_VALUE"""),3)</f>
        <v>3</v>
      </c>
      <c r="J167" s="26">
        <f>IFERROR(__xludf.DUMMYFUNCTION("""COMPUTED_VALUE"""),0)</f>
        <v>0</v>
      </c>
      <c r="K167" s="26" t="str">
        <f>IFERROR(__xludf.DUMMYFUNCTION("""COMPUTED_VALUE"""),"CGPA")</f>
        <v>CGPA</v>
      </c>
      <c r="L167" s="26" t="str">
        <f>IFERROR(__xludf.DUMMYFUNCTION("""COMPUTED_VALUE"""),"Theory")</f>
        <v>Theory</v>
      </c>
      <c r="M167" s="26"/>
      <c r="N167" s="26"/>
      <c r="O167" s="26"/>
    </row>
    <row r="168" ht="13.2" spans="1:15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IFERROR(__xludf.DUMMYFUNCTION("""COMPUTED_VALUE"""),"CS1529")</f>
        <v>CS1529</v>
      </c>
      <c r="E168" s="26" t="str">
        <f>IFERROR(__xludf.DUMMYFUNCTION("""COMPUTED_VALUE"""),"19CS529")</f>
        <v>19CS529</v>
      </c>
      <c r="F168" s="27" t="str">
        <f>IFERROR(__xludf.DUMMYFUNCTION("""COMPUTED_VALUE"""),"Quantum Computing")</f>
        <v>Quantum Computing</v>
      </c>
      <c r="G168" s="26" t="str">
        <f>IFERROR(__xludf.DUMMYFUNCTION("""COMPUTED_VALUE"""),"19CS301/19CS303")</f>
        <v>19CS301/19CS303</v>
      </c>
      <c r="H168" s="26">
        <f>IFERROR(__xludf.DUMMYFUNCTION("""COMPUTED_VALUE"""),3)</f>
        <v>3</v>
      </c>
      <c r="I168" s="26">
        <f>IFERROR(__xludf.DUMMYFUNCTION("""COMPUTED_VALUE"""),3)</f>
        <v>3</v>
      </c>
      <c r="J168" s="26">
        <f>IFERROR(__xludf.DUMMYFUNCTION("""COMPUTED_VALUE"""),0)</f>
        <v>0</v>
      </c>
      <c r="K168" s="26" t="str">
        <f>IFERROR(__xludf.DUMMYFUNCTION("""COMPUTED_VALUE"""),"CGPA")</f>
        <v>CGPA</v>
      </c>
      <c r="L168" s="26" t="str">
        <f>IFERROR(__xludf.DUMMYFUNCTION("""COMPUTED_VALUE"""),"Theory")</f>
        <v>Theory</v>
      </c>
      <c r="M168" s="26"/>
      <c r="N168" s="26"/>
      <c r="O168" s="26"/>
    </row>
    <row r="169" ht="13.2" spans="1:15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IFERROR(__xludf.DUMMYFUNCTION("""COMPUTED_VALUE"""),"CS1530")</f>
        <v>CS1530</v>
      </c>
      <c r="E169" s="26" t="str">
        <f>IFERROR(__xludf.DUMMYFUNCTION("""COMPUTED_VALUE"""),"19CS530")</f>
        <v>19CS530</v>
      </c>
      <c r="F169" s="27" t="str">
        <f>IFERROR(__xludf.DUMMYFUNCTION("""COMPUTED_VALUE"""),"Cyber Security")</f>
        <v>Cyber Security</v>
      </c>
      <c r="G169" s="26" t="str">
        <f>IFERROR(__xludf.DUMMYFUNCTION("""COMPUTED_VALUE"""),"19CS412")</f>
        <v>19CS412</v>
      </c>
      <c r="H169" s="26">
        <f>IFERROR(__xludf.DUMMYFUNCTION("""COMPUTED_VALUE"""),3)</f>
        <v>3</v>
      </c>
      <c r="I169" s="26">
        <f>IFERROR(__xludf.DUMMYFUNCTION("""COMPUTED_VALUE"""),3)</f>
        <v>3</v>
      </c>
      <c r="J169" s="26">
        <f>IFERROR(__xludf.DUMMYFUNCTION("""COMPUTED_VALUE"""),0)</f>
        <v>0</v>
      </c>
      <c r="K169" s="26" t="str">
        <f>IFERROR(__xludf.DUMMYFUNCTION("""COMPUTED_VALUE"""),"CGPA")</f>
        <v>CGPA</v>
      </c>
      <c r="L169" s="26" t="str">
        <f>IFERROR(__xludf.DUMMYFUNCTION("""COMPUTED_VALUE"""),"Theory")</f>
        <v>Theory</v>
      </c>
      <c r="M169" s="26"/>
      <c r="N169" s="26"/>
      <c r="O169" s="26"/>
    </row>
    <row r="170" ht="13.2" spans="1:15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IFERROR(__xludf.DUMMYFUNCTION("""COMPUTED_VALUE"""),"CS1531")</f>
        <v>CS1531</v>
      </c>
      <c r="E170" s="26" t="str">
        <f>IFERROR(__xludf.DUMMYFUNCTION("""COMPUTED_VALUE"""),"19CS531")</f>
        <v>19CS531</v>
      </c>
      <c r="F170" s="27" t="str">
        <f>IFERROR(__xludf.DUMMYFUNCTION("""COMPUTED_VALUE"""),"Virtual Reality")</f>
        <v>Virtual Reality</v>
      </c>
      <c r="G170" s="26" t="str">
        <f>IFERROR(__xludf.DUMMYFUNCTION("""COMPUTED_VALUE"""),"19CS401/19CS301")</f>
        <v>19CS401/19CS301</v>
      </c>
      <c r="H170" s="26">
        <f>IFERROR(__xludf.DUMMYFUNCTION("""COMPUTED_VALUE"""),3)</f>
        <v>3</v>
      </c>
      <c r="I170" s="26">
        <f>IFERROR(__xludf.DUMMYFUNCTION("""COMPUTED_VALUE"""),3)</f>
        <v>3</v>
      </c>
      <c r="J170" s="26">
        <f>IFERROR(__xludf.DUMMYFUNCTION("""COMPUTED_VALUE"""),0)</f>
        <v>0</v>
      </c>
      <c r="K170" s="26" t="str">
        <f>IFERROR(__xludf.DUMMYFUNCTION("""COMPUTED_VALUE"""),"CGPA")</f>
        <v>CGPA</v>
      </c>
      <c r="L170" s="26" t="str">
        <f>IFERROR(__xludf.DUMMYFUNCTION("""COMPUTED_VALUE"""),"Theory")</f>
        <v>Theory</v>
      </c>
      <c r="M170" s="26"/>
      <c r="N170" s="26"/>
      <c r="O170" s="26"/>
    </row>
    <row r="171" ht="13.2" spans="1:15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IFERROR(__xludf.DUMMYFUNCTION("""COMPUTED_VALUE"""),"CS1532")</f>
        <v>CS1532</v>
      </c>
      <c r="E171" s="26" t="str">
        <f>IFERROR(__xludf.DUMMYFUNCTION("""COMPUTED_VALUE"""),"19CS532")</f>
        <v>19CS532</v>
      </c>
      <c r="F171" s="27" t="str">
        <f>IFERROR(__xludf.DUMMYFUNCTION("""COMPUTED_VALUE"""),"Professional Readiness for Innovation, Employability and Entrepreneurship")</f>
        <v>Professional Readiness for Innovation, Employability and Entrepreneurship</v>
      </c>
      <c r="G171" s="26" t="str">
        <f>IFERROR(__xludf.DUMMYFUNCTION("""COMPUTED_VALUE"""),"-")</f>
        <v>-</v>
      </c>
      <c r="H171" s="26">
        <f>IFERROR(__xludf.DUMMYFUNCTION("""COMPUTED_VALUE"""),0)</f>
        <v>0</v>
      </c>
      <c r="I171" s="26">
        <f>IFERROR(__xludf.DUMMYFUNCTION("""COMPUTED_VALUE"""),0)</f>
        <v>0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IFERROR(__xludf.DUMMYFUNCTION("""COMPUTED_VALUE"""),"Practical (10 Expts)")</f>
        <v>Practical (10 Expts)</v>
      </c>
      <c r="M171" s="26"/>
      <c r="N171" s="26"/>
      <c r="O171" s="26"/>
    </row>
    <row r="172" ht="13.2" spans="1:15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IFERROR(__xludf.DUMMYFUNCTION("""COMPUTED_VALUE"""),"CS1533")</f>
        <v>CS1533</v>
      </c>
      <c r="E172" s="26" t="str">
        <f>IFERROR(__xludf.DUMMYFUNCTION("""COMPUTED_VALUE"""),"19CS533")</f>
        <v>19CS533</v>
      </c>
      <c r="F172" s="27" t="str">
        <f>IFERROR(__xludf.DUMMYFUNCTION("""COMPUTED_VALUE"""),"Information Security Intelligence and Analytics using Big Data")</f>
        <v>Information Security Intelligence and Analytics using Big Data</v>
      </c>
      <c r="G172" s="26" t="str">
        <f>IFERROR(__xludf.DUMMYFUNCTION("""COMPUTED_VALUE"""),"-")</f>
        <v>-</v>
      </c>
      <c r="H172" s="26">
        <f>IFERROR(__xludf.DUMMYFUNCTION("""COMPUTED_VALUE"""),2)</f>
        <v>2</v>
      </c>
      <c r="I172" s="26">
        <f>IFERROR(__xludf.DUMMYFUNCTION("""COMPUTED_VALUE"""),2)</f>
        <v>2</v>
      </c>
      <c r="J172" s="26">
        <f>IFERROR(__xludf.DUMMYFUNCTION("""COMPUTED_VALUE"""),1)</f>
        <v>1</v>
      </c>
      <c r="K172" s="26" t="str">
        <f>IFERROR(__xludf.DUMMYFUNCTION("""COMPUTED_VALUE"""),"CGPA")</f>
        <v>CGPA</v>
      </c>
      <c r="L172" s="26" t="str">
        <f>IFERROR(__xludf.DUMMYFUNCTION("""COMPUTED_VALUE"""),"TIP (6 Expts)")</f>
        <v>TIP (6 Expts)</v>
      </c>
      <c r="M172" s="26"/>
      <c r="N172" s="26"/>
      <c r="O172" s="26"/>
    </row>
    <row r="173" ht="13.2" spans="1:15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IFERROR(__xludf.DUMMYFUNCTION("""COMPUTED_VALUE"""),"CS1534")</f>
        <v>CS1534</v>
      </c>
      <c r="E173" s="26" t="str">
        <f>IFERROR(__xludf.DUMMYFUNCTION("""COMPUTED_VALUE"""),"19CS534")</f>
        <v>19CS534</v>
      </c>
      <c r="F173" s="27" t="str">
        <f>IFERROR(__xludf.DUMMYFUNCTION("""COMPUTED_VALUE"""),"Prevention Methodology for Cybersecurity")</f>
        <v>Prevention Methodology for Cybersecurity</v>
      </c>
      <c r="G173" s="26" t="str">
        <f>IFERROR(__xludf.DUMMYFUNCTION("""COMPUTED_VALUE"""),"-")</f>
        <v>-</v>
      </c>
      <c r="H173" s="26">
        <f>IFERROR(__xludf.DUMMYFUNCTION("""COMPUTED_VALUE"""),2)</f>
        <v>2</v>
      </c>
      <c r="I173" s="26">
        <f>IFERROR(__xludf.DUMMYFUNCTION("""COMPUTED_VALUE"""),2)</f>
        <v>2</v>
      </c>
      <c r="J173" s="26">
        <f>IFERROR(__xludf.DUMMYFUNCTION("""COMPUTED_VALUE"""),1)</f>
        <v>1</v>
      </c>
      <c r="K173" s="26" t="str">
        <f>IFERROR(__xludf.DUMMYFUNCTION("""COMPUTED_VALUE"""),"CGPA")</f>
        <v>CGPA</v>
      </c>
      <c r="L173" s="26" t="str">
        <f>IFERROR(__xludf.DUMMYFUNCTION("""COMPUTED_VALUE"""),"TIP (6 Expts)")</f>
        <v>TIP (6 Expts)</v>
      </c>
      <c r="M173" s="26"/>
      <c r="N173" s="26"/>
      <c r="O173" s="26"/>
    </row>
    <row r="174" ht="13.2" spans="1:15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IFERROR(__xludf.DUMMYFUNCTION("""COMPUTED_VALUE"""),"CS1535")</f>
        <v>CS1535</v>
      </c>
      <c r="E174" s="26" t="str">
        <f>IFERROR(__xludf.DUMMYFUNCTION("""COMPUTED_VALUE"""),"19CS535")</f>
        <v>19CS535</v>
      </c>
      <c r="F174" s="27" t="str">
        <f>IFERROR(__xludf.DUMMYFUNCTION("""COMPUTED_VALUE"""),"Trusted Network Systems")</f>
        <v>Trusted Network Systems</v>
      </c>
      <c r="G174" s="26" t="str">
        <f>IFERROR(__xludf.DUMMYFUNCTION("""COMPUTED_VALUE"""),"-")</f>
        <v>-</v>
      </c>
      <c r="H174" s="26">
        <f>IFERROR(__xludf.DUMMYFUNCTION("""COMPUTED_VALUE"""),3)</f>
        <v>3</v>
      </c>
      <c r="I174" s="26">
        <f>IFERROR(__xludf.DUMMYFUNCTION("""COMPUTED_VALUE"""),3)</f>
        <v>3</v>
      </c>
      <c r="J174" s="26">
        <f>IFERROR(__xludf.DUMMYFUNCTION("""COMPUTED_VALUE"""),0)</f>
        <v>0</v>
      </c>
      <c r="K174" s="26" t="str">
        <f>IFERROR(__xludf.DUMMYFUNCTION("""COMPUTED_VALUE"""),"CGPA")</f>
        <v>CGPA</v>
      </c>
      <c r="L174" s="26" t="str">
        <f>IFERROR(__xludf.DUMMYFUNCTION("""COMPUTED_VALUE"""),"Theory")</f>
        <v>Theory</v>
      </c>
      <c r="M174" s="26"/>
      <c r="N174" s="26"/>
      <c r="O174" s="26"/>
    </row>
    <row r="175" ht="13.2" spans="1:15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IFERROR(__xludf.DUMMYFUNCTION("""COMPUTED_VALUE"""),"CS1536")</f>
        <v>CS1536</v>
      </c>
      <c r="E175" s="26" t="str">
        <f>IFERROR(__xludf.DUMMYFUNCTION("""COMPUTED_VALUE"""),"19CS536")</f>
        <v>19CS536</v>
      </c>
      <c r="F175" s="27" t="str">
        <f>IFERROR(__xludf.DUMMYFUNCTION("""COMPUTED_VALUE"""),"Firewalls and Intrusion Detection System")</f>
        <v>Firewalls and Intrusion Detection System</v>
      </c>
      <c r="G175" s="26" t="str">
        <f>IFERROR(__xludf.DUMMYFUNCTION("""COMPUTED_VALUE"""),"-")</f>
        <v>-</v>
      </c>
      <c r="H175" s="26">
        <f>IFERROR(__xludf.DUMMYFUNCTION("""COMPUTED_VALUE"""),2)</f>
        <v>2</v>
      </c>
      <c r="I175" s="26">
        <f>IFERROR(__xludf.DUMMYFUNCTION("""COMPUTED_VALUE"""),2)</f>
        <v>2</v>
      </c>
      <c r="J175" s="26">
        <f>IFERROR(__xludf.DUMMYFUNCTION("""COMPUTED_VALUE"""),1)</f>
        <v>1</v>
      </c>
      <c r="K175" s="26" t="str">
        <f>IFERROR(__xludf.DUMMYFUNCTION("""COMPUTED_VALUE"""),"CGPA")</f>
        <v>CGPA</v>
      </c>
      <c r="L175" s="26" t="str">
        <f>IFERROR(__xludf.DUMMYFUNCTION("""COMPUTED_VALUE"""),"TIP (6 Expts)")</f>
        <v>TIP (6 Expts)</v>
      </c>
      <c r="M175" s="26"/>
      <c r="N175" s="26"/>
      <c r="O175" s="26"/>
    </row>
    <row r="176" ht="13.2" spans="1:15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IFERROR(__xludf.DUMMYFUNCTION("""COMPUTED_VALUE"""),"CS1537")</f>
        <v>CS1537</v>
      </c>
      <c r="E176" s="26" t="str">
        <f>IFERROR(__xludf.DUMMYFUNCTION("""COMPUTED_VALUE"""),"19CS537")</f>
        <v>19CS537</v>
      </c>
      <c r="F176" s="27" t="str">
        <f>IFERROR(__xludf.DUMMYFUNCTION("""COMPUTED_VALUE"""),"Secure Software Engineering")</f>
        <v>Secure Software Engineering</v>
      </c>
      <c r="G176" s="26" t="str">
        <f>IFERROR(__xludf.DUMMYFUNCTION("""COMPUTED_VALUE"""),"-")</f>
        <v>-</v>
      </c>
      <c r="H176" s="26">
        <f>IFERROR(__xludf.DUMMYFUNCTION("""COMPUTED_VALUE"""),2)</f>
        <v>2</v>
      </c>
      <c r="I176" s="26">
        <f>IFERROR(__xludf.DUMMYFUNCTION("""COMPUTED_VALUE"""),2)</f>
        <v>2</v>
      </c>
      <c r="J176" s="26">
        <f>IFERROR(__xludf.DUMMYFUNCTION("""COMPUTED_VALUE"""),1)</f>
        <v>1</v>
      </c>
      <c r="K176" s="26" t="str">
        <f>IFERROR(__xludf.DUMMYFUNCTION("""COMPUTED_VALUE"""),"CGPA")</f>
        <v>CGPA</v>
      </c>
      <c r="L176" s="26" t="str">
        <f>IFERROR(__xludf.DUMMYFUNCTION("""COMPUTED_VALUE"""),"TIP (6 Expts)")</f>
        <v>TIP (6 Expts)</v>
      </c>
      <c r="M176" s="26"/>
      <c r="N176" s="26"/>
      <c r="O176" s="26"/>
    </row>
    <row r="177" ht="13.2" spans="1:15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IFERROR(__xludf.DUMMYFUNCTION("""COMPUTED_VALUE"""),"CS1538")</f>
        <v>CS1538</v>
      </c>
      <c r="E177" s="26" t="str">
        <f>IFERROR(__xludf.DUMMYFUNCTION("""COMPUTED_VALUE"""),"19CS538")</f>
        <v>19CS538</v>
      </c>
      <c r="F177" s="27" t="str">
        <f>IFERROR(__xludf.DUMMYFUNCTION("""COMPUTED_VALUE"""),"System Security")</f>
        <v>System Security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IFERROR(__xludf.DUMMYFUNCTION("""COMPUTED_VALUE"""),3)</f>
        <v>3</v>
      </c>
      <c r="J177" s="26">
        <f>IFERROR(__xludf.DUMMYFUNCTION("""COMPUTED_VALUE"""),0)</f>
        <v>0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</row>
    <row r="178" ht="13.2" spans="1:15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IFERROR(__xludf.DUMMYFUNCTION("""COMPUTED_VALUE"""),"CS1539")</f>
        <v>CS1539</v>
      </c>
      <c r="E178" s="26" t="str">
        <f>IFERROR(__xludf.DUMMYFUNCTION("""COMPUTED_VALUE"""),"19CS539")</f>
        <v>19CS539</v>
      </c>
      <c r="F178" s="27" t="str">
        <f>IFERROR(__xludf.DUMMYFUNCTION("""COMPUTED_VALUE"""),"Hardware Security")</f>
        <v>Hardware Security</v>
      </c>
      <c r="G178" s="26" t="str">
        <f>IFERROR(__xludf.DUMMYFUNCTION("""COMPUTED_VALUE"""),"-")</f>
        <v>-</v>
      </c>
      <c r="H178" s="26">
        <f>IFERROR(__xludf.DUMMYFUNCTION("""COMPUTED_VALUE"""),3)</f>
        <v>3</v>
      </c>
      <c r="I178" s="26">
        <f>IFERROR(__xludf.DUMMYFUNCTION("""COMPUTED_VALUE"""),3)</f>
        <v>3</v>
      </c>
      <c r="J178" s="26">
        <f>IFERROR(__xludf.DUMMYFUNCTION("""COMPUTED_VALUE"""),0)</f>
        <v>0</v>
      </c>
      <c r="K178" s="26" t="str">
        <f>IFERROR(__xludf.DUMMYFUNCTION("""COMPUTED_VALUE"""),"CGPA")</f>
        <v>CGPA</v>
      </c>
      <c r="L178" s="26" t="str">
        <f>IFERROR(__xludf.DUMMYFUNCTION("""COMPUTED_VALUE"""),"Theory")</f>
        <v>Theory</v>
      </c>
      <c r="M178" s="26"/>
      <c r="N178" s="26"/>
      <c r="O178" s="26"/>
    </row>
    <row r="179" ht="13.2" spans="1:15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IFERROR(__xludf.DUMMYFUNCTION("""COMPUTED_VALUE"""),"CS1540")</f>
        <v>CS1540</v>
      </c>
      <c r="E179" s="26" t="str">
        <f>IFERROR(__xludf.DUMMYFUNCTION("""COMPUTED_VALUE"""),"19CS540")</f>
        <v>19CS540</v>
      </c>
      <c r="F179" s="27" t="str">
        <f>IFERROR(__xludf.DUMMYFUNCTION("""COMPUTED_VALUE"""),"Fog Computing")</f>
        <v>Fog Computing</v>
      </c>
      <c r="G179" s="26" t="str">
        <f>IFERROR(__xludf.DUMMYFUNCTION("""COMPUTED_VALUE"""),"-")</f>
        <v>-</v>
      </c>
      <c r="H179" s="26">
        <f>IFERROR(__xludf.DUMMYFUNCTION("""COMPUTED_VALUE"""),3)</f>
        <v>3</v>
      </c>
      <c r="I179" s="26">
        <f>IFERROR(__xludf.DUMMYFUNCTION("""COMPUTED_VALUE"""),3)</f>
        <v>3</v>
      </c>
      <c r="J179" s="26">
        <f>IFERROR(__xludf.DUMMYFUNCTION("""COMPUTED_VALUE"""),0)</f>
        <v>0</v>
      </c>
      <c r="K179" s="26" t="str">
        <f>IFERROR(__xludf.DUMMYFUNCTION("""COMPUTED_VALUE"""),"CGPA")</f>
        <v>CGPA</v>
      </c>
      <c r="L179" s="26" t="str">
        <f>IFERROR(__xludf.DUMMYFUNCTION("""COMPUTED_VALUE"""),"Theory")</f>
        <v>Theory</v>
      </c>
      <c r="M179" s="26"/>
      <c r="N179" s="26"/>
      <c r="O179" s="26"/>
    </row>
    <row r="180" ht="13.2" spans="1:15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IFERROR(__xludf.DUMMYFUNCTION("""COMPUTED_VALUE"""),"CS4506")</f>
        <v>CS4506</v>
      </c>
      <c r="E180" s="26" t="str">
        <f>IFERROR(__xludf.DUMMYFUNCTION("""COMPUTED_VALUE"""),"19AM506")</f>
        <v>19AM506</v>
      </c>
      <c r="F180" s="27" t="str">
        <f>IFERROR(__xludf.DUMMYFUNCTION("""COMPUTED_VALUE"""),"Sensors and Actuators for IoT")</f>
        <v>Sensors and Actuators for IoT</v>
      </c>
      <c r="G180" s="26" t="str">
        <f>IFERROR(__xludf.DUMMYFUNCTION("""COMPUTED_VALUE"""),"-")</f>
        <v>-</v>
      </c>
      <c r="H180" s="26">
        <f>IFERROR(__xludf.DUMMYFUNCTION("""COMPUTED_VALUE"""),2)</f>
        <v>2</v>
      </c>
      <c r="I180" s="26">
        <f>IFERROR(__xludf.DUMMYFUNCTION("""COMPUTED_VALUE"""),2)</f>
        <v>2</v>
      </c>
      <c r="J180" s="26">
        <f>IFERROR(__xludf.DUMMYFUNCTION("""COMPUTED_VALUE"""),1)</f>
        <v>1</v>
      </c>
      <c r="K180" s="26" t="str">
        <f>IFERROR(__xludf.DUMMYFUNCTION("""COMPUTED_VALUE"""),"CGPA")</f>
        <v>CGPA</v>
      </c>
      <c r="L180" s="26" t="str">
        <f>IFERROR(__xludf.DUMMYFUNCTION("""COMPUTED_VALUE"""),"TIP (6 Expts)")</f>
        <v>TIP (6 Expts)</v>
      </c>
      <c r="M180" s="26"/>
      <c r="N180" s="26"/>
      <c r="O180" s="26"/>
    </row>
    <row r="181" ht="13.2" spans="1:15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IFERROR(__xludf.DUMMYFUNCTION("""COMPUTED_VALUE"""),"CS1542")</f>
        <v>CS1542</v>
      </c>
      <c r="E181" s="26" t="str">
        <f>IFERROR(__xludf.DUMMYFUNCTION("""COMPUTED_VALUE"""),"19CS542")</f>
        <v>19CS542</v>
      </c>
      <c r="F181" s="27" t="str">
        <f>IFERROR(__xludf.DUMMYFUNCTION("""COMPUTED_VALUE"""),"Embedded Board Design")</f>
        <v>Embedded Board Design</v>
      </c>
      <c r="G181" s="26" t="str">
        <f>IFERROR(__xludf.DUMMYFUNCTION("""COMPUTED_VALUE"""),"-")</f>
        <v>-</v>
      </c>
      <c r="H181" s="26">
        <f>IFERROR(__xludf.DUMMYFUNCTION("""COMPUTED_VALUE"""),2)</f>
        <v>2</v>
      </c>
      <c r="I181" s="26">
        <f>IFERROR(__xludf.DUMMYFUNCTION("""COMPUTED_VALUE"""),2)</f>
        <v>2</v>
      </c>
      <c r="J181" s="26">
        <f>IFERROR(__xludf.DUMMYFUNCTION("""COMPUTED_VALUE"""),1)</f>
        <v>1</v>
      </c>
      <c r="K181" s="26" t="str">
        <f>IFERROR(__xludf.DUMMYFUNCTION("""COMPUTED_VALUE"""),"CGPA")</f>
        <v>CGPA</v>
      </c>
      <c r="L181" s="26" t="str">
        <f>IFERROR(__xludf.DUMMYFUNCTION("""COMPUTED_VALUE"""),"TIP (6 Expts)")</f>
        <v>TIP (6 Expts)</v>
      </c>
      <c r="M181" s="26"/>
      <c r="N181" s="26"/>
      <c r="O181" s="26"/>
    </row>
    <row r="182" ht="13.2" spans="1:15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IFERROR(__xludf.DUMMYFUNCTION("""COMPUTED_VALUE"""),"CS1543")</f>
        <v>CS1543</v>
      </c>
      <c r="E182" s="26" t="str">
        <f>IFERROR(__xludf.DUMMYFUNCTION("""COMPUTED_VALUE"""),"19CS543")</f>
        <v>19CS543</v>
      </c>
      <c r="F182" s="27" t="str">
        <f>IFERROR(__xludf.DUMMYFUNCTION("""COMPUTED_VALUE"""),"Embedded Board Manufacturing")</f>
        <v>Embedded Board Manufacturing</v>
      </c>
      <c r="G182" s="26" t="str">
        <f>IFERROR(__xludf.DUMMYFUNCTION("""COMPUTED_VALUE"""),"-")</f>
        <v>-</v>
      </c>
      <c r="H182" s="26">
        <f>IFERROR(__xludf.DUMMYFUNCTION("""COMPUTED_VALUE"""),2)</f>
        <v>2</v>
      </c>
      <c r="I182" s="26">
        <f>IFERROR(__xludf.DUMMYFUNCTION("""COMPUTED_VALUE"""),2)</f>
        <v>2</v>
      </c>
      <c r="J182" s="26">
        <f>IFERROR(__xludf.DUMMYFUNCTION("""COMPUTED_VALUE"""),1)</f>
        <v>1</v>
      </c>
      <c r="K182" s="26" t="str">
        <f>IFERROR(__xludf.DUMMYFUNCTION("""COMPUTED_VALUE"""),"CGPA")</f>
        <v>CGPA</v>
      </c>
      <c r="L182" s="26" t="str">
        <f>IFERROR(__xludf.DUMMYFUNCTION("""COMPUTED_VALUE"""),"TIP (6 Expts)")</f>
        <v>TIP (6 Expts)</v>
      </c>
      <c r="M182" s="26"/>
      <c r="N182" s="26"/>
      <c r="O182" s="26"/>
    </row>
    <row r="183" ht="13.2" spans="1:15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IFERROR(__xludf.DUMMYFUNCTION("""COMPUTED_VALUE"""),"CS1544")</f>
        <v>CS1544</v>
      </c>
      <c r="E183" s="26" t="str">
        <f>IFERROR(__xludf.DUMMYFUNCTION("""COMPUTED_VALUE"""),"19CS544")</f>
        <v>19CS544</v>
      </c>
      <c r="F183" s="27" t="str">
        <f>IFERROR(__xludf.DUMMYFUNCTION("""COMPUTED_VALUE"""),"Realtime Operating System")</f>
        <v>Realtime Operating System</v>
      </c>
      <c r="G183" s="26" t="str">
        <f>IFERROR(__xludf.DUMMYFUNCTION("""COMPUTED_VALUE"""),"-")</f>
        <v>-</v>
      </c>
      <c r="H183" s="26">
        <f>IFERROR(__xludf.DUMMYFUNCTION("""COMPUTED_VALUE"""),2)</f>
        <v>2</v>
      </c>
      <c r="I183" s="26">
        <f>IFERROR(__xludf.DUMMYFUNCTION("""COMPUTED_VALUE"""),2)</f>
        <v>2</v>
      </c>
      <c r="J183" s="26">
        <f>IFERROR(__xludf.DUMMYFUNCTION("""COMPUTED_VALUE"""),1)</f>
        <v>1</v>
      </c>
      <c r="K183" s="26" t="str">
        <f>IFERROR(__xludf.DUMMYFUNCTION("""COMPUTED_VALUE"""),"CGPA")</f>
        <v>CGPA</v>
      </c>
      <c r="L183" s="26" t="str">
        <f>IFERROR(__xludf.DUMMYFUNCTION("""COMPUTED_VALUE"""),"TIP (6 Expts)")</f>
        <v>TIP (6 Expts)</v>
      </c>
      <c r="M183" s="26"/>
      <c r="N183" s="26"/>
      <c r="O183" s="26"/>
    </row>
    <row r="184" ht="13.2" spans="1:15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IFERROR(__xludf.DUMMYFUNCTION("""COMPUTED_VALUE"""),"CS1545")</f>
        <v>CS1545</v>
      </c>
      <c r="E184" s="26" t="str">
        <f>IFERROR(__xludf.DUMMYFUNCTION("""COMPUTED_VALUE"""),"19CS545")</f>
        <v>19CS545</v>
      </c>
      <c r="F184" s="27" t="str">
        <f>IFERROR(__xludf.DUMMYFUNCTION("""COMPUTED_VALUE"""),"Open Source Operating System")</f>
        <v>Open Source Operating System</v>
      </c>
      <c r="G184" s="26" t="str">
        <f>IFERROR(__xludf.DUMMYFUNCTION("""COMPUTED_VALUE"""),"-")</f>
        <v>-</v>
      </c>
      <c r="H184" s="26">
        <f>IFERROR(__xludf.DUMMYFUNCTION("""COMPUTED_VALUE"""),2)</f>
        <v>2</v>
      </c>
      <c r="I184" s="26">
        <f>IFERROR(__xludf.DUMMYFUNCTION("""COMPUTED_VALUE"""),2)</f>
        <v>2</v>
      </c>
      <c r="J184" s="26">
        <f>IFERROR(__xludf.DUMMYFUNCTION("""COMPUTED_VALUE"""),1)</f>
        <v>1</v>
      </c>
      <c r="K184" s="26" t="str">
        <f>IFERROR(__xludf.DUMMYFUNCTION("""COMPUTED_VALUE"""),"CGPA")</f>
        <v>CGPA</v>
      </c>
      <c r="L184" s="26" t="str">
        <f>IFERROR(__xludf.DUMMYFUNCTION("""COMPUTED_VALUE"""),"TIP (6 Expts)")</f>
        <v>TIP (6 Expts)</v>
      </c>
      <c r="M184" s="26"/>
      <c r="N184" s="26"/>
      <c r="O184" s="26"/>
    </row>
    <row r="185" ht="13.2" spans="1:15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IFERROR(__xludf.DUMMYFUNCTION("""COMPUTED_VALUE"""),"CS1546")</f>
        <v>CS1546</v>
      </c>
      <c r="E185" s="26" t="str">
        <f>IFERROR(__xludf.DUMMYFUNCTION("""COMPUTED_VALUE"""),"19CS546")</f>
        <v>19CS546</v>
      </c>
      <c r="F185" s="27" t="str">
        <f>IFERROR(__xludf.DUMMYFUNCTION("""COMPUTED_VALUE"""),"Kernel Programming")</f>
        <v>Kernel Programming</v>
      </c>
      <c r="G185" s="26" t="str">
        <f>IFERROR(__xludf.DUMMYFUNCTION("""COMPUTED_VALUE"""),"-")</f>
        <v>-</v>
      </c>
      <c r="H185" s="26">
        <f>IFERROR(__xludf.DUMMYFUNCTION("""COMPUTED_VALUE"""),2)</f>
        <v>2</v>
      </c>
      <c r="I185" s="26">
        <f>IFERROR(__xludf.DUMMYFUNCTION("""COMPUTED_VALUE"""),2)</f>
        <v>2</v>
      </c>
      <c r="J185" s="26">
        <f>IFERROR(__xludf.DUMMYFUNCTION("""COMPUTED_VALUE"""),1)</f>
        <v>1</v>
      </c>
      <c r="K185" s="26" t="str">
        <f>IFERROR(__xludf.DUMMYFUNCTION("""COMPUTED_VALUE"""),"CGPA")</f>
        <v>CGPA</v>
      </c>
      <c r="L185" s="26" t="str">
        <f>IFERROR(__xludf.DUMMYFUNCTION("""COMPUTED_VALUE"""),"TIP (6 Expts)")</f>
        <v>TIP (6 Expts)</v>
      </c>
      <c r="M185" s="26"/>
      <c r="N185" s="26"/>
      <c r="O185" s="26"/>
    </row>
    <row r="186" ht="13.2" spans="1:15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IFERROR(__xludf.DUMMYFUNCTION("""COMPUTED_VALUE"""),"CS1547")</f>
        <v>CS1547</v>
      </c>
      <c r="E186" s="26" t="str">
        <f>IFERROR(__xludf.DUMMYFUNCTION("""COMPUTED_VALUE"""),"19CS547")</f>
        <v>19CS547</v>
      </c>
      <c r="F186" s="27" t="str">
        <f>IFERROR(__xludf.DUMMYFUNCTION("""COMPUTED_VALUE"""),"Fundamentals of Cryptocurrency")</f>
        <v>Fundamentals of Cryptocurrency</v>
      </c>
      <c r="G186" s="26" t="str">
        <f>IFERROR(__xludf.DUMMYFUNCTION("""COMPUTED_VALUE"""),"-")</f>
        <v>-</v>
      </c>
      <c r="H186" s="26">
        <f>IFERROR(__xludf.DUMMYFUNCTION("""COMPUTED_VALUE"""),3)</f>
        <v>3</v>
      </c>
      <c r="I186" s="26">
        <f>IFERROR(__xludf.DUMMYFUNCTION("""COMPUTED_VALUE"""),3)</f>
        <v>3</v>
      </c>
      <c r="J186" s="26">
        <f>IFERROR(__xludf.DUMMYFUNCTION("""COMPUTED_VALUE"""),0)</f>
        <v>0</v>
      </c>
      <c r="K186" s="26" t="str">
        <f>IFERROR(__xludf.DUMMYFUNCTION("""COMPUTED_VALUE"""),"CGPA")</f>
        <v>CGPA</v>
      </c>
      <c r="L186" s="26" t="str">
        <f>IFERROR(__xludf.DUMMYFUNCTION("""COMPUTED_VALUE"""),"Theory")</f>
        <v>Theory</v>
      </c>
      <c r="M186" s="26"/>
      <c r="N186" s="26"/>
      <c r="O186" s="26"/>
    </row>
    <row r="187" ht="13.2" spans="1:15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IFERROR(__xludf.DUMMYFUNCTION("""COMPUTED_VALUE"""),"CS1548")</f>
        <v>CS1548</v>
      </c>
      <c r="E187" s="26" t="str">
        <f>IFERROR(__xludf.DUMMYFUNCTION("""COMPUTED_VALUE"""),"19CS548")</f>
        <v>19CS548</v>
      </c>
      <c r="F187" s="27" t="str">
        <f>IFERROR(__xludf.DUMMYFUNCTION("""COMPUTED_VALUE"""),"Cloud Services Management")</f>
        <v>Cloud Services Management</v>
      </c>
      <c r="G187" s="26" t="str">
        <f>IFERROR(__xludf.DUMMYFUNCTION("""COMPUTED_VALUE"""),"-")</f>
        <v>-</v>
      </c>
      <c r="H187" s="26">
        <f>IFERROR(__xludf.DUMMYFUNCTION("""COMPUTED_VALUE"""),2)</f>
        <v>2</v>
      </c>
      <c r="I187" s="26">
        <f>IFERROR(__xludf.DUMMYFUNCTION("""COMPUTED_VALUE"""),2)</f>
        <v>2</v>
      </c>
      <c r="J187" s="26">
        <f>IFERROR(__xludf.DUMMYFUNCTION("""COMPUTED_VALUE"""),1)</f>
        <v>1</v>
      </c>
      <c r="K187" s="26" t="str">
        <f>IFERROR(__xludf.DUMMYFUNCTION("""COMPUTED_VALUE"""),"CGPA")</f>
        <v>CGPA</v>
      </c>
      <c r="L187" s="26" t="str">
        <f>IFERROR(__xludf.DUMMYFUNCTION("""COMPUTED_VALUE"""),"TIP (6 Expts)")</f>
        <v>TIP (6 Expts)</v>
      </c>
      <c r="M187" s="26"/>
      <c r="N187" s="26"/>
      <c r="O187" s="26"/>
    </row>
    <row r="188" ht="13.2" spans="1:15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IFERROR(__xludf.DUMMYFUNCTION("""COMPUTED_VALUE"""),"CS1549")</f>
        <v>CS1549</v>
      </c>
      <c r="E188" s="26" t="str">
        <f>IFERROR(__xludf.DUMMYFUNCTION("""COMPUTED_VALUE"""),"19CS549")</f>
        <v>19CS549</v>
      </c>
      <c r="F188" s="27" t="str">
        <f>IFERROR(__xludf.DUMMYFUNCTION("""COMPUTED_VALUE"""),"UI and UX Design")</f>
        <v>UI and UX Design</v>
      </c>
      <c r="G188" s="26" t="str">
        <f>IFERROR(__xludf.DUMMYFUNCTION("""COMPUTED_VALUE"""),"-")</f>
        <v>-</v>
      </c>
      <c r="H188" s="26">
        <f>IFERROR(__xludf.DUMMYFUNCTION("""COMPUTED_VALUE"""),2)</f>
        <v>2</v>
      </c>
      <c r="I188" s="26">
        <f>IFERROR(__xludf.DUMMYFUNCTION("""COMPUTED_VALUE"""),2)</f>
        <v>2</v>
      </c>
      <c r="J188" s="26">
        <f>IFERROR(__xludf.DUMMYFUNCTION("""COMPUTED_VALUE"""),1)</f>
        <v>1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</row>
    <row r="189" ht="13.2" spans="1:15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IFERROR(__xludf.DUMMYFUNCTION("""COMPUTED_VALUE"""),"CS1550")</f>
        <v>CS1550</v>
      </c>
      <c r="E189" s="26" t="str">
        <f>IFERROR(__xludf.DUMMYFUNCTION("""COMPUTED_VALUE"""),"19CS550")</f>
        <v>19CS550</v>
      </c>
      <c r="F189" s="26" t="str">
        <f>IFERROR(__xludf.DUMMYFUNCTION("""COMPUTED_VALUE"""),"AI and Ethics")</f>
        <v>AI and Ethics</v>
      </c>
      <c r="G189" s="26" t="str">
        <f>IFERROR(__xludf.DUMMYFUNCTION("""COMPUTED_VALUE"""),"-")</f>
        <v>-</v>
      </c>
      <c r="H189" s="26">
        <f>IFERROR(__xludf.DUMMYFUNCTION("""COMPUTED_VALUE"""),3)</f>
        <v>3</v>
      </c>
      <c r="I189" s="26">
        <f>IFERROR(__xludf.DUMMYFUNCTION("""COMPUTED_VALUE"""),3)</f>
        <v>3</v>
      </c>
      <c r="J189" s="26">
        <f>IFERROR(__xludf.DUMMYFUNCTION("""COMPUTED_VALUE"""),0)</f>
        <v>0</v>
      </c>
      <c r="K189" s="26" t="str">
        <f>IFERROR(__xludf.DUMMYFUNCTION("""COMPUTED_VALUE"""),"CGPA")</f>
        <v>CGPA</v>
      </c>
      <c r="L189" s="26" t="str">
        <f>IFERROR(__xludf.DUMMYFUNCTION("""COMPUTED_VALUE"""),"Theory")</f>
        <v>Theory</v>
      </c>
      <c r="M189" s="26"/>
      <c r="N189" s="26"/>
      <c r="O189" s="26"/>
    </row>
    <row r="190" ht="13.2" spans="1:15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IFERROR(__xludf.DUMMYFUNCTION("""COMPUTED_VALUE"""),"CS1551")</f>
        <v>CS1551</v>
      </c>
      <c r="E190" s="26" t="str">
        <f>IFERROR(__xludf.DUMMYFUNCTION("""COMPUTED_VALUE"""),"19CS551")</f>
        <v>19CS551</v>
      </c>
      <c r="F190" s="27" t="str">
        <f>IFERROR(__xludf.DUMMYFUNCTION("""COMPUTED_VALUE"""),"Software Testing and Automation")</f>
        <v>Software Testing and Automation</v>
      </c>
      <c r="G190" s="26" t="str">
        <f>IFERROR(__xludf.DUMMYFUNCTION("""COMPUTED_VALUE"""),"-")</f>
        <v>-</v>
      </c>
      <c r="H190" s="26">
        <f>IFERROR(__xludf.DUMMYFUNCTION("""COMPUTED_VALUE"""),2)</f>
        <v>2</v>
      </c>
      <c r="I190" s="26">
        <f>IFERROR(__xludf.DUMMYFUNCTION("""COMPUTED_VALUE"""),2)</f>
        <v>2</v>
      </c>
      <c r="J190" s="26">
        <f>IFERROR(__xludf.DUMMYFUNCTION("""COMPUTED_VALUE"""),1)</f>
        <v>1</v>
      </c>
      <c r="K190" s="26" t="str">
        <f>IFERROR(__xludf.DUMMYFUNCTION("""COMPUTED_VALUE"""),"CGPA")</f>
        <v>CGPA</v>
      </c>
      <c r="L190" s="26" t="str">
        <f>IFERROR(__xludf.DUMMYFUNCTION("""COMPUTED_VALUE"""),"TIP (6 Expts)")</f>
        <v>TIP (6 Expts)</v>
      </c>
      <c r="M190" s="26"/>
      <c r="N190" s="26"/>
      <c r="O190" s="26"/>
    </row>
    <row r="191" ht="13.2" spans="1:15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IFERROR(__xludf.DUMMYFUNCTION("""COMPUTED_VALUE"""),"CS1552")</f>
        <v>CS1552</v>
      </c>
      <c r="E191" s="26" t="str">
        <f>IFERROR(__xludf.DUMMYFUNCTION("""COMPUTED_VALUE"""),"19CS552")</f>
        <v>19CS552</v>
      </c>
      <c r="F191" s="27" t="str">
        <f>IFERROR(__xludf.DUMMYFUNCTION("""COMPUTED_VALUE"""),"DevOps")</f>
        <v>DevOps</v>
      </c>
      <c r="G191" s="26" t="str">
        <f>IFERROR(__xludf.DUMMYFUNCTION("""COMPUTED_VALUE"""),"-")</f>
        <v>-</v>
      </c>
      <c r="H191" s="26">
        <f>IFERROR(__xludf.DUMMYFUNCTION("""COMPUTED_VALUE"""),2)</f>
        <v>2</v>
      </c>
      <c r="I191" s="26">
        <f>IFERROR(__xludf.DUMMYFUNCTION("""COMPUTED_VALUE"""),2)</f>
        <v>2</v>
      </c>
      <c r="J191" s="26">
        <f>IFERROR(__xludf.DUMMYFUNCTION("""COMPUTED_VALUE"""),1)</f>
        <v>1</v>
      </c>
      <c r="K191" s="26" t="str">
        <f>IFERROR(__xludf.DUMMYFUNCTION("""COMPUTED_VALUE"""),"CGPA")</f>
        <v>CGPA</v>
      </c>
      <c r="L191" s="26" t="str">
        <f>IFERROR(__xludf.DUMMYFUNCTION("""COMPUTED_VALUE"""),"TIP (6 Expts)")</f>
        <v>TIP (6 Expts)</v>
      </c>
      <c r="M191" s="26"/>
      <c r="N191" s="26"/>
      <c r="O191" s="26"/>
    </row>
    <row r="192" ht="13.2" spans="1:15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IFERROR(__xludf.DUMMYFUNCTION("""COMPUTED_VALUE"""),"CS1553")</f>
        <v>CS1553</v>
      </c>
      <c r="E192" s="26" t="str">
        <f>IFERROR(__xludf.DUMMYFUNCTION("""COMPUTED_VALUE"""),"19CS553")</f>
        <v>19CS553</v>
      </c>
      <c r="F192" s="27" t="str">
        <f>IFERROR(__xludf.DUMMYFUNCTION("""COMPUTED_VALUE"""),"Web Application Security")</f>
        <v>Web Application Security</v>
      </c>
      <c r="G192" s="26" t="str">
        <f>IFERROR(__xludf.DUMMYFUNCTION("""COMPUTED_VALUE"""),"-")</f>
        <v>-</v>
      </c>
      <c r="H192" s="26">
        <f>IFERROR(__xludf.DUMMYFUNCTION("""COMPUTED_VALUE"""),2)</f>
        <v>2</v>
      </c>
      <c r="I192" s="26">
        <f>IFERROR(__xludf.DUMMYFUNCTION("""COMPUTED_VALUE"""),2)</f>
        <v>2</v>
      </c>
      <c r="J192" s="26">
        <f>IFERROR(__xludf.DUMMYFUNCTION("""COMPUTED_VALUE"""),1)</f>
        <v>1</v>
      </c>
      <c r="K192" s="26" t="str">
        <f>IFERROR(__xludf.DUMMYFUNCTION("""COMPUTED_VALUE"""),"CGPA")</f>
        <v>CGPA</v>
      </c>
      <c r="L192" s="26" t="str">
        <f>IFERROR(__xludf.DUMMYFUNCTION("""COMPUTED_VALUE"""),"TIP (6 Expts)")</f>
        <v>TIP (6 Expts)</v>
      </c>
      <c r="M192" s="26"/>
      <c r="N192" s="26"/>
      <c r="O192" s="26"/>
    </row>
    <row r="193" ht="13.2" spans="1:15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IFERROR(__xludf.DUMMYFUNCTION("""COMPUTED_VALUE"""),"CS1554")</f>
        <v>CS1554</v>
      </c>
      <c r="E193" s="26" t="str">
        <f>IFERROR(__xludf.DUMMYFUNCTION("""COMPUTED_VALUE"""),"19CS554")</f>
        <v>19CS554</v>
      </c>
      <c r="F193" s="26" t="str">
        <f>IFERROR(__xludf.DUMMYFUNCTION("""COMPUTED_VALUE"""),"Stream Processing")</f>
        <v>Stream Processing</v>
      </c>
      <c r="G193" s="26" t="str">
        <f>IFERROR(__xludf.DUMMYFUNCTION("""COMPUTED_VALUE"""),"-")</f>
        <v>-</v>
      </c>
      <c r="H193" s="26">
        <f>IFERROR(__xludf.DUMMYFUNCTION("""COMPUTED_VALUE"""),2)</f>
        <v>2</v>
      </c>
      <c r="I193" s="26">
        <f>IFERROR(__xludf.DUMMYFUNCTION("""COMPUTED_VALUE"""),2)</f>
        <v>2</v>
      </c>
      <c r="J193" s="26">
        <f>IFERROR(__xludf.DUMMYFUNCTION("""COMPUTED_VALUE"""),1)</f>
        <v>1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</row>
    <row r="194" ht="13.2" spans="1:15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IFERROR(__xludf.DUMMYFUNCTION("""COMPUTED_VALUE"""),"CS1557")</f>
        <v>CS1557</v>
      </c>
      <c r="E194" s="26" t="str">
        <f>IFERROR(__xludf.DUMMYFUNCTION("""COMPUTED_VALUE"""),"19CS557")</f>
        <v>19CS557</v>
      </c>
      <c r="F194" s="26" t="str">
        <f>IFERROR(__xludf.DUMMYFUNCTION("""COMPUTED_VALUE"""),"Software Defined Networks")</f>
        <v>Software Defined Networks</v>
      </c>
      <c r="G194" s="26" t="str">
        <f>IFERROR(__xludf.DUMMYFUNCTION("""COMPUTED_VALUE"""),"-")</f>
        <v>-</v>
      </c>
      <c r="H194" s="26">
        <f>IFERROR(__xludf.DUMMYFUNCTION("""COMPUTED_VALUE"""),2)</f>
        <v>2</v>
      </c>
      <c r="I194" s="26">
        <f>IFERROR(__xludf.DUMMYFUNCTION("""COMPUTED_VALUE"""),2)</f>
        <v>2</v>
      </c>
      <c r="J194" s="26">
        <f>IFERROR(__xludf.DUMMYFUNCTION("""COMPUTED_VALUE"""),1)</f>
        <v>1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</row>
    <row r="195" ht="13.2" spans="1:15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IFERROR(__xludf.DUMMYFUNCTION("""COMPUTED_VALUE"""),"CS1556")</f>
        <v>CS1556</v>
      </c>
      <c r="E195" s="26" t="str">
        <f>IFERROR(__xludf.DUMMYFUNCTION("""COMPUTED_VALUE"""),"19CS556")</f>
        <v>19CS556</v>
      </c>
      <c r="F195" s="27" t="str">
        <f>IFERROR(__xludf.DUMMYFUNCTION("""COMPUTED_VALUE"""),"Core Computing Concepts")</f>
        <v>Core Computing Concepts</v>
      </c>
      <c r="G195" s="26" t="str">
        <f>IFERROR(__xludf.DUMMYFUNCTION("""COMPUTED_VALUE"""),"-")</f>
        <v>-</v>
      </c>
      <c r="H195" s="26">
        <f>IFERROR(__xludf.DUMMYFUNCTION("""COMPUTED_VALUE"""),2)</f>
        <v>2</v>
      </c>
      <c r="I195" s="26">
        <f>IFERROR(__xludf.DUMMYFUNCTION("""COMPUTED_VALUE"""),2)</f>
        <v>2</v>
      </c>
      <c r="J195" s="26">
        <f>IFERROR(__xludf.DUMMYFUNCTION("""COMPUTED_VALUE"""),1)</f>
        <v>1</v>
      </c>
      <c r="K195" s="26" t="str">
        <f>IFERROR(__xludf.DUMMYFUNCTION("""COMPUTED_VALUE"""),"CGPA")</f>
        <v>CGPA</v>
      </c>
      <c r="L195" s="26" t="str">
        <f>IFERROR(__xludf.DUMMYFUNCTION("""COMPUTED_VALUE"""),"TIP (6 Expts)")</f>
        <v>TIP (6 Expts)</v>
      </c>
      <c r="M195" s="26"/>
      <c r="N195" s="26"/>
      <c r="O195" s="26"/>
    </row>
    <row r="196" ht="13.2" spans="1:15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IFERROR(__xludf.DUMMYFUNCTION("""COMPUTED_VALUE"""),"CS1558")</f>
        <v>CS1558</v>
      </c>
      <c r="E196" s="26" t="str">
        <f>IFERROR(__xludf.DUMMYFUNCTION("""COMPUTED_VALUE"""),"19CS558")</f>
        <v>19CS558</v>
      </c>
      <c r="F196" s="26" t="str">
        <f>IFERROR(__xludf.DUMMYFUNCTION("""COMPUTED_VALUE"""),"Data Privacy and Protection")</f>
        <v>Data Privacy and Protection</v>
      </c>
      <c r="G196" s="26" t="str">
        <f>IFERROR(__xludf.DUMMYFUNCTION("""COMPUTED_VALUE"""),"-")</f>
        <v>-</v>
      </c>
      <c r="H196" s="26">
        <f>IFERROR(__xludf.DUMMYFUNCTION("""COMPUTED_VALUE"""),2)</f>
        <v>2</v>
      </c>
      <c r="I196" s="26">
        <f>IFERROR(__xludf.DUMMYFUNCTION("""COMPUTED_VALUE"""),2)</f>
        <v>2</v>
      </c>
      <c r="J196" s="26">
        <f>IFERROR(__xludf.DUMMYFUNCTION("""COMPUTED_VALUE"""),1)</f>
        <v>1</v>
      </c>
      <c r="K196" s="26" t="str">
        <f>IFERROR(__xludf.DUMMYFUNCTION("""COMPUTED_VALUE"""),"CGPA")</f>
        <v>CGPA</v>
      </c>
      <c r="L196" s="26" t="str">
        <f>IFERROR(__xludf.DUMMYFUNCTION("""COMPUTED_VALUE"""),"TIP (6 Expts)")</f>
        <v>TIP (6 Expts)</v>
      </c>
      <c r="M196" s="26"/>
      <c r="N196" s="26"/>
      <c r="O196" s="26"/>
    </row>
    <row r="197" ht="13.2" spans="1:15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IFERROR(__xludf.DUMMYFUNCTION("""COMPUTED_VALUE"""),"CS1559")</f>
        <v>CS1559</v>
      </c>
      <c r="E197" s="26" t="str">
        <f>IFERROR(__xludf.DUMMYFUNCTION("""COMPUTED_VALUE"""),"19CS559")</f>
        <v>19CS559</v>
      </c>
      <c r="F197" s="26" t="str">
        <f>IFERROR(__xludf.DUMMYFUNCTION("""COMPUTED_VALUE"""),"Blockchain Platforms and Its Use Cases")</f>
        <v>Blockchain Platforms and Its Use Cases</v>
      </c>
      <c r="G197" s="26" t="str">
        <f>IFERROR(__xludf.DUMMYFUNCTION("""COMPUTED_VALUE"""),"-")</f>
        <v>-</v>
      </c>
      <c r="H197" s="26">
        <f>IFERROR(__xludf.DUMMYFUNCTION("""COMPUTED_VALUE"""),2)</f>
        <v>2</v>
      </c>
      <c r="I197" s="26">
        <f>IFERROR(__xludf.DUMMYFUNCTION("""COMPUTED_VALUE"""),2)</f>
        <v>2</v>
      </c>
      <c r="J197" s="26">
        <f>IFERROR(__xludf.DUMMYFUNCTION("""COMPUTED_VALUE"""),1)</f>
        <v>1</v>
      </c>
      <c r="K197" s="26" t="str">
        <f>IFERROR(__xludf.DUMMYFUNCTION("""COMPUTED_VALUE"""),"CGPA")</f>
        <v>CGPA</v>
      </c>
      <c r="L197" s="26" t="str">
        <f>IFERROR(__xludf.DUMMYFUNCTION("""COMPUTED_VALUE"""),"TIP (6 Expts)")</f>
        <v>TIP (6 Expts)</v>
      </c>
      <c r="M197" s="26"/>
      <c r="N197" s="26"/>
      <c r="O197" s="26"/>
    </row>
    <row r="198" ht="13.2" spans="1:15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IFERROR(__xludf.DUMMYFUNCTION("""COMPUTED_VALUE"""),"CS1560")</f>
        <v>CS1560</v>
      </c>
      <c r="E198" s="26" t="str">
        <f>IFERROR(__xludf.DUMMYFUNCTION("""COMPUTED_VALUE"""),"19CS560")</f>
        <v>19CS560</v>
      </c>
      <c r="F198" s="26" t="str">
        <f>IFERROR(__xludf.DUMMYFUNCTION("""COMPUTED_VALUE"""),"Smart Contract and Solidity")</f>
        <v>Smart Contract and Solidity</v>
      </c>
      <c r="G198" s="26" t="str">
        <f>IFERROR(__xludf.DUMMYFUNCTION("""COMPUTED_VALUE"""),"-")</f>
        <v>-</v>
      </c>
      <c r="H198" s="26">
        <f>IFERROR(__xludf.DUMMYFUNCTION("""COMPUTED_VALUE"""),2)</f>
        <v>2</v>
      </c>
      <c r="I198" s="26">
        <f>IFERROR(__xludf.DUMMYFUNCTION("""COMPUTED_VALUE"""),2)</f>
        <v>2</v>
      </c>
      <c r="J198" s="26">
        <f>IFERROR(__xludf.DUMMYFUNCTION("""COMPUTED_VALUE"""),1)</f>
        <v>1</v>
      </c>
      <c r="K198" s="26" t="str">
        <f>IFERROR(__xludf.DUMMYFUNCTION("""COMPUTED_VALUE"""),"CGPA")</f>
        <v>CGPA</v>
      </c>
      <c r="L198" s="26" t="str">
        <f>IFERROR(__xludf.DUMMYFUNCTION("""COMPUTED_VALUE"""),"TIP (6 Expts)")</f>
        <v>TIP (6 Expts)</v>
      </c>
      <c r="M198" s="26"/>
      <c r="N198" s="26"/>
      <c r="O198" s="26"/>
    </row>
    <row r="199" ht="13.2" spans="1:15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IFERROR(__xludf.DUMMYFUNCTION("""COMPUTED_VALUE"""),"CS1561")</f>
        <v>CS1561</v>
      </c>
      <c r="E199" s="26" t="str">
        <f>IFERROR(__xludf.DUMMYFUNCTION("""COMPUTED_VALUE"""),"19CS561")</f>
        <v>19CS561</v>
      </c>
      <c r="F199" s="26" t="str">
        <f>IFERROR(__xludf.DUMMYFUNCTION("""COMPUTED_VALUE"""),"Blockchain and Fintech")</f>
        <v>Blockchain and Fintech</v>
      </c>
      <c r="G199" s="26" t="str">
        <f>IFERROR(__xludf.DUMMYFUNCTION("""COMPUTED_VALUE"""),"-")</f>
        <v>-</v>
      </c>
      <c r="H199" s="26">
        <f>IFERROR(__xludf.DUMMYFUNCTION("""COMPUTED_VALUE"""),2)</f>
        <v>2</v>
      </c>
      <c r="I199" s="26">
        <f>IFERROR(__xludf.DUMMYFUNCTION("""COMPUTED_VALUE"""),2)</f>
        <v>2</v>
      </c>
      <c r="J199" s="26">
        <f>IFERROR(__xludf.DUMMYFUNCTION("""COMPUTED_VALUE"""),1)</f>
        <v>1</v>
      </c>
      <c r="K199" s="26" t="str">
        <f>IFERROR(__xludf.DUMMYFUNCTION("""COMPUTED_VALUE"""),"CGPA")</f>
        <v>CGPA</v>
      </c>
      <c r="L199" s="26" t="str">
        <f>IFERROR(__xludf.DUMMYFUNCTION("""COMPUTED_VALUE"""),"TIP (6 Expts)")</f>
        <v>TIP (6 Expts)</v>
      </c>
      <c r="M199" s="26"/>
      <c r="N199" s="26"/>
      <c r="O199" s="26"/>
    </row>
    <row r="200" ht="13.2" spans="1:15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IFERROR(__xludf.DUMMYFUNCTION("""COMPUTED_VALUE"""),"CS1562")</f>
        <v>CS1562</v>
      </c>
      <c r="E200" s="26" t="str">
        <f>IFERROR(__xludf.DUMMYFUNCTION("""COMPUTED_VALUE"""),"19CS562")</f>
        <v>19CS562</v>
      </c>
      <c r="F200" s="26" t="str">
        <f>IFERROR(__xludf.DUMMYFUNCTION("""COMPUTED_VALUE"""),"Public Key Infrastructure and Trust Management")</f>
        <v>Public Key Infrastructure and Trust Management</v>
      </c>
      <c r="G200" s="26" t="str">
        <f>IFERROR(__xludf.DUMMYFUNCTION("""COMPUTED_VALUE"""),"-")</f>
        <v>-</v>
      </c>
      <c r="H200" s="26">
        <f>IFERROR(__xludf.DUMMYFUNCTION("""COMPUTED_VALUE"""),2)</f>
        <v>2</v>
      </c>
      <c r="I200" s="26">
        <f>IFERROR(__xludf.DUMMYFUNCTION("""COMPUTED_VALUE"""),2)</f>
        <v>2</v>
      </c>
      <c r="J200" s="26">
        <f>IFERROR(__xludf.DUMMYFUNCTION("""COMPUTED_VALUE"""),1)</f>
        <v>1</v>
      </c>
      <c r="K200" s="26" t="str">
        <f>IFERROR(__xludf.DUMMYFUNCTION("""COMPUTED_VALUE"""),"CGPA")</f>
        <v>CGPA</v>
      </c>
      <c r="L200" s="26" t="str">
        <f>IFERROR(__xludf.DUMMYFUNCTION("""COMPUTED_VALUE"""),"TIP (6 Expts)")</f>
        <v>TIP (6 Expts)</v>
      </c>
      <c r="M200" s="26"/>
      <c r="N200" s="26"/>
      <c r="O200" s="26"/>
    </row>
    <row r="201" ht="13.2" spans="1:15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IFERROR(__xludf.DUMMYFUNCTION("""COMPUTED_VALUE"""),"CS1563")</f>
        <v>CS1563</v>
      </c>
      <c r="E201" s="26" t="str">
        <f>IFERROR(__xludf.DUMMYFUNCTION("""COMPUTED_VALUE"""),"19CS563")</f>
        <v>19CS563</v>
      </c>
      <c r="F201" s="26" t="str">
        <f>IFERROR(__xludf.DUMMYFUNCTION("""COMPUTED_VALUE"""),"Bitcoin Mining")</f>
        <v>Bitcoin Mining</v>
      </c>
      <c r="G201" s="26" t="str">
        <f>IFERROR(__xludf.DUMMYFUNCTION("""COMPUTED_VALUE"""),"-")</f>
        <v>-</v>
      </c>
      <c r="H201" s="26">
        <f>IFERROR(__xludf.DUMMYFUNCTION("""COMPUTED_VALUE"""),2)</f>
        <v>2</v>
      </c>
      <c r="I201" s="26">
        <f>IFERROR(__xludf.DUMMYFUNCTION("""COMPUTED_VALUE"""),2)</f>
        <v>2</v>
      </c>
      <c r="J201" s="26">
        <f>IFERROR(__xludf.DUMMYFUNCTION("""COMPUTED_VALUE"""),1)</f>
        <v>1</v>
      </c>
      <c r="K201" s="26" t="str">
        <f>IFERROR(__xludf.DUMMYFUNCTION("""COMPUTED_VALUE"""),"CGPA")</f>
        <v>CGPA</v>
      </c>
      <c r="L201" s="26" t="str">
        <f>IFERROR(__xludf.DUMMYFUNCTION("""COMPUTED_VALUE"""),"TIP (6 Expts)")</f>
        <v>TIP (6 Expts)</v>
      </c>
      <c r="M201" s="26"/>
      <c r="N201" s="26"/>
      <c r="O201" s="26"/>
    </row>
    <row r="202" ht="13.2" spans="1:15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IFERROR(__xludf.DUMMYFUNCTION("""COMPUTED_VALUE"""),"CS1565")</f>
        <v>CS1565</v>
      </c>
      <c r="E202" s="26" t="str">
        <f>IFERROR(__xludf.DUMMYFUNCTION("""COMPUTED_VALUE"""),"19CS565")</f>
        <v>19CS565</v>
      </c>
      <c r="F202" s="27" t="str">
        <f>IFERROR(__xludf.DUMMYFUNCTION("""COMPUTED_VALUE"""),"Robotic Process Automation")</f>
        <v>Robotic Process Automation</v>
      </c>
      <c r="G202" s="26" t="str">
        <f>IFERROR(__xludf.DUMMYFUNCTION("""COMPUTED_VALUE"""),"-")</f>
        <v>-</v>
      </c>
      <c r="H202" s="26">
        <f>IFERROR(__xludf.DUMMYFUNCTION("""COMPUTED_VALUE"""),2)</f>
        <v>2</v>
      </c>
      <c r="I202" s="26">
        <f>IFERROR(__xludf.DUMMYFUNCTION("""COMPUTED_VALUE"""),2)</f>
        <v>2</v>
      </c>
      <c r="J202" s="26">
        <f>IFERROR(__xludf.DUMMYFUNCTION("""COMPUTED_VALUE"""),1)</f>
        <v>1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</row>
    <row r="203" ht="13.2" spans="1:15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IFERROR(__xludf.DUMMYFUNCTION("""COMPUTED_VALUE"""),"CS1566")</f>
        <v>CS1566</v>
      </c>
      <c r="E203" s="26" t="str">
        <f>IFERROR(__xludf.DUMMYFUNCTION("""COMPUTED_VALUE"""),"19CS566")</f>
        <v>19CS566</v>
      </c>
      <c r="F203" s="27" t="str">
        <f>IFERROR(__xludf.DUMMYFUNCTION("""COMPUTED_VALUE"""),"Software Project Management and Version Control")</f>
        <v>Software Project Management and Version Control</v>
      </c>
      <c r="G203" s="26" t="str">
        <f>IFERROR(__xludf.DUMMYFUNCTION("""COMPUTED_VALUE"""),"-")</f>
        <v>-</v>
      </c>
      <c r="H203" s="26">
        <f>IFERROR(__xludf.DUMMYFUNCTION("""COMPUTED_VALUE"""),3)</f>
        <v>3</v>
      </c>
      <c r="I203" s="26">
        <f>IFERROR(__xludf.DUMMYFUNCTION("""COMPUTED_VALUE"""),3)</f>
        <v>3</v>
      </c>
      <c r="J203" s="26">
        <f>IFERROR(__xludf.DUMMYFUNCTION("""COMPUTED_VALUE"""),0)</f>
        <v>0</v>
      </c>
      <c r="K203" s="26" t="str">
        <f>IFERROR(__xludf.DUMMYFUNCTION("""COMPUTED_VALUE"""),"CGPA")</f>
        <v>CGPA</v>
      </c>
      <c r="L203" s="26" t="str">
        <f>IFERROR(__xludf.DUMMYFUNCTION("""COMPUTED_VALUE"""),"Theory")</f>
        <v>Theory</v>
      </c>
      <c r="M203" s="26"/>
      <c r="N203" s="26"/>
      <c r="O203" s="26"/>
    </row>
    <row r="204" ht="13.2" spans="1:15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IFERROR(__xludf.DUMMYFUNCTION("""COMPUTED_VALUE"""),"CS1579")</f>
        <v>CS1579</v>
      </c>
      <c r="E204" s="26" t="str">
        <f>IFERROR(__xludf.DUMMYFUNCTION("""COMPUTED_VALUE"""),"19CS579")</f>
        <v>19CS579</v>
      </c>
      <c r="F204" s="27" t="str">
        <f>IFERROR(__xludf.DUMMYFUNCTION("""COMPUTED_VALUE"""),"Generative AI Application Development")</f>
        <v>Generative AI Application Development</v>
      </c>
      <c r="G204" s="26" t="str">
        <f>IFERROR(__xludf.DUMMYFUNCTION("""COMPUTED_VALUE"""),"-")</f>
        <v>-</v>
      </c>
      <c r="H204" s="26">
        <f>IFERROR(__xludf.DUMMYFUNCTION("""COMPUTED_VALUE"""),2)</f>
        <v>2</v>
      </c>
      <c r="I204" s="26">
        <f>IFERROR(__xludf.DUMMYFUNCTION("""COMPUTED_VALUE"""),2)</f>
        <v>2</v>
      </c>
      <c r="J204" s="26">
        <f>IFERROR(__xludf.DUMMYFUNCTION("""COMPUTED_VALUE"""),1)</f>
        <v>1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</row>
    <row r="205" ht="13.2" spans="1:15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IFERROR(__xludf.DUMMYFUNCTION("""COMPUTED_VALUE"""),"CS1568")</f>
        <v>CS1568</v>
      </c>
      <c r="E205" s="26" t="str">
        <f>IFERROR(__xludf.DUMMYFUNCTION("""COMPUTED_VALUE"""),"19CS568")</f>
        <v>19CS568</v>
      </c>
      <c r="F205" s="27" t="str">
        <f>IFERROR(__xludf.DUMMYFUNCTION("""COMPUTED_VALUE"""),"Fine Tuning Large Language Models")</f>
        <v>Fine Tuning Large Language Models</v>
      </c>
      <c r="G205" s="26" t="str">
        <f>IFERROR(__xludf.DUMMYFUNCTION("""COMPUTED_VALUE"""),"-")</f>
        <v>-</v>
      </c>
      <c r="H205" s="26">
        <f>IFERROR(__xludf.DUMMYFUNCTION("""COMPUTED_VALUE"""),3)</f>
        <v>3</v>
      </c>
      <c r="I205" s="26">
        <f>IFERROR(__xludf.DUMMYFUNCTION("""COMPUTED_VALUE"""),3)</f>
        <v>3</v>
      </c>
      <c r="J205" s="26">
        <f>IFERROR(__xludf.DUMMYFUNCTION("""COMPUTED_VALUE"""),0)</f>
        <v>0</v>
      </c>
      <c r="K205" s="26" t="str">
        <f>IFERROR(__xludf.DUMMYFUNCTION("""COMPUTED_VALUE"""),"CGPA")</f>
        <v>CGPA</v>
      </c>
      <c r="L205" s="26" t="str">
        <f>IFERROR(__xludf.DUMMYFUNCTION("""COMPUTED_VALUE"""),"Theory")</f>
        <v>Theory</v>
      </c>
      <c r="M205" s="26"/>
      <c r="N205" s="26"/>
      <c r="O205" s="26"/>
    </row>
    <row r="206" ht="13.2" spans="1:15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IFERROR(__xludf.DUMMYFUNCTION("""COMPUTED_VALUE"""),"CS1569")</f>
        <v>CS1569</v>
      </c>
      <c r="E206" s="26" t="str">
        <f>IFERROR(__xludf.DUMMYFUNCTION("""COMPUTED_VALUE"""),"19CS569")</f>
        <v>19CS569</v>
      </c>
      <c r="F206" s="27" t="str">
        <f>IFERROR(__xludf.DUMMYFUNCTION("""COMPUTED_VALUE"""),"Applied Data Science")</f>
        <v>Applied Data Science</v>
      </c>
      <c r="G206" s="26" t="str">
        <f>IFERROR(__xludf.DUMMYFUNCTION("""COMPUTED_VALUE"""),"-")</f>
        <v>-</v>
      </c>
      <c r="H206" s="26">
        <f>IFERROR(__xludf.DUMMYFUNCTION("""COMPUTED_VALUE"""),2)</f>
        <v>2</v>
      </c>
      <c r="I206" s="26">
        <f>IFERROR(__xludf.DUMMYFUNCTION("""COMPUTED_VALUE"""),2)</f>
        <v>2</v>
      </c>
      <c r="J206" s="26">
        <f>IFERROR(__xludf.DUMMYFUNCTION("""COMPUTED_VALUE"""),1)</f>
        <v>1</v>
      </c>
      <c r="K206" s="26" t="str">
        <f>IFERROR(__xludf.DUMMYFUNCTION("""COMPUTED_VALUE"""),"CGPA")</f>
        <v>CGPA</v>
      </c>
      <c r="L206" s="26" t="str">
        <f>IFERROR(__xludf.DUMMYFUNCTION("""COMPUTED_VALUE"""),"TIP (6 Expts)")</f>
        <v>TIP (6 Expts)</v>
      </c>
      <c r="M206" s="26"/>
      <c r="N206" s="26"/>
      <c r="O206" s="26"/>
    </row>
    <row r="207" ht="13.2" spans="1:15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IFERROR(__xludf.DUMMYFUNCTION("""COMPUTED_VALUE"""),"CS1570")</f>
        <v>CS1570</v>
      </c>
      <c r="E207" s="26" t="str">
        <f>IFERROR(__xludf.DUMMYFUNCTION("""COMPUTED_VALUE"""),"19CS570")</f>
        <v>19CS570</v>
      </c>
      <c r="F207" s="27" t="str">
        <f>IFERROR(__xludf.DUMMYFUNCTION("""COMPUTED_VALUE"""),"Entrepreneurship and Small Business Development")</f>
        <v>Entrepreneurship and Small Business Development</v>
      </c>
      <c r="G207" s="26" t="str">
        <f>IFERROR(__xludf.DUMMYFUNCTION("""COMPUTED_VALUE"""),"-")</f>
        <v>-</v>
      </c>
      <c r="H207" s="26">
        <f>IFERROR(__xludf.DUMMYFUNCTION("""COMPUTED_VALUE"""),2)</f>
        <v>2</v>
      </c>
      <c r="I207" s="26">
        <f>IFERROR(__xludf.DUMMYFUNCTION("""COMPUTED_VALUE"""),2)</f>
        <v>2</v>
      </c>
      <c r="J207" s="26">
        <f>IFERROR(__xludf.DUMMYFUNCTION("""COMPUTED_VALUE"""),1)</f>
        <v>1</v>
      </c>
      <c r="K207" s="26" t="str">
        <f>IFERROR(__xludf.DUMMYFUNCTION("""COMPUTED_VALUE"""),"CGPA")</f>
        <v>CGPA</v>
      </c>
      <c r="L207" s="26" t="str">
        <f>IFERROR(__xludf.DUMMYFUNCTION("""COMPUTED_VALUE"""),"TIP (6 Expts)")</f>
        <v>TIP (6 Expts)</v>
      </c>
      <c r="M207" s="26"/>
      <c r="N207" s="26"/>
      <c r="O207" s="26"/>
    </row>
    <row r="208" ht="13.2" spans="1:15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IFERROR(__xludf.DUMMYFUNCTION("""COMPUTED_VALUE"""),"CS1571")</f>
        <v>CS1571</v>
      </c>
      <c r="E208" s="26" t="str">
        <f>IFERROR(__xludf.DUMMYFUNCTION("""COMPUTED_VALUE"""),"19CS571")</f>
        <v>19CS571</v>
      </c>
      <c r="F208" s="27" t="str">
        <f>IFERROR(__xludf.DUMMYFUNCTION("""COMPUTED_VALUE"""),"Software Development and Operations")</f>
        <v>Software Development and Operations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IFERROR(__xludf.DUMMYFUNCTION("""COMPUTED_VALUE"""),3)</f>
        <v>3</v>
      </c>
      <c r="J208" s="26">
        <f>IFERROR(__xludf.DUMMYFUNCTION("""COMPUTED_VALUE"""),0)</f>
        <v>0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</row>
    <row r="209" ht="13.2" spans="1:15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IFERROR(__xludf.DUMMYFUNCTION("""COMPUTED_VALUE"""),"CS1572")</f>
        <v>CS1572</v>
      </c>
      <c r="E209" s="26" t="str">
        <f>IFERROR(__xludf.DUMMYFUNCTION("""COMPUTED_VALUE"""),"19CS572")</f>
        <v>19CS572</v>
      </c>
      <c r="F209" s="27" t="str">
        <f>IFERROR(__xludf.DUMMYFUNCTION("""COMPUTED_VALUE"""),"Serverless App Development")</f>
        <v>Serverless App Development</v>
      </c>
      <c r="G209" s="26" t="str">
        <f>IFERROR(__xludf.DUMMYFUNCTION("""COMPUTED_VALUE"""),"-")</f>
        <v>-</v>
      </c>
      <c r="H209" s="26">
        <f>IFERROR(__xludf.DUMMYFUNCTION("""COMPUTED_VALUE"""),3)</f>
        <v>3</v>
      </c>
      <c r="I209" s="26">
        <f>IFERROR(__xludf.DUMMYFUNCTION("""COMPUTED_VALUE"""),3)</f>
        <v>3</v>
      </c>
      <c r="J209" s="26">
        <f>IFERROR(__xludf.DUMMYFUNCTION("""COMPUTED_VALUE"""),0)</f>
        <v>0</v>
      </c>
      <c r="K209" s="26" t="str">
        <f>IFERROR(__xludf.DUMMYFUNCTION("""COMPUTED_VALUE"""),"CGPA")</f>
        <v>CGPA</v>
      </c>
      <c r="L209" s="26" t="str">
        <f>IFERROR(__xludf.DUMMYFUNCTION("""COMPUTED_VALUE"""),"Theory")</f>
        <v>Theory</v>
      </c>
      <c r="M209" s="26"/>
      <c r="N209" s="26"/>
      <c r="O209" s="26"/>
    </row>
    <row r="210" ht="13.2" spans="1:15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IFERROR(__xludf.DUMMYFUNCTION("""COMPUTED_VALUE"""),"CS1573")</f>
        <v>CS1573</v>
      </c>
      <c r="E210" s="26" t="str">
        <f>IFERROR(__xludf.DUMMYFUNCTION("""COMPUTED_VALUE"""),"19CS573")</f>
        <v>19CS573</v>
      </c>
      <c r="F210" s="27" t="str">
        <f>IFERROR(__xludf.DUMMYFUNCTION("""COMPUTED_VALUE"""),"Enterprise Cloud Architecture")</f>
        <v>Enterprise Cloud Architecture</v>
      </c>
      <c r="G210" s="26" t="str">
        <f>IFERROR(__xludf.DUMMYFUNCTION("""COMPUTED_VALUE"""),"-")</f>
        <v>-</v>
      </c>
      <c r="H210" s="26">
        <f>IFERROR(__xludf.DUMMYFUNCTION("""COMPUTED_VALUE"""),3)</f>
        <v>3</v>
      </c>
      <c r="I210" s="26">
        <f>IFERROR(__xludf.DUMMYFUNCTION("""COMPUTED_VALUE"""),3)</f>
        <v>3</v>
      </c>
      <c r="J210" s="26">
        <f>IFERROR(__xludf.DUMMYFUNCTION("""COMPUTED_VALUE"""),0)</f>
        <v>0</v>
      </c>
      <c r="K210" s="26" t="str">
        <f>IFERROR(__xludf.DUMMYFUNCTION("""COMPUTED_VALUE"""),"CGPA")</f>
        <v>CGPA</v>
      </c>
      <c r="L210" s="26" t="str">
        <f>IFERROR(__xludf.DUMMYFUNCTION("""COMPUTED_VALUE"""),"Theory")</f>
        <v>Theory</v>
      </c>
      <c r="M210" s="26"/>
      <c r="N210" s="26"/>
      <c r="O210" s="26"/>
    </row>
    <row r="211" ht="13.2" spans="1:15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IFERROR(__xludf.DUMMYFUNCTION("""COMPUTED_VALUE"""),"CS1574")</f>
        <v>CS1574</v>
      </c>
      <c r="E211" s="26" t="str">
        <f>IFERROR(__xludf.DUMMYFUNCTION("""COMPUTED_VALUE"""),"19CS574")</f>
        <v>19CS574</v>
      </c>
      <c r="F211" s="27" t="str">
        <f>IFERROR(__xludf.DUMMYFUNCTION("""COMPUTED_VALUE"""),"Advanced Class Design and Object-Oriented Techniques")</f>
        <v>Advanced Class Design and Object-Oriented Techniques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IFERROR(__xludf.DUMMYFUNCTION("""COMPUTED_VALUE"""),3)</f>
        <v>3</v>
      </c>
      <c r="J211" s="26">
        <f>IFERROR(__xludf.DUMMYFUNCTION("""COMPUTED_VALUE"""),0)</f>
        <v>0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</row>
    <row r="212" ht="13.2" spans="1:15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IFERROR(__xludf.DUMMYFUNCTION("""COMPUTED_VALUE"""),"CS1575")</f>
        <v>CS1575</v>
      </c>
      <c r="E212" s="26" t="str">
        <f>IFERROR(__xludf.DUMMYFUNCTION("""COMPUTED_VALUE"""),"19CS575")</f>
        <v>19CS575</v>
      </c>
      <c r="F212" s="27" t="str">
        <f>IFERROR(__xludf.DUMMYFUNCTION("""COMPUTED_VALUE"""),"Low-Code App Development")</f>
        <v>Low-Code App Development</v>
      </c>
      <c r="G212" s="26" t="str">
        <f>IFERROR(__xludf.DUMMYFUNCTION("""COMPUTED_VALUE"""),"-")</f>
        <v>-</v>
      </c>
      <c r="H212" s="26">
        <f>IFERROR(__xludf.DUMMYFUNCTION("""COMPUTED_VALUE"""),3)</f>
        <v>3</v>
      </c>
      <c r="I212" s="26">
        <f>IFERROR(__xludf.DUMMYFUNCTION("""COMPUTED_VALUE"""),3)</f>
        <v>3</v>
      </c>
      <c r="J212" s="26">
        <f>IFERROR(__xludf.DUMMYFUNCTION("""COMPUTED_VALUE"""),0)</f>
        <v>0</v>
      </c>
      <c r="K212" s="26" t="str">
        <f>IFERROR(__xludf.DUMMYFUNCTION("""COMPUTED_VALUE"""),"CGPA")</f>
        <v>CGPA</v>
      </c>
      <c r="L212" s="26" t="str">
        <f>IFERROR(__xludf.DUMMYFUNCTION("""COMPUTED_VALUE"""),"Theory")</f>
        <v>Theory</v>
      </c>
      <c r="M212" s="26"/>
      <c r="N212" s="26"/>
      <c r="O212" s="26"/>
    </row>
    <row r="213" ht="13.2" spans="1:15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IFERROR(__xludf.DUMMYFUNCTION("""COMPUTED_VALUE"""),"CS1577")</f>
        <v>CS1577</v>
      </c>
      <c r="E213" s="26" t="str">
        <f>IFERROR(__xludf.DUMMYFUNCTION("""COMPUTED_VALUE"""),"19CS577")</f>
        <v>19CS577</v>
      </c>
      <c r="F213" s="27" t="str">
        <f>IFERROR(__xludf.DUMMYFUNCTION("""COMPUTED_VALUE"""),"Cloud System Administration")</f>
        <v>Cloud System Administration</v>
      </c>
      <c r="G213" s="26" t="str">
        <f>IFERROR(__xludf.DUMMYFUNCTION("""COMPUTED_VALUE"""),"-")</f>
        <v>-</v>
      </c>
      <c r="H213" s="26">
        <f>IFERROR(__xludf.DUMMYFUNCTION("""COMPUTED_VALUE"""),3)</f>
        <v>3</v>
      </c>
      <c r="I213" s="26">
        <f>IFERROR(__xludf.DUMMYFUNCTION("""COMPUTED_VALUE"""),3)</f>
        <v>3</v>
      </c>
      <c r="J213" s="26">
        <f>IFERROR(__xludf.DUMMYFUNCTION("""COMPUTED_VALUE"""),0)</f>
        <v>0</v>
      </c>
      <c r="K213" s="26" t="str">
        <f>IFERROR(__xludf.DUMMYFUNCTION("""COMPUTED_VALUE"""),"CGPA")</f>
        <v>CGPA</v>
      </c>
      <c r="L213" s="26" t="str">
        <f>IFERROR(__xludf.DUMMYFUNCTION("""COMPUTED_VALUE"""),"Theory")</f>
        <v>Theory</v>
      </c>
      <c r="M213" s="26"/>
      <c r="N213" s="26"/>
      <c r="O213" s="26"/>
    </row>
    <row r="214" ht="13.2" spans="1:15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IFERROR(__xludf.DUMMYFUNCTION("""COMPUTED_VALUE"""),"CS1578")</f>
        <v>CS1578</v>
      </c>
      <c r="E214" s="26" t="str">
        <f>IFERROR(__xludf.DUMMYFUNCTION("""COMPUTED_VALUE"""),"19CS578")</f>
        <v>19CS578</v>
      </c>
      <c r="F214" s="27" t="str">
        <f>IFERROR(__xludf.DUMMYFUNCTION("""COMPUTED_VALUE"""),"Machine Learning Operations")</f>
        <v>Machine Learning Operations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IFERROR(__xludf.DUMMYFUNCTION("""COMPUTED_VALUE"""),3)</f>
        <v>3</v>
      </c>
      <c r="J214" s="26">
        <f>IFERROR(__xludf.DUMMYFUNCTION("""COMPUTED_VALUE"""),0)</f>
        <v>0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</row>
    <row r="215" ht="13.2" spans="1:15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IFERROR(__xludf.DUMMYFUNCTION("""COMPUTED_VALUE"""),"NA")</f>
        <v>NA</v>
      </c>
      <c r="E215" s="26" t="str">
        <f>IFERROR(__xludf.DUMMYFUNCTION("""COMPUTED_VALUE"""),"19EC414")</f>
        <v>19EC414</v>
      </c>
      <c r="F215" s="27" t="str">
        <f>IFERROR(__xludf.DUMMYFUNCTION("""COMPUTED_VALUE"""),"Embedded Systems")</f>
        <v>Embedded Systems</v>
      </c>
      <c r="G215" s="26" t="str">
        <f>IFERROR(__xludf.DUMMYFUNCTION("""COMPUTED_VALUE"""),"19EC408")</f>
        <v>19EC408</v>
      </c>
      <c r="H215" s="26">
        <f>IFERROR(__xludf.DUMMYFUNCTION("""COMPUTED_VALUE"""),2)</f>
        <v>2</v>
      </c>
      <c r="I215" s="26">
        <f>IFERROR(__xludf.DUMMYFUNCTION("""COMPUTED_VALUE"""),2)</f>
        <v>2</v>
      </c>
      <c r="J215" s="26">
        <f>IFERROR(__xludf.DUMMYFUNCTION("""COMPUTED_VALUE"""),1)</f>
        <v>1</v>
      </c>
      <c r="K215" s="26" t="str">
        <f>IFERROR(__xludf.DUMMYFUNCTION("""COMPUTED_VALUE"""),"CGPA")</f>
        <v>CGPA</v>
      </c>
      <c r="L215" s="26" t="str">
        <f>IFERROR(__xludf.DUMMYFUNCTION("""COMPUTED_VALUE"""),"TIP (6 Expts)")</f>
        <v>TIP (6 Expts)</v>
      </c>
      <c r="M215" s="26"/>
      <c r="N215" s="26"/>
      <c r="O215" s="26"/>
    </row>
    <row r="216" ht="13.2" spans="1:15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IFERROR(__xludf.DUMMYFUNCTION("""COMPUTED_VALUE"""),"NA")</f>
        <v>NA</v>
      </c>
      <c r="E216" s="26" t="str">
        <f>IFERROR(__xludf.DUMMYFUNCTION("""COMPUTED_VALUE"""),"19EC416")</f>
        <v>19EC416</v>
      </c>
      <c r="F216" s="27" t="str">
        <f>IFERROR(__xludf.DUMMYFUNCTION("""COMPUTED_VALUE"""),"Principles of Digital Signal Processing")</f>
        <v>Principles of Digital Signal Processing</v>
      </c>
      <c r="G216" s="26" t="str">
        <f>IFERROR(__xludf.DUMMYFUNCTION("""COMPUTED_VALUE"""),"19EC307")</f>
        <v>19EC307</v>
      </c>
      <c r="H216" s="26">
        <f>IFERROR(__xludf.DUMMYFUNCTION("""COMPUTED_VALUE"""),3)</f>
        <v>3</v>
      </c>
      <c r="I216" s="26">
        <f>IFERROR(__xludf.DUMMYFUNCTION("""COMPUTED_VALUE"""),3)</f>
        <v>3</v>
      </c>
      <c r="J216" s="26">
        <f>IFERROR(__xludf.DUMMYFUNCTION("""COMPUTED_VALUE"""),0)</f>
        <v>0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</row>
    <row r="217" ht="13.2" spans="1:15">
      <c r="A217" s="26">
        <f>IFERROR(__xludf.DUMMYFUNCTION("""COMPUTED_VALUE"""),215)</f>
        <v>215</v>
      </c>
      <c r="B217" s="26"/>
      <c r="C217" s="26" t="str">
        <f>IFERROR(__xludf.DUMMYFUNCTION("""COMPUTED_VALUE"""),"PE")</f>
        <v>PE</v>
      </c>
      <c r="D217" s="26" t="str">
        <f>IFERROR(__xludf.DUMMYFUNCTION("""COMPUTED_VALUE"""),"EC1503")</f>
        <v>EC1503</v>
      </c>
      <c r="E217" s="26" t="str">
        <f>IFERROR(__xludf.DUMMYFUNCTION("""COMPUTED_VALUE"""),"19EC503")</f>
        <v>19EC503</v>
      </c>
      <c r="F217" s="27" t="str">
        <f>IFERROR(__xludf.DUMMYFUNCTION("""COMPUTED_VALUE"""),"Digital Image Processing")</f>
        <v>Digital Image Processing</v>
      </c>
      <c r="G217" s="26" t="str">
        <f>IFERROR(__xludf.DUMMYFUNCTION("""COMPUTED_VALUE"""),"19EC409 / EC1409")</f>
        <v>19EC409 / EC1409</v>
      </c>
      <c r="H217" s="26">
        <f>IFERROR(__xludf.DUMMYFUNCTION("""COMPUTED_VALUE"""),3)</f>
        <v>3</v>
      </c>
      <c r="I217" s="26">
        <f>IFERROR(__xludf.DUMMYFUNCTION("""COMPUTED_VALUE"""),3)</f>
        <v>3</v>
      </c>
      <c r="J217" s="26">
        <f>IFERROR(__xludf.DUMMYFUNCTION("""COMPUTED_VALUE"""),0)</f>
        <v>0</v>
      </c>
      <c r="K217" s="26" t="str">
        <f>IFERROR(__xludf.DUMMYFUNCTION("""COMPUTED_VALUE"""),"CGPA")</f>
        <v>CGPA</v>
      </c>
      <c r="L217" s="26" t="str">
        <f>IFERROR(__xludf.DUMMYFUNCTION("""COMPUTED_VALUE"""),"Theory")</f>
        <v>Theory</v>
      </c>
      <c r="M217" s="26"/>
      <c r="N217" s="26"/>
      <c r="O217" s="26"/>
    </row>
    <row r="218" ht="13.2" spans="1:15">
      <c r="A218" s="26">
        <f>IFERROR(__xludf.DUMMYFUNCTION("""COMPUTED_VALUE"""),216)</f>
        <v>216</v>
      </c>
      <c r="B218" s="26"/>
      <c r="C218" s="26" t="str">
        <f>IFERROR(__xludf.DUMMYFUNCTION("""COMPUTED_VALUE"""),"PE")</f>
        <v>PE</v>
      </c>
      <c r="D218" s="26" t="str">
        <f>IFERROR(__xludf.DUMMYFUNCTION("""COMPUTED_VALUE"""),"NA")</f>
        <v>NA</v>
      </c>
      <c r="E218" s="26" t="str">
        <f>IFERROR(__xludf.DUMMYFUNCTION("""COMPUTED_VALUE"""),"19EC508")</f>
        <v>19EC508</v>
      </c>
      <c r="F218" s="27" t="str">
        <f>IFERROR(__xludf.DUMMYFUNCTION("""COMPUTED_VALUE"""),"Ad Hoc and Wireless Sensor Networks")</f>
        <v>Ad Hoc and Wireless Sensor Networks</v>
      </c>
      <c r="G218" s="26" t="str">
        <f>IFERROR(__xludf.DUMMYFUNCTION("""COMPUTED_VALUE"""),"19EC412")</f>
        <v>19EC412</v>
      </c>
      <c r="H218" s="26">
        <f>IFERROR(__xludf.DUMMYFUNCTION("""COMPUTED_VALUE"""),3)</f>
        <v>3</v>
      </c>
      <c r="I218" s="26">
        <f>IFERROR(__xludf.DUMMYFUNCTION("""COMPUTED_VALUE"""),3)</f>
        <v>3</v>
      </c>
      <c r="J218" s="26">
        <f>IFERROR(__xludf.DUMMYFUNCTION("""COMPUTED_VALUE"""),0)</f>
        <v>0</v>
      </c>
      <c r="K218" s="26" t="str">
        <f>IFERROR(__xludf.DUMMYFUNCTION("""COMPUTED_VALUE"""),"CGPA")</f>
        <v>CGPA</v>
      </c>
      <c r="L218" s="26" t="str">
        <f>IFERROR(__xludf.DUMMYFUNCTION("""COMPUTED_VALUE"""),"Theory")</f>
        <v>Theory</v>
      </c>
      <c r="M218" s="26"/>
      <c r="N218" s="26"/>
      <c r="O218" s="26"/>
    </row>
    <row r="219" ht="13.2" spans="1:15">
      <c r="A219" s="26">
        <f>IFERROR(__xludf.DUMMYFUNCTION("""COMPUTED_VALUE"""),217)</f>
        <v>217</v>
      </c>
      <c r="B219" s="26"/>
      <c r="C219" s="26" t="str">
        <f>IFERROR(__xludf.DUMMYFUNCTION("""COMPUTED_VALUE"""),"PE")</f>
        <v>PE</v>
      </c>
      <c r="D219" s="26" t="str">
        <f>IFERROR(__xludf.DUMMYFUNCTION("""COMPUTED_VALUE"""),"CS2401")</f>
        <v>CS2401</v>
      </c>
      <c r="E219" s="26" t="str">
        <f>IFERROR(__xludf.DUMMYFUNCTION("""COMPUTED_VALUE"""),"19IT401")</f>
        <v>19IT401</v>
      </c>
      <c r="F219" s="27" t="str">
        <f>IFERROR(__xludf.DUMMYFUNCTION("""COMPUTED_VALUE"""),"Information Technology Essentials")</f>
        <v>Information Technology Essentials</v>
      </c>
      <c r="G219" s="26" t="str">
        <f>IFERROR(__xludf.DUMMYFUNCTION("""COMPUTED_VALUE"""),"-")</f>
        <v>-</v>
      </c>
      <c r="H219" s="26">
        <f>IFERROR(__xludf.DUMMYFUNCTION("""COMPUTED_VALUE"""),3)</f>
        <v>3</v>
      </c>
      <c r="I219" s="26">
        <f>IFERROR(__xludf.DUMMYFUNCTION("""COMPUTED_VALUE"""),3)</f>
        <v>3</v>
      </c>
      <c r="J219" s="26">
        <f>IFERROR(__xludf.DUMMYFUNCTION("""COMPUTED_VALUE"""),1)</f>
        <v>1</v>
      </c>
      <c r="K219" s="26" t="str">
        <f>IFERROR(__xludf.DUMMYFUNCTION("""COMPUTED_VALUE"""),"CGPA")</f>
        <v>CGPA</v>
      </c>
      <c r="L219" s="26" t="str">
        <f>IFERROR(__xludf.DUMMYFUNCTION("""COMPUTED_VALUE"""),"TIP (6 Expts)")</f>
        <v>TIP (6 Expts)</v>
      </c>
      <c r="M219" s="26"/>
      <c r="N219" s="26"/>
      <c r="O219" s="26"/>
    </row>
    <row r="220" ht="13.2" spans="1:15">
      <c r="A220" s="26">
        <f>IFERROR(__xludf.DUMMYFUNCTION("""COMPUTED_VALUE"""),218)</f>
        <v>218</v>
      </c>
      <c r="B220" s="26"/>
      <c r="C220" s="26" t="str">
        <f>IFERROR(__xludf.DUMMYFUNCTION("""COMPUTED_VALUE"""),"PE")</f>
        <v>PE</v>
      </c>
      <c r="D220" s="26" t="str">
        <f>IFERROR(__xludf.DUMMYFUNCTION("""COMPUTED_VALUE"""),"CS2402")</f>
        <v>CS2402</v>
      </c>
      <c r="E220" s="26" t="str">
        <f>IFERROR(__xludf.DUMMYFUNCTION("""COMPUTED_VALUE"""),"19IT402")</f>
        <v>19IT402</v>
      </c>
      <c r="F220" s="27" t="str">
        <f>IFERROR(__xludf.DUMMYFUNCTION("""COMPUTED_VALUE"""),"Game Development Technologies")</f>
        <v>Game Development Technologies</v>
      </c>
      <c r="G220" s="26" t="str">
        <f>IFERROR(__xludf.DUMMYFUNCTION("""COMPUTED_VALUE"""),"-")</f>
        <v>-</v>
      </c>
      <c r="H220" s="26">
        <f>IFERROR(__xludf.DUMMYFUNCTION("""COMPUTED_VALUE"""),3)</f>
        <v>3</v>
      </c>
      <c r="I220" s="26">
        <f>IFERROR(__xludf.DUMMYFUNCTION("""COMPUTED_VALUE"""),3)</f>
        <v>3</v>
      </c>
      <c r="J220" s="26">
        <f>IFERROR(__xludf.DUMMYFUNCTION("""COMPUTED_VALUE"""),1)</f>
        <v>1</v>
      </c>
      <c r="K220" s="26" t="str">
        <f>IFERROR(__xludf.DUMMYFUNCTION("""COMPUTED_VALUE"""),"CGPA")</f>
        <v>CGPA</v>
      </c>
      <c r="L220" s="26" t="str">
        <f>IFERROR(__xludf.DUMMYFUNCTION("""COMPUTED_VALUE"""),"TIP (6 Expts)")</f>
        <v>TIP (6 Expts)</v>
      </c>
      <c r="M220" s="26"/>
      <c r="N220" s="26"/>
      <c r="O220" s="26"/>
    </row>
    <row r="221" ht="13.2" spans="1:15">
      <c r="A221" s="26">
        <f>IFERROR(__xludf.DUMMYFUNCTION("""COMPUTED_VALUE"""),219)</f>
        <v>219</v>
      </c>
      <c r="B221" s="26"/>
      <c r="C221" s="26" t="str">
        <f>IFERROR(__xludf.DUMMYFUNCTION("""COMPUTED_VALUE"""),"PE")</f>
        <v>PE</v>
      </c>
      <c r="D221" s="26" t="str">
        <f>IFERROR(__xludf.DUMMYFUNCTION("""COMPUTED_VALUE"""),"CS2405")</f>
        <v>CS2405</v>
      </c>
      <c r="E221" s="26" t="str">
        <f>IFERROR(__xludf.DUMMYFUNCTION("""COMPUTED_VALUE"""),"19IT405")</f>
        <v>19IT405</v>
      </c>
      <c r="F221" s="27" t="str">
        <f>IFERROR(__xludf.DUMMYFUNCTION("""COMPUTED_VALUE"""),"Data Structures using Python")</f>
        <v>Data Structures using Python</v>
      </c>
      <c r="G221" s="26" t="str">
        <f>IFERROR(__xludf.DUMMYFUNCTION("""COMPUTED_VALUE"""),"-")</f>
        <v>-</v>
      </c>
      <c r="H221" s="26">
        <f>IFERROR(__xludf.DUMMYFUNCTION("""COMPUTED_VALUE"""),3)</f>
        <v>3</v>
      </c>
      <c r="I221" s="26">
        <f>IFERROR(__xludf.DUMMYFUNCTION("""COMPUTED_VALUE"""),3)</f>
        <v>3</v>
      </c>
      <c r="J221" s="26">
        <f>IFERROR(__xludf.DUMMYFUNCTION("""COMPUTED_VALUE"""),1)</f>
        <v>1</v>
      </c>
      <c r="K221" s="26" t="str">
        <f>IFERROR(__xludf.DUMMYFUNCTION("""COMPUTED_VALUE"""),"CGPA")</f>
        <v>CGPA</v>
      </c>
      <c r="L221" s="26" t="str">
        <f>IFERROR(__xludf.DUMMYFUNCTION("""COMPUTED_VALUE"""),"TIP (6 Expts)")</f>
        <v>TIP (6 Expts)</v>
      </c>
      <c r="M221" s="26"/>
      <c r="N221" s="26"/>
      <c r="O221" s="26"/>
    </row>
    <row r="222" ht="13.2" spans="1:15">
      <c r="A222" s="26">
        <f>IFERROR(__xludf.DUMMYFUNCTION("""COMPUTED_VALUE"""),220)</f>
        <v>220</v>
      </c>
      <c r="B222" s="26"/>
      <c r="C222" s="26" t="str">
        <f>IFERROR(__xludf.DUMMYFUNCTION("""COMPUTED_VALUE"""),"PE")</f>
        <v>PE</v>
      </c>
      <c r="D222" s="26" t="str">
        <f>IFERROR(__xludf.DUMMYFUNCTION("""COMPUTED_VALUE"""),"CS2406")</f>
        <v>CS2406</v>
      </c>
      <c r="E222" s="26" t="str">
        <f>IFERROR(__xludf.DUMMYFUNCTION("""COMPUTED_VALUE"""),"19IT406")</f>
        <v>19IT406</v>
      </c>
      <c r="F222" s="27" t="str">
        <f>IFERROR(__xludf.DUMMYFUNCTION("""COMPUTED_VALUE"""),"Grid and Cloud Computing")</f>
        <v>Grid and Cloud Computing</v>
      </c>
      <c r="G222" s="26" t="str">
        <f>IFERROR(__xludf.DUMMYFUNCTION("""COMPUTED_VALUE"""),"-")</f>
        <v>-</v>
      </c>
      <c r="H222" s="26">
        <f>IFERROR(__xludf.DUMMYFUNCTION("""COMPUTED_VALUE"""),3)</f>
        <v>3</v>
      </c>
      <c r="I222" s="26">
        <f>IFERROR(__xludf.DUMMYFUNCTION("""COMPUTED_VALUE"""),3)</f>
        <v>3</v>
      </c>
      <c r="J222" s="26">
        <f>IFERROR(__xludf.DUMMYFUNCTION("""COMPUTED_VALUE"""),1)</f>
        <v>1</v>
      </c>
      <c r="K222" s="26" t="str">
        <f>IFERROR(__xludf.DUMMYFUNCTION("""COMPUTED_VALUE"""),"CGPA")</f>
        <v>CGPA</v>
      </c>
      <c r="L222" s="26" t="str">
        <f>IFERROR(__xludf.DUMMYFUNCTION("""COMPUTED_VALUE"""),"TIP (6 Expts)")</f>
        <v>TIP (6 Expts)</v>
      </c>
      <c r="M222" s="26"/>
      <c r="N222" s="26"/>
      <c r="O222" s="26"/>
    </row>
    <row r="223" ht="13.2" spans="1:15">
      <c r="A223" s="26">
        <f>IFERROR(__xludf.DUMMYFUNCTION("""COMPUTED_VALUE"""),221)</f>
        <v>221</v>
      </c>
      <c r="B223" s="26"/>
      <c r="C223" s="26" t="str">
        <f>IFERROR(__xludf.DUMMYFUNCTION("""COMPUTED_VALUE"""),"PE")</f>
        <v>PE</v>
      </c>
      <c r="D223" s="26" t="str">
        <f>IFERROR(__xludf.DUMMYFUNCTION("""COMPUTED_VALUE"""),"CS2408")</f>
        <v>CS2408</v>
      </c>
      <c r="E223" s="26" t="str">
        <f>IFERROR(__xludf.DUMMYFUNCTION("""COMPUTED_VALUE"""),"19IT408")</f>
        <v>19IT408</v>
      </c>
      <c r="F223" s="27" t="str">
        <f>IFERROR(__xludf.DUMMYFUNCTION("""COMPUTED_VALUE"""),"Distributed Computing")</f>
        <v>Distributed Computing</v>
      </c>
      <c r="G223" s="26" t="str">
        <f>IFERROR(__xludf.DUMMYFUNCTION("""COMPUTED_VALUE"""),"-")</f>
        <v>-</v>
      </c>
      <c r="H223" s="26">
        <f>IFERROR(__xludf.DUMMYFUNCTION("""COMPUTED_VALUE"""),3)</f>
        <v>3</v>
      </c>
      <c r="I223" s="26">
        <f>IFERROR(__xludf.DUMMYFUNCTION("""COMPUTED_VALUE"""),3)</f>
        <v>3</v>
      </c>
      <c r="J223" s="26">
        <f>IFERROR(__xludf.DUMMYFUNCTION("""COMPUTED_VALUE"""),0)</f>
        <v>0</v>
      </c>
      <c r="K223" s="26" t="str">
        <f>IFERROR(__xludf.DUMMYFUNCTION("""COMPUTED_VALUE"""),"CGPA")</f>
        <v>CGPA</v>
      </c>
      <c r="L223" s="26" t="str">
        <f>IFERROR(__xludf.DUMMYFUNCTION("""COMPUTED_VALUE"""),"Theory")</f>
        <v>Theory</v>
      </c>
      <c r="M223" s="26"/>
      <c r="N223" s="26"/>
      <c r="O223" s="26"/>
    </row>
    <row r="224" ht="13.2" spans="1:15">
      <c r="A224" s="26">
        <f>IFERROR(__xludf.DUMMYFUNCTION("""COMPUTED_VALUE"""),222)</f>
        <v>222</v>
      </c>
      <c r="B224" s="26"/>
      <c r="C224" s="26" t="str">
        <f>IFERROR(__xludf.DUMMYFUNCTION("""COMPUTED_VALUE"""),"PE")</f>
        <v>PE</v>
      </c>
      <c r="D224" s="26" t="str">
        <f>IFERROR(__xludf.DUMMYFUNCTION("""COMPUTED_VALUE"""),"CS2501")</f>
        <v>CS2501</v>
      </c>
      <c r="E224" s="26" t="str">
        <f>IFERROR(__xludf.DUMMYFUNCTION("""COMPUTED_VALUE"""),"19IT501")</f>
        <v>19IT501</v>
      </c>
      <c r="F224" s="27" t="str">
        <f>IFERROR(__xludf.DUMMYFUNCTION("""COMPUTED_VALUE"""),"Information Theory and Coding Techniques")</f>
        <v>Information Theory and Coding Techniques</v>
      </c>
      <c r="G224" s="26" t="str">
        <f>IFERROR(__xludf.DUMMYFUNCTION("""COMPUTED_VALUE"""),"-")</f>
        <v>-</v>
      </c>
      <c r="H224" s="26">
        <f>IFERROR(__xludf.DUMMYFUNCTION("""COMPUTED_VALUE"""),3)</f>
        <v>3</v>
      </c>
      <c r="I224" s="26">
        <f>IFERROR(__xludf.DUMMYFUNCTION("""COMPUTED_VALUE"""),3)</f>
        <v>3</v>
      </c>
      <c r="J224" s="26">
        <f>IFERROR(__xludf.DUMMYFUNCTION("""COMPUTED_VALUE"""),0)</f>
        <v>0</v>
      </c>
      <c r="K224" s="26" t="str">
        <f>IFERROR(__xludf.DUMMYFUNCTION("""COMPUTED_VALUE"""),"CGPA")</f>
        <v>CGPA</v>
      </c>
      <c r="L224" s="26" t="str">
        <f>IFERROR(__xludf.DUMMYFUNCTION("""COMPUTED_VALUE"""),"Theory")</f>
        <v>Theory</v>
      </c>
      <c r="M224" s="26"/>
      <c r="N224" s="26"/>
      <c r="O224" s="26"/>
    </row>
    <row r="225" ht="13.2" spans="1:15">
      <c r="A225" s="26">
        <f>IFERROR(__xludf.DUMMYFUNCTION("""COMPUTED_VALUE"""),223)</f>
        <v>223</v>
      </c>
      <c r="B225" s="26"/>
      <c r="C225" s="26" t="str">
        <f>IFERROR(__xludf.DUMMYFUNCTION("""COMPUTED_VALUE"""),"PE")</f>
        <v>PE</v>
      </c>
      <c r="D225" s="26" t="str">
        <f>IFERROR(__xludf.DUMMYFUNCTION("""COMPUTED_VALUE"""),"CS2502")</f>
        <v>CS2502</v>
      </c>
      <c r="E225" s="26" t="str">
        <f>IFERROR(__xludf.DUMMYFUNCTION("""COMPUTED_VALUE"""),"19IT502")</f>
        <v>19IT502</v>
      </c>
      <c r="F225" s="27" t="str">
        <f>IFERROR(__xludf.DUMMYFUNCTION("""COMPUTED_VALUE"""),"Enterprise Resource Planning")</f>
        <v>Enterprise Resource Planning</v>
      </c>
      <c r="G225" s="26" t="str">
        <f>IFERROR(__xludf.DUMMYFUNCTION("""COMPUTED_VALUE"""),"-")</f>
        <v>-</v>
      </c>
      <c r="H225" s="26">
        <f>IFERROR(__xludf.DUMMYFUNCTION("""COMPUTED_VALUE"""),3)</f>
        <v>3</v>
      </c>
      <c r="I225" s="26">
        <f>IFERROR(__xludf.DUMMYFUNCTION("""COMPUTED_VALUE"""),3)</f>
        <v>3</v>
      </c>
      <c r="J225" s="26">
        <f>IFERROR(__xludf.DUMMYFUNCTION("""COMPUTED_VALUE"""),0)</f>
        <v>0</v>
      </c>
      <c r="K225" s="26" t="str">
        <f>IFERROR(__xludf.DUMMYFUNCTION("""COMPUTED_VALUE"""),"CGPA")</f>
        <v>CGPA</v>
      </c>
      <c r="L225" s="26" t="str">
        <f>IFERROR(__xludf.DUMMYFUNCTION("""COMPUTED_VALUE"""),"Theory")</f>
        <v>Theory</v>
      </c>
      <c r="M225" s="26"/>
      <c r="N225" s="26"/>
      <c r="O225" s="26"/>
    </row>
    <row r="226" ht="13.2" spans="1:15">
      <c r="A226" s="26">
        <f>IFERROR(__xludf.DUMMYFUNCTION("""COMPUTED_VALUE"""),224)</f>
        <v>224</v>
      </c>
      <c r="B226" s="26"/>
      <c r="C226" s="26" t="str">
        <f>IFERROR(__xludf.DUMMYFUNCTION("""COMPUTED_VALUE"""),"PE")</f>
        <v>PE</v>
      </c>
      <c r="D226" s="26" t="str">
        <f>IFERROR(__xludf.DUMMYFUNCTION("""COMPUTED_VALUE"""),"CS2503")</f>
        <v>CS2503</v>
      </c>
      <c r="E226" s="26" t="str">
        <f>IFERROR(__xludf.DUMMYFUNCTION("""COMPUTED_VALUE"""),"19IT503")</f>
        <v>19IT503</v>
      </c>
      <c r="F226" s="27" t="str">
        <f>IFERROR(__xludf.DUMMYFUNCTION("""COMPUTED_VALUE"""),"User Interface Design")</f>
        <v>User Interface Design</v>
      </c>
      <c r="G226" s="26" t="str">
        <f>IFERROR(__xludf.DUMMYFUNCTION("""COMPUTED_VALUE"""),"-")</f>
        <v>-</v>
      </c>
      <c r="H226" s="26">
        <f>IFERROR(__xludf.DUMMYFUNCTION("""COMPUTED_VALUE"""),3)</f>
        <v>3</v>
      </c>
      <c r="I226" s="26">
        <f>IFERROR(__xludf.DUMMYFUNCTION("""COMPUTED_VALUE"""),3)</f>
        <v>3</v>
      </c>
      <c r="J226" s="26">
        <f>IFERROR(__xludf.DUMMYFUNCTION("""COMPUTED_VALUE"""),0)</f>
        <v>0</v>
      </c>
      <c r="K226" s="26" t="str">
        <f>IFERROR(__xludf.DUMMYFUNCTION("""COMPUTED_VALUE"""),"CGPA")</f>
        <v>CGPA</v>
      </c>
      <c r="L226" s="26" t="str">
        <f>IFERROR(__xludf.DUMMYFUNCTION("""COMPUTED_VALUE"""),"Theory")</f>
        <v>Theory</v>
      </c>
      <c r="M226" s="26"/>
      <c r="N226" s="26"/>
      <c r="O226" s="26"/>
    </row>
    <row r="227" ht="13.2" spans="1:15">
      <c r="A227" s="26">
        <f>IFERROR(__xludf.DUMMYFUNCTION("""COMPUTED_VALUE"""),225)</f>
        <v>225</v>
      </c>
      <c r="B227" s="26"/>
      <c r="C227" s="26" t="str">
        <f>IFERROR(__xludf.DUMMYFUNCTION("""COMPUTED_VALUE"""),"PE")</f>
        <v>PE</v>
      </c>
      <c r="D227" s="26" t="str">
        <f>IFERROR(__xludf.DUMMYFUNCTION("""COMPUTED_VALUE"""),"CS2504")</f>
        <v>CS2504</v>
      </c>
      <c r="E227" s="26" t="str">
        <f>IFERROR(__xludf.DUMMYFUNCTION("""COMPUTED_VALUE"""),"19IT504")</f>
        <v>19IT504</v>
      </c>
      <c r="F227" s="27" t="str">
        <f>IFERROR(__xludf.DUMMYFUNCTION("""COMPUTED_VALUE"""),"Information Storage Management")</f>
        <v>Information Storage Management</v>
      </c>
      <c r="G227" s="26" t="str">
        <f>IFERROR(__xludf.DUMMYFUNCTION("""COMPUTED_VALUE"""),"-")</f>
        <v>-</v>
      </c>
      <c r="H227" s="26">
        <f>IFERROR(__xludf.DUMMYFUNCTION("""COMPUTED_VALUE"""),3)</f>
        <v>3</v>
      </c>
      <c r="I227" s="26">
        <f>IFERROR(__xludf.DUMMYFUNCTION("""COMPUTED_VALUE"""),3)</f>
        <v>3</v>
      </c>
      <c r="J227" s="26">
        <f>IFERROR(__xludf.DUMMYFUNCTION("""COMPUTED_VALUE"""),0)</f>
        <v>0</v>
      </c>
      <c r="K227" s="26" t="str">
        <f>IFERROR(__xludf.DUMMYFUNCTION("""COMPUTED_VALUE"""),"CGPA")</f>
        <v>CGPA</v>
      </c>
      <c r="L227" s="26" t="str">
        <f>IFERROR(__xludf.DUMMYFUNCTION("""COMPUTED_VALUE"""),"Theory")</f>
        <v>Theory</v>
      </c>
      <c r="M227" s="26"/>
      <c r="N227" s="26"/>
      <c r="O227" s="26"/>
    </row>
    <row r="228" ht="13.2" spans="1:15">
      <c r="A228" s="26">
        <f>IFERROR(__xludf.DUMMYFUNCTION("""COMPUTED_VALUE"""),226)</f>
        <v>226</v>
      </c>
      <c r="B228" s="26"/>
      <c r="C228" s="26" t="str">
        <f>IFERROR(__xludf.DUMMYFUNCTION("""COMPUTED_VALUE"""),"PE")</f>
        <v>PE</v>
      </c>
      <c r="D228" s="26" t="str">
        <f>IFERROR(__xludf.DUMMYFUNCTION("""COMPUTED_VALUE"""),"CS2505")</f>
        <v>CS2505</v>
      </c>
      <c r="E228" s="26" t="str">
        <f>IFERROR(__xludf.DUMMYFUNCTION("""COMPUTED_VALUE"""),"19IT505")</f>
        <v>19IT505</v>
      </c>
      <c r="F228" s="27" t="str">
        <f>IFERROR(__xludf.DUMMYFUNCTION("""COMPUTED_VALUE"""),"Software Design Patterns")</f>
        <v>Software Design Patterns</v>
      </c>
      <c r="G228" s="26" t="str">
        <f>IFERROR(__xludf.DUMMYFUNCTION("""COMPUTED_VALUE"""),"-")</f>
        <v>-</v>
      </c>
      <c r="H228" s="26">
        <f>IFERROR(__xludf.DUMMYFUNCTION("""COMPUTED_VALUE"""),3)</f>
        <v>3</v>
      </c>
      <c r="I228" s="26">
        <f>IFERROR(__xludf.DUMMYFUNCTION("""COMPUTED_VALUE"""),3)</f>
        <v>3</v>
      </c>
      <c r="J228" s="26">
        <f>IFERROR(__xludf.DUMMYFUNCTION("""COMPUTED_VALUE"""),0)</f>
        <v>0</v>
      </c>
      <c r="K228" s="26" t="str">
        <f>IFERROR(__xludf.DUMMYFUNCTION("""COMPUTED_VALUE"""),"CGPA")</f>
        <v>CGPA</v>
      </c>
      <c r="L228" s="26" t="str">
        <f>IFERROR(__xludf.DUMMYFUNCTION("""COMPUTED_VALUE"""),"Theory")</f>
        <v>Theory</v>
      </c>
      <c r="M228" s="26"/>
      <c r="N228" s="26"/>
      <c r="O228" s="26"/>
    </row>
    <row r="229" ht="13.2" spans="1:15">
      <c r="A229" s="26">
        <f>IFERROR(__xludf.DUMMYFUNCTION("""COMPUTED_VALUE"""),227)</f>
        <v>227</v>
      </c>
      <c r="B229" s="26"/>
      <c r="C229" s="26" t="str">
        <f>IFERROR(__xludf.DUMMYFUNCTION("""COMPUTED_VALUE"""),"PE")</f>
        <v>PE</v>
      </c>
      <c r="D229" s="26" t="str">
        <f>IFERROR(__xludf.DUMMYFUNCTION("""COMPUTED_VALUE"""),"CS2506")</f>
        <v>CS2506</v>
      </c>
      <c r="E229" s="26" t="str">
        <f>IFERROR(__xludf.DUMMYFUNCTION("""COMPUTED_VALUE"""),"19IT506")</f>
        <v>19IT506</v>
      </c>
      <c r="F229" s="27" t="str">
        <f>IFERROR(__xludf.DUMMYFUNCTION("""COMPUTED_VALUE"""),"E-Learning Techniques")</f>
        <v>E-Learning Techniques</v>
      </c>
      <c r="G229" s="26" t="str">
        <f>IFERROR(__xludf.DUMMYFUNCTION("""COMPUTED_VALUE"""),"-")</f>
        <v>-</v>
      </c>
      <c r="H229" s="26">
        <f>IFERROR(__xludf.DUMMYFUNCTION("""COMPUTED_VALUE"""),3)</f>
        <v>3</v>
      </c>
      <c r="I229" s="26">
        <f>IFERROR(__xludf.DUMMYFUNCTION("""COMPUTED_VALUE"""),3)</f>
        <v>3</v>
      </c>
      <c r="J229" s="26">
        <f>IFERROR(__xludf.DUMMYFUNCTION("""COMPUTED_VALUE"""),0)</f>
        <v>0</v>
      </c>
      <c r="K229" s="26" t="str">
        <f>IFERROR(__xludf.DUMMYFUNCTION("""COMPUTED_VALUE"""),"CGPA")</f>
        <v>CGPA</v>
      </c>
      <c r="L229" s="26" t="str">
        <f>IFERROR(__xludf.DUMMYFUNCTION("""COMPUTED_VALUE"""),"Theory")</f>
        <v>Theory</v>
      </c>
      <c r="M229" s="26"/>
      <c r="N229" s="26"/>
      <c r="O229" s="26"/>
    </row>
    <row r="230" ht="13.2" spans="1:15">
      <c r="A230" s="26">
        <f>IFERROR(__xludf.DUMMYFUNCTION("""COMPUTED_VALUE"""),228)</f>
        <v>228</v>
      </c>
      <c r="B230" s="26"/>
      <c r="C230" s="26" t="str">
        <f>IFERROR(__xludf.DUMMYFUNCTION("""COMPUTED_VALUE"""),"PE")</f>
        <v>PE</v>
      </c>
      <c r="D230" s="26" t="str">
        <f>IFERROR(__xludf.DUMMYFUNCTION("""COMPUTED_VALUE"""),"CS2508")</f>
        <v>CS2508</v>
      </c>
      <c r="E230" s="26" t="str">
        <f>IFERROR(__xludf.DUMMYFUNCTION("""COMPUTED_VALUE"""),"19IT508")</f>
        <v>19IT508</v>
      </c>
      <c r="F230" s="27" t="str">
        <f>IFERROR(__xludf.DUMMYFUNCTION("""COMPUTED_VALUE"""),"TCP/IP Design and Implementation")</f>
        <v>TCP/IP Design and Implementation</v>
      </c>
      <c r="G230" s="26" t="str">
        <f>IFERROR(__xludf.DUMMYFUNCTION("""COMPUTED_VALUE"""),"-")</f>
        <v>-</v>
      </c>
      <c r="H230" s="26">
        <f>IFERROR(__xludf.DUMMYFUNCTION("""COMPUTED_VALUE"""),3)</f>
        <v>3</v>
      </c>
      <c r="I230" s="26">
        <f>IFERROR(__xludf.DUMMYFUNCTION("""COMPUTED_VALUE"""),3)</f>
        <v>3</v>
      </c>
      <c r="J230" s="26">
        <f>IFERROR(__xludf.DUMMYFUNCTION("""COMPUTED_VALUE"""),0)</f>
        <v>0</v>
      </c>
      <c r="K230" s="26" t="str">
        <f>IFERROR(__xludf.DUMMYFUNCTION("""COMPUTED_VALUE"""),"CGPA")</f>
        <v>CGPA</v>
      </c>
      <c r="L230" s="26" t="str">
        <f>IFERROR(__xludf.DUMMYFUNCTION("""COMPUTED_VALUE"""),"Theory")</f>
        <v>Theory</v>
      </c>
      <c r="M230" s="26"/>
      <c r="N230" s="26"/>
      <c r="O230" s="26"/>
    </row>
    <row r="231" ht="13.2" spans="1:15">
      <c r="A231" s="26">
        <f>IFERROR(__xludf.DUMMYFUNCTION("""COMPUTED_VALUE"""),229)</f>
        <v>229</v>
      </c>
      <c r="B231" s="26"/>
      <c r="C231" s="26" t="str">
        <f>IFERROR(__xludf.DUMMYFUNCTION("""COMPUTED_VALUE"""),"PE")</f>
        <v>PE</v>
      </c>
      <c r="D231" s="26" t="str">
        <f>IFERROR(__xludf.DUMMYFUNCTION("""COMPUTED_VALUE"""),"CS2509")</f>
        <v>CS2509</v>
      </c>
      <c r="E231" s="26" t="str">
        <f>IFERROR(__xludf.DUMMYFUNCTION("""COMPUTED_VALUE"""),"19IT509")</f>
        <v>19IT509</v>
      </c>
      <c r="F231" s="27" t="str">
        <f>IFERROR(__xludf.DUMMYFUNCTION("""COMPUTED_VALUE"""),"Advanced Algorithms")</f>
        <v>Advanced Algorithms</v>
      </c>
      <c r="G231" s="26" t="str">
        <f>IFERROR(__xludf.DUMMYFUNCTION("""COMPUTED_VALUE"""),"-")</f>
        <v>-</v>
      </c>
      <c r="H231" s="26">
        <f>IFERROR(__xludf.DUMMYFUNCTION("""COMPUTED_VALUE"""),3)</f>
        <v>3</v>
      </c>
      <c r="I231" s="26">
        <f>IFERROR(__xludf.DUMMYFUNCTION("""COMPUTED_VALUE"""),3)</f>
        <v>3</v>
      </c>
      <c r="J231" s="26">
        <f>IFERROR(__xludf.DUMMYFUNCTION("""COMPUTED_VALUE"""),0)</f>
        <v>0</v>
      </c>
      <c r="K231" s="26" t="str">
        <f>IFERROR(__xludf.DUMMYFUNCTION("""COMPUTED_VALUE"""),"CGPA")</f>
        <v>CGPA</v>
      </c>
      <c r="L231" s="26" t="str">
        <f>IFERROR(__xludf.DUMMYFUNCTION("""COMPUTED_VALUE"""),"Theory")</f>
        <v>Theory</v>
      </c>
      <c r="M231" s="26"/>
      <c r="N231" s="26"/>
      <c r="O231" s="26"/>
    </row>
    <row r="232" ht="13.2" spans="1:15">
      <c r="A232" s="26">
        <f>IFERROR(__xludf.DUMMYFUNCTION("""COMPUTED_VALUE"""),230)</f>
        <v>230</v>
      </c>
      <c r="B232" s="26"/>
      <c r="C232" s="26" t="str">
        <f>IFERROR(__xludf.DUMMYFUNCTION("""COMPUTED_VALUE"""),"PE")</f>
        <v>PE</v>
      </c>
      <c r="D232" s="26" t="str">
        <f>IFERROR(__xludf.DUMMYFUNCTION("""COMPUTED_VALUE"""),"CS2510")</f>
        <v>CS2510</v>
      </c>
      <c r="E232" s="26" t="str">
        <f>IFERROR(__xludf.DUMMYFUNCTION("""COMPUTED_VALUE"""),"19IT510")</f>
        <v>19IT510</v>
      </c>
      <c r="F232" s="27" t="str">
        <f>IFERROR(__xludf.DUMMYFUNCTION("""COMPUTED_VALUE"""),"Ethical Hacking")</f>
        <v>Ethical Hacking</v>
      </c>
      <c r="G232" s="26" t="str">
        <f>IFERROR(__xludf.DUMMYFUNCTION("""COMPUTED_VALUE"""),"-")</f>
        <v>-</v>
      </c>
      <c r="H232" s="26">
        <f>IFERROR(__xludf.DUMMYFUNCTION("""COMPUTED_VALUE"""),3)</f>
        <v>3</v>
      </c>
      <c r="I232" s="26">
        <f>IFERROR(__xludf.DUMMYFUNCTION("""COMPUTED_VALUE"""),3)</f>
        <v>3</v>
      </c>
      <c r="J232" s="26">
        <f>IFERROR(__xludf.DUMMYFUNCTION("""COMPUTED_VALUE"""),0)</f>
        <v>0</v>
      </c>
      <c r="K232" s="26" t="str">
        <f>IFERROR(__xludf.DUMMYFUNCTION("""COMPUTED_VALUE"""),"CGPA")</f>
        <v>CGPA</v>
      </c>
      <c r="L232" s="26" t="str">
        <f>IFERROR(__xludf.DUMMYFUNCTION("""COMPUTED_VALUE"""),"Theory")</f>
        <v>Theory</v>
      </c>
      <c r="M232" s="26"/>
      <c r="N232" s="26"/>
      <c r="O232" s="26"/>
    </row>
    <row r="233" ht="13.2" spans="1:15">
      <c r="A233" s="26">
        <f>IFERROR(__xludf.DUMMYFUNCTION("""COMPUTED_VALUE"""),231)</f>
        <v>231</v>
      </c>
      <c r="B233" s="26"/>
      <c r="C233" s="26" t="str">
        <f>IFERROR(__xludf.DUMMYFUNCTION("""COMPUTED_VALUE"""),"PE")</f>
        <v>PE</v>
      </c>
      <c r="D233" s="26" t="str">
        <f>IFERROR(__xludf.DUMMYFUNCTION("""COMPUTED_VALUE"""),"CS2511")</f>
        <v>CS2511</v>
      </c>
      <c r="E233" s="26" t="str">
        <f>IFERROR(__xludf.DUMMYFUNCTION("""COMPUTED_VALUE"""),"19IT511")</f>
        <v>19IT511</v>
      </c>
      <c r="F233" s="27" t="str">
        <f>IFERROR(__xludf.DUMMYFUNCTION("""COMPUTED_VALUE"""),"DHTML and XML")</f>
        <v>DHTML and XML</v>
      </c>
      <c r="G233" s="26" t="str">
        <f>IFERROR(__xludf.DUMMYFUNCTION("""COMPUTED_VALUE"""),"-")</f>
        <v>-</v>
      </c>
      <c r="H233" s="26">
        <f>IFERROR(__xludf.DUMMYFUNCTION("""COMPUTED_VALUE"""),3)</f>
        <v>3</v>
      </c>
      <c r="I233" s="26">
        <f>IFERROR(__xludf.DUMMYFUNCTION("""COMPUTED_VALUE"""),3)</f>
        <v>3</v>
      </c>
      <c r="J233" s="26">
        <f>IFERROR(__xludf.DUMMYFUNCTION("""COMPUTED_VALUE"""),0)</f>
        <v>0</v>
      </c>
      <c r="K233" s="26" t="str">
        <f>IFERROR(__xludf.DUMMYFUNCTION("""COMPUTED_VALUE"""),"CGPA")</f>
        <v>CGPA</v>
      </c>
      <c r="L233" s="26" t="str">
        <f>IFERROR(__xludf.DUMMYFUNCTION("""COMPUTED_VALUE"""),"Theory")</f>
        <v>Theory</v>
      </c>
      <c r="M233" s="26"/>
      <c r="N233" s="26"/>
      <c r="O233" s="26"/>
    </row>
    <row r="234" ht="13.2" spans="1:15">
      <c r="A234" s="26">
        <f>IFERROR(__xludf.DUMMYFUNCTION("""COMPUTED_VALUE"""),232)</f>
        <v>232</v>
      </c>
      <c r="B234" s="26"/>
      <c r="C234" s="26" t="str">
        <f>IFERROR(__xludf.DUMMYFUNCTION("""COMPUTED_VALUE"""),"PE")</f>
        <v>PE</v>
      </c>
      <c r="D234" s="26" t="str">
        <f>IFERROR(__xludf.DUMMYFUNCTION("""COMPUTED_VALUE"""),"CS2512")</f>
        <v>CS2512</v>
      </c>
      <c r="E234" s="26" t="str">
        <f>IFERROR(__xludf.DUMMYFUNCTION("""COMPUTED_VALUE"""),"19IT512")</f>
        <v>19IT512</v>
      </c>
      <c r="F234" s="27" t="str">
        <f>IFERROR(__xludf.DUMMYFUNCTION("""COMPUTED_VALUE"""),"E-Commerce")</f>
        <v>E-Commerce</v>
      </c>
      <c r="G234" s="26" t="str">
        <f>IFERROR(__xludf.DUMMYFUNCTION("""COMPUTED_VALUE"""),"-")</f>
        <v>-</v>
      </c>
      <c r="H234" s="26">
        <f>IFERROR(__xludf.DUMMYFUNCTION("""COMPUTED_VALUE"""),3)</f>
        <v>3</v>
      </c>
      <c r="I234" s="26">
        <f>IFERROR(__xludf.DUMMYFUNCTION("""COMPUTED_VALUE"""),3)</f>
        <v>3</v>
      </c>
      <c r="J234" s="26">
        <f>IFERROR(__xludf.DUMMYFUNCTION("""COMPUTED_VALUE"""),0)</f>
        <v>0</v>
      </c>
      <c r="K234" s="26" t="str">
        <f>IFERROR(__xludf.DUMMYFUNCTION("""COMPUTED_VALUE"""),"CGPA")</f>
        <v>CGPA</v>
      </c>
      <c r="L234" s="26" t="str">
        <f>IFERROR(__xludf.DUMMYFUNCTION("""COMPUTED_VALUE"""),"Theory")</f>
        <v>Theory</v>
      </c>
      <c r="M234" s="26"/>
      <c r="N234" s="26"/>
      <c r="O234" s="26"/>
    </row>
    <row r="235" ht="13.2" spans="1:15">
      <c r="A235" s="26">
        <f>IFERROR(__xludf.DUMMYFUNCTION("""COMPUTED_VALUE"""),233)</f>
        <v>233</v>
      </c>
      <c r="B235" s="26"/>
      <c r="C235" s="26" t="str">
        <f>IFERROR(__xludf.DUMMYFUNCTION("""COMPUTED_VALUE"""),"PE")</f>
        <v>PE</v>
      </c>
      <c r="D235" s="26" t="str">
        <f>IFERROR(__xludf.DUMMYFUNCTION("""COMPUTED_VALUE"""),"CS2513")</f>
        <v>CS2513</v>
      </c>
      <c r="E235" s="26" t="str">
        <f>IFERROR(__xludf.DUMMYFUNCTION("""COMPUTED_VALUE"""),"19IT513")</f>
        <v>19IT513</v>
      </c>
      <c r="F235" s="27" t="str">
        <f>IFERROR(__xludf.DUMMYFUNCTION("""COMPUTED_VALUE"""),"Free Open Source Software")</f>
        <v>Free Open Source Software</v>
      </c>
      <c r="G235" s="26" t="str">
        <f>IFERROR(__xludf.DUMMYFUNCTION("""COMPUTED_VALUE"""),"-")</f>
        <v>-</v>
      </c>
      <c r="H235" s="26">
        <f>IFERROR(__xludf.DUMMYFUNCTION("""COMPUTED_VALUE"""),3)</f>
        <v>3</v>
      </c>
      <c r="I235" s="26">
        <f>IFERROR(__xludf.DUMMYFUNCTION("""COMPUTED_VALUE"""),3)</f>
        <v>3</v>
      </c>
      <c r="J235" s="26">
        <f>IFERROR(__xludf.DUMMYFUNCTION("""COMPUTED_VALUE"""),0)</f>
        <v>0</v>
      </c>
      <c r="K235" s="26" t="str">
        <f>IFERROR(__xludf.DUMMYFUNCTION("""COMPUTED_VALUE"""),"CGPA")</f>
        <v>CGPA</v>
      </c>
      <c r="L235" s="26" t="str">
        <f>IFERROR(__xludf.DUMMYFUNCTION("""COMPUTED_VALUE"""),"Theory")</f>
        <v>Theory</v>
      </c>
      <c r="M235" s="26"/>
      <c r="N235" s="26"/>
      <c r="O235" s="26"/>
    </row>
    <row r="236" ht="13.2" spans="1:15">
      <c r="A236" s="26">
        <f>IFERROR(__xludf.DUMMYFUNCTION("""COMPUTED_VALUE"""),234)</f>
        <v>234</v>
      </c>
      <c r="B236" s="26"/>
      <c r="C236" s="26" t="str">
        <f>IFERROR(__xludf.DUMMYFUNCTION("""COMPUTED_VALUE"""),"PE")</f>
        <v>PE</v>
      </c>
      <c r="D236" s="26" t="str">
        <f>IFERROR(__xludf.DUMMYFUNCTION("""COMPUTED_VALUE"""),"CS2514")</f>
        <v>CS2514</v>
      </c>
      <c r="E236" s="26" t="str">
        <f>IFERROR(__xludf.DUMMYFUNCTION("""COMPUTED_VALUE"""),"19IT514")</f>
        <v>19IT514</v>
      </c>
      <c r="F236" s="27" t="str">
        <f>IFERROR(__xludf.DUMMYFUNCTION("""COMPUTED_VALUE"""),"Real Time Operating Systems")</f>
        <v>Real Time Operating Systems</v>
      </c>
      <c r="G236" s="26" t="str">
        <f>IFERROR(__xludf.DUMMYFUNCTION("""COMPUTED_VALUE"""),"-")</f>
        <v>-</v>
      </c>
      <c r="H236" s="26">
        <f>IFERROR(__xludf.DUMMYFUNCTION("""COMPUTED_VALUE"""),3)</f>
        <v>3</v>
      </c>
      <c r="I236" s="26">
        <f>IFERROR(__xludf.DUMMYFUNCTION("""COMPUTED_VALUE"""),3)</f>
        <v>3</v>
      </c>
      <c r="J236" s="26">
        <f>IFERROR(__xludf.DUMMYFUNCTION("""COMPUTED_VALUE"""),0)</f>
        <v>0</v>
      </c>
      <c r="K236" s="26" t="str">
        <f>IFERROR(__xludf.DUMMYFUNCTION("""COMPUTED_VALUE"""),"CGPA")</f>
        <v>CGPA</v>
      </c>
      <c r="L236" s="26" t="str">
        <f>IFERROR(__xludf.DUMMYFUNCTION("""COMPUTED_VALUE"""),"Theory")</f>
        <v>Theory</v>
      </c>
      <c r="M236" s="26"/>
      <c r="N236" s="26"/>
      <c r="O236" s="26"/>
    </row>
    <row r="237" ht="13.2" spans="1:15">
      <c r="A237" s="26">
        <f>IFERROR(__xludf.DUMMYFUNCTION("""COMPUTED_VALUE"""),235)</f>
        <v>235</v>
      </c>
      <c r="B237" s="26"/>
      <c r="C237" s="26" t="str">
        <f>IFERROR(__xludf.DUMMYFUNCTION("""COMPUTED_VALUE"""),"PE")</f>
        <v>PE</v>
      </c>
      <c r="D237" s="26" t="str">
        <f>IFERROR(__xludf.DUMMYFUNCTION("""COMPUTED_VALUE"""),"CS2515")</f>
        <v>CS2515</v>
      </c>
      <c r="E237" s="26" t="str">
        <f>IFERROR(__xludf.DUMMYFUNCTION("""COMPUTED_VALUE"""),"19IT515")</f>
        <v>19IT515</v>
      </c>
      <c r="F237" s="27" t="str">
        <f>IFERROR(__xludf.DUMMYFUNCTION("""COMPUTED_VALUE"""),"Software Agents")</f>
        <v>Software Agents</v>
      </c>
      <c r="G237" s="26" t="str">
        <f>IFERROR(__xludf.DUMMYFUNCTION("""COMPUTED_VALUE"""),"-")</f>
        <v>-</v>
      </c>
      <c r="H237" s="26">
        <f>IFERROR(__xludf.DUMMYFUNCTION("""COMPUTED_VALUE"""),3)</f>
        <v>3</v>
      </c>
      <c r="I237" s="26">
        <f>IFERROR(__xludf.DUMMYFUNCTION("""COMPUTED_VALUE"""),3)</f>
        <v>3</v>
      </c>
      <c r="J237" s="26">
        <f>IFERROR(__xludf.DUMMYFUNCTION("""COMPUTED_VALUE"""),0)</f>
        <v>0</v>
      </c>
      <c r="K237" s="26" t="str">
        <f>IFERROR(__xludf.DUMMYFUNCTION("""COMPUTED_VALUE"""),"CGPA")</f>
        <v>CGPA</v>
      </c>
      <c r="L237" s="26" t="str">
        <f>IFERROR(__xludf.DUMMYFUNCTION("""COMPUTED_VALUE"""),"Theory")</f>
        <v>Theory</v>
      </c>
      <c r="M237" s="26"/>
      <c r="N237" s="26"/>
      <c r="O237" s="26"/>
    </row>
    <row r="238" ht="13.2" spans="1:15">
      <c r="A238" s="26">
        <f>IFERROR(__xludf.DUMMYFUNCTION("""COMPUTED_VALUE"""),236)</f>
        <v>236</v>
      </c>
      <c r="B238" s="26"/>
      <c r="C238" s="26" t="str">
        <f>IFERROR(__xludf.DUMMYFUNCTION("""COMPUTED_VALUE"""),"PE")</f>
        <v>PE</v>
      </c>
      <c r="D238" s="26" t="str">
        <f>IFERROR(__xludf.DUMMYFUNCTION("""COMPUTED_VALUE"""),"CS2516")</f>
        <v>CS2516</v>
      </c>
      <c r="E238" s="26" t="str">
        <f>IFERROR(__xludf.DUMMYFUNCTION("""COMPUTED_VALUE"""),"19IT516")</f>
        <v>19IT516</v>
      </c>
      <c r="F238" s="27" t="str">
        <f>IFERROR(__xludf.DUMMYFUNCTION("""COMPUTED_VALUE"""),"Business Intelligence and Analytics")</f>
        <v>Business Intelligence and Analytics</v>
      </c>
      <c r="G238" s="26" t="str">
        <f>IFERROR(__xludf.DUMMYFUNCTION("""COMPUTED_VALUE"""),"-")</f>
        <v>-</v>
      </c>
      <c r="H238" s="26">
        <f>IFERROR(__xludf.DUMMYFUNCTION("""COMPUTED_VALUE"""),3)</f>
        <v>3</v>
      </c>
      <c r="I238" s="26">
        <f>IFERROR(__xludf.DUMMYFUNCTION("""COMPUTED_VALUE"""),3)</f>
        <v>3</v>
      </c>
      <c r="J238" s="26">
        <f>IFERROR(__xludf.DUMMYFUNCTION("""COMPUTED_VALUE"""),0)</f>
        <v>0</v>
      </c>
      <c r="K238" s="26" t="str">
        <f>IFERROR(__xludf.DUMMYFUNCTION("""COMPUTED_VALUE"""),"CGPA")</f>
        <v>CGPA</v>
      </c>
      <c r="L238" s="26" t="str">
        <f>IFERROR(__xludf.DUMMYFUNCTION("""COMPUTED_VALUE"""),"Theory")</f>
        <v>Theory</v>
      </c>
      <c r="M238" s="26"/>
      <c r="N238" s="26"/>
      <c r="O238" s="26"/>
    </row>
    <row r="239" ht="13.2" spans="1:15">
      <c r="A239" s="26">
        <f>IFERROR(__xludf.DUMMYFUNCTION("""COMPUTED_VALUE"""),237)</f>
        <v>237</v>
      </c>
      <c r="B239" s="26"/>
      <c r="C239" s="26" t="str">
        <f>IFERROR(__xludf.DUMMYFUNCTION("""COMPUTED_VALUE"""),"PE")</f>
        <v>PE</v>
      </c>
      <c r="D239" s="26" t="str">
        <f>IFERROR(__xludf.DUMMYFUNCTION("""COMPUTED_VALUE"""),"SH2220")</f>
        <v>SH2220</v>
      </c>
      <c r="E239" s="26" t="str">
        <f>IFERROR(__xludf.DUMMYFUNCTION("""COMPUTED_VALUE"""),"19MA220")</f>
        <v>19MA220</v>
      </c>
      <c r="F239" s="27" t="str">
        <f>IFERROR(__xludf.DUMMYFUNCTION("""COMPUTED_VALUE"""),"Mathematics for Artificial Intelligence")</f>
        <v>Mathematics for Artificial Intelligence</v>
      </c>
      <c r="G239" s="26" t="str">
        <f>IFERROR(__xludf.DUMMYFUNCTION("""COMPUTED_VALUE"""),"-")</f>
        <v>-</v>
      </c>
      <c r="H239" s="26">
        <f>IFERROR(__xludf.DUMMYFUNCTION("""COMPUTED_VALUE"""),4)</f>
        <v>4</v>
      </c>
      <c r="I239" s="26">
        <f>IFERROR(__xludf.DUMMYFUNCTION("""COMPUTED_VALUE"""),4)</f>
        <v>4</v>
      </c>
      <c r="J239" s="26">
        <f>IFERROR(__xludf.DUMMYFUNCTION("""COMPUTED_VALUE"""),0)</f>
        <v>0</v>
      </c>
      <c r="K239" s="26" t="str">
        <f>IFERROR(__xludf.DUMMYFUNCTION("""COMPUTED_VALUE"""),"CGPA")</f>
        <v>CGPA</v>
      </c>
      <c r="L239" s="26" t="str">
        <f>IFERROR(__xludf.DUMMYFUNCTION("""COMPUTED_VALUE"""),"Theory")</f>
        <v>Theory</v>
      </c>
      <c r="M239" s="26"/>
      <c r="N239" s="26"/>
      <c r="O239" s="26"/>
    </row>
    <row r="240" ht="13.2" spans="1:15">
      <c r="A240" s="26">
        <f>IFERROR(__xludf.DUMMYFUNCTION("""COMPUTED_VALUE"""),238)</f>
        <v>238</v>
      </c>
      <c r="B240" s="26"/>
      <c r="C240" s="26" t="str">
        <f>IFERROR(__xludf.DUMMYFUNCTION("""COMPUTED_VALUE"""),"PE")</f>
        <v>PE</v>
      </c>
      <c r="D240" s="26" t="str">
        <f>IFERROR(__xludf.DUMMYFUNCTION("""COMPUTED_VALUE"""),"SH2211")</f>
        <v>SH2211</v>
      </c>
      <c r="E240" s="26" t="str">
        <f>IFERROR(__xludf.DUMMYFUNCTION("""COMPUTED_VALUE"""),"19MA211")</f>
        <v>19MA211</v>
      </c>
      <c r="F240" s="27" t="str">
        <f>IFERROR(__xludf.DUMMYFUNCTION("""COMPUTED_VALUE"""),"Statistics and Numerical Methods")</f>
        <v>Statistics and Numerical Methods</v>
      </c>
      <c r="G240" s="26" t="str">
        <f>IFERROR(__xludf.DUMMYFUNCTION("""COMPUTED_VALUE"""),"-")</f>
        <v>-</v>
      </c>
      <c r="H240" s="26">
        <f>IFERROR(__xludf.DUMMYFUNCTION("""COMPUTED_VALUE"""),3)</f>
        <v>3</v>
      </c>
      <c r="I240" s="26">
        <f>IFERROR(__xludf.DUMMYFUNCTION("""COMPUTED_VALUE"""),3)</f>
        <v>3</v>
      </c>
      <c r="J240" s="26">
        <f>IFERROR(__xludf.DUMMYFUNCTION("""COMPUTED_VALUE"""),1)</f>
        <v>1</v>
      </c>
      <c r="K240" s="26" t="str">
        <f>IFERROR(__xludf.DUMMYFUNCTION("""COMPUTED_VALUE"""),"CGPA")</f>
        <v>CGPA</v>
      </c>
      <c r="L240" s="26" t="str">
        <f>IFERROR(__xludf.DUMMYFUNCTION("""COMPUTED_VALUE"""),"TIP (6 Expts)")</f>
        <v>TIP (6 Expts)</v>
      </c>
      <c r="M240" s="26"/>
      <c r="N240" s="26"/>
      <c r="O240" s="26"/>
    </row>
    <row r="241" ht="13.2" spans="1:15">
      <c r="A241" s="26">
        <f>IFERROR(__xludf.DUMMYFUNCTION("""COMPUTED_VALUE"""),239)</f>
        <v>239</v>
      </c>
      <c r="B241" s="26"/>
      <c r="C241" s="26" t="str">
        <f>IFERROR(__xludf.DUMMYFUNCTION("""COMPUTED_VALUE"""),"OE")</f>
        <v>OE</v>
      </c>
      <c r="D241" s="26" t="str">
        <f>IFERROR(__xludf.DUMMYFUNCTION("""COMPUTED_VALUE"""),"XXXXXX")</f>
        <v>XXXXXX</v>
      </c>
      <c r="E241" s="26" t="str">
        <f>IFERROR(__xludf.DUMMYFUNCTION("""COMPUTED_VALUE"""),"19XXXXX")</f>
        <v>19XXXXX</v>
      </c>
      <c r="F241" s="26" t="str">
        <f>IFERROR(__xludf.DUMMYFUNCTION("""COMPUTED_VALUE"""),"Open Electives")</f>
        <v>Open Electives</v>
      </c>
      <c r="G241" s="26" t="str">
        <f>IFERROR(__xludf.DUMMYFUNCTION("""COMPUTED_VALUE"""),"-")</f>
        <v>-</v>
      </c>
      <c r="H241" s="26">
        <f>IFERROR(__xludf.DUMMYFUNCTION("""COMPUTED_VALUE"""),0)</f>
        <v>0</v>
      </c>
      <c r="I241" s="26">
        <f>IFERROR(__xludf.DUMMYFUNCTION("""COMPUTED_VALUE"""),0)</f>
        <v>0</v>
      </c>
      <c r="J241" s="26">
        <f>IFERROR(__xludf.DUMMYFUNCTION("""COMPUTED_VALUE"""),0)</f>
        <v>0</v>
      </c>
      <c r="K241" s="26" t="str">
        <f>IFERROR(__xludf.DUMMYFUNCTION("""COMPUTED_VALUE"""),"CGPA")</f>
        <v>CGPA</v>
      </c>
      <c r="L241" s="26" t="str">
        <f>IFERROR(__xludf.DUMMYFUNCTION("""COMPUTED_VALUE"""),"Theory")</f>
        <v>Theory</v>
      </c>
      <c r="M241" s="26"/>
      <c r="N241" s="26"/>
      <c r="O241" s="26"/>
    </row>
    <row r="242" ht="13.2" spans="1:15">
      <c r="A242" s="26">
        <f>IFERROR(__xludf.DUMMYFUNCTION("""COMPUTED_VALUE"""),240)</f>
        <v>240</v>
      </c>
      <c r="B242" s="26"/>
      <c r="C242" s="26" t="str">
        <f>IFERROR(__xludf.DUMMYFUNCTION("""COMPUTED_VALUE"""),"OE")</f>
        <v>OE</v>
      </c>
      <c r="D242" s="26" t="str">
        <f>IFERROR(__xludf.DUMMYFUNCTION("""COMPUTED_VALUE"""),"XXXXXX")</f>
        <v>XXXXXX</v>
      </c>
      <c r="E242" s="26" t="str">
        <f>IFERROR(__xludf.DUMMYFUNCTION("""COMPUTED_VALUE"""),"19XXXXX")</f>
        <v>19XXXXX</v>
      </c>
      <c r="F242" s="26" t="str">
        <f>IFERROR(__xludf.DUMMYFUNCTION("""COMPUTED_VALUE"""),"Online Courses")</f>
        <v>Online Courses</v>
      </c>
      <c r="G242" s="26" t="str">
        <f>IFERROR(__xludf.DUMMYFUNCTION("""COMPUTED_VALUE"""),"-")</f>
        <v>-</v>
      </c>
      <c r="H242" s="26">
        <f>IFERROR(__xludf.DUMMYFUNCTION("""COMPUTED_VALUE"""),0)</f>
        <v>0</v>
      </c>
      <c r="I242" s="26">
        <f>IFERROR(__xludf.DUMMYFUNCTION("""COMPUTED_VALUE"""),0)</f>
        <v>0</v>
      </c>
      <c r="J242" s="26">
        <f>IFERROR(__xludf.DUMMYFUNCTION("""COMPUTED_VALUE"""),0)</f>
        <v>0</v>
      </c>
      <c r="K242" s="26" t="str">
        <f>IFERROR(__xludf.DUMMYFUNCTION("""COMPUTED_VALUE"""),"CGPA")</f>
        <v>CGPA</v>
      </c>
      <c r="L242" s="26" t="str">
        <f>IFERROR(__xludf.DUMMYFUNCTION("""COMPUTED_VALUE"""),"Experiential Learning")</f>
        <v>Experiential Learning</v>
      </c>
      <c r="M242" s="26"/>
      <c r="N242" s="26"/>
      <c r="O242" s="26"/>
    </row>
    <row r="243" ht="13.2" spans="1:15">
      <c r="A243" s="26">
        <f>IFERROR(__xludf.DUMMYFUNCTION("""COMPUTED_VALUE"""),241)</f>
        <v>241</v>
      </c>
      <c r="B243" s="26"/>
      <c r="C243" s="26" t="str">
        <f>IFERROR(__xludf.DUMMYFUNCTION("""COMPUTED_VALUE"""),"EEC")</f>
        <v>EEC</v>
      </c>
      <c r="D243" s="26" t="str">
        <f>IFERROR(__xludf.DUMMYFUNCTION("""COMPUTED_VALUE"""),"CS1701")</f>
        <v>CS1701</v>
      </c>
      <c r="E243" s="26" t="str">
        <f>IFERROR(__xludf.DUMMYFUNCTION("""COMPUTED_VALUE"""),"19CS701")</f>
        <v>19CS701</v>
      </c>
      <c r="F243" s="27" t="str">
        <f>IFERROR(__xludf.DUMMYFUNCTION("""COMPUTED_VALUE"""),"Mini Project")</f>
        <v>Mini Project</v>
      </c>
      <c r="G243" s="26" t="str">
        <f>IFERROR(__xludf.DUMMYFUNCTION("""COMPUTED_VALUE"""),"-")</f>
        <v>-</v>
      </c>
      <c r="H243" s="26">
        <f>IFERROR(__xludf.DUMMYFUNCTION("""COMPUTED_VALUE"""),0)</f>
        <v>0</v>
      </c>
      <c r="I243" s="26">
        <f>IFERROR(__xludf.DUMMYFUNCTION("""COMPUTED_VALUE"""),0)</f>
        <v>0</v>
      </c>
      <c r="J243" s="26">
        <f>IFERROR(__xludf.DUMMYFUNCTION("""COMPUTED_VALUE"""),2)</f>
        <v>2</v>
      </c>
      <c r="K243" s="26" t="str">
        <f>IFERROR(__xludf.DUMMYFUNCTION("""COMPUTED_VALUE"""),"CGPA")</f>
        <v>CGPA</v>
      </c>
      <c r="L243" s="26" t="str">
        <f>IFERROR(__xludf.DUMMYFUNCTION("""COMPUTED_VALUE"""),"Project (Int Only)")</f>
        <v>Project (Int Only)</v>
      </c>
      <c r="M243" s="26"/>
      <c r="N243" s="26"/>
      <c r="O243" s="26"/>
    </row>
    <row r="244" ht="13.2" spans="1:15">
      <c r="A244" s="26">
        <f>IFERROR(__xludf.DUMMYFUNCTION("""COMPUTED_VALUE"""),242)</f>
        <v>242</v>
      </c>
      <c r="B244" s="26" t="str">
        <f>IFERROR(__xludf.DUMMYFUNCTION("""COMPUTED_VALUE"""),"Option 1")</f>
        <v>Option 1</v>
      </c>
      <c r="C244" s="26" t="str">
        <f>IFERROR(__xludf.DUMMYFUNCTION("""COMPUTED_VALUE"""),"EEC")</f>
        <v>EEC</v>
      </c>
      <c r="D244" s="26" t="str">
        <f>IFERROR(__xludf.DUMMYFUNCTION("""COMPUTED_VALUE"""),"CS1702")</f>
        <v>CS1702</v>
      </c>
      <c r="E244" s="26" t="str">
        <f>IFERROR(__xludf.DUMMYFUNCTION("""COMPUTED_VALUE"""),"19CS702")</f>
        <v>19CS702</v>
      </c>
      <c r="F244" s="27" t="str">
        <f>IFERROR(__xludf.DUMMYFUNCTION("""COMPUTED_VALUE"""),"Project Work Phase I")</f>
        <v>Project Work Phase I</v>
      </c>
      <c r="G244" s="26" t="str">
        <f>IFERROR(__xludf.DUMMYFUNCTION("""COMPUTED_VALUE"""),"-")</f>
        <v>-</v>
      </c>
      <c r="H244" s="26">
        <f>IFERROR(__xludf.DUMMYFUNCTION("""COMPUTED_VALUE"""),0)</f>
        <v>0</v>
      </c>
      <c r="I244" s="26">
        <f>IFERROR(__xludf.DUMMYFUNCTION("""COMPUTED_VALUE"""),0)</f>
        <v>0</v>
      </c>
      <c r="J244" s="26">
        <f>IFERROR(__xludf.DUMMYFUNCTION("""COMPUTED_VALUE"""),2)</f>
        <v>2</v>
      </c>
      <c r="K244" s="26" t="str">
        <f>IFERROR(__xludf.DUMMYFUNCTION("""COMPUTED_VALUE"""),"CGPA")</f>
        <v>CGPA</v>
      </c>
      <c r="L244" s="26" t="str">
        <f>IFERROR(__xludf.DUMMYFUNCTION("""COMPUTED_VALUE"""),"Project (Int Only)")</f>
        <v>Project (Int Only)</v>
      </c>
      <c r="M244" s="26"/>
      <c r="N244" s="26"/>
      <c r="O244" s="26"/>
    </row>
    <row r="245" ht="13.2" spans="1:15">
      <c r="A245" s="26">
        <f>IFERROR(__xludf.DUMMYFUNCTION("""COMPUTED_VALUE"""),243)</f>
        <v>243</v>
      </c>
      <c r="B245" s="26" t="str">
        <f>IFERROR(__xludf.DUMMYFUNCTION("""COMPUTED_VALUE"""),"Option 1")</f>
        <v>Option 1</v>
      </c>
      <c r="C245" s="26" t="str">
        <f>IFERROR(__xludf.DUMMYFUNCTION("""COMPUTED_VALUE"""),"EEC")</f>
        <v>EEC</v>
      </c>
      <c r="D245" s="26" t="str">
        <f>IFERROR(__xludf.DUMMYFUNCTION("""COMPUTED_VALUE"""),"CS1703")</f>
        <v>CS1703</v>
      </c>
      <c r="E245" s="26" t="str">
        <f>IFERROR(__xludf.DUMMYFUNCTION("""COMPUTED_VALUE"""),"19CS703")</f>
        <v>19CS703</v>
      </c>
      <c r="F245" s="27" t="str">
        <f>IFERROR(__xludf.DUMMYFUNCTION("""COMPUTED_VALUE"""),"Project Work Phase II")</f>
        <v>Project Work Phase II</v>
      </c>
      <c r="G245" s="26" t="str">
        <f>IFERROR(__xludf.DUMMYFUNCTION("""COMPUTED_VALUE"""),"19CS702")</f>
        <v>19CS702</v>
      </c>
      <c r="H245" s="26">
        <f>IFERROR(__xludf.DUMMYFUNCTION("""COMPUTED_VALUE"""),0)</f>
        <v>0</v>
      </c>
      <c r="I245" s="26">
        <f>IFERROR(__xludf.DUMMYFUNCTION("""COMPUTED_VALUE"""),0)</f>
        <v>0</v>
      </c>
      <c r="J245" s="26">
        <f>IFERROR(__xludf.DUMMYFUNCTION("""COMPUTED_VALUE"""),6)</f>
        <v>6</v>
      </c>
      <c r="K245" s="26" t="str">
        <f>IFERROR(__xludf.DUMMYFUNCTION("""COMPUTED_VALUE"""),"CGPA")</f>
        <v>CGPA</v>
      </c>
      <c r="L245" s="26" t="str">
        <f>IFERROR(__xludf.DUMMYFUNCTION("""COMPUTED_VALUE"""),"Project")</f>
        <v>Project</v>
      </c>
      <c r="M245" s="26"/>
      <c r="N245" s="26"/>
      <c r="O245" s="26"/>
    </row>
    <row r="246" ht="13.2" spans="1:15">
      <c r="A246" s="26">
        <f>IFERROR(__xludf.DUMMYFUNCTION("""COMPUTED_VALUE"""),244)</f>
        <v>244</v>
      </c>
      <c r="B246" s="26" t="str">
        <f>IFERROR(__xludf.DUMMYFUNCTION("""COMPUTED_VALUE"""),"Option 2")</f>
        <v>Option 2</v>
      </c>
      <c r="C246" s="26" t="str">
        <f>IFERROR(__xludf.DUMMYFUNCTION("""COMPUTED_VALUE"""),"EEC")</f>
        <v>EEC</v>
      </c>
      <c r="D246" s="26" t="str">
        <f>IFERROR(__xludf.DUMMYFUNCTION("""COMPUTED_VALUE"""),"SH6802")</f>
        <v>SH6802</v>
      </c>
      <c r="E246" s="26" t="str">
        <f>IFERROR(__xludf.DUMMYFUNCTION("""COMPUTED_VALUE"""),"NA")</f>
        <v>NA</v>
      </c>
      <c r="F246" s="26" t="str">
        <f>IFERROR(__xludf.DUMMYFUNCTION("""COMPUTED_VALUE"""),"Start Up")</f>
        <v>Start Up</v>
      </c>
      <c r="G246" s="26" t="str">
        <f>IFERROR(__xludf.DUMMYFUNCTION("""COMPUTED_VALUE"""),"-")</f>
        <v>-</v>
      </c>
      <c r="H246" s="26">
        <f>IFERROR(__xludf.DUMMYFUNCTION("""COMPUTED_VALUE"""),0)</f>
        <v>0</v>
      </c>
      <c r="I246" s="26">
        <f>IFERROR(__xludf.DUMMYFUNCTION("""COMPUTED_VALUE"""),0)</f>
        <v>0</v>
      </c>
      <c r="J246" s="26">
        <f>IFERROR(__xludf.DUMMYFUNCTION("""COMPUTED_VALUE"""),8)</f>
        <v>8</v>
      </c>
      <c r="K246" s="26" t="str">
        <f>IFERROR(__xludf.DUMMYFUNCTION("""COMPUTED_VALUE"""),"CGPA")</f>
        <v>CGPA</v>
      </c>
      <c r="L246" s="26" t="str">
        <f>IFERROR(__xludf.DUMMYFUNCTION("""COMPUTED_VALUE"""),"Project")</f>
        <v>Project</v>
      </c>
      <c r="M246" s="26"/>
      <c r="N246" s="26"/>
      <c r="O246" s="26"/>
    </row>
    <row r="247" ht="13.2" spans="1:15">
      <c r="A247" s="26">
        <f>IFERROR(__xludf.DUMMYFUNCTION("""COMPUTED_VALUE"""),245)</f>
        <v>245</v>
      </c>
      <c r="B247" s="26"/>
      <c r="C247" s="26" t="str">
        <f>IFERROR(__xludf.DUMMYFUNCTION("""COMPUTED_VALUE"""),"EEC")</f>
        <v>EEC</v>
      </c>
      <c r="D247" s="26" t="str">
        <f>IFERROR(__xludf.DUMMYFUNCTION("""COMPUTED_VALUE"""),"SH6708")</f>
        <v>SH6708</v>
      </c>
      <c r="E247" s="26" t="str">
        <f>IFERROR(__xludf.DUMMYFUNCTION("""COMPUTED_VALUE"""),"19EY708")</f>
        <v>19EY708</v>
      </c>
      <c r="F247" s="27" t="str">
        <f>IFERROR(__xludf.DUMMYFUNCTION("""COMPUTED_VALUE"""),"Career Development Skills")</f>
        <v>Career Development Skills</v>
      </c>
      <c r="G247" s="26" t="str">
        <f>IFERROR(__xludf.DUMMYFUNCTION("""COMPUTED_VALUE"""),"NIL")</f>
        <v>NIL</v>
      </c>
      <c r="H247" s="26">
        <f>IFERROR(__xludf.DUMMYFUNCTION("""COMPUTED_VALUE"""),1)</f>
        <v>1</v>
      </c>
      <c r="I247" s="26">
        <f>IFERROR(__xludf.DUMMYFUNCTION("""COMPUTED_VALUE"""),1)</f>
        <v>1</v>
      </c>
      <c r="J247" s="26">
        <f>IFERROR(__xludf.DUMMYFUNCTION("""COMPUTED_VALUE"""),0)</f>
        <v>0</v>
      </c>
      <c r="K247" s="26" t="str">
        <f>IFERROR(__xludf.DUMMYFUNCTION("""COMPUTED_VALUE"""),"CGPA")</f>
        <v>CGPA</v>
      </c>
      <c r="L247" s="26" t="str">
        <f>IFERROR(__xludf.DUMMYFUNCTION("""COMPUTED_VALUE"""),"Theory (Int Only)")</f>
        <v>Theory (Int Only)</v>
      </c>
      <c r="M247" s="26"/>
      <c r="N247" s="26"/>
      <c r="O247" s="26"/>
    </row>
    <row r="248" ht="13.2" spans="1:15">
      <c r="A248" s="26">
        <f>IFERROR(__xludf.DUMMYFUNCTION("""COMPUTED_VALUE"""),246)</f>
        <v>246</v>
      </c>
      <c r="B248" s="26"/>
      <c r="C248" s="26" t="str">
        <f>IFERROR(__xludf.DUMMYFUNCTION("""COMPUTED_VALUE"""),"EEC")</f>
        <v>EEC</v>
      </c>
      <c r="D248" s="26" t="str">
        <f>IFERROR(__xludf.DUMMYFUNCTION("""COMPUTED_VALUE"""),"SH6709")</f>
        <v>SH6709</v>
      </c>
      <c r="E248" s="26" t="str">
        <f>IFERROR(__xludf.DUMMYFUNCTION("""COMPUTED_VALUE"""),"19EY709")</f>
        <v>19EY709</v>
      </c>
      <c r="F248" s="27" t="str">
        <f>IFERROR(__xludf.DUMMYFUNCTION("""COMPUTED_VALUE"""),"Reasoning Ability")</f>
        <v>Reasoning Ability</v>
      </c>
      <c r="G248" s="26" t="str">
        <f>IFERROR(__xludf.DUMMYFUNCTION("""COMPUTED_VALUE"""),"NIL")</f>
        <v>NIL</v>
      </c>
      <c r="H248" s="26">
        <f>IFERROR(__xludf.DUMMYFUNCTION("""COMPUTED_VALUE"""),1)</f>
        <v>1</v>
      </c>
      <c r="I248" s="26">
        <f>IFERROR(__xludf.DUMMYFUNCTION("""COMPUTED_VALUE"""),1)</f>
        <v>1</v>
      </c>
      <c r="J248" s="26">
        <f>IFERROR(__xludf.DUMMYFUNCTION("""COMPUTED_VALUE"""),0)</f>
        <v>0</v>
      </c>
      <c r="K248" s="26" t="str">
        <f>IFERROR(__xludf.DUMMYFUNCTION("""COMPUTED_VALUE"""),"CGPA")</f>
        <v>CGPA</v>
      </c>
      <c r="L248" s="26" t="str">
        <f>IFERROR(__xludf.DUMMYFUNCTION("""COMPUTED_VALUE"""),"Theory (Int Only)")</f>
        <v>Theory (Int Only)</v>
      </c>
      <c r="M248" s="26"/>
      <c r="N248" s="26"/>
      <c r="O248" s="26"/>
    </row>
    <row r="249" ht="13.2" spans="1:15">
      <c r="A249" s="26">
        <f>IFERROR(__xludf.DUMMYFUNCTION("""COMPUTED_VALUE"""),247)</f>
        <v>247</v>
      </c>
      <c r="B249" s="26"/>
      <c r="C249" s="26" t="str">
        <f>IFERROR(__xludf.DUMMYFUNCTION("""COMPUTED_VALUE"""),"EEC")</f>
        <v>EEC</v>
      </c>
      <c r="D249" s="26" t="str">
        <f>IFERROR(__xludf.DUMMYFUNCTION("""COMPUTED_VALUE"""),"SH6710")</f>
        <v>SH6710</v>
      </c>
      <c r="E249" s="26" t="str">
        <f>IFERROR(__xludf.DUMMYFUNCTION("""COMPUTED_VALUE"""),"19EY710")</f>
        <v>19EY710</v>
      </c>
      <c r="F249" s="27" t="str">
        <f>IFERROR(__xludf.DUMMYFUNCTION("""COMPUTED_VALUE"""),"Quantitative Ability I")</f>
        <v>Quantitative Ability I</v>
      </c>
      <c r="G249" s="26" t="str">
        <f>IFERROR(__xludf.DUMMYFUNCTION("""COMPUTED_VALUE"""),"NIL")</f>
        <v>NIL</v>
      </c>
      <c r="H249" s="26">
        <f>IFERROR(__xludf.DUMMYFUNCTION("""COMPUTED_VALUE"""),1)</f>
        <v>1</v>
      </c>
      <c r="I249" s="26">
        <f>IFERROR(__xludf.DUMMYFUNCTION("""COMPUTED_VALUE"""),1)</f>
        <v>1</v>
      </c>
      <c r="J249" s="26">
        <f>IFERROR(__xludf.DUMMYFUNCTION("""COMPUTED_VALUE"""),0)</f>
        <v>0</v>
      </c>
      <c r="K249" s="26" t="str">
        <f>IFERROR(__xludf.DUMMYFUNCTION("""COMPUTED_VALUE"""),"CGPA")</f>
        <v>CGPA</v>
      </c>
      <c r="L249" s="26" t="str">
        <f>IFERROR(__xludf.DUMMYFUNCTION("""COMPUTED_VALUE"""),"Theory (Int Only)")</f>
        <v>Theory (Int Only)</v>
      </c>
      <c r="M249" s="26"/>
      <c r="N249" s="26"/>
      <c r="O249" s="26"/>
    </row>
    <row r="250" ht="13.2" spans="1:15">
      <c r="A250" s="26">
        <f>IFERROR(__xludf.DUMMYFUNCTION("""COMPUTED_VALUE"""),248)</f>
        <v>248</v>
      </c>
      <c r="B250" s="26"/>
      <c r="C250" s="26" t="str">
        <f>IFERROR(__xludf.DUMMYFUNCTION("""COMPUTED_VALUE"""),"EEC")</f>
        <v>EEC</v>
      </c>
      <c r="D250" s="26" t="str">
        <f>IFERROR(__xludf.DUMMYFUNCTION("""COMPUTED_VALUE"""),"SH6711")</f>
        <v>SH6711</v>
      </c>
      <c r="E250" s="26" t="str">
        <f>IFERROR(__xludf.DUMMYFUNCTION("""COMPUTED_VALUE"""),"19EY711")</f>
        <v>19EY711</v>
      </c>
      <c r="F250" s="27" t="str">
        <f>IFERROR(__xludf.DUMMYFUNCTION("""COMPUTED_VALUE"""),"Quantitative Ability II")</f>
        <v>Quantitative Ability II</v>
      </c>
      <c r="G250" s="26" t="str">
        <f>IFERROR(__xludf.DUMMYFUNCTION("""COMPUTED_VALUE"""),"SH6710 /19EY710")</f>
        <v>SH6710 /19EY710</v>
      </c>
      <c r="H250" s="26">
        <f>IFERROR(__xludf.DUMMYFUNCTION("""COMPUTED_VALUE"""),1)</f>
        <v>1</v>
      </c>
      <c r="I250" s="26">
        <f>IFERROR(__xludf.DUMMYFUNCTION("""COMPUTED_VALUE"""),1)</f>
        <v>1</v>
      </c>
      <c r="J250" s="26">
        <f>IFERROR(__xludf.DUMMYFUNCTION("""COMPUTED_VALUE"""),0)</f>
        <v>0</v>
      </c>
      <c r="K250" s="26" t="str">
        <f>IFERROR(__xludf.DUMMYFUNCTION("""COMPUTED_VALUE"""),"CGPA")</f>
        <v>CGPA</v>
      </c>
      <c r="L250" s="26" t="str">
        <f>IFERROR(__xludf.DUMMYFUNCTION("""COMPUTED_VALUE"""),"Theory (Int Only)")</f>
        <v>Theory (Int Only)</v>
      </c>
      <c r="M250" s="26"/>
      <c r="N250" s="26"/>
      <c r="O250" s="26"/>
    </row>
    <row r="251" ht="13.2" spans="1:15">
      <c r="A251" s="26">
        <f>IFERROR(__xludf.DUMMYFUNCTION("""COMPUTED_VALUE"""),249)</f>
        <v>249</v>
      </c>
      <c r="B251" s="26"/>
      <c r="C251" s="26" t="str">
        <f>IFERROR(__xludf.DUMMYFUNCTION("""COMPUTED_VALUE"""),"EEC")</f>
        <v>EEC</v>
      </c>
      <c r="D251" s="26" t="str">
        <f>IFERROR(__xludf.DUMMYFUNCTION("""COMPUTED_VALUE"""),"SH6712")</f>
        <v>SH6712</v>
      </c>
      <c r="E251" s="26" t="str">
        <f>IFERROR(__xludf.DUMMYFUNCTION("""COMPUTED_VALUE"""),"19EY712")</f>
        <v>19EY712</v>
      </c>
      <c r="F251" s="27" t="str">
        <f>IFERROR(__xludf.DUMMYFUNCTION("""COMPUTED_VALUE"""),"Employment Enrichment Skills")</f>
        <v>Employment Enrichment Skills</v>
      </c>
      <c r="G251" s="26" t="str">
        <f>IFERROR(__xludf.DUMMYFUNCTION("""COMPUTED_VALUE"""),"19EY702 / 19EY709 / SH6709")</f>
        <v>19EY702 / 19EY709 / SH6709</v>
      </c>
      <c r="H251" s="26">
        <f>IFERROR(__xludf.DUMMYFUNCTION("""COMPUTED_VALUE"""),1)</f>
        <v>1</v>
      </c>
      <c r="I251" s="26">
        <f>IFERROR(__xludf.DUMMYFUNCTION("""COMPUTED_VALUE"""),1)</f>
        <v>1</v>
      </c>
      <c r="J251" s="26">
        <f>IFERROR(__xludf.DUMMYFUNCTION("""COMPUTED_VALUE"""),0)</f>
        <v>0</v>
      </c>
      <c r="K251" s="26" t="str">
        <f>IFERROR(__xludf.DUMMYFUNCTION("""COMPUTED_VALUE"""),"CGPA")</f>
        <v>CGPA</v>
      </c>
      <c r="L251" s="26" t="str">
        <f>IFERROR(__xludf.DUMMYFUNCTION("""COMPUTED_VALUE"""),"Theory (Int Only)")</f>
        <v>Theory (Int Only)</v>
      </c>
      <c r="M251" s="26"/>
      <c r="N251" s="26"/>
      <c r="O251" s="26"/>
    </row>
    <row r="252" ht="13.2" spans="1:15">
      <c r="A252" s="26">
        <f>IFERROR(__xludf.DUMMYFUNCTION("""COMPUTED_VALUE"""),250)</f>
        <v>250</v>
      </c>
      <c r="B252" s="26" t="str">
        <f>IFERROR(__xludf.DUMMYFUNCTION("""COMPUTED_VALUE"""),"Any 1")</f>
        <v>Any 1</v>
      </c>
      <c r="C252" s="26" t="str">
        <f>IFERROR(__xludf.DUMMYFUNCTION("""COMPUTED_VALUE"""),"EEC")</f>
        <v>EEC</v>
      </c>
      <c r="D252" s="26" t="str">
        <f>IFERROR(__xludf.DUMMYFUNCTION("""COMPUTED_VALUE"""),"NA")</f>
        <v>NA</v>
      </c>
      <c r="E252" s="26" t="str">
        <f>IFERROR(__xludf.DUMMYFUNCTION("""COMPUTED_VALUE"""),"19EY706")</f>
        <v>19EY706</v>
      </c>
      <c r="F252" s="27" t="str">
        <f>IFERROR(__xludf.DUMMYFUNCTION("""COMPUTED_VALUE"""),"Company Specific Assessments For Employability")</f>
        <v>Company Specific Assessments For Employability</v>
      </c>
      <c r="G252" s="26" t="str">
        <f>IFERROR(__xludf.DUMMYFUNCTION("""COMPUTED_VALUE"""),"-")</f>
        <v>-</v>
      </c>
      <c r="H252" s="26">
        <f>IFERROR(__xludf.DUMMYFUNCTION("""COMPUTED_VALUE"""),0)</f>
        <v>0</v>
      </c>
      <c r="I252" s="26">
        <f>IFERROR(__xludf.DUMMYFUNCTION("""COMPUTED_VALUE"""),0)</f>
        <v>0</v>
      </c>
      <c r="J252" s="26">
        <f>IFERROR(__xludf.DUMMYFUNCTION("""COMPUTED_VALUE"""),1)</f>
        <v>1</v>
      </c>
      <c r="K252" s="26" t="str">
        <f>IFERROR(__xludf.DUMMYFUNCTION("""COMPUTED_VALUE"""),"CGPA")</f>
        <v>CGPA</v>
      </c>
      <c r="L252" s="26" t="str">
        <f>IFERROR(__xludf.DUMMYFUNCTION("""COMPUTED_VALUE"""),"Practical (6 Expts)")</f>
        <v>Practical (6 Expts)</v>
      </c>
      <c r="M252" s="26"/>
      <c r="N252" s="26"/>
      <c r="O252" s="26"/>
    </row>
    <row r="253" ht="13.2" spans="1:15">
      <c r="A253" s="26">
        <f>IFERROR(__xludf.DUMMYFUNCTION("""COMPUTED_VALUE"""),251)</f>
        <v>251</v>
      </c>
      <c r="B253" s="26" t="str">
        <f>IFERROR(__xludf.DUMMYFUNCTION("""COMPUTED_VALUE"""),"Any 1")</f>
        <v>Any 1</v>
      </c>
      <c r="C253" s="26"/>
      <c r="D253" s="26" t="str">
        <f>IFERROR(__xludf.DUMMYFUNCTION("""COMPUTED_VALUE"""),"SH6713")</f>
        <v>SH6713</v>
      </c>
      <c r="E253" s="26" t="str">
        <f>IFERROR(__xludf.DUMMYFUNCTION("""COMPUTED_VALUE"""),"19EY713")</f>
        <v>19EY713</v>
      </c>
      <c r="F253" s="27" t="str">
        <f>IFERROR(__xludf.DUMMYFUNCTION("""COMPUTED_VALUE"""),"Placement Readiness Assessment")</f>
        <v>Placement Readiness Assessment</v>
      </c>
      <c r="G253" s="26" t="str">
        <f>IFERROR(__xludf.DUMMYFUNCTION("""COMPUTED_VALUE"""),"19EY704 / 19EY711/SH6711")</f>
        <v>19EY704 / 19EY711/SH6711</v>
      </c>
      <c r="H253" s="26">
        <f>IFERROR(__xludf.DUMMYFUNCTION("""COMPUTED_VALUE"""),1)</f>
        <v>1</v>
      </c>
      <c r="I253" s="26">
        <f>IFERROR(__xludf.DUMMYFUNCTION("""COMPUTED_VALUE"""),1)</f>
        <v>1</v>
      </c>
      <c r="J253" s="26">
        <f>IFERROR(__xludf.DUMMYFUNCTION("""COMPUTED_VALUE"""),0)</f>
        <v>0</v>
      </c>
      <c r="K253" s="26" t="str">
        <f>IFERROR(__xludf.DUMMYFUNCTION("""COMPUTED_VALUE"""),"CGPA")</f>
        <v>CGPA</v>
      </c>
      <c r="L253" s="26" t="str">
        <f>IFERROR(__xludf.DUMMYFUNCTION("""COMPUTED_VALUE"""),"Theory (Int Only)")</f>
        <v>Theory (Int Only)</v>
      </c>
      <c r="M253" s="26"/>
      <c r="N253" s="26"/>
      <c r="O253" s="26"/>
    </row>
    <row r="254" ht="13.2" spans="1:15">
      <c r="A254" s="26">
        <f>IFERROR(__xludf.DUMMYFUNCTION("""COMPUTED_VALUE"""),252)</f>
        <v>252</v>
      </c>
      <c r="B254" s="26"/>
      <c r="C254" s="26" t="str">
        <f>IFERROR(__xludf.DUMMYFUNCTION("""COMPUTED_VALUE"""),"EEC")</f>
        <v>EEC</v>
      </c>
      <c r="D254" s="26" t="str">
        <f>IFERROR(__xludf.DUMMYFUNCTION("""COMPUTED_VALUE"""),"SH6707")</f>
        <v>SH6707</v>
      </c>
      <c r="E254" s="26" t="str">
        <f>IFERROR(__xludf.DUMMYFUNCTION("""COMPUTED_VALUE"""),"19EY707")</f>
        <v>19EY707</v>
      </c>
      <c r="F254" s="27" t="str">
        <f>IFERROR(__xludf.DUMMYFUNCTION("""COMPUTED_VALUE"""),"Paper Publication")</f>
        <v>Paper Publication</v>
      </c>
      <c r="G254" s="26" t="str">
        <f>IFERROR(__xludf.DUMMYFUNCTION("""COMPUTED_VALUE"""),"-")</f>
        <v>-</v>
      </c>
      <c r="H254" s="26">
        <f>IFERROR(__xludf.DUMMYFUNCTION("""COMPUTED_VALUE"""),0)</f>
        <v>0</v>
      </c>
      <c r="I254" s="26">
        <f>IFERROR(__xludf.DUMMYFUNCTION("""COMPUTED_VALUE"""),0)</f>
        <v>0</v>
      </c>
      <c r="J254" s="26">
        <f>IFERROR(__xludf.DUMMYFUNCTION("""COMPUTED_VALUE"""),0)</f>
        <v>0</v>
      </c>
      <c r="K254" s="26" t="str">
        <f>IFERROR(__xludf.DUMMYFUNCTION("""COMPUTED_VALUE"""),"NON-CGPA")</f>
        <v>NON-CGPA</v>
      </c>
      <c r="L254" s="26" t="str">
        <f>IFERROR(__xludf.DUMMYFUNCTION("""COMPUTED_VALUE"""),"Experiential Learning (Int Only)")</f>
        <v>Experiential Learning (Int Only)</v>
      </c>
      <c r="M254" s="26"/>
      <c r="N254" s="26"/>
      <c r="O254" s="26"/>
    </row>
    <row r="255" ht="13.2" spans="1:15">
      <c r="A255" s="26">
        <f>IFERROR(__xludf.DUMMYFUNCTION("""COMPUTED_VALUE"""),253)</f>
        <v>253</v>
      </c>
      <c r="B255" s="26"/>
      <c r="C255" s="26" t="str">
        <f>IFERROR(__xludf.DUMMYFUNCTION("""COMPUTED_VALUE"""),"MC")</f>
        <v>MC</v>
      </c>
      <c r="D255" s="26" t="str">
        <f>IFERROR(__xludf.DUMMYFUNCTION("""COMPUTED_VALUE"""),"SH8801")</f>
        <v>SH8801</v>
      </c>
      <c r="E255" s="26" t="str">
        <f>IFERROR(__xludf.DUMMYFUNCTION("""COMPUTED_VALUE"""),"NA")</f>
        <v>NA</v>
      </c>
      <c r="F255" s="27" t="str">
        <f>IFERROR(__xludf.DUMMYFUNCTION("""COMPUTED_VALUE"""),"Constitutionalism and Artificial Intelligence Policies in India")</f>
        <v>Constitutionalism and Artificial Intelligence Policies in India</v>
      </c>
      <c r="G255" s="26" t="str">
        <f>IFERROR(__xludf.DUMMYFUNCTION("""COMPUTED_VALUE"""),"-")</f>
        <v>-</v>
      </c>
      <c r="H255" s="26">
        <f>IFERROR(__xludf.DUMMYFUNCTION("""COMPUTED_VALUE"""),1)</f>
        <v>1</v>
      </c>
      <c r="I255" s="26">
        <f>IFERROR(__xludf.DUMMYFUNCTION("""COMPUTED_VALUE"""),1)</f>
        <v>1</v>
      </c>
      <c r="J255" s="26">
        <f>IFERROR(__xludf.DUMMYFUNCTION("""COMPUTED_VALUE"""),0)</f>
        <v>0</v>
      </c>
      <c r="K255" s="26" t="str">
        <f>IFERROR(__xludf.DUMMYFUNCTION("""COMPUTED_VALUE"""),"NON-CGPA")</f>
        <v>NON-CGPA</v>
      </c>
      <c r="L255" s="26" t="str">
        <f>IFERROR(__xludf.DUMMYFUNCTION("""COMPUTED_VALUE"""),"Theory (Int Only)")</f>
        <v>Theory (Int Only)</v>
      </c>
      <c r="M255" s="26"/>
      <c r="N255" s="26"/>
      <c r="O255" s="26"/>
    </row>
    <row r="256" ht="13.2" spans="1:15">
      <c r="A256" s="26">
        <f>IFERROR(__xludf.DUMMYFUNCTION("""COMPUTED_VALUE"""),254)</f>
        <v>254</v>
      </c>
      <c r="B256" s="26" t="str">
        <f>IFERROR(__xludf.DUMMYFUNCTION("""COMPUTED_VALUE"""),"Any 1")</f>
        <v>Any 1</v>
      </c>
      <c r="C256" s="26" t="str">
        <f>IFERROR(__xludf.DUMMYFUNCTION("""COMPUTED_VALUE"""),"MC")</f>
        <v>MC</v>
      </c>
      <c r="D256" s="26" t="str">
        <f>IFERROR(__xludf.DUMMYFUNCTION("""COMPUTED_VALUE"""),"SH8802")</f>
        <v>SH8802</v>
      </c>
      <c r="E256" s="26" t="str">
        <f>IFERROR(__xludf.DUMMYFUNCTION("""COMPUTED_VALUE"""),"NA")</f>
        <v>NA</v>
      </c>
      <c r="F256" s="27" t="str">
        <f>IFERROR(__xludf.DUMMYFUNCTION("""COMPUTED_VALUE"""),"Internship")</f>
        <v>Internship</v>
      </c>
      <c r="G256" s="26" t="str">
        <f>IFERROR(__xludf.DUMMYFUNCTION("""COMPUTED_VALUE"""),"-")</f>
        <v>-</v>
      </c>
      <c r="H256" s="26">
        <f>IFERROR(__xludf.DUMMYFUNCTION("""COMPUTED_VALUE"""),0)</f>
        <v>0</v>
      </c>
      <c r="I256" s="26">
        <f>IFERROR(__xludf.DUMMYFUNCTION("""COMPUTED_VALUE"""),0)</f>
        <v>0</v>
      </c>
      <c r="J256" s="26">
        <f>IFERROR(__xludf.DUMMYFUNCTION("""COMPUTED_VALUE"""),0)</f>
        <v>0</v>
      </c>
      <c r="K256" s="26" t="str">
        <f>IFERROR(__xludf.DUMMYFUNCTION("""COMPUTED_VALUE"""),"NON-CGPA")</f>
        <v>NON-CGPA</v>
      </c>
      <c r="L256" s="26" t="str">
        <f>IFERROR(__xludf.DUMMYFUNCTION("""COMPUTED_VALUE"""),"Experiential Learning (Int Only)")</f>
        <v>Experiential Learning (Int Only)</v>
      </c>
      <c r="M256" s="26"/>
      <c r="N256" s="26"/>
      <c r="O256" s="26"/>
    </row>
    <row r="257" ht="13.2" spans="1:15">
      <c r="A257" s="26">
        <f>IFERROR(__xludf.DUMMYFUNCTION("""COMPUTED_VALUE"""),255)</f>
        <v>255</v>
      </c>
      <c r="B257" s="26" t="str">
        <f>IFERROR(__xludf.DUMMYFUNCTION("""COMPUTED_VALUE"""),"Any 1")</f>
        <v>Any 1</v>
      </c>
      <c r="C257" s="26" t="str">
        <f>IFERROR(__xludf.DUMMYFUNCTION("""COMPUTED_VALUE"""),"MC")</f>
        <v>MC</v>
      </c>
      <c r="D257" s="26" t="str">
        <f>IFERROR(__xludf.DUMMYFUNCTION("""COMPUTED_VALUE"""),"SH8803")</f>
        <v>SH8803</v>
      </c>
      <c r="E257" s="26" t="str">
        <f>IFERROR(__xludf.DUMMYFUNCTION("""COMPUTED_VALUE"""),"NA")</f>
        <v>NA</v>
      </c>
      <c r="F257" s="26" t="str">
        <f>IFERROR(__xludf.DUMMYFUNCTION("""COMPUTED_VALUE"""),"Entrepreneurship")</f>
        <v>Entrepreneurship</v>
      </c>
      <c r="G257" s="26" t="str">
        <f>IFERROR(__xludf.DUMMYFUNCTION("""COMPUTED_VALUE"""),"-")</f>
        <v>-</v>
      </c>
      <c r="H257" s="26">
        <f>IFERROR(__xludf.DUMMYFUNCTION("""COMPUTED_VALUE"""),0)</f>
        <v>0</v>
      </c>
      <c r="I257" s="26">
        <f>IFERROR(__xludf.DUMMYFUNCTION("""COMPUTED_VALUE"""),0)</f>
        <v>0</v>
      </c>
      <c r="J257" s="26">
        <f>IFERROR(__xludf.DUMMYFUNCTION("""COMPUTED_VALUE"""),0)</f>
        <v>0</v>
      </c>
      <c r="K257" s="26" t="str">
        <f>IFERROR(__xludf.DUMMYFUNCTION("""COMPUTED_VALUE"""),"NON-CGPA")</f>
        <v>NON-CGPA</v>
      </c>
      <c r="L257" s="26" t="str">
        <f>IFERROR(__xludf.DUMMYFUNCTION("""COMPUTED_VALUE"""),"Experiential Learning (Int Only)")</f>
        <v>Experiential Learning (Int Only)</v>
      </c>
      <c r="M257" s="26"/>
      <c r="N257" s="26"/>
      <c r="O257" s="26"/>
    </row>
    <row r="258" ht="13.2" spans="1:15">
      <c r="A258" s="26">
        <f>IFERROR(__xludf.DUMMYFUNCTION("""COMPUTED_VALUE"""),256)</f>
        <v>256</v>
      </c>
      <c r="B258" s="26" t="str">
        <f>IFERROR(__xludf.DUMMYFUNCTION("""COMPUTED_VALUE"""),"Any 1")</f>
        <v>Any 1</v>
      </c>
      <c r="C258" s="26" t="str">
        <f>IFERROR(__xludf.DUMMYFUNCTION("""COMPUTED_VALUE"""),"MC")</f>
        <v>MC</v>
      </c>
      <c r="D258" s="26" t="str">
        <f>IFERROR(__xludf.DUMMYFUNCTION("""COMPUTED_VALUE"""),"SH6803")</f>
        <v>SH6803</v>
      </c>
      <c r="E258" s="26" t="str">
        <f>IFERROR(__xludf.DUMMYFUNCTION("""COMPUTED_VALUE"""),"19MC807")</f>
        <v>19MC807</v>
      </c>
      <c r="F258" s="26" t="str">
        <f>IFERROR(__xludf.DUMMYFUNCTION("""COMPUTED_VALUE"""),"National Service Scheme")</f>
        <v>National Service Scheme</v>
      </c>
      <c r="G258" s="26" t="str">
        <f>IFERROR(__xludf.DUMMYFUNCTION("""COMPUTED_VALUE"""),"-")</f>
        <v>-</v>
      </c>
      <c r="H258" s="26">
        <f>IFERROR(__xludf.DUMMYFUNCTION("""COMPUTED_VALUE"""),0)</f>
        <v>0</v>
      </c>
      <c r="I258" s="26">
        <f>IFERROR(__xludf.DUMMYFUNCTION("""COMPUTED_VALUE"""),0)</f>
        <v>0</v>
      </c>
      <c r="J258" s="26">
        <f>IFERROR(__xludf.DUMMYFUNCTION("""COMPUTED_VALUE"""),0)</f>
        <v>0</v>
      </c>
      <c r="K258" s="26" t="str">
        <f>IFERROR(__xludf.DUMMYFUNCTION("""COMPUTED_VALUE"""),"NON-CGPA")</f>
        <v>NON-CGPA</v>
      </c>
      <c r="L258" s="26" t="str">
        <f>IFERROR(__xludf.DUMMYFUNCTION("""COMPUTED_VALUE"""),"Experiential Learning (Int Only)")</f>
        <v>Experiential Learning (Int Only)</v>
      </c>
      <c r="M258" s="26"/>
      <c r="N258" s="26"/>
      <c r="O258" s="26"/>
    </row>
    <row r="259" ht="13.2" spans="1:15">
      <c r="A259" s="26">
        <f>IFERROR(__xludf.DUMMYFUNCTION("""COMPUTED_VALUE"""),257)</f>
        <v>257</v>
      </c>
      <c r="B259" s="26" t="str">
        <f>IFERROR(__xludf.DUMMYFUNCTION("""COMPUTED_VALUE"""),"Any 1")</f>
        <v>Any 1</v>
      </c>
      <c r="C259" s="26" t="str">
        <f>IFERROR(__xludf.DUMMYFUNCTION("""COMPUTED_VALUE"""),"MC")</f>
        <v>MC</v>
      </c>
      <c r="D259" s="26" t="str">
        <f>IFERROR(__xludf.DUMMYFUNCTION("""COMPUTED_VALUE"""),"SH8807")</f>
        <v>SH8807</v>
      </c>
      <c r="E259" s="26" t="str">
        <f>IFERROR(__xludf.DUMMYFUNCTION("""COMPUTED_VALUE"""),"19MC808")</f>
        <v>19MC808</v>
      </c>
      <c r="F259" s="26" t="str">
        <f>IFERROR(__xludf.DUMMYFUNCTION("""COMPUTED_VALUE"""),"National Sports Organization ")</f>
        <v>National Sports Organization </v>
      </c>
      <c r="G259" s="26" t="str">
        <f>IFERROR(__xludf.DUMMYFUNCTION("""COMPUTED_VALUE"""),"-")</f>
        <v>-</v>
      </c>
      <c r="H259" s="26">
        <f>IFERROR(__xludf.DUMMYFUNCTION("""COMPUTED_VALUE"""),0)</f>
        <v>0</v>
      </c>
      <c r="I259" s="26">
        <f>IFERROR(__xludf.DUMMYFUNCTION("""COMPUTED_VALUE"""),0)</f>
        <v>0</v>
      </c>
      <c r="J259" s="26">
        <f>IFERROR(__xludf.DUMMYFUNCTION("""COMPUTED_VALUE"""),0)</f>
        <v>0</v>
      </c>
      <c r="K259" s="26" t="str">
        <f>IFERROR(__xludf.DUMMYFUNCTION("""COMPUTED_VALUE"""),"NON-CGPA")</f>
        <v>NON-CGPA</v>
      </c>
      <c r="L259" s="26" t="str">
        <f>IFERROR(__xludf.DUMMYFUNCTION("""COMPUTED_VALUE"""),"Experiential Learning (Int Only)")</f>
        <v>Experiential Learning (Int Only)</v>
      </c>
      <c r="M259" s="26"/>
      <c r="N259" s="26"/>
      <c r="O259" s="26"/>
    </row>
    <row r="260" ht="13.2" spans="1:15">
      <c r="A260" s="26">
        <f>IFERROR(__xludf.DUMMYFUNCTION("""COMPUTED_VALUE"""),258)</f>
        <v>258</v>
      </c>
      <c r="B260" s="26" t="str">
        <f>IFERROR(__xludf.DUMMYFUNCTION("""COMPUTED_VALUE"""),"Any 1")</f>
        <v>Any 1</v>
      </c>
      <c r="C260" s="26" t="str">
        <f>IFERROR(__xludf.DUMMYFUNCTION("""COMPUTED_VALUE"""),"MC")</f>
        <v>MC</v>
      </c>
      <c r="D260" s="26" t="str">
        <f>IFERROR(__xludf.DUMMYFUNCTION("""COMPUTED_VALUE"""),"SH8808")</f>
        <v>SH8808</v>
      </c>
      <c r="E260" s="26" t="str">
        <f>IFERROR(__xludf.DUMMYFUNCTION("""COMPUTED_VALUE"""),"19MC809")</f>
        <v>19MC809</v>
      </c>
      <c r="F260" s="26" t="str">
        <f>IFERROR(__xludf.DUMMYFUNCTION("""COMPUTED_VALUE"""),"Youth Red Cross")</f>
        <v>Youth Red Cross</v>
      </c>
      <c r="G260" s="26" t="str">
        <f>IFERROR(__xludf.DUMMYFUNCTION("""COMPUTED_VALUE"""),"-")</f>
        <v>-</v>
      </c>
      <c r="H260" s="26">
        <f>IFERROR(__xludf.DUMMYFUNCTION("""COMPUTED_VALUE"""),0)</f>
        <v>0</v>
      </c>
      <c r="I260" s="26">
        <f>IFERROR(__xludf.DUMMYFUNCTION("""COMPUTED_VALUE"""),0)</f>
        <v>0</v>
      </c>
      <c r="J260" s="26">
        <f>IFERROR(__xludf.DUMMYFUNCTION("""COMPUTED_VALUE"""),0)</f>
        <v>0</v>
      </c>
      <c r="K260" s="26" t="str">
        <f>IFERROR(__xludf.DUMMYFUNCTION("""COMPUTED_VALUE"""),"NON-CGPA")</f>
        <v>NON-CGPA</v>
      </c>
      <c r="L260" s="26" t="str">
        <f>IFERROR(__xludf.DUMMYFUNCTION("""COMPUTED_VALUE"""),"Experiential Learning (Int Only)")</f>
        <v>Experiential Learning (Int Only)</v>
      </c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Human Values and Professional Ethics&quot;)"/>
    <hyperlink ref="F12" r:id="rId11" display="=IFERROR(@__xludf.DUMMYFUNCTION(&quot;&quot;&quot;COMPUTED_VALUE&quot;&quot;&quot;),&quot;Calculus and Matrix Algebra&quot;)"/>
    <hyperlink ref="F13" r:id="rId12" display="=IFERROR(@__xludf.DUMMYFUNCTION(&quot;&quot;&quot;COMPUTED_VALUE&quot;&quot;&quot;),&quot;Logic and Combinatorics&quot;)"/>
    <hyperlink ref="F14" r:id="rId13" display="=IFERROR(@__xludf.DUMMYFUNCTION(&quot;&quot;&quot;COMPUTED_VALUE&quot;&quot;&quot;),&quot;Algebra and Number Theory&quot;)"/>
    <hyperlink ref="F15" r:id="rId14" display="=IFERROR(@__xludf.DUMMYFUNCTION(&quot;&quot;&quot;COMPUTED_VALUE&quot;&quot;&quot;),&quot;Probability and Queueing Models&quot;)"/>
    <hyperlink ref="F16" r:id="rId15" display="=IFERROR(@__xludf.DUMMYFUNCTION(&quot;&quot;&quot;COMPUTED_VALUE&quot;&quot;&quot;),&quot;Physics for Quantum Computing&quot;)"/>
    <hyperlink ref="F17" r:id="rId16" display="=IFERROR(@__xludf.DUMMYFUNCTION(&quot;&quot;&quot;COMPUTED_VALUE&quot;&quot;&quot;),&quot;Principles of Chemistry in Engineering&quot;)"/>
    <hyperlink ref="F18" r:id="rId17" display="=IFERROR(@__xludf.DUMMYFUNCTION(&quot;&quot;&quot;COMPUTED_VALUE&quot;&quot;&quot;),&quot;Environmental Sciences and Sustainability&quot;)"/>
    <hyperlink ref="F19" r:id="rId18" display="=IFERROR(@__xludf.DUMMYFUNCTION(&quot;&quot;&quot;COMPUTED_VALUE&quot;&quot;&quot;),&quot;Python Programming&quot;)"/>
    <hyperlink ref="F20" r:id="rId19" display="=IFERROR(@__xludf.DUMMYFUNCTION(&quot;&quot;&quot;COMPUTED_VALUE&quot;&quot;&quot;),&quot;Engineering Design and Modelling&quot;)"/>
    <hyperlink ref="F21" r:id="rId20" display="=IFERROR(@__xludf.DUMMYFUNCTION(&quot;&quot;&quot;COMPUTED_VALUE&quot;&quot;&quot;),&quot;Digital Electronics&quot;)"/>
    <hyperlink ref="F22" r:id="rId21" display="=IFERROR(@__xludf.DUMMYFUNCTION(&quot;&quot;&quot;COMPUTED_VALUE&quot;&quot;&quot;),&quot;Basic Electrical, Electronics and Measurement Engineering&quot;)"/>
    <hyperlink ref="F23" r:id="rId22" display="=IFERROR(@__xludf.DUMMYFUNCTION(&quot;&quot;&quot;COMPUTED_VALUE&quot;&quot;&quot;),&quot;Programming Microcontrollers&quot;)"/>
    <hyperlink ref="F24" r:id="rId23" display="=IFERROR(@__xludf.DUMMYFUNCTION(&quot;&quot;&quot;COMPUTED_VALUE&quot;&quot;&quot;),&quot;Fundamentals of C Programming&quot;)"/>
    <hyperlink ref="F25" r:id="rId24" display="=IFERROR(@__xludf.DUMMYFUNCTION(&quot;&quot;&quot;COMPUTED_VALUE&quot;&quot;&quot;),&quot;Advanced C Programming&quot;)"/>
    <hyperlink ref="F26" r:id="rId25" display="=IFERROR(@__xludf.DUMMYFUNCTION(&quot;&quot;&quot;COMPUTED_VALUE&quot;&quot;&quot;),&quot;Computer Architecture&quot;)"/>
    <hyperlink ref="F27" r:id="rId26" display="=IFERROR(@__xludf.DUMMYFUNCTION(&quot;&quot;&quot;COMPUTED_VALUE&quot;&quot;&quot;),&quot;Object Oriented Programming using Java&quot;)"/>
    <hyperlink ref="F28" r:id="rId27" display="=IFERROR(@__xludf.DUMMYFUNCTION(&quot;&quot;&quot;COMPUTED_VALUE&quot;&quot;&quot;),&quot;Analysis of Algorithms&quot;)"/>
    <hyperlink ref="F29" r:id="rId28" display="=IFERROR(@__xludf.DUMMYFUNCTION(&quot;&quot;&quot;COMPUTED_VALUE&quot;&quot;&quot;),&quot;Fundamentals of Artificial Intelligence&quot;)"/>
    <hyperlink ref="F30" r:id="rId29" display="=IFERROR(@__xludf.DUMMYFUNCTION(&quot;&quot;&quot;COMPUTED_VALUE&quot;&quot;&quot;),&quot;Data Structures&quot;)"/>
    <hyperlink ref="F31" r:id="rId30" display="=IFERROR(@__xludf.DUMMYFUNCTION(&quot;&quot;&quot;COMPUTED_VALUE&quot;&quot;&quot;),&quot;Introduction to Machine Learning&quot;)"/>
    <hyperlink ref="F32" r:id="rId31" display="=IFERROR(@__xludf.DUMMYFUNCTION(&quot;&quot;&quot;COMPUTED_VALUE&quot;&quot;&quot;),&quot;Fundamentals of Web Application Development&quot;)"/>
    <hyperlink ref="F33" r:id="rId32" display="=IFERROR(@__xludf.DUMMYFUNCTION(&quot;&quot;&quot;COMPUTED_VALUE&quot;&quot;&quot;),&quot;Cloud Computing&quot;)"/>
    <hyperlink ref="F34" r:id="rId33" display="=IFERROR(@__xludf.DUMMYFUNCTION(&quot;&quot;&quot;COMPUTED_VALUE&quot;&quot;&quot;),&quot;Advanced Java Web Applications&quot;)"/>
    <hyperlink ref="F35" r:id="rId34" display="=IFERROR(@__xludf.DUMMYFUNCTION(&quot;&quot;&quot;COMPUTED_VALUE&quot;&quot;&quot;),&quot;Cloud Native App Development&quot;)"/>
    <hyperlink ref="F36" r:id="rId35" display="=IFERROR(@__xludf.DUMMYFUNCTION(&quot;&quot;&quot;COMPUTED_VALUE&quot;&quot;&quot;),&quot;Modern Web Application Development&quot;)"/>
    <hyperlink ref="F37" r:id="rId36" display="=IFERROR(@__xludf.DUMMYFUNCTION(&quot;&quot;&quot;COMPUTED_VALUE&quot;&quot;&quot;),&quot;Web Server Programming&quot;)"/>
    <hyperlink ref="F38" r:id="rId37" display="=IFERROR(@__xludf.DUMMYFUNCTION(&quot;&quot;&quot;COMPUTED_VALUE&quot;&quot;&quot;),&quot;Introduction to IoT&quot;)"/>
    <hyperlink ref="F40" r:id="rId38" display="=IFERROR(@__xludf.DUMMYFUNCTION(&quot;&quot;&quot;COMPUTED_VALUE&quot;&quot;&quot;),&quot;Operating System&quot;)"/>
    <hyperlink ref="F41" r:id="rId39" display="=IFERROR(@__xludf.DUMMYFUNCTION(&quot;&quot;&quot;COMPUTED_VALUE&quot;&quot;&quot;),&quot;Computer Networks&quot;)"/>
    <hyperlink ref="F42" r:id="rId40" display="=IFERROR(@__xludf.DUMMYFUNCTION(&quot;&quot;&quot;COMPUTED_VALUE&quot;&quot;&quot;),&quot;Theory of Computation&quot;)"/>
    <hyperlink ref="F43" r:id="rId41" display="=IFERROR(@__xludf.DUMMYFUNCTION(&quot;&quot;&quot;COMPUTED_VALUE&quot;&quot;&quot;),&quot;Software Engineering&quot;)"/>
    <hyperlink ref="F44" r:id="rId42" display="=IFERROR(@__xludf.DUMMYFUNCTION(&quot;&quot;&quot;COMPUTED_VALUE&quot;&quot;&quot;),&quot;Compiler Design&quot;)"/>
    <hyperlink ref="F45" r:id="rId43" display="=IFERROR(@__xludf.DUMMYFUNCTION(&quot;&quot;&quot;COMPUTED_VALUE&quot;&quot;&quot;),&quot;Cryptography&quot;)"/>
    <hyperlink ref="F46" r:id="rId44" display="=IFERROR(@__xludf.DUMMYFUNCTION(&quot;&quot;&quot;COMPUTED_VALUE&quot;&quot;&quot;),&quot;Engineering Mechanics and Product Development&quot;)"/>
    <hyperlink ref="F47" r:id="rId45" display="=IFERROR(@__xludf.DUMMYFUNCTION(&quot;&quot;&quot;COMPUTED_VALUE&quot;&quot;&quot;),&quot;Object Oriented Programming using C++&quot;)"/>
    <hyperlink ref="F48" r:id="rId46" display="=IFERROR(@__xludf.DUMMYFUNCTION(&quot;&quot;&quot;COMPUTED_VALUE&quot;&quot;&quot;),&quot;Object Oriented Programming using C#&quot;)"/>
    <hyperlink ref="F49" r:id="rId47" display="=IFERROR(@__xludf.DUMMYFUNCTION(&quot;&quot;&quot;COMPUTED_VALUE&quot;&quot;&quot;),&quot;Introduction to Data Science&quot;)"/>
    <hyperlink ref="F50" r:id="rId48" display="=IFERROR(@__xludf.DUMMYFUNCTION(&quot;&quot;&quot;COMPUTED_VALUE&quot;&quot;&quot;),&quot;Digital Image Processing Techniques&quot;)"/>
    <hyperlink ref="F51" r:id="rId49" display="=IFERROR(@__xludf.DUMMYFUNCTION(&quot;&quot;&quot;COMPUTED_VALUE&quot;&quot;&quot;),&quot;Parallel Computing Architecture&quot;)"/>
    <hyperlink ref="F52" r:id="rId50" display="=IFERROR(@__xludf.DUMMYFUNCTION(&quot;&quot;&quot;COMPUTED_VALUE&quot;&quot;&quot;),&quot;Applied Artificial Intelligence&quot;)"/>
    <hyperlink ref="F53" r:id="rId51" display="=IFERROR(@__xludf.DUMMYFUNCTION(&quot;&quot;&quot;COMPUTED_VALUE&quot;&quot;&quot;),&quot;Neural Networks&quot;)"/>
    <hyperlink ref="F54" r:id="rId52" display="=IFERROR(@__xludf.DUMMYFUNCTION(&quot;&quot;&quot;COMPUTED_VALUE&quot;&quot;&quot;),&quot;Web Data Mining&quot;)"/>
    <hyperlink ref="F55" r:id="rId53" display="=IFERROR(@__xludf.DUMMYFUNCTION(&quot;&quot;&quot;COMPUTED_VALUE&quot;&quot;&quot;),&quot;Deep Learning and its Applications&quot;)"/>
    <hyperlink ref="F57" r:id="rId54" display="=IFERROR(@__xludf.DUMMYFUNCTION(&quot;&quot;&quot;COMPUTED_VALUE&quot;&quot;&quot;),&quot;Applied Natural Language Processing&quot;)"/>
    <hyperlink ref="F58" r:id="rId55" display="=IFERROR(@__xludf.DUMMYFUNCTION(&quot;&quot;&quot;COMPUTED_VALUE&quot;&quot;&quot;),&quot;Computer Vision&quot;)"/>
    <hyperlink ref="F59" r:id="rId56" display="=IFERROR(@__xludf.DUMMYFUNCTION(&quot;&quot;&quot;COMPUTED_VALUE&quot;&quot;&quot;),&quot;Mobile Robotics&quot;)"/>
    <hyperlink ref="F62" r:id="rId57" display="=IFERROR(@__xludf.DUMMYFUNCTION(&quot;&quot;&quot;COMPUTED_VALUE&quot;&quot;&quot;),&quot;Special Topics in Artificial Intelligence&quot;)"/>
    <hyperlink ref="F64" r:id="rId58" display="=IFERROR(@__xludf.DUMMYFUNCTION(&quot;&quot;&quot;COMPUTED_VALUE&quot;&quot;&quot;),&quot;Concepts of Virtual And Augmented Reality&quot;)"/>
    <hyperlink ref="F65" r:id="rId59" display="=IFERROR(@__xludf.DUMMYFUNCTION(&quot;&quot;&quot;COMPUTED_VALUE&quot;&quot;&quot;),&quot;Mobile VR And AI In Unity&quot;)"/>
    <hyperlink ref="F66" r:id="rId60" display="=IFERROR(@__xludf.DUMMYFUNCTION(&quot;&quot;&quot;COMPUTED_VALUE&quot;&quot;&quot;),&quot;Scientific and Engineering Data Visualization&quot;)"/>
    <hyperlink ref="F67" r:id="rId61" display="=IFERROR(@__xludf.DUMMYFUNCTION(&quot;&quot;&quot;COMPUTED_VALUE&quot;&quot;&quot;),&quot;NoSQL Database Design&quot;)"/>
    <hyperlink ref="F68" r:id="rId62" display="=IFERROR(@__xludf.DUMMYFUNCTION(&quot;&quot;&quot;COMPUTED_VALUE&quot;&quot;&quot;),&quot;Game Programming&quot;)"/>
    <hyperlink ref="F69" r:id="rId63" display="=IFERROR(@__xludf.DUMMYFUNCTION(&quot;&quot;&quot;COMPUTED_VALUE&quot;&quot;&quot;),&quot;Self Driving Car&quot;)"/>
    <hyperlink ref="F70" r:id="rId64" display="=IFERROR(@__xludf.DUMMYFUNCTION(&quot;&quot;&quot;COMPUTED_VALUE&quot;&quot;&quot;),&quot;Smart Manufacturing Technology&quot;)"/>
    <hyperlink ref="F71" r:id="rId65" display="=IFERROR(@__xludf.DUMMYFUNCTION(&quot;&quot;&quot;COMPUTED_VALUE&quot;&quot;&quot;),&quot;Big Data Analytics&quot;)"/>
    <hyperlink ref="F72" r:id="rId66" display="=IFERROR(@__xludf.DUMMYFUNCTION(&quot;&quot;&quot;COMPUTED_VALUE&quot;&quot;&quot;),&quot;Business Analytics&quot;)"/>
    <hyperlink ref="F73" r:id="rId67" display="=IFERROR(@__xludf.DUMMYFUNCTION(&quot;&quot;&quot;COMPUTED_VALUE&quot;&quot;&quot;),&quot;Cognitive Systems&quot;)"/>
    <hyperlink ref="F74" r:id="rId68" display="=IFERROR(@__xludf.DUMMYFUNCTION(&quot;&quot;&quot;COMPUTED_VALUE&quot;&quot;&quot;),&quot;Distributed Database&quot;)"/>
    <hyperlink ref="F75" r:id="rId69" display="=IFERROR(@__xludf.DUMMYFUNCTION(&quot;&quot;&quot;COMPUTED_VALUE&quot;&quot;&quot;),&quot;Data Warehousing and Data Mining&quot;)"/>
    <hyperlink ref="F76" r:id="rId70" display="=IFERROR(@__xludf.DUMMYFUNCTION(&quot;&quot;&quot;COMPUTED_VALUE&quot;&quot;&quot;),&quot;Expert Systems&quot;)"/>
    <hyperlink ref="F77" r:id="rId71" display="=IFERROR(@__xludf.DUMMYFUNCTION(&quot;&quot;&quot;COMPUTED_VALUE&quot;&quot;&quot;),&quot;Knowledge Engineering&quot;)"/>
    <hyperlink ref="F78" r:id="rId72" display="=IFERROR(@__xludf.DUMMYFUNCTION(&quot;&quot;&quot;COMPUTED_VALUE&quot;&quot;&quot;),&quot;Mobile Database&quot;)"/>
    <hyperlink ref="F79" r:id="rId73" display="=IFERROR(@__xludf.DUMMYFUNCTION(&quot;&quot;&quot;COMPUTED_VALUE&quot;&quot;&quot;),&quot;Multimedia Database&quot;)"/>
    <hyperlink ref="F80" r:id="rId74" display="=IFERROR(@__xludf.DUMMYFUNCTION(&quot;&quot;&quot;COMPUTED_VALUE&quot;&quot;&quot;),&quot;Video Processing&quot;)"/>
    <hyperlink ref="F81" r:id="rId75" display="=IFERROR(@__xludf.DUMMYFUNCTION(&quot;&quot;&quot;COMPUTED_VALUE&quot;&quot;&quot;),&quot;Information Security and Access Control&quot;)"/>
    <hyperlink ref="F82" r:id="rId76" display="=IFERROR(@__xludf.DUMMYFUNCTION(&quot;&quot;&quot;COMPUTED_VALUE&quot;&quot;&quot;),&quot;Security Assessment and Risk Analysis&quot;)"/>
    <hyperlink ref="F83" r:id="rId77" display="=IFERROR(@__xludf.DUMMYFUNCTION(&quot;&quot;&quot;COMPUTED_VALUE&quot;&quot;&quot;),&quot;Advanced Graph Theory and Applications&quot;)"/>
    <hyperlink ref="F84" r:id="rId78" display="=IFERROR(@__xludf.DUMMYFUNCTION(&quot;&quot;&quot;COMPUTED_VALUE&quot;&quot;&quot;),&quot;Advanced Data Structures&quot;)"/>
    <hyperlink ref="F85" r:id="rId79" display="=IFERROR(@__xludf.DUMMYFUNCTION(&quot;&quot;&quot;COMPUTED_VALUE&quot;&quot;&quot;),&quot;Control of Robotic Systems&quot;)"/>
    <hyperlink ref="F86" r:id="rId80" display="=IFERROR(@__xludf.DUMMYFUNCTION(&quot;&quot;&quot;COMPUTED_VALUE&quot;&quot;&quot;),&quot;Cryptography and Security&quot;)"/>
    <hyperlink ref="F87" r:id="rId81" display="=IFERROR(@__xludf.DUMMYFUNCTION(&quot;&quot;&quot;COMPUTED_VALUE&quot;&quot;&quot;),&quot;Information Theory for Cyber Security&quot;)"/>
    <hyperlink ref="F88" r:id="rId82" display="=IFERROR(@__xludf.DUMMYFUNCTION(&quot;&quot;&quot;COMPUTED_VALUE&quot;&quot;&quot;),&quot;Introduction to Robotics&quot;)"/>
    <hyperlink ref="F89" r:id="rId83" display="=IFERROR(@__xludf.DUMMYFUNCTION(&quot;&quot;&quot;COMPUTED_VALUE&quot;&quot;&quot;),&quot;Kinematics and Dynamics of Robots&quot;)"/>
    <hyperlink ref="F90" r:id="rId84" display="=IFERROR(@__xludf.DUMMYFUNCTION(&quot;&quot;&quot;COMPUTED_VALUE&quot;&quot;&quot;),&quot;Robotic Sensors&quot;)"/>
    <hyperlink ref="F91" r:id="rId85" display="=IFERROR(@__xludf.DUMMYFUNCTION(&quot;&quot;&quot;COMPUTED_VALUE&quot;&quot;&quot;),&quot;Steganography and Digital Watermarking&quot;)"/>
    <hyperlink ref="F92" r:id="rId86" display="=IFERROR(@__xludf.DUMMYFUNCTION(&quot;&quot;&quot;COMPUTED_VALUE&quot;&quot;&quot;),&quot;Computer Graphics for Virtual Reality&quot;)"/>
    <hyperlink ref="F93" r:id="rId87" display="=IFERROR(@__xludf.DUMMYFUNCTION(&quot;&quot;&quot;COMPUTED_VALUE&quot;&quot;&quot;),&quot;Mathematical Modelling and Computer Aided Engineering&quot;)"/>
    <hyperlink ref="F94" r:id="rId88" display="=IFERROR(@__xludf.DUMMYFUNCTION(&quot;&quot;&quot;COMPUTED_VALUE&quot;&quot;&quot;),&quot;Mobile User Interface Development&quot;)"/>
    <hyperlink ref="F95" r:id="rId89" display="=IFERROR(@__xludf.DUMMYFUNCTION(&quot;&quot;&quot;COMPUTED_VALUE&quot;&quot;&quot;),&quot;Programming Mobile Devices&quot;)"/>
    <hyperlink ref="F96" r:id="rId90" display="=IFERROR(@__xludf.DUMMYFUNCTION(&quot;&quot;&quot;COMPUTED_VALUE&quot;&quot;&quot;),&quot;Agile Software Development&quot;)"/>
    <hyperlink ref="F97" r:id="rId91" display="=IFERROR(@__xludf.DUMMYFUNCTION(&quot;&quot;&quot;COMPUTED_VALUE&quot;&quot;&quot;),&quot;Software Testing&quot;)"/>
    <hyperlink ref="F98" r:id="rId92" display="=IFERROR(@__xludf.DUMMYFUNCTION(&quot;&quot;&quot;COMPUTED_VALUE&quot;&quot;&quot;),&quot;Virtualization and Containerization&quot;)"/>
    <hyperlink ref="F99" r:id="rId93" display="=IFERROR(@__xludf.DUMMYFUNCTION(&quot;&quot;&quot;COMPUTED_VALUE&quot;&quot;&quot;),&quot;Blockchain for Business&quot;)"/>
    <hyperlink ref="F100" r:id="rId94" display="=IFERROR(@__xludf.DUMMYFUNCTION(&quot;&quot;&quot;COMPUTED_VALUE&quot;&quot;&quot;),&quot;Robot Programming&quot;)"/>
    <hyperlink ref="F101" r:id="rId95" display="=IFERROR(@__xludf.DUMMYFUNCTION(&quot;&quot;&quot;COMPUTED_VALUE&quot;&quot;&quot;),&quot;Drone Assembly and Applications&quot;)"/>
    <hyperlink ref="F102" r:id="rId96" display="=IFERROR(@__xludf.DUMMYFUNCTION(&quot;&quot;&quot;COMPUTED_VALUE&quot;&quot;&quot;),&quot;Artificial Intelligence for Games&quot;)"/>
    <hyperlink ref="F103" r:id="rId97" display="=IFERROR(@__xludf.DUMMYFUNCTION(&quot;&quot;&quot;COMPUTED_VALUE&quot;&quot;&quot;),&quot;Drone Design and Control&quot;)"/>
    <hyperlink ref="F104" r:id="rId98" display="=IFERROR(@__xludf.DUMMYFUNCTION(&quot;&quot;&quot;COMPUTED_VALUE&quot;&quot;&quot;),&quot;Web Application User Interface Development&quot;)"/>
    <hyperlink ref="F105" r:id="rId99" display="=IFERROR(@__xludf.DUMMYFUNCTION(&quot;&quot;&quot;COMPUTED_VALUE&quot;&quot;&quot;),&quot;Fundamentals of Large Language Models&quot;)"/>
    <hyperlink ref="F106" r:id="rId100" display="=IFERROR(@__xludf.DUMMYFUNCTION(&quot;&quot;&quot;COMPUTED_VALUE&quot;&quot;&quot;),&quot;Exploratory Data Analysis&quot;)"/>
    <hyperlink ref="F107" r:id="rId101" display="=IFERROR(@__xludf.DUMMYFUNCTION(&quot;&quot;&quot;COMPUTED_VALUE&quot;&quot;&quot;),&quot;Recommender Systems&quot;)"/>
    <hyperlink ref="F108" r:id="rId102" display="=IFERROR(@__xludf.DUMMYFUNCTION(&quot;&quot;&quot;COMPUTED_VALUE&quot;&quot;&quot;),&quot;Neural Networks and Deep Learning&quot;)"/>
    <hyperlink ref="F109" r:id="rId103" display="=IFERROR(@__xludf.DUMMYFUNCTION(&quot;&quot;&quot;COMPUTED_VALUE&quot;&quot;&quot;),&quot;Text and Speech Analysis&quot;)"/>
    <hyperlink ref="F110" r:id="rId104" display="=IFERROR(@__xludf.DUMMYFUNCTION(&quot;&quot;&quot;COMPUTED_VALUE&quot;&quot;&quot;),&quot;Image and Video Analytics&quot;)"/>
    <hyperlink ref="F117" r:id="rId105" display="=IFERROR(@__xludf.DUMMYFUNCTION(&quot;&quot;&quot;COMPUTED_VALUE&quot;&quot;&quot;),&quot;Genetic Algorithms&quot;)"/>
    <hyperlink ref="F119" r:id="rId106" display="=IFERROR(@__xludf.DUMMYFUNCTION(&quot;&quot;&quot;COMPUTED_VALUE&quot;&quot;&quot;),&quot;Brain Computer Interaction&quot;)"/>
    <hyperlink ref="F120" r:id="rId107" display="=IFERROR(@__xludf.DUMMYFUNCTION(&quot;&quot;&quot;COMPUTED_VALUE&quot;&quot;&quot;),&quot;Statistical Learning Theory&quot;)"/>
    <hyperlink ref="F121" r:id="rId108" display="=IFERROR(@__xludf.DUMMYFUNCTION(&quot;&quot;&quot;COMPUTED_VALUE&quot;&quot;&quot;),&quot;Sensors and Actuators for IoT&quot;)"/>
    <hyperlink ref="F122" r:id="rId109" display="=IFERROR(@__xludf.DUMMYFUNCTION(&quot;&quot;&quot;COMPUTED_VALUE&quot;&quot;&quot;),&quot;Security and Trust in IoT&quot;)"/>
    <hyperlink ref="F123" r:id="rId110" display="=IFERROR(@__xludf.DUMMYFUNCTION(&quot;&quot;&quot;COMPUTED_VALUE&quot;&quot;&quot;),&quot;Industrial Internet of Things&quot;)"/>
    <hyperlink ref="F124" r:id="rId111" display="=IFERROR(@__xludf.DUMMYFUNCTION(&quot;&quot;&quot;COMPUTED_VALUE&quot;&quot;&quot;),&quot;Software for Embedded Systems&quot;)"/>
    <hyperlink ref="F125" r:id="rId112" display="=IFERROR(@__xludf.DUMMYFUNCTION(&quot;&quot;&quot;COMPUTED_VALUE&quot;&quot;&quot;),&quot;IoT Architecture and Protocols&quot;)"/>
    <hyperlink ref="F126" r:id="rId113" display="=IFERROR(@__xludf.DUMMYFUNCTION(&quot;&quot;&quot;COMPUTED_VALUE&quot;&quot;&quot;),&quot;Arduino for IoT&quot;)"/>
    <hyperlink ref="F127" r:id="rId114" display="=IFERROR(@__xludf.DUMMYFUNCTION(&quot;&quot;&quot;COMPUTED_VALUE&quot;&quot;&quot;),&quot;Raspberry Pi for IoT&quot;)"/>
    <hyperlink ref="F128" r:id="rId115" display="=IFERROR(@__xludf.DUMMYFUNCTION(&quot;&quot;&quot;COMPUTED_VALUE&quot;&quot;&quot;),&quot;Motion Planning Techniques&quot;)"/>
    <hyperlink ref="F129" r:id="rId116" display="=IFERROR(@__xludf.DUMMYFUNCTION(&quot;&quot;&quot;COMPUTED_VALUE&quot;&quot;&quot;),&quot;Advanced Java Programming&quot;)"/>
    <hyperlink ref="F130" r:id="rId117" display="=IFERROR(@__xludf.DUMMYFUNCTION(&quot;&quot;&quot;COMPUTED_VALUE&quot;&quot;&quot;),&quot;Python Programming for IoT&quot;)"/>
    <hyperlink ref="F131" r:id="rId118" display="=IFERROR(@__xludf.DUMMYFUNCTION(&quot;&quot;&quot;COMPUTED_VALUE&quot;&quot;&quot;),&quot;Applications of IoT in Robotics&quot;)"/>
    <hyperlink ref="F132" r:id="rId119" display="=IFERROR(@__xludf.DUMMYFUNCTION(&quot;&quot;&quot;COMPUTED_VALUE&quot;&quot;&quot;),&quot;Programming for IoT Boards&quot;)"/>
    <hyperlink ref="F133" r:id="rId120" display="=IFERROR(@__xludf.DUMMYFUNCTION(&quot;&quot;&quot;COMPUTED_VALUE&quot;&quot;&quot;),&quot;Design of Smart Cities&quot;)"/>
    <hyperlink ref="F134" r:id="rId121" display="=IFERROR(@__xludf.DUMMYFUNCTION(&quot;&quot;&quot;COMPUTED_VALUE&quot;&quot;&quot;),&quot;IoT and Multimedia Technology&quot;)"/>
    <hyperlink ref="F135" r:id="rId122" display="=IFERROR(@__xludf.DUMMYFUNCTION(&quot;&quot;&quot;COMPUTED_VALUE&quot;&quot;&quot;),&quot;Mobile Application Development for IoT&quot;)"/>
    <hyperlink ref="F136" r:id="rId122" display="=IFERROR(@__xludf.DUMMYFUNCTION(&quot;&quot;&quot;COMPUTED_VALUE&quot;&quot;&quot;),&quot;Open Source Programming for IoT&quot;)"/>
    <hyperlink ref="F137" r:id="rId123" display="=IFERROR(@__xludf.DUMMYFUNCTION(&quot;&quot;&quot;COMPUTED_VALUE&quot;&quot;&quot;),&quot;Cloud Security&quot;)"/>
    <hyperlink ref="F138" r:id="rId124" display="=IFERROR(@__xludf.DUMMYFUNCTION(&quot;&quot;&quot;COMPUTED_VALUE&quot;&quot;&quot;),&quot;Ethical Hacking Techniques&quot;)"/>
    <hyperlink ref="F139" r:id="rId125" display="=IFERROR(@__xludf.DUMMYFUNCTION(&quot;&quot;&quot;COMPUTED_VALUE&quot;&quot;&quot;),&quot;Cyber Law and Compliance&quot;)"/>
    <hyperlink ref="F140" r:id="rId43" display="=IFERROR(@__xludf.DUMMYFUNCTION(&quot;&quot;&quot;COMPUTED_VALUE&quot;&quot;&quot;),&quot;Digital Forensics and Digital Investigations&quot;)"/>
    <hyperlink ref="F141" r:id="rId126" display="=IFERROR(@__xludf.DUMMYFUNCTION(&quot;&quot;&quot;COMPUTED_VALUE&quot;&quot;&quot;),&quot;Prototyping of IoT Systems&quot;)"/>
    <hyperlink ref="F142" r:id="rId127" display="=IFERROR(@__xludf.DUMMYFUNCTION(&quot;&quot;&quot;COMPUTED_VALUE&quot;&quot;&quot;),&quot;Edge Computing&quot;)"/>
    <hyperlink ref="F143" r:id="rId128" display="=IFERROR(@__xludf.DUMMYFUNCTION(&quot;&quot;&quot;COMPUTED_VALUE&quot;&quot;&quot;),&quot;Security for IoT Systems&quot;)"/>
    <hyperlink ref="F144" r:id="rId129" display="=IFERROR(@__xludf.DUMMYFUNCTION(&quot;&quot;&quot;COMPUTED_VALUE&quot;&quot;&quot;),&quot;Computer Graphics and Multimedia&quot;)"/>
    <hyperlink ref="F145" r:id="rId130" display="=IFERROR(@__xludf.DUMMYFUNCTION(&quot;&quot;&quot;COMPUTED_VALUE&quot;&quot;&quot;),&quot;Developing Web Application in .Net&quot;)"/>
    <hyperlink ref="F146" r:id="rId131" display="=IFERROR(@__xludf.DUMMYFUNCTION(&quot;&quot;&quot;COMPUTED_VALUE&quot;&quot;&quot;),&quot;Software Project Management&quot;)"/>
    <hyperlink ref="F147" r:id="rId132" display="=IFERROR(@__xludf.DUMMYFUNCTION(&quot;&quot;&quot;COMPUTED_VALUE&quot;&quot;&quot;),&quot;Service Oriented Architecture&quot;)"/>
    <hyperlink ref="F148" r:id="rId133" display="=IFERROR(@__xludf.DUMMYFUNCTION(&quot;&quot;&quot;COMPUTED_VALUE&quot;&quot;&quot;),&quot;Multicore Architecture&quot;)"/>
    <hyperlink ref="F149" r:id="rId134" display="=IFERROR(@__xludf.DUMMYFUNCTION(&quot;&quot;&quot;COMPUTED_VALUE&quot;&quot;&quot;),&quot;Human Computer Interaction&quot;)"/>
    <hyperlink ref="F150" r:id="rId135" display="=IFERROR(@__xludf.DUMMYFUNCTION(&quot;&quot;&quot;COMPUTED_VALUE&quot;&quot;&quot;),&quot;Parallel and Distributed Systems&quot;)"/>
    <hyperlink ref="F151" r:id="rId136" display="=IFERROR(@__xludf.DUMMYFUNCTION(&quot;&quot;&quot;COMPUTED_VALUE&quot;&quot;&quot;),&quot;Graph Theory and Applications&quot;)"/>
    <hyperlink ref="F152" r:id="rId137" display="=IFERROR(@__xludf.DUMMYFUNCTION(&quot;&quot;&quot;COMPUTED_VALUE&quot;&quot;&quot;),&quot;Social Network Analysis&quot;)"/>
    <hyperlink ref="F153" r:id="rId138" display="=IFERROR(@__xludf.DUMMYFUNCTION(&quot;&quot;&quot;COMPUTED_VALUE&quot;&quot;&quot;),&quot;Natural Language Processing&quot;)"/>
    <hyperlink ref="F154" r:id="rId139" display="=IFERROR(@__xludf.DUMMYFUNCTION(&quot;&quot;&quot;COMPUTED_VALUE&quot;&quot;&quot;),&quot;Soft Computing&quot;)"/>
    <hyperlink ref="F155" r:id="rId140" display="=IFERROR(@__xludf.DUMMYFUNCTION(&quot;&quot;&quot;COMPUTED_VALUE&quot;&quot;&quot;),&quot;Green Computing&quot;)"/>
    <hyperlink ref="F156" r:id="rId141" display="=IFERROR(@__xludf.DUMMYFUNCTION(&quot;&quot;&quot;COMPUTED_VALUE&quot;&quot;&quot;),&quot;Network Management Systems&quot;)"/>
    <hyperlink ref="F157" r:id="rId142" display="=IFERROR(@__xludf.DUMMYFUNCTION(&quot;&quot;&quot;COMPUTED_VALUE&quot;&quot;&quot;),&quot;Block Chain Architecture and its Use Cases&quot;)"/>
    <hyperlink ref="F158" r:id="rId143" display="=IFERROR(@__xludf.DUMMYFUNCTION(&quot;&quot;&quot;COMPUTED_VALUE&quot;&quot;&quot;),&quot;Software Testing and Quality Assurance&quot;)"/>
    <hyperlink ref="F159" r:id="rId144" display="=IFERROR(@__xludf.DUMMYFUNCTION(&quot;&quot;&quot;COMPUTED_VALUE&quot;&quot;&quot;),&quot;Mobile Computing&quot;)"/>
    <hyperlink ref="F160" r:id="rId145" display="=IFERROR(@__xludf.DUMMYFUNCTION(&quot;&quot;&quot;COMPUTED_VALUE&quot;&quot;&quot;),&quot;Game Design and Development&quot;)"/>
    <hyperlink ref="F161" r:id="rId65" display="=IFERROR(@__xludf.DUMMYFUNCTION(&quot;&quot;&quot;COMPUTED_VALUE&quot;&quot;&quot;),&quot;Big Data Analytics&quot;)"/>
    <hyperlink ref="F162" r:id="rId69" display="=IFERROR(@__xludf.DUMMYFUNCTION(&quot;&quot;&quot;COMPUTED_VALUE&quot;&quot;&quot;),&quot;Data Warehousing and Data Mining&quot;)"/>
    <hyperlink ref="F163" r:id="rId146" display="=IFERROR(@__xludf.DUMMYFUNCTION(&quot;&quot;&quot;COMPUTED_VALUE&quot;&quot;&quot;),&quot;Advanced Database Management System&quot;)"/>
    <hyperlink ref="F164" r:id="rId147" display="=IFERROR(@__xludf.DUMMYFUNCTION(&quot;&quot;&quot;COMPUTED_VALUE&quot;&quot;&quot;),&quot;Information Retrieval&quot;)"/>
    <hyperlink ref="F165" r:id="rId148" display="=IFERROR(@__xludf.DUMMYFUNCTION(&quot;&quot;&quot;COMPUTED_VALUE&quot;&quot;&quot;),&quot;Deep Learning&quot;)"/>
    <hyperlink ref="F167" r:id="rId149" display="=IFERROR(@__xludf.DUMMYFUNCTION(&quot;&quot;&quot;COMPUTED_VALUE&quot;&quot;&quot;),&quot;Robotics and its Applications&quot;)"/>
    <hyperlink ref="F168" r:id="rId150" display="=IFERROR(@__xludf.DUMMYFUNCTION(&quot;&quot;&quot;COMPUTED_VALUE&quot;&quot;&quot;),&quot;Quantum Computing&quot;)"/>
    <hyperlink ref="F169" r:id="rId151" display="=IFERROR(@__xludf.DUMMYFUNCTION(&quot;&quot;&quot;COMPUTED_VALUE&quot;&quot;&quot;),&quot;Cyber Security&quot;)"/>
    <hyperlink ref="F170" r:id="rId152" display="=IFERROR(@__xludf.DUMMYFUNCTION(&quot;&quot;&quot;COMPUTED_VALUE&quot;&quot;&quot;),&quot;Virtual Reality&quot;)"/>
    <hyperlink ref="F171" r:id="rId153" display="=IFERROR(@__xludf.DUMMYFUNCTION(&quot;&quot;&quot;COMPUTED_VALUE&quot;&quot;&quot;),&quot;Professional Readiness for Innovation, Employability and Entrepreneurship&quot;)"/>
    <hyperlink ref="F172" r:id="rId154" display="=IFERROR(@__xludf.DUMMYFUNCTION(&quot;&quot;&quot;COMPUTED_VALUE&quot;&quot;&quot;),&quot;Information Security Intelligence and Analytics using Big Data&quot;)"/>
    <hyperlink ref="F173" r:id="rId155" display="=IFERROR(@__xludf.DUMMYFUNCTION(&quot;&quot;&quot;COMPUTED_VALUE&quot;&quot;&quot;),&quot;Prevention Methodology for Cybersecurity&quot;)"/>
    <hyperlink ref="F174" r:id="rId156" display="=IFERROR(@__xludf.DUMMYFUNCTION(&quot;&quot;&quot;COMPUTED_VALUE&quot;&quot;&quot;),&quot;Trusted Network Systems&quot;)"/>
    <hyperlink ref="F175" r:id="rId157" display="=IFERROR(@__xludf.DUMMYFUNCTION(&quot;&quot;&quot;COMPUTED_VALUE&quot;&quot;&quot;),&quot;Firewalls and Intrusion Detection System&quot;)"/>
    <hyperlink ref="F176" r:id="rId158" display="=IFERROR(@__xludf.DUMMYFUNCTION(&quot;&quot;&quot;COMPUTED_VALUE&quot;&quot;&quot;),&quot;Secure Software Engineering&quot;)"/>
    <hyperlink ref="F177" r:id="rId159" display="=IFERROR(@__xludf.DUMMYFUNCTION(&quot;&quot;&quot;COMPUTED_VALUE&quot;&quot;&quot;),&quot;System Security&quot;)"/>
    <hyperlink ref="F178" r:id="rId160" display="=IFERROR(@__xludf.DUMMYFUNCTION(&quot;&quot;&quot;COMPUTED_VALUE&quot;&quot;&quot;),&quot;Hardware Security&quot;)"/>
    <hyperlink ref="F179" r:id="rId161" display="=IFERROR(@__xludf.DUMMYFUNCTION(&quot;&quot;&quot;COMPUTED_VALUE&quot;&quot;&quot;),&quot;Fog Computing&quot;)"/>
    <hyperlink ref="F180" r:id="rId108" display="=IFERROR(@__xludf.DUMMYFUNCTION(&quot;&quot;&quot;COMPUTED_VALUE&quot;&quot;&quot;),&quot;Sensors and Actuators for IoT&quot;)"/>
    <hyperlink ref="F181" r:id="rId162" display="=IFERROR(@__xludf.DUMMYFUNCTION(&quot;&quot;&quot;COMPUTED_VALUE&quot;&quot;&quot;),&quot;Embedded Board Design&quot;)"/>
    <hyperlink ref="F182" r:id="rId155" display="=IFERROR(@__xludf.DUMMYFUNCTION(&quot;&quot;&quot;COMPUTED_VALUE&quot;&quot;&quot;),&quot;Embedded Board Manufacturing&quot;)"/>
    <hyperlink ref="F183" r:id="rId163" display="=IFERROR(@__xludf.DUMMYFUNCTION(&quot;&quot;&quot;COMPUTED_VALUE&quot;&quot;&quot;),&quot;Realtime Operating System&quot;)"/>
    <hyperlink ref="F184" r:id="rId164" display="=IFERROR(@__xludf.DUMMYFUNCTION(&quot;&quot;&quot;COMPUTED_VALUE&quot;&quot;&quot;),&quot;Open Source Operating System&quot;)"/>
    <hyperlink ref="F185" r:id="rId165" display="=IFERROR(@__xludf.DUMMYFUNCTION(&quot;&quot;&quot;COMPUTED_VALUE&quot;&quot;&quot;),&quot;Kernel Programming&quot;)"/>
    <hyperlink ref="F186" r:id="rId166" display="=IFERROR(@__xludf.DUMMYFUNCTION(&quot;&quot;&quot;COMPUTED_VALUE&quot;&quot;&quot;),&quot;Fundamentals of Cryptocurrency&quot;)"/>
    <hyperlink ref="F187" r:id="rId167" display="=IFERROR(@__xludf.DUMMYFUNCTION(&quot;&quot;&quot;COMPUTED_VALUE&quot;&quot;&quot;),&quot;Cloud Services Management&quot;)"/>
    <hyperlink ref="F188" r:id="rId168" display="=IFERROR(@__xludf.DUMMYFUNCTION(&quot;&quot;&quot;COMPUTED_VALUE&quot;&quot;&quot;),&quot;UI and UX Design&quot;)"/>
    <hyperlink ref="F190" r:id="rId169" display="=IFERROR(@__xludf.DUMMYFUNCTION(&quot;&quot;&quot;COMPUTED_VALUE&quot;&quot;&quot;),&quot;Software Testing and Automation&quot;)"/>
    <hyperlink ref="F191" r:id="rId170" display="=IFERROR(@__xludf.DUMMYFUNCTION(&quot;&quot;&quot;COMPUTED_VALUE&quot;&quot;&quot;),&quot;DevOps&quot;)"/>
    <hyperlink ref="F192" r:id="rId171" display="=IFERROR(@__xludf.DUMMYFUNCTION(&quot;&quot;&quot;COMPUTED_VALUE&quot;&quot;&quot;),&quot;Web Application Security&quot;)"/>
    <hyperlink ref="F195" r:id="rId172" display="=IFERROR(@__xludf.DUMMYFUNCTION(&quot;&quot;&quot;COMPUTED_VALUE&quot;&quot;&quot;),&quot;Core Computing Concepts&quot;)"/>
    <hyperlink ref="F202" r:id="rId173" display="=IFERROR(@__xludf.DUMMYFUNCTION(&quot;&quot;&quot;COMPUTED_VALUE&quot;&quot;&quot;),&quot;Robotic Process Automation&quot;)"/>
    <hyperlink ref="F203" r:id="rId174" display="=IFERROR(@__xludf.DUMMYFUNCTION(&quot;&quot;&quot;COMPUTED_VALUE&quot;&quot;&quot;),&quot;Software Project Management and Version Control&quot;)"/>
    <hyperlink ref="F204" r:id="rId175" display="=IFERROR(@__xludf.DUMMYFUNCTION(&quot;&quot;&quot;COMPUTED_VALUE&quot;&quot;&quot;),&quot;Generative AI Application Development&quot;)"/>
    <hyperlink ref="F205" r:id="rId176" display="=IFERROR(@__xludf.DUMMYFUNCTION(&quot;&quot;&quot;COMPUTED_VALUE&quot;&quot;&quot;),&quot;Fine Tuning Large Language Models&quot;)"/>
    <hyperlink ref="F206" r:id="rId177" display="=IFERROR(@__xludf.DUMMYFUNCTION(&quot;&quot;&quot;COMPUTED_VALUE&quot;&quot;&quot;),&quot;Applied Data Science&quot;)"/>
    <hyperlink ref="F207" r:id="rId178" display="=IFERROR(@__xludf.DUMMYFUNCTION(&quot;&quot;&quot;COMPUTED_VALUE&quot;&quot;&quot;),&quot;Entrepreneurship and Small Business Development&quot;)"/>
    <hyperlink ref="F208" r:id="rId179" display="=IFERROR(@__xludf.DUMMYFUNCTION(&quot;&quot;&quot;COMPUTED_VALUE&quot;&quot;&quot;),&quot;Software Development and Operations&quot;)"/>
    <hyperlink ref="F209" r:id="rId180" display="=IFERROR(@__xludf.DUMMYFUNCTION(&quot;&quot;&quot;COMPUTED_VALUE&quot;&quot;&quot;),&quot;Serverless App Development&quot;)"/>
    <hyperlink ref="F210" r:id="rId181" display="=IFERROR(@__xludf.DUMMYFUNCTION(&quot;&quot;&quot;COMPUTED_VALUE&quot;&quot;&quot;),&quot;Enterprise Cloud Architecture&quot;)"/>
    <hyperlink ref="F211" r:id="rId182" display="=IFERROR(@__xludf.DUMMYFUNCTION(&quot;&quot;&quot;COMPUTED_VALUE&quot;&quot;&quot;),&quot;Advanced Class Design and Object-Oriented Techniques&quot;)"/>
    <hyperlink ref="F212" r:id="rId183" display="=IFERROR(@__xludf.DUMMYFUNCTION(&quot;&quot;&quot;COMPUTED_VALUE&quot;&quot;&quot;),&quot;Low-Code App Development&quot;)"/>
    <hyperlink ref="F213" r:id="rId184" display="=IFERROR(@__xludf.DUMMYFUNCTION(&quot;&quot;&quot;COMPUTED_VALUE&quot;&quot;&quot;),&quot;Cloud System Administration&quot;)"/>
    <hyperlink ref="F214" r:id="rId185" display="=IFERROR(@__xludf.DUMMYFUNCTION(&quot;&quot;&quot;COMPUTED_VALUE&quot;&quot;&quot;),&quot;Machine Learning Operations&quot;)"/>
    <hyperlink ref="F215" r:id="rId186" display="=IFERROR(@__xludf.DUMMYFUNCTION(&quot;&quot;&quot;COMPUTED_VALUE&quot;&quot;&quot;),&quot;Embedded Systems&quot;)"/>
    <hyperlink ref="F216" r:id="rId187" display="=IFERROR(@__xludf.DUMMYFUNCTION(&quot;&quot;&quot;COMPUTED_VALUE&quot;&quot;&quot;),&quot;Principles of Digital Signal Processing&quot;)"/>
    <hyperlink ref="F217" r:id="rId188" display="=IFERROR(@__xludf.DUMMYFUNCTION(&quot;&quot;&quot;COMPUTED_VALUE&quot;&quot;&quot;),&quot;Digital Image Processing&quot;)"/>
    <hyperlink ref="F218" r:id="rId189" display="=IFERROR(@__xludf.DUMMYFUNCTION(&quot;&quot;&quot;COMPUTED_VALUE&quot;&quot;&quot;),&quot;Ad Hoc and Wireless Sensor Networks&quot;)"/>
    <hyperlink ref="F219" r:id="rId190" display="=IFERROR(@__xludf.DUMMYFUNCTION(&quot;&quot;&quot;COMPUTED_VALUE&quot;&quot;&quot;),&quot;Information Technology Essentials&quot;)"/>
    <hyperlink ref="F220" r:id="rId191" display="=IFERROR(@__xludf.DUMMYFUNCTION(&quot;&quot;&quot;COMPUTED_VALUE&quot;&quot;&quot;),&quot;Game Development Technologies&quot;)"/>
    <hyperlink ref="F221" r:id="rId192" display="=IFERROR(@__xludf.DUMMYFUNCTION(&quot;&quot;&quot;COMPUTED_VALUE&quot;&quot;&quot;),&quot;Data Structures using Python&quot;)"/>
    <hyperlink ref="F222" r:id="rId193" display="=IFERROR(@__xludf.DUMMYFUNCTION(&quot;&quot;&quot;COMPUTED_VALUE&quot;&quot;&quot;),&quot;Grid and Cloud Computing&quot;)"/>
    <hyperlink ref="F223" r:id="rId194" display="=IFERROR(@__xludf.DUMMYFUNCTION(&quot;&quot;&quot;COMPUTED_VALUE&quot;&quot;&quot;),&quot;Distributed Computing&quot;)"/>
    <hyperlink ref="F224" r:id="rId195" display="=IFERROR(@__xludf.DUMMYFUNCTION(&quot;&quot;&quot;COMPUTED_VALUE&quot;&quot;&quot;),&quot;Information Theory and Coding Techniques&quot;)"/>
    <hyperlink ref="F225" r:id="rId196" display="=IFERROR(@__xludf.DUMMYFUNCTION(&quot;&quot;&quot;COMPUTED_VALUE&quot;&quot;&quot;),&quot;Enterprise Resource Planning&quot;)"/>
    <hyperlink ref="F226" r:id="rId197" display="=IFERROR(@__xludf.DUMMYFUNCTION(&quot;&quot;&quot;COMPUTED_VALUE&quot;&quot;&quot;),&quot;User Interface Design&quot;)"/>
    <hyperlink ref="F227" r:id="rId198" display="=IFERROR(@__xludf.DUMMYFUNCTION(&quot;&quot;&quot;COMPUTED_VALUE&quot;&quot;&quot;),&quot;Information Storage Management&quot;)"/>
    <hyperlink ref="F228" r:id="rId199" display="=IFERROR(@__xludf.DUMMYFUNCTION(&quot;&quot;&quot;COMPUTED_VALUE&quot;&quot;&quot;),&quot;Software Design Patterns&quot;)"/>
    <hyperlink ref="F229" r:id="rId200" display="=IFERROR(@__xludf.DUMMYFUNCTION(&quot;&quot;&quot;COMPUTED_VALUE&quot;&quot;&quot;),&quot;E-Learning Techniques&quot;)"/>
    <hyperlink ref="F230" r:id="rId201" display="=IFERROR(@__xludf.DUMMYFUNCTION(&quot;&quot;&quot;COMPUTED_VALUE&quot;&quot;&quot;),&quot;TCP/IP Design and Implementation&quot;)"/>
    <hyperlink ref="F231" r:id="rId202" display="=IFERROR(@__xludf.DUMMYFUNCTION(&quot;&quot;&quot;COMPUTED_VALUE&quot;&quot;&quot;),&quot;Advanced Algorithms&quot;)"/>
    <hyperlink ref="F232" r:id="rId203" display="=IFERROR(@__xludf.DUMMYFUNCTION(&quot;&quot;&quot;COMPUTED_VALUE&quot;&quot;&quot;),&quot;Ethical Hacking&quot;)"/>
    <hyperlink ref="F233" r:id="rId204" display="=IFERROR(@__xludf.DUMMYFUNCTION(&quot;&quot;&quot;COMPUTED_VALUE&quot;&quot;&quot;),&quot;DHTML and XML&quot;)"/>
    <hyperlink ref="F234" r:id="rId205" display="=IFERROR(@__xludf.DUMMYFUNCTION(&quot;&quot;&quot;COMPUTED_VALUE&quot;&quot;&quot;),&quot;E-Commerce&quot;)"/>
    <hyperlink ref="F235" r:id="rId206" display="=IFERROR(@__xludf.DUMMYFUNCTION(&quot;&quot;&quot;COMPUTED_VALUE&quot;&quot;&quot;),&quot;Free Open Source Software&quot;)"/>
    <hyperlink ref="F236" r:id="rId207" display="=IFERROR(@__xludf.DUMMYFUNCTION(&quot;&quot;&quot;COMPUTED_VALUE&quot;&quot;&quot;),&quot;Real Time Operating Systems&quot;)"/>
    <hyperlink ref="F237" r:id="rId208" display="=IFERROR(@__xludf.DUMMYFUNCTION(&quot;&quot;&quot;COMPUTED_VALUE&quot;&quot;&quot;),&quot;Software Agents&quot;)"/>
    <hyperlink ref="F238" r:id="rId209" display="=IFERROR(@__xludf.DUMMYFUNCTION(&quot;&quot;&quot;COMPUTED_VALUE&quot;&quot;&quot;),&quot;Business Intelligence and Analytics&quot;)"/>
    <hyperlink ref="F239" r:id="rId210" display="=IFERROR(@__xludf.DUMMYFUNCTION(&quot;&quot;&quot;COMPUTED_VALUE&quot;&quot;&quot;),&quot;Mathematics for Artificial Intelligence&quot;)"/>
    <hyperlink ref="F240" r:id="rId211" display="=IFERROR(@__xludf.DUMMYFUNCTION(&quot;&quot;&quot;COMPUTED_VALUE&quot;&quot;&quot;),&quot;Statistics and Numerical Methods&quot;)"/>
    <hyperlink ref="F243" r:id="rId212" display="=IFERROR(@__xludf.DUMMYFUNCTION(&quot;&quot;&quot;COMPUTED_VALUE&quot;&quot;&quot;),&quot;Mini Project&quot;)"/>
    <hyperlink ref="F244" r:id="rId213" display="=IFERROR(@__xludf.DUMMYFUNCTION(&quot;&quot;&quot;COMPUTED_VALUE&quot;&quot;&quot;),&quot;Project Work Phase I&quot;)"/>
    <hyperlink ref="F245" r:id="rId214" display="=IFERROR(@__xludf.DUMMYFUNCTION(&quot;&quot;&quot;COMPUTED_VALUE&quot;&quot;&quot;),&quot;Project Work Phase II&quot;)"/>
    <hyperlink ref="F247" r:id="rId215" display="=IFERROR(@__xludf.DUMMYFUNCTION(&quot;&quot;&quot;COMPUTED_VALUE&quot;&quot;&quot;),&quot;Career Development Skills&quot;)"/>
    <hyperlink ref="F248" r:id="rId216" display="=IFERROR(@__xludf.DUMMYFUNCTION(&quot;&quot;&quot;COMPUTED_VALUE&quot;&quot;&quot;),&quot;Reasoning Ability&quot;)"/>
    <hyperlink ref="F249" r:id="rId217" display="=IFERROR(@__xludf.DUMMYFUNCTION(&quot;&quot;&quot;COMPUTED_VALUE&quot;&quot;&quot;),&quot;Quantitative Ability I&quot;)"/>
    <hyperlink ref="F250" r:id="rId218" display="=IFERROR(@__xludf.DUMMYFUNCTION(&quot;&quot;&quot;COMPUTED_VALUE&quot;&quot;&quot;),&quot;Quantitative Ability II&quot;)"/>
    <hyperlink ref="F251" r:id="rId219" display="=IFERROR(@__xludf.DUMMYFUNCTION(&quot;&quot;&quot;COMPUTED_VALUE&quot;&quot;&quot;),&quot;Employment Enrichment Skills&quot;)"/>
    <hyperlink ref="F252" r:id="rId220" display="=IFERROR(@__xludf.DUMMYFUNCTION(&quot;&quot;&quot;COMPUTED_VALUE&quot;&quot;&quot;),&quot;Company Specific Assessments For Employability&quot;)"/>
    <hyperlink ref="F253" r:id="rId221" display="=IFERROR(@__xludf.DUMMYFUNCTION(&quot;&quot;&quot;COMPUTED_VALUE&quot;&quot;&quot;),&quot;Placement Readiness Assessment&quot;)"/>
    <hyperlink ref="F254" r:id="rId222" display="=IFERROR(@__xludf.DUMMYFUNCTION(&quot;&quot;&quot;COMPUTED_VALUE&quot;&quot;&quot;),&quot;Paper Publication&quot;)"/>
    <hyperlink ref="F255" r:id="rId223" display="=IFERROR(@__xludf.DUMMYFUNCTION(&quot;&quot;&quot;COMPUTED_VALUE&quot;&quot;&quot;),&quot;Constitutionalism and Artificial Intelligence Policies in India&quot;)"/>
    <hyperlink ref="F256" r:id="rId224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06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""R2019-IT!A:A""),
IMPORTRANGE(""https://docs.google.com/spreadsheets/d/1UvPg-G_Bj-UNhLC2uL8tntfYsnld_PABqE3impzOchM/edit"", ""R2019-I"&amp;"T!D:D""),
IMPORTRANGE(""https://docs.google.com/spreadsheets/d/1UvPg-G_Bj-UNhLC2uL8tntfYsnld_PABqE3impzOchM/edit"", ""R2019-IT!E:E""),
IMPORTRANGE(""https://docs.google.com/spreadsheets/d/1UvPg-G_Bj-UNhLC2uL8tntfYsnld_PABqE3impzOchM/edit"", ""R2019-IT!F:F"&amp;"""),
IMPORTRANGE(""https://docs.google.com/spreadsheets/d/1UvPg-G_Bj-UNhLC2uL8tntfYsnld_PABqE3impzOchM/edit"", ""R2019-IT!G:G""),
IMPORTRANGE(""https://docs.google.com/spreadsheets/d/1UvPg-G_Bj-UNhLC2uL8tntfYsnld_PABqE3impzOchM/edit"", ""R2019-IT!I:I""),
"&amp;"IMPORTRANGE(""https://docs.google.com/spreadsheets/d/1UvPg-G_Bj-UNhLC2uL8tntfYsnld_PABqE3impzOchM/edit"", ""R2019-IT!N:N""),
IMPORTRANGE(""https://docs.google.com/spreadsheets/d/1UvPg-G_Bj-UNhLC2uL8tntfYsnld_PABqE3impzOchM/edit"", ""R2019-IT!O:O""),
IMPOR"&amp;"TRANGE(""https://docs.google.com/spreadsheets/d/1UvPg-G_Bj-UNhLC2uL8tntfYsnld_PABqE3impzOchM/edit"", ""R2019-IT!P:P""),
IMPORTRANGE(""https://docs.google.com/spreadsheets/d/1UvPg-G_Bj-UNhLC2uL8tntfYsnld_PABqE3impzOchM/edit"", ""R2019-IT!Q:Q""),
IMPORTRANG"&amp;"E(""https://docs.google.com/spreadsheets/d/1UvPg-G_Bj-UNhLC2uL8tntfYsnld_PABqE3impzOchM/edit"", ""R2019-IT!R:R""),
IMPORTRANGE(""https://docs.google.com/spreadsheets/d/1UvPg-G_Bj-UNhLC2uL8tntfYsnld_PABqE3impzOchM/edit"", ""R2019-IT!S:S""),
IMPORTRANGE(""h"&amp;"ttps://docs.google.com/spreadsheets/d/1UvPg-G_Bj-UNhLC2uL8tntfYsnld_PABqE3impzOchM/edit"", ""R2019-IT!V:V""),
IMPORTRANGE(""https://docs.google.com/spreadsheets/d/1UvPg-G_Bj-UNhLC2uL8tntfYsnld_PABqE3impzOchM/edit"", ""R2019-IT!X:X""),
IMPORTRANGE(""https:"&amp;"//docs.google.com/spreadsheets/d/1UvPg-G_Bj-UNhLC2uL8tntfYsnld_PABqE3impzOchM/edit"", ""R2019-IT!Y:Y""),
IMPORTRANGE(""https://docs.google.com/spreadsheets/d/1UvPg-G_Bj-UNhLC2uL8tntfYsnld_PABqE3impzOchM/edit"", ""R2019-IT!AA:AA""),
IMPORTRANGE(""https://d"&amp;"ocs.google.com/spreadsheets/d/1UvPg-G_Bj-UNhLC2uL8tntfYsnld_PABqE3impzOchM/edit"", ""R2019-IT!AC:AC""),
IMPORTRANGE(""https://docs.google.com/spreadsheets/d/1UvPg-G_Bj-UNhLC2uL8tntfYsnld_PABqE3impzOchM/edit"", ""R2019-IT!AD:AD"")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2022- 2026")</f>
        <v>BATCH: 2022- 2026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/>
      <c r="C3" s="2" t="str">
        <f>IFERROR(__xludf.DUMMYFUNCTION("""COMPUTED_VALUE"""),"HS")</f>
        <v>HS</v>
      </c>
      <c r="D3" s="2" t="str">
        <f>IFERROR(__xludf.DUMMYFUNCTION("""COMPUTED_VALUE"""),"NA")</f>
        <v>NA</v>
      </c>
      <c r="E3" s="2" t="str">
        <f>IFERROR(__xludf.DUMMYFUNCTION("""COMPUTED_VALUE"""),"19EN102")</f>
        <v>19EN102</v>
      </c>
      <c r="F3" s="7" t="str">
        <f>IFERROR(__xludf.DUMMYFUNCTION("""COMPUTED_VALUE"""),"Technical English")</f>
        <v>Technical English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IFERROR(__xludf.DUMMYFUNCTION("""COMPUTED_VALUE"""),1)</f>
        <v>1</v>
      </c>
      <c r="J3" s="2">
        <f>IFERROR(__xludf.DUMMYFUNCTION("""COMPUTED_VALUE"""),4)</f>
        <v>4</v>
      </c>
      <c r="K3" s="2" t="str">
        <f>IFERROR(__xludf.DUMMYFUNCTION("""COMPUTED_VALUE"""),"CGPA")</f>
        <v>CGPA</v>
      </c>
      <c r="L3" s="18" t="str">
        <f>IFERROR(__xludf.DUMMYFUNCTION("""COMPUTED_VALUE"""),"TIP (6 Expts)")</f>
        <v>TIP (6 Expts)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IFERROR(__xludf.DUMMYFUNCTION("""COMPUTED_VALUE"""),13)</f>
        <v>13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/>
      <c r="C4" s="2" t="str">
        <f>IFERROR(__xludf.DUMMYFUNCTION("""COMPUTED_VALUE"""),"HS")</f>
        <v>HS</v>
      </c>
      <c r="D4" s="2" t="str">
        <f>IFERROR(__xludf.DUMMYFUNCTION("""COMPUTED_VALUE"""),"SH1101")</f>
        <v>SH1101</v>
      </c>
      <c r="E4" s="2" t="str">
        <f>IFERROR(__xludf.DUMMYFUNCTION("""COMPUTED_VALUE"""),"19EN101")</f>
        <v>19EN101</v>
      </c>
      <c r="F4" s="7" t="str">
        <f>IFERROR(__xludf.DUMMYFUNCTION("""COMPUTED_VALUE"""),"Communicative English")</f>
        <v>Communicative English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IFERROR(__xludf.DUMMYFUNCTION("""COMPUTED_VALUE"""),1)</f>
        <v>1</v>
      </c>
      <c r="J4" s="2">
        <f>IFERROR(__xludf.DUMMYFUNCTION("""COMPUTED_VALUE"""),4)</f>
        <v>4</v>
      </c>
      <c r="K4" s="2" t="str">
        <f>IFERROR(__xludf.DUMMYFUNCTION("""COMPUTED_VALUE"""),"CGPA")</f>
        <v>CGPA</v>
      </c>
      <c r="L4" s="18" t="str">
        <f>IFERROR(__xludf.DUMMYFUNCTION("""COMPUTED_VALUE"""),"TIP (6 Expts)")</f>
        <v>TIP (6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IFERROR(__xludf.DUMMYFUNCTION("""COMPUTED_VALUE"""),8)</f>
        <v>8</v>
      </c>
      <c r="P4" s="19" t="str">
        <f>IFERROR(__xludf.DUMMYFUNCTION("""COMPUTED_VALUE"""),"BS")</f>
        <v>BS</v>
      </c>
      <c r="Q4" s="2">
        <f>IFERROR(__xludf.DUMMYFUNCTION("""COMPUTED_VALUE"""),24)</f>
        <v>24</v>
      </c>
      <c r="R4" s="20">
        <f>IFERROR(__xludf.DUMMYFUNCTION("""COMPUTED_VALUE"""),8)</f>
        <v>8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 , Any 1 for Regular")</f>
        <v>Exempted for LE , Any 1 for Regular</v>
      </c>
      <c r="C5" s="2" t="str">
        <f>IFERROR(__xludf.DUMMYFUNCTION("""COMPUTED_VALUE"""),"HS")</f>
        <v>HS</v>
      </c>
      <c r="D5" s="2" t="str">
        <f>IFERROR(__xludf.DUMMYFUNCTION("""COMPUTED_VALUE"""),"NA")</f>
        <v>NA</v>
      </c>
      <c r="E5" s="2" t="str">
        <f>IFERROR(__xludf.DUMMYFUNCTION("""COMPUTED_VALUE"""),"19MS151")</f>
        <v>19MS151</v>
      </c>
      <c r="F5" s="7" t="str">
        <f>IFERROR(__xludf.DUMMYFUNCTION("""COMPUTED_VALUE"""),"Principles of Management")</f>
        <v>Principles of Management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IFERROR(__xludf.DUMMYFUNCTION("""COMPUTED_VALUE"""),0)</f>
        <v>0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IFERROR(__xludf.DUMMYFUNCTION("""COMPUTED_VALUE"""),"Theory")</f>
        <v>Theory</v>
      </c>
      <c r="M5" s="19" t="str">
        <f>IFERROR(__xludf.DUMMYFUNCTION("""COMPUTED_VALUE"""),"ES")</f>
        <v>ES</v>
      </c>
      <c r="N5" s="2">
        <f>IFERROR(__xludf.DUMMYFUNCTION("""COMPUTED_VALUE"""),25)</f>
        <v>25</v>
      </c>
      <c r="O5" s="20">
        <f>IFERROR(__xludf.DUMMYFUNCTION("""COMPUTED_VALUE"""),12)</f>
        <v>12</v>
      </c>
      <c r="P5" s="19" t="str">
        <f>IFERROR(__xludf.DUMMYFUNCTION("""COMPUTED_VALUE"""),"ES")</f>
        <v>ES</v>
      </c>
      <c r="Q5" s="2">
        <f>IFERROR(__xludf.DUMMYFUNCTION("""COMPUTED_VALUE"""),25)</f>
        <v>25</v>
      </c>
      <c r="R5" s="20">
        <f>IFERROR(__xludf.DUMMYFUNCTION("""COMPUTED_VALUE"""),12)</f>
        <v>12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1 for Regular")</f>
        <v>Exempted for LE , Any 1 for Regular</v>
      </c>
      <c r="C6" s="2" t="str">
        <f>IFERROR(__xludf.DUMMYFUNCTION("""COMPUTED_VALUE"""),"HS")</f>
        <v>HS</v>
      </c>
      <c r="D6" s="2" t="str">
        <f>IFERROR(__xludf.DUMMYFUNCTION("""COMPUTED_VALUE"""),"NA")</f>
        <v>NA</v>
      </c>
      <c r="E6" s="2" t="str">
        <f>IFERROR(__xludf.DUMMYFUNCTION("""COMPUTED_VALUE"""),"19MS152")</f>
        <v>19MS152</v>
      </c>
      <c r="F6" s="7" t="str">
        <f>IFERROR(__xludf.DUMMYFUNCTION("""COMPUTED_VALUE"""),"Total Quality Management")</f>
        <v>Total Quality Management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IFERROR(__xludf.DUMMYFUNCTION("""COMPUTED_VALUE"""),58)</f>
        <v>58</v>
      </c>
      <c r="O6" s="20">
        <f>IFERROR(__xludf.DUMMYFUNCTION("""COMPUTED_VALUE"""),58)</f>
        <v>58</v>
      </c>
      <c r="P6" s="19" t="str">
        <f>IFERROR(__xludf.DUMMYFUNCTION("""COMPUTED_VALUE"""),"PC")</f>
        <v>PC</v>
      </c>
      <c r="Q6" s="2">
        <f>IFERROR(__xludf.DUMMYFUNCTION("""COMPUTED_VALUE"""),58)</f>
        <v>58</v>
      </c>
      <c r="R6" s="20">
        <f>IFERROR(__xludf.DUMMYFUNCTION("""COMPUTED_VALUE"""),58)</f>
        <v>58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1 for Regular")</f>
        <v>Exempted for LE , Any 1 for Regular</v>
      </c>
      <c r="C7" s="2" t="str">
        <f>IFERROR(__xludf.DUMMYFUNCTION("""COMPUTED_VALUE"""),"HS")</f>
        <v>HS</v>
      </c>
      <c r="D7" s="2" t="str">
        <f>IFERROR(__xludf.DUMMYFUNCTION("""COMPUTED_VALUE"""),"NA")</f>
        <v>NA</v>
      </c>
      <c r="E7" s="2" t="str">
        <f>IFERROR(__xludf.DUMMYFUNCTION("""COMPUTED_VALUE"""),"19MS153")</f>
        <v>19MS153</v>
      </c>
      <c r="F7" s="7" t="str">
        <f>IFERROR(__xludf.DUMMYFUNCTION("""COMPUTED_VALUE"""),"Management and Quality Principles for Engineering")</f>
        <v>Management and Quality Principles for Engineering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IFERROR(__xludf.DUMMYFUNCTION("""COMPUTED_VALUE"""),15)</f>
        <v>15</v>
      </c>
      <c r="O7" s="20">
        <f>IFERROR(__xludf.DUMMYFUNCTION("""COMPUTED_VALUE"""),15)</f>
        <v>15</v>
      </c>
      <c r="P7" s="19" t="str">
        <f>IFERROR(__xludf.DUMMYFUNCTION("""COMPUTED_VALUE"""),"PE")</f>
        <v>PE</v>
      </c>
      <c r="Q7" s="2">
        <f>IFERROR(__xludf.DUMMYFUNCTION("""COMPUTED_VALUE"""),15)</f>
        <v>15</v>
      </c>
      <c r="R7" s="20">
        <f>IFERROR(__xludf.DUMMYFUNCTION("""COMPUTED_VALUE"""),15)</f>
        <v>15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IFERROR(__xludf.DUMMYFUNCTION("""COMPUTED_VALUE"""),"SH7101")</f>
        <v>SH7101</v>
      </c>
      <c r="E8" s="2" t="str">
        <f>IFERROR(__xludf.DUMMYFUNCTION("""COMPUTED_VALUE"""),"22HS101")</f>
        <v>22HS101</v>
      </c>
      <c r="F8" s="7" t="str">
        <f>IFERROR(__xludf.DUMMYFUNCTION("""COMPUTED_VALUE"""),"தமிழர் மரபு/ Heritage of Tamils")</f>
        <v>தமிழர் மரபு/ Heritage of Tamils</v>
      </c>
      <c r="G8" s="2" t="str">
        <f>IFERROR(__xludf.DUMMYFUNCTION("""COMPUTED_VALUE"""),"-")</f>
        <v>-</v>
      </c>
      <c r="H8" s="2">
        <f>IFERROR(__xludf.DUMMYFUNCTION("""COMPUTED_VALUE"""),1)</f>
        <v>1</v>
      </c>
      <c r="I8" s="2">
        <f>IFERROR(__xludf.DUMMYFUNCTION("""COMPUTED_VALUE"""),0)</f>
        <v>0</v>
      </c>
      <c r="J8" s="2">
        <f>IFERROR(__xludf.DUMMYFUNCTION("""COMPUTED_VALUE"""),1)</f>
        <v>1</v>
      </c>
      <c r="K8" s="2" t="str">
        <f>IFERROR(__xludf.DUMMYFUNCTION("""COMPUTED_VALUE"""),"CGPA")</f>
        <v>CGPA</v>
      </c>
      <c r="L8" s="18" t="str">
        <f>IFERROR(__xludf.DUMMYFUNCTION("""COMPUTED_VALUE"""),"Theory (Int Only)")</f>
        <v>Theory (Int Only)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IFERROR(__xludf.DUMMYFUNCTION("""COMPUTED_VALUE"""),"SH7102")</f>
        <v>SH7102</v>
      </c>
      <c r="E9" s="2" t="str">
        <f>IFERROR(__xludf.DUMMYFUNCTION("""COMPUTED_VALUE"""),"22HS102")</f>
        <v>22HS102</v>
      </c>
      <c r="F9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IFERROR(__xludf.DUMMYFUNCTION("""COMPUTED_VALUE"""),"BS")</f>
        <v>BS</v>
      </c>
      <c r="D10" s="2" t="str">
        <f>IFERROR(__xludf.DUMMYFUNCTION("""COMPUTED_VALUE"""),"SH2201")</f>
        <v>SH2201</v>
      </c>
      <c r="E10" s="2" t="str">
        <f>IFERROR(__xludf.DUMMYFUNCTION("""COMPUTED_VALUE"""),"19MA201")</f>
        <v>19MA201</v>
      </c>
      <c r="F10" s="7" t="str">
        <f>IFERROR(__xludf.DUMMYFUNCTION("""COMPUTED_VALUE"""),"Calculus and Matrix Algebra")</f>
        <v>Calculus and Matrix Algebra</v>
      </c>
      <c r="G10" s="2" t="str">
        <f>IFERROR(__xludf.DUMMYFUNCTION("""COMPUTED_VALUE"""),"-")</f>
        <v>-</v>
      </c>
      <c r="H10" s="2">
        <f>IFERROR(__xludf.DUMMYFUNCTION("""COMPUTED_VALUE"""),4)</f>
        <v>4</v>
      </c>
      <c r="I10" s="2">
        <f>IFERROR(__xludf.DUMMYFUNCTION("""COMPUTED_VALUE"""),0)</f>
        <v>0</v>
      </c>
      <c r="J10" s="2">
        <f>IFERROR(__xludf.DUMMYFUNCTION("""COMPUTED_VALUE"""),4)</f>
        <v>4</v>
      </c>
      <c r="K10" s="2" t="str">
        <f>IFERROR(__xludf.DUMMYFUNCTION("""COMPUTED_VALUE"""),"CGPA")</f>
        <v>CGPA</v>
      </c>
      <c r="L10" s="18" t="str">
        <f>IFERROR(__xludf.DUMMYFUNCTION("""COMPUTED_VALUE"""),"Theory")</f>
        <v>Theory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IFERROR(__xludf.DUMMYFUNCTION("""COMPUTED_VALUE"""),"SH2206")</f>
        <v>SH2206</v>
      </c>
      <c r="E11" s="2" t="str">
        <f>IFERROR(__xludf.DUMMYFUNCTION("""COMPUTED_VALUE"""),"19MA206")</f>
        <v>19MA206</v>
      </c>
      <c r="F11" s="7" t="str">
        <f>IFERROR(__xludf.DUMMYFUNCTION("""COMPUTED_VALUE"""),"Logic and Combinatorics")</f>
        <v>Logic and Combinatorics</v>
      </c>
      <c r="G11" s="2" t="str">
        <f>IFERROR(__xludf.DUMMYFUNCTION("""COMPUTED_VALUE"""),"19MA201")</f>
        <v>19MA201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IFERROR(__xludf.DUMMYFUNCTION("""COMPUTED_VALUE"""),165)</f>
        <v>165</v>
      </c>
      <c r="O11" s="23">
        <f>IFERROR(__xludf.DUMMYFUNCTION("""COMPUTED_VALUE"""),127)</f>
        <v>127</v>
      </c>
      <c r="P11" s="21" t="str">
        <f>IFERROR(__xludf.DUMMYFUNCTION("""COMPUTED_VALUE"""),"TOTAL")</f>
        <v>TOTAL</v>
      </c>
      <c r="Q11" s="22">
        <f>IFERROR(__xludf.DUMMYFUNCTION("""COMPUTED_VALUE"""),166)</f>
        <v>166</v>
      </c>
      <c r="R11" s="23">
        <f>IFERROR(__xludf.DUMMYFUNCTION("""COMPUTED_VALUE"""),127)</f>
        <v>127</v>
      </c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IFERROR(__xludf.DUMMYFUNCTION("""COMPUTED_VALUE"""),"SH2212")</f>
        <v>SH2212</v>
      </c>
      <c r="E12" s="2" t="str">
        <f>IFERROR(__xludf.DUMMYFUNCTION("""COMPUTED_VALUE"""),"19MA212")</f>
        <v>19MA212</v>
      </c>
      <c r="F12" s="7" t="str">
        <f>IFERROR(__xludf.DUMMYFUNCTION("""COMPUTED_VALUE"""),"Algebra and Number Theory")</f>
        <v>Algebra and Number Theory</v>
      </c>
      <c r="G12" s="2" t="str">
        <f>IFERROR(__xludf.DUMMYFUNCTION("""COMPUTED_VALUE"""),"19MA201")</f>
        <v>19MA201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IFERROR(__xludf.DUMMYFUNCTION("""COMPUTED_VALUE"""),"NA")</f>
        <v>NA</v>
      </c>
      <c r="E13" s="2" t="str">
        <f>IFERROR(__xludf.DUMMYFUNCTION("""COMPUTED_VALUE"""),"19MA218")</f>
        <v>19MA218</v>
      </c>
      <c r="F13" s="7" t="str">
        <f>IFERROR(__xludf.DUMMYFUNCTION("""COMPUTED_VALUE"""),"Probability and Queueing Theory")</f>
        <v>Probability and Queueing Theory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 t="str">
        <f>IFERROR(__xludf.DUMMYFUNCTION("""COMPUTED_VALUE"""),"Exempted for LE")</f>
        <v>Exempted for LE</v>
      </c>
      <c r="C14" s="2" t="str">
        <f>IFERROR(__xludf.DUMMYFUNCTION("""COMPUTED_VALUE"""),"BS")</f>
        <v>BS</v>
      </c>
      <c r="D14" s="2" t="str">
        <f>IFERROR(__xludf.DUMMYFUNCTION("""COMPUTED_VALUE"""),"NA")</f>
        <v>NA</v>
      </c>
      <c r="E14" s="2" t="str">
        <f>IFERROR(__xludf.DUMMYFUNCTION("""COMPUTED_VALUE"""),"19PH206")</f>
        <v>19PH206</v>
      </c>
      <c r="F14" s="7" t="str">
        <f>IFERROR(__xludf.DUMMYFUNCTION("""COMPUTED_VALUE"""),"Physics for Information Technology")</f>
        <v>Physics for Information Technology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IFERROR(__xludf.DUMMYFUNCTION("""COMPUTED_VALUE"""),1)</f>
        <v>1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IFERROR(__xludf.DUMMYFUNCTION("""COMPUTED_VALUE"""),"BS")</f>
        <v>BS</v>
      </c>
      <c r="D15" s="2" t="str">
        <f>IFERROR(__xludf.DUMMYFUNCTION("""COMPUTED_VALUE"""),"SH4205")</f>
        <v>SH4205</v>
      </c>
      <c r="E15" s="2" t="str">
        <f>IFERROR(__xludf.DUMMYFUNCTION("""COMPUTED_VALUE"""),"19CY205")</f>
        <v>19CY205</v>
      </c>
      <c r="F15" s="7" t="str">
        <f>IFERROR(__xludf.DUMMYFUNCTION("""COMPUTED_VALUE"""),"Principles of Chemistry in Engineering")</f>
        <v>Principles of Chemistry in Engineering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IFERROR(__xludf.DUMMYFUNCTION("""COMPUTED_VALUE"""),"ES")</f>
        <v>ES</v>
      </c>
      <c r="D16" s="2" t="str">
        <f>IFERROR(__xludf.DUMMYFUNCTION("""COMPUTED_VALUE"""),"NA")</f>
        <v>NA</v>
      </c>
      <c r="E16" s="2" t="str">
        <f>IFERROR(__xludf.DUMMYFUNCTION("""COMPUTED_VALUE"""),"19CS301")</f>
        <v>19CS301</v>
      </c>
      <c r="F16" s="7" t="str">
        <f>IFERROR(__xludf.DUMMYFUNCTION("""COMPUTED_VALUE"""),"Problem Solving and Python Programming")</f>
        <v>Problem Solving and Python Programming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IFERROR(__xludf.DUMMYFUNCTION("""COMPUTED_VALUE"""),"ES")</f>
        <v>ES</v>
      </c>
      <c r="D17" s="2" t="str">
        <f>IFERROR(__xludf.DUMMYFUNCTION("""COMPUTED_VALUE"""),"EC2305")</f>
        <v>EC2305</v>
      </c>
      <c r="E17" s="2" t="str">
        <f>IFERROR(__xludf.DUMMYFUNCTION("""COMPUTED_VALUE"""),"19EE305")</f>
        <v>19EE305</v>
      </c>
      <c r="F17" s="7" t="str">
        <f>IFERROR(__xludf.DUMMYFUNCTION("""COMPUTED_VALUE"""),"Basic Electrical, Electronics and Measurement Engineering")</f>
        <v>Basic Electrical, Electronics and Measurement Engineering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IFERROR(__xludf.DUMMYFUNCTION("""COMPUTED_VALUE"""),"NA")</f>
        <v>NA</v>
      </c>
      <c r="E18" s="2" t="str">
        <f>IFERROR(__xludf.DUMMYFUNCTION("""COMPUTED_VALUE"""),"19ME302")</f>
        <v>19ME302</v>
      </c>
      <c r="F18" s="7" t="str">
        <f>IFERROR(__xludf.DUMMYFUNCTION("""COMPUTED_VALUE"""),"Engineering Drawing")</f>
        <v>Engineering Drawing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IFERROR(__xludf.DUMMYFUNCTION("""COMPUTED_VALUE"""),"NA")</f>
        <v>NA</v>
      </c>
      <c r="E19" s="2" t="str">
        <f>IFERROR(__xludf.DUMMYFUNCTION("""COMPUTED_VALUE"""),"19EC303")</f>
        <v>19EC303</v>
      </c>
      <c r="F19" s="7" t="str">
        <f>IFERROR(__xludf.DUMMYFUNCTION("""COMPUTED_VALUE"""),"Digital Principles and System Design")</f>
        <v>Digital Principles and System Design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IFERROR(__xludf.DUMMYFUNCTION("""COMPUTED_VALUE"""),"EC1306")</f>
        <v>EC1306</v>
      </c>
      <c r="E20" s="2" t="str">
        <f>IFERROR(__xludf.DUMMYFUNCTION("""COMPUTED_VALUE"""),"19EC306")</f>
        <v>19EC306</v>
      </c>
      <c r="F20" s="7" t="str">
        <f>IFERROR(__xludf.DUMMYFUNCTION("""COMPUTED_VALUE"""),"Analog and Digital Communication")</f>
        <v>Analog and Digital Communication</v>
      </c>
      <c r="G20" s="2" t="str">
        <f>IFERROR(__xludf.DUMMYFUNCTION("""COMPUTED_VALUE"""),"-")</f>
        <v>-</v>
      </c>
      <c r="H20" s="2">
        <f>IFERROR(__xludf.DUMMYFUNCTION("""COMPUTED_VALUE"""),3)</f>
        <v>3</v>
      </c>
      <c r="I20" s="2">
        <f>IFERROR(__xludf.DUMMYFUNCTION("""COMPUTED_VALUE"""),1)</f>
        <v>1</v>
      </c>
      <c r="J20" s="2">
        <f>IFERROR(__xludf.DUMMYFUNCTION("""COMPUTED_VALUE"""),4)</f>
        <v>4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IFERROR(__xludf.DUMMYFUNCTION("""COMPUTED_VALUE"""),"NA")</f>
        <v>NA</v>
      </c>
      <c r="E21" s="2" t="str">
        <f>IFERROR(__xludf.DUMMYFUNCTION("""COMPUTED_VALUE"""),"19CS302")</f>
        <v>19CS302</v>
      </c>
      <c r="F21" s="7" t="str">
        <f>IFERROR(__xludf.DUMMYFUNCTION("""COMPUTED_VALUE"""),"Programming in C")</f>
        <v>Programming in C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IFERROR(__xludf.DUMMYFUNCTION("""COMPUTED_VALUE"""),2)</f>
        <v>2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(10 Expts)")</f>
        <v>TIP (10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IFERROR(__xludf.DUMMYFUNCTION("""COMPUTED_VALUE"""),"CS1305")</f>
        <v>CS1305</v>
      </c>
      <c r="E22" s="2" t="str">
        <f>IFERROR(__xludf.DUMMYFUNCTION("""COMPUTED_VALUE"""),"19CS305")</f>
        <v>19CS305</v>
      </c>
      <c r="F22" s="7" t="str">
        <f>IFERROR(__xludf.DUMMYFUNCTION("""COMPUTED_VALUE"""),"Computer Architecture")</f>
        <v>Computer Architecture</v>
      </c>
      <c r="G22" s="2" t="str">
        <f>IFERROR(__xludf.DUMMYFUNCTION("""COMPUTED_VALUE"""),"-")</f>
        <v>-</v>
      </c>
      <c r="H22" s="2">
        <f>IFERROR(__xludf.DUMMYFUNCTION("""COMPUTED_VALUE"""),3)</f>
        <v>3</v>
      </c>
      <c r="I22" s="2">
        <f>IFERROR(__xludf.DUMMYFUNCTION("""COMPUTED_VALUE"""),0)</f>
        <v>0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IFERROR(__xludf.DUMMYFUNCTION("""COMPUTED_VALUE"""),"Theory")</f>
        <v>Theory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IFERROR(__xludf.DUMMYFUNCTION("""COMPUTED_VALUE"""),"PC")</f>
        <v>PC</v>
      </c>
      <c r="D23" s="2" t="str">
        <f>IFERROR(__xludf.DUMMYFUNCTION("""COMPUTED_VALUE"""),"CS2405")</f>
        <v>CS2405</v>
      </c>
      <c r="E23" s="2" t="str">
        <f>IFERROR(__xludf.DUMMYFUNCTION("""COMPUTED_VALUE"""),"19IT405")</f>
        <v>19IT405</v>
      </c>
      <c r="F23" s="7" t="str">
        <f>IFERROR(__xludf.DUMMYFUNCTION("""COMPUTED_VALUE"""),"Data Structures using Python")</f>
        <v>Data Structures using Python</v>
      </c>
      <c r="G23" s="2" t="str">
        <f>IFERROR(__xludf.DUMMYFUNCTION("""COMPUTED_VALUE"""),"-")</f>
        <v>-</v>
      </c>
      <c r="H23" s="2">
        <f>IFERROR(__xludf.DUMMYFUNCTION("""COMPUTED_VALUE"""),3)</f>
        <v>3</v>
      </c>
      <c r="I23" s="2">
        <f>IFERROR(__xludf.DUMMYFUNCTION("""COMPUTED_VALUE"""),1)</f>
        <v>1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IFERROR(__xludf.DUMMYFUNCTION("""COMPUTED_VALUE"""),"PC")</f>
        <v>PC</v>
      </c>
      <c r="D24" s="2" t="str">
        <f>IFERROR(__xludf.DUMMYFUNCTION("""COMPUTED_VALUE"""),"NA")</f>
        <v>NA</v>
      </c>
      <c r="E24" s="2" t="str">
        <f>IFERROR(__xludf.DUMMYFUNCTION("""COMPUTED_VALUE"""),"19CS402")</f>
        <v>19CS402</v>
      </c>
      <c r="F24" s="7" t="str">
        <f>IFERROR(__xludf.DUMMYFUNCTION("""COMPUTED_VALUE"""),"Design and Analysis of Algorithms")</f>
        <v>Design and Analysis of Algorithms</v>
      </c>
      <c r="G24" s="2" t="str">
        <f>IFERROR(__xludf.DUMMYFUNCTION("""COMPUTED_VALUE"""),"19CS401")</f>
        <v>19CS401</v>
      </c>
      <c r="H24" s="2">
        <f>IFERROR(__xludf.DUMMYFUNCTION("""COMPUTED_VALUE"""),3)</f>
        <v>3</v>
      </c>
      <c r="I24" s="2">
        <f>IFERROR(__xludf.DUMMYFUNCTION("""COMPUTED_VALUE"""),0)</f>
        <v>0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 t="str">
        <f>IFERROR(__xludf.DUMMYFUNCTION("""COMPUTED_VALUE"""),"Option 1")</f>
        <v>Option 1</v>
      </c>
      <c r="C25" s="2" t="str">
        <f>IFERROR(__xludf.DUMMYFUNCTION("""COMPUTED_VALUE"""),"PC")</f>
        <v>PC</v>
      </c>
      <c r="D25" s="2" t="str">
        <f>IFERROR(__xludf.DUMMYFUNCTION("""COMPUTED_VALUE"""),"CS2404")</f>
        <v>CS2404</v>
      </c>
      <c r="E25" s="2" t="str">
        <f>IFERROR(__xludf.DUMMYFUNCTION("""COMPUTED_VALUE"""),"19IT404")</f>
        <v>19IT404</v>
      </c>
      <c r="F25" s="7" t="str">
        <f>IFERROR(__xludf.DUMMYFUNCTION("""COMPUTED_VALUE"""),"Web Technology")</f>
        <v>Web Technology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 t="str">
        <f>IFERROR(__xludf.DUMMYFUNCTION("""COMPUTED_VALUE"""),"Option 1")</f>
        <v>Option 1</v>
      </c>
      <c r="C26" s="2" t="str">
        <f>IFERROR(__xludf.DUMMYFUNCTION("""COMPUTED_VALUE"""),"PC")</f>
        <v>PC</v>
      </c>
      <c r="D26" s="2" t="str">
        <f>IFERROR(__xludf.DUMMYFUNCTION("""COMPUTED_VALUE"""),"CS2401")</f>
        <v>CS2401</v>
      </c>
      <c r="E26" s="2" t="str">
        <f>IFERROR(__xludf.DUMMYFUNCTION("""COMPUTED_VALUE"""),"19IT401")</f>
        <v>19IT401</v>
      </c>
      <c r="F26" s="7" t="str">
        <f>IFERROR(__xludf.DUMMYFUNCTION("""COMPUTED_VALUE"""),"Information Technology Essentials")</f>
        <v>Information Technology Essentials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IFERROR(__xludf.DUMMYFUNCTION("""COMPUTED_VALUE"""),"Option 2")</f>
        <v>Option 2</v>
      </c>
      <c r="C27" s="2" t="str">
        <f>IFERROR(__xludf.DUMMYFUNCTION("""COMPUTED_VALUE"""),"PC")</f>
        <v>PC</v>
      </c>
      <c r="D27" s="2" t="str">
        <f>IFERROR(__xludf.DUMMYFUNCTION("""COMPUTED_VALUE"""),"CS3307")</f>
        <v>CS3307</v>
      </c>
      <c r="E27" s="2" t="str">
        <f>IFERROR(__xludf.DUMMYFUNCTION("""COMPUTED_VALUE"""),"19AI307")</f>
        <v>19AI307</v>
      </c>
      <c r="F27" s="7" t="str">
        <f>IFERROR(__xludf.DUMMYFUNCTION("""COMPUTED_VALUE"""),"Object Oriented Programming using Java")</f>
        <v>Object Oriented Programming using Java</v>
      </c>
      <c r="G27" s="2" t="str">
        <f>IFERROR(__xludf.DUMMYFUNCTION("""COMPUTED_VALUE"""),"19AI304")</f>
        <v>19AI304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 t="str">
        <f>IFERROR(__xludf.DUMMYFUNCTION("""COMPUTED_VALUE"""),"Option 2")</f>
        <v>Option 2</v>
      </c>
      <c r="C28" s="2" t="str">
        <f>IFERROR(__xludf.DUMMYFUNCTION("""COMPUTED_VALUE"""),"PC")</f>
        <v>PC</v>
      </c>
      <c r="D28" s="2" t="str">
        <f>IFERROR(__xludf.DUMMYFUNCTION("""COMPUTED_VALUE"""),"CS3414")</f>
        <v>CS3414</v>
      </c>
      <c r="E28" s="2" t="str">
        <f>IFERROR(__xludf.DUMMYFUNCTION("""COMPUTED_VALUE"""),"19AI414")</f>
        <v>19AI414</v>
      </c>
      <c r="F28" s="7" t="str">
        <f>IFERROR(__xludf.DUMMYFUNCTION("""COMPUTED_VALUE"""),"Fundamentals of Web Application Development")</f>
        <v>Fundamentals of Web Application Development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IFERROR(__xludf.DUMMYFUNCTION("""COMPUTED_VALUE"""),2)</f>
        <v>2</v>
      </c>
      <c r="J28" s="2">
        <f>IFERROR(__xludf.DUMMYFUNCTION("""COMPUTED_VALUE"""),5)</f>
        <v>5</v>
      </c>
      <c r="K28" s="2" t="str">
        <f>IFERROR(__xludf.DUMMYFUNCTION("""COMPUTED_VALUE"""),"CGPA")</f>
        <v>CGPA</v>
      </c>
      <c r="L28" s="2" t="str">
        <f>IFERROR(__xludf.DUMMYFUNCTION("""COMPUTED_VALUE"""),"TIP (10 Expts)")</f>
        <v>TIP (10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IFERROR(__xludf.DUMMYFUNCTION("""COMPUTED_VALUE"""),"CS2402")</f>
        <v>CS2402</v>
      </c>
      <c r="E29" s="2" t="str">
        <f>IFERROR(__xludf.DUMMYFUNCTION("""COMPUTED_VALUE"""),"19IT402")</f>
        <v>19IT402</v>
      </c>
      <c r="F29" s="7" t="str">
        <f>IFERROR(__xludf.DUMMYFUNCTION("""COMPUTED_VALUE"""),"Game Development Technologies")</f>
        <v>Game Development Technologies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IFERROR(__xludf.DUMMYFUNCTION("""COMPUTED_VALUE"""),1)</f>
        <v>1</v>
      </c>
      <c r="J29" s="2">
        <f>IFERROR(__xludf.DUMMYFUNCTION("""COMPUTED_VALUE"""),4)</f>
        <v>4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IFERROR(__xludf.DUMMYFUNCTION("""COMPUTED_VALUE"""),"CS2406")</f>
        <v>CS2406</v>
      </c>
      <c r="E30" s="2" t="str">
        <f>IFERROR(__xludf.DUMMYFUNCTION("""COMPUTED_VALUE"""),"19IT406")</f>
        <v>19IT406</v>
      </c>
      <c r="F30" s="7" t="str">
        <f>IFERROR(__xludf.DUMMYFUNCTION("""COMPUTED_VALUE"""),"Grid and Cloud Computing")</f>
        <v>Grid and Cloud Computing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IFERROR(__xludf.DUMMYFUNCTION("""COMPUTED_VALUE"""),"CS1404")</f>
        <v>CS1404</v>
      </c>
      <c r="E31" s="2" t="str">
        <f>IFERROR(__xludf.DUMMYFUNCTION("""COMPUTED_VALUE"""),"19CS404")</f>
        <v>19CS404</v>
      </c>
      <c r="F31" s="3" t="str">
        <f>IFERROR(__xludf.DUMMYFUNCTION("""COMPUTED_VALUE"""),"Database Management System and its Applications")</f>
        <v>Database Management System and its Applications</v>
      </c>
      <c r="G31" s="2" t="str">
        <f>IFERROR(__xludf.DUMMYFUNCTION("""COMPUTED_VALUE"""),"19AI301/19AI304/19CS301/19CS302/19CS303")</f>
        <v>19AI301/19AI304/19CS301/19CS302/19CS303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IFERROR(__xludf.DUMMYFUNCTION("""COMPUTED_VALUE"""),"CS1405")</f>
        <v>CS1405</v>
      </c>
      <c r="E32" s="2" t="str">
        <f>IFERROR(__xludf.DUMMYFUNCTION("""COMPUTED_VALUE"""),"19CS405")</f>
        <v>19CS405</v>
      </c>
      <c r="F32" s="7" t="str">
        <f>IFERROR(__xludf.DUMMYFUNCTION("""COMPUTED_VALUE"""),"Operating System")</f>
        <v>Operating System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IFERROR(__xludf.DUMMYFUNCTION("""COMPUTED_VALUE"""),"CS1406")</f>
        <v>CS1406</v>
      </c>
      <c r="E33" s="2" t="str">
        <f>IFERROR(__xludf.DUMMYFUNCTION("""COMPUTED_VALUE"""),"19CS406")</f>
        <v>19CS406</v>
      </c>
      <c r="F33" s="7" t="str">
        <f>IFERROR(__xludf.DUMMYFUNCTION("""COMPUTED_VALUE"""),"Computer Networks")</f>
        <v>Computer Networks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IFERROR(__xludf.DUMMYFUNCTION("""COMPUTED_VALUE"""),"CS1409")</f>
        <v>CS1409</v>
      </c>
      <c r="E34" s="2" t="str">
        <f>IFERROR(__xludf.DUMMYFUNCTION("""COMPUTED_VALUE"""),"19CS409")</f>
        <v>19CS409</v>
      </c>
      <c r="F34" s="7" t="str">
        <f>IFERROR(__xludf.DUMMYFUNCTION("""COMPUTED_VALUE"""),"Compiler Design")</f>
        <v>Compiler Design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IFERROR(__xludf.DUMMYFUNCTION("""COMPUTED_VALUE"""),"CS1408")</f>
        <v>CS1408</v>
      </c>
      <c r="E35" s="2" t="str">
        <f>IFERROR(__xludf.DUMMYFUNCTION("""COMPUTED_VALUE"""),"19CS408")</f>
        <v>19CS408</v>
      </c>
      <c r="F35" s="7" t="str">
        <f>IFERROR(__xludf.DUMMYFUNCTION("""COMPUTED_VALUE"""),"Software Engineering")</f>
        <v>Software Engineering</v>
      </c>
      <c r="G35" s="2" t="str">
        <f>IFERROR(__xludf.DUMMYFUNCTION("""COMPUTED_VALUE"""),"-")</f>
        <v>-</v>
      </c>
      <c r="H35" s="2">
        <f>IFERROR(__xludf.DUMMYFUNCTION("""COMPUTED_VALUE"""),3)</f>
        <v>3</v>
      </c>
      <c r="I35" s="2">
        <f>IFERROR(__xludf.DUMMYFUNCTION("""COMPUTED_VALUE"""),1)</f>
        <v>1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IFERROR(__xludf.DUMMYFUNCTION("""COMPUTED_VALUE"""),"NA")</f>
        <v>NA</v>
      </c>
      <c r="E36" s="2" t="str">
        <f>IFERROR(__xludf.DUMMYFUNCTION("""COMPUTED_VALUE"""),"19CS412")</f>
        <v>19CS412</v>
      </c>
      <c r="F36" s="7" t="str">
        <f>IFERROR(__xludf.DUMMYFUNCTION("""COMPUTED_VALUE"""),"Cryptography and Network Security")</f>
        <v>Cryptography and Network Security</v>
      </c>
      <c r="G36" s="2" t="str">
        <f>IFERROR(__xludf.DUMMYFUNCTION("""COMPUTED_VALUE"""),"19CS406")</f>
        <v>19CS406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IFERROR(__xludf.DUMMYFUNCTION("""COMPUTED_VALUE"""),"NA")</f>
        <v>NA</v>
      </c>
      <c r="E37" s="2" t="str">
        <f>IFERROR(__xludf.DUMMYFUNCTION("""COMPUTED_VALUE"""),"19CS413")</f>
        <v>19CS413</v>
      </c>
      <c r="F37" s="7" t="str">
        <f>IFERROR(__xludf.DUMMYFUNCTION("""COMPUTED_VALUE"""),"Artificial Intelligence")</f>
        <v>Artificial Intelligence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IFERROR(__xludf.DUMMYFUNCTION("""COMPUTED_VALUE"""),"CS1414")</f>
        <v>CS1414</v>
      </c>
      <c r="E38" s="2" t="str">
        <f>IFERROR(__xludf.DUMMYFUNCTION("""COMPUTED_VALUE"""),"19CS414")</f>
        <v>19CS414</v>
      </c>
      <c r="F38" s="7" t="str">
        <f>IFERROR(__xludf.DUMMYFUNCTION("""COMPUTED_VALUE"""),"Mobile Application Development")</f>
        <v>Mobile Application Development</v>
      </c>
      <c r="G38" s="2" t="str">
        <f>IFERROR(__xludf.DUMMYFUNCTION("""COMPUTED_VALUE"""),"19CS404/19CS410")</f>
        <v>19CS404/19CS410</v>
      </c>
      <c r="H38" s="2">
        <f>IFERROR(__xludf.DUMMYFUNCTION("""COMPUTED_VALUE"""),1)</f>
        <v>1</v>
      </c>
      <c r="I38" s="2">
        <f>IFERROR(__xludf.DUMMYFUNCTION("""COMPUTED_VALUE"""),2)</f>
        <v>2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IFERROR(__xludf.DUMMYFUNCTION("""COMPUTED_VALUE"""),"Theory (Int Only) and Practical (10 Expts)")</f>
        <v>Theory (Int Only) and Practical (10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IFERROR(__xludf.DUMMYFUNCTION("""COMPUTED_VALUE"""),"EC1408")</f>
        <v>EC1408</v>
      </c>
      <c r="E39" s="2" t="str">
        <f>IFERROR(__xludf.DUMMYFUNCTION("""COMPUTED_VALUE"""),"19EC408")</f>
        <v>19EC408</v>
      </c>
      <c r="F39" s="7" t="str">
        <f>IFERROR(__xludf.DUMMYFUNCTION("""COMPUTED_VALUE"""),"Microprocessor and Microcontroller")</f>
        <v>Microprocessor and Microcontroller</v>
      </c>
      <c r="G39" s="2" t="str">
        <f>IFERROR(__xludf.DUMMYFUNCTION("""COMPUTED_VALUE"""),"19EC303 / EC1801")</f>
        <v>19EC303 / EC1801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IFERROR(__xludf.DUMMYFUNCTION("""COMPUTED_VALUE"""),"PE")</f>
        <v>PE</v>
      </c>
      <c r="D40" s="2" t="str">
        <f>IFERROR(__xludf.DUMMYFUNCTION("""COMPUTED_VALUE"""),"CS3410")</f>
        <v>CS3410</v>
      </c>
      <c r="E40" s="2" t="str">
        <f>IFERROR(__xludf.DUMMYFUNCTION("""COMPUTED_VALUE"""),"19AI410")</f>
        <v>19AI410</v>
      </c>
      <c r="F40" s="7" t="str">
        <f>IFERROR(__xludf.DUMMYFUNCTION("""COMPUTED_VALUE"""),"Introduction to Machine Learning")</f>
        <v>Introduction to Machine Learning</v>
      </c>
      <c r="G40" s="2" t="str">
        <f>IFERROR(__xludf.DUMMYFUNCTION("""COMPUTED_VALUE"""),"-")</f>
        <v>-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IFERROR(__xludf.DUMMYFUNCTION("""COMPUTED_VALUE"""),"PE")</f>
        <v>PE</v>
      </c>
      <c r="D41" s="2" t="str">
        <f>IFERROR(__xludf.DUMMYFUNCTION("""COMPUTED_VALUE"""),"CS3539")</f>
        <v>CS3539</v>
      </c>
      <c r="E41" s="2" t="str">
        <f>IFERROR(__xludf.DUMMYFUNCTION("""COMPUTED_VALUE"""),"19AI539")</f>
        <v>19AI539</v>
      </c>
      <c r="F41" s="7" t="str">
        <f>IFERROR(__xludf.DUMMYFUNCTION("""COMPUTED_VALUE"""),"Mobile User Interface Development")</f>
        <v>Mobile User Interface Development</v>
      </c>
      <c r="G41" s="2" t="str">
        <f>IFERROR(__xludf.DUMMYFUNCTION("""COMPUTED_VALUE"""),"19CS401")</f>
        <v>19CS401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IFERROR(__xludf.DUMMYFUNCTION("""COMPUTED_VALUE"""),"PE")</f>
        <v>PE</v>
      </c>
      <c r="D42" s="2" t="str">
        <f>IFERROR(__xludf.DUMMYFUNCTION("""COMPUTED_VALUE"""),"CS3540")</f>
        <v>CS3540</v>
      </c>
      <c r="E42" s="2" t="str">
        <f>IFERROR(__xludf.DUMMYFUNCTION("""COMPUTED_VALUE"""),"19AI540")</f>
        <v>19AI540</v>
      </c>
      <c r="F42" s="7" t="str">
        <f>IFERROR(__xludf.DUMMYFUNCTION("""COMPUTED_VALUE"""),"Programming Mobile Devices")</f>
        <v>Programming Mobile Devices</v>
      </c>
      <c r="G42" s="2" t="str">
        <f>IFERROR(__xludf.DUMMYFUNCTION("""COMPUTED_VALUE"""),"19CS401")</f>
        <v>19CS401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IFERROR(__xludf.DUMMYFUNCTION("""COMPUTED_VALUE"""),"PE")</f>
        <v>PE</v>
      </c>
      <c r="D43" s="2" t="str">
        <f>IFERROR(__xludf.DUMMYFUNCTION("""COMPUTED_VALUE"""),"CS3553")</f>
        <v>CS3553</v>
      </c>
      <c r="E43" s="2" t="str">
        <f>IFERROR(__xludf.DUMMYFUNCTION("""COMPUTED_VALUE"""),"19AI553")</f>
        <v>19AI553</v>
      </c>
      <c r="F43" s="7" t="str">
        <f>IFERROR(__xludf.DUMMYFUNCTION("""COMPUTED_VALUE"""),"Advanced Java Web Applications")</f>
        <v>Advanced Java Web Applications</v>
      </c>
      <c r="G43" s="2" t="str">
        <f>IFERROR(__xludf.DUMMYFUNCTION("""COMPUTED_VALUE"""),"19AI307")</f>
        <v>19AI307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IFERROR(__xludf.DUMMYFUNCTION("""COMPUTED_VALUE"""),"CS1567")</f>
        <v>CS1567</v>
      </c>
      <c r="E44" s="2" t="str">
        <f>IFERROR(__xludf.DUMMYFUNCTION("""COMPUTED_VALUE"""),"19CS567")</f>
        <v>19CS567</v>
      </c>
      <c r="F44" s="7" t="str">
        <f>IFERROR(__xludf.DUMMYFUNCTION("""COMPUTED_VALUE"""),"Cloud Native App Development")</f>
        <v>Cloud Native App Development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IFERROR(__xludf.DUMMYFUNCTION("""COMPUTED_VALUE"""),"CS3546")</f>
        <v>CS3546</v>
      </c>
      <c r="E45" s="2" t="str">
        <f>IFERROR(__xludf.DUMMYFUNCTION("""COMPUTED_VALUE"""),"19AI546")</f>
        <v>19AI546</v>
      </c>
      <c r="F45" s="7" t="str">
        <f>IFERROR(__xludf.DUMMYFUNCTION("""COMPUTED_VALUE"""),"Web Server Programming")</f>
        <v>Web Server Programming</v>
      </c>
      <c r="G45" s="2" t="str">
        <f>IFERROR(__xludf.DUMMYFUNCTION("""COMPUTED_VALUE"""),"19CS401")</f>
        <v>19CS401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IFERROR(__xludf.DUMMYFUNCTION("""COMPUTED_VALUE"""),"CS4508")</f>
        <v>CS4508</v>
      </c>
      <c r="E46" s="2" t="str">
        <f>IFERROR(__xludf.DUMMYFUNCTION("""COMPUTED_VALUE"""),"19AM508")</f>
        <v>19AM508</v>
      </c>
      <c r="F46" s="7" t="str">
        <f>IFERROR(__xludf.DUMMYFUNCTION("""COMPUTED_VALUE"""),"Introduction to IoT")</f>
        <v>Introduction to IoT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IFERROR(__xludf.DUMMYFUNCTION("""COMPUTED_VALUE"""),"CS3545")</f>
        <v>CS3545</v>
      </c>
      <c r="E47" s="2" t="str">
        <f>IFERROR(__xludf.DUMMYFUNCTION("""COMPUTED_VALUE"""),"19AI545")</f>
        <v>19AI545</v>
      </c>
      <c r="F47" s="7" t="str">
        <f>IFERROR(__xludf.DUMMYFUNCTION("""COMPUTED_VALUE"""),"Modern Web Application Development")</f>
        <v>Modern Web Application Development</v>
      </c>
      <c r="G47" s="2" t="str">
        <f>IFERROR(__xludf.DUMMYFUNCTION("""COMPUTED_VALUE"""),"19CS410")</f>
        <v>19CS410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IFERROR(__xludf.DUMMYFUNCTION("""COMPUTED_VALUE"""),"EC2309")</f>
        <v>EC2309</v>
      </c>
      <c r="E48" s="2" t="str">
        <f>IFERROR(__xludf.DUMMYFUNCTION("""COMPUTED_VALUE"""),"19EE309")</f>
        <v>19EE309</v>
      </c>
      <c r="F48" s="7" t="str">
        <f>IFERROR(__xludf.DUMMYFUNCTION("""COMPUTED_VALUE"""),"Programming Microcontrollers")</f>
        <v>Programming Microcontrollers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IFERROR(__xludf.DUMMYFUNCTION("""COMPUTED_VALUE"""),"CS3303")</f>
        <v>CS3303</v>
      </c>
      <c r="E49" s="2" t="str">
        <f>IFERROR(__xludf.DUMMYFUNCTION("""COMPUTED_VALUE"""),"19AI303")</f>
        <v>19AI303</v>
      </c>
      <c r="F49" s="7" t="str">
        <f>IFERROR(__xludf.DUMMYFUNCTION("""COMPUTED_VALUE"""),"Engineering Mechanics and Product Development")</f>
        <v>Engineering Mechanics and Product Development</v>
      </c>
      <c r="G49" s="2" t="str">
        <f>IFERROR(__xludf.DUMMYFUNCTION("""COMPUTED_VALUE"""),"-")</f>
        <v>-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IFERROR(__xludf.DUMMYFUNCTION("""COMPUTED_VALUE"""),"CS3306")</f>
        <v>CS3306</v>
      </c>
      <c r="E50" s="2" t="str">
        <f>IFERROR(__xludf.DUMMYFUNCTION("""COMPUTED_VALUE"""),"19AI306")</f>
        <v>19AI306</v>
      </c>
      <c r="F50" s="7" t="str">
        <f>IFERROR(__xludf.DUMMYFUNCTION("""COMPUTED_VALUE"""),"Object Oriented Programming using C++")</f>
        <v>Object Oriented Programming using C++</v>
      </c>
      <c r="G50" s="2" t="str">
        <f>IFERROR(__xludf.DUMMYFUNCTION("""COMPUTED_VALUE"""),"-")</f>
        <v>-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IFERROR(__xludf.DUMMYFUNCTION("""COMPUTED_VALUE"""),"CS3308")</f>
        <v>CS3308</v>
      </c>
      <c r="E51" s="2" t="str">
        <f>IFERROR(__xludf.DUMMYFUNCTION("""COMPUTED_VALUE"""),"19AI308")</f>
        <v>19AI308</v>
      </c>
      <c r="F51" s="7" t="str">
        <f>IFERROR(__xludf.DUMMYFUNCTION("""COMPUTED_VALUE"""),"Object Oriented Programming using C#")</f>
        <v>Object Oriented Programming using C#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IFERROR(__xludf.DUMMYFUNCTION("""COMPUTED_VALUE"""),"CS3403")</f>
        <v>CS3403</v>
      </c>
      <c r="E52" s="2" t="str">
        <f>IFERROR(__xludf.DUMMYFUNCTION("""COMPUTED_VALUE"""),"19AI403")</f>
        <v>19AI403</v>
      </c>
      <c r="F52" s="7" t="str">
        <f>IFERROR(__xludf.DUMMYFUNCTION("""COMPUTED_VALUE"""),"Introduction to Data Science")</f>
        <v>Introduction to Data Science</v>
      </c>
      <c r="G52" s="2" t="str">
        <f>IFERROR(__xludf.DUMMYFUNCTION("""COMPUTED_VALUE"""),"19CS301")</f>
        <v>19CS301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IFERROR(__xludf.DUMMYFUNCTION("""COMPUTED_VALUE"""),"CS3406")</f>
        <v>CS3406</v>
      </c>
      <c r="E53" s="2" t="str">
        <f>IFERROR(__xludf.DUMMYFUNCTION("""COMPUTED_VALUE"""),"19AI406")</f>
        <v>19AI406</v>
      </c>
      <c r="F53" s="7" t="str">
        <f>IFERROR(__xludf.DUMMYFUNCTION("""COMPUTED_VALUE"""),"Digital Image Processing Techniques")</f>
        <v>Digital Image Processing Techniques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IFERROR(__xludf.DUMMYFUNCTION("""COMPUTED_VALUE"""),"CS3407")</f>
        <v>CS3407</v>
      </c>
      <c r="E54" s="2" t="str">
        <f>IFERROR(__xludf.DUMMYFUNCTION("""COMPUTED_VALUE"""),"19AI407")</f>
        <v>19AI407</v>
      </c>
      <c r="F54" s="7" t="str">
        <f>IFERROR(__xludf.DUMMYFUNCTION("""COMPUTED_VALUE"""),"Parallel Computing Architecture")</f>
        <v>Parallel Computing Architecture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IFERROR(__xludf.DUMMYFUNCTION("""COMPUTED_VALUE"""),1)</f>
        <v>1</v>
      </c>
      <c r="J54" s="2">
        <f>IFERROR(__xludf.DUMMYFUNCTION("""COMPUTED_VALUE"""),4)</f>
        <v>4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IFERROR(__xludf.DUMMYFUNCTION("""COMPUTED_VALUE"""),"CS3409")</f>
        <v>CS3409</v>
      </c>
      <c r="E55" s="2" t="str">
        <f>IFERROR(__xludf.DUMMYFUNCTION("""COMPUTED_VALUE"""),"19AI409")</f>
        <v>19AI409</v>
      </c>
      <c r="F55" s="7" t="str">
        <f>IFERROR(__xludf.DUMMYFUNCTION("""COMPUTED_VALUE"""),"Applied Artificial Intelligence")</f>
        <v>Applied Artificial Intelligence</v>
      </c>
      <c r="G55" s="2" t="str">
        <f>IFERROR(__xludf.DUMMYFUNCTION("""COMPUTED_VALUE"""),"19AI405/19CS301")</f>
        <v>19AI405/19CS301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IFERROR(__xludf.DUMMYFUNCTION("""COMPUTED_VALUE"""),"CS3411")</f>
        <v>CS3411</v>
      </c>
      <c r="E56" s="2" t="str">
        <f>IFERROR(__xludf.DUMMYFUNCTION("""COMPUTED_VALUE"""),"19AI411")</f>
        <v>19AI411</v>
      </c>
      <c r="F56" s="7" t="str">
        <f>IFERROR(__xludf.DUMMYFUNCTION("""COMPUTED_VALUE"""),"Neural Networks")</f>
        <v>Neural Networks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IFERROR(__xludf.DUMMYFUNCTION("""COMPUTED_VALUE"""),"CS3412")</f>
        <v>CS3412</v>
      </c>
      <c r="E57" s="2" t="str">
        <f>IFERROR(__xludf.DUMMYFUNCTION("""COMPUTED_VALUE"""),"19AI412")</f>
        <v>19AI412</v>
      </c>
      <c r="F57" s="7" t="str">
        <f>IFERROR(__xludf.DUMMYFUNCTION("""COMPUTED_VALUE"""),"Web Data Mining")</f>
        <v>Web Data Mining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IFERROR(__xludf.DUMMYFUNCTION("""COMPUTED_VALUE"""),1)</f>
        <v>1</v>
      </c>
      <c r="J57" s="2">
        <f>IFERROR(__xludf.DUMMYFUNCTION("""COMPUTED_VALUE"""),4)</f>
        <v>4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IFERROR(__xludf.DUMMYFUNCTION("""COMPUTED_VALUE"""),"CS3413")</f>
        <v>CS3413</v>
      </c>
      <c r="E58" s="2" t="str">
        <f>IFERROR(__xludf.DUMMYFUNCTION("""COMPUTED_VALUE"""),"19AI413")</f>
        <v>19AI413</v>
      </c>
      <c r="F58" s="7" t="str">
        <f>IFERROR(__xludf.DUMMYFUNCTION("""COMPUTED_VALUE"""),"Deep Learning and its Applications")</f>
        <v>Deep Learning and its Applications</v>
      </c>
      <c r="G58" s="2" t="str">
        <f>IFERROR(__xludf.DUMMYFUNCTION("""COMPUTED_VALUE"""),"-")</f>
        <v>-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IFERROR(__xludf.DUMMYFUNCTION("""COMPUTED_VALUE"""),"CS3501")</f>
        <v>CS3501</v>
      </c>
      <c r="E59" s="2" t="str">
        <f>IFERROR(__xludf.DUMMYFUNCTION("""COMPUTED_VALUE"""),"19AI501")</f>
        <v>19AI501</v>
      </c>
      <c r="F59" s="3" t="str">
        <f>IFERROR(__xludf.DUMMYFUNCTION("""COMPUTED_VALUE"""),"Applications of Artificial Intelligence")</f>
        <v>Applications of Artificial Intelligence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IFERROR(__xludf.DUMMYFUNCTION("""COMPUTED_VALUE"""),"CS3502")</f>
        <v>CS3502</v>
      </c>
      <c r="E60" s="2" t="str">
        <f>IFERROR(__xludf.DUMMYFUNCTION("""COMPUTED_VALUE"""),"19AI502")</f>
        <v>19AI502</v>
      </c>
      <c r="F60" s="7" t="str">
        <f>IFERROR(__xludf.DUMMYFUNCTION("""COMPUTED_VALUE"""),"Applied Natural Language Processing")</f>
        <v>Applied Natural Language Processing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IFERROR(__xludf.DUMMYFUNCTION("""COMPUTED_VALUE"""),"CS3503")</f>
        <v>CS3503</v>
      </c>
      <c r="E61" s="2" t="str">
        <f>IFERROR(__xludf.DUMMYFUNCTION("""COMPUTED_VALUE"""),"19AI503")</f>
        <v>19AI503</v>
      </c>
      <c r="F61" s="7" t="str">
        <f>IFERROR(__xludf.DUMMYFUNCTION("""COMPUTED_VALUE"""),"Computer Vision")</f>
        <v>Computer Vision</v>
      </c>
      <c r="G61" s="2" t="str">
        <f>IFERROR(__xludf.DUMMYFUNCTION("""COMPUTED_VALUE"""),"19CS301")</f>
        <v>19CS301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IFERROR(__xludf.DUMMYFUNCTION("""COMPUTED_VALUE"""),"CS3504")</f>
        <v>CS3504</v>
      </c>
      <c r="E62" s="2" t="str">
        <f>IFERROR(__xludf.DUMMYFUNCTION("""COMPUTED_VALUE"""),"19AI504")</f>
        <v>19AI504</v>
      </c>
      <c r="F62" s="7" t="str">
        <f>IFERROR(__xludf.DUMMYFUNCTION("""COMPUTED_VALUE"""),"Mobile Robotics")</f>
        <v>Mobile Robotics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IFERROR(__xludf.DUMMYFUNCTION("""COMPUTED_VALUE"""),"CS3505")</f>
        <v>CS3505</v>
      </c>
      <c r="E63" s="2" t="str">
        <f>IFERROR(__xludf.DUMMYFUNCTION("""COMPUTED_VALUE"""),"19AI505")</f>
        <v>19AI505</v>
      </c>
      <c r="F63" s="3" t="str">
        <f>IFERROR(__xludf.DUMMYFUNCTION("""COMPUTED_VALUE"""),"Reinforcement Learning")</f>
        <v>Reinforcement Learning</v>
      </c>
      <c r="G63" s="2" t="str">
        <f>IFERROR(__xludf.DUMMYFUNCTION("""COMPUTED_VALUE"""),"19CS301")</f>
        <v>19CS301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IFERROR(__xludf.DUMMYFUNCTION("""COMPUTED_VALUE"""),"CS3506")</f>
        <v>CS3506</v>
      </c>
      <c r="E64" s="2" t="str">
        <f>IFERROR(__xludf.DUMMYFUNCTION("""COMPUTED_VALUE"""),"19AI506")</f>
        <v>19AI506</v>
      </c>
      <c r="F64" s="3" t="str">
        <f>IFERROR(__xludf.DUMMYFUNCTION("""COMPUTED_VALUE"""),"Speech Analysis and Processing")</f>
        <v>Speech Analysis and Processing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IFERROR(__xludf.DUMMYFUNCTION("""COMPUTED_VALUE"""),"CS3507")</f>
        <v>CS3507</v>
      </c>
      <c r="E65" s="2" t="str">
        <f>IFERROR(__xludf.DUMMYFUNCTION("""COMPUTED_VALUE"""),"19AI507")</f>
        <v>19AI507</v>
      </c>
      <c r="F65" s="7" t="str">
        <f>IFERROR(__xludf.DUMMYFUNCTION("""COMPUTED_VALUE"""),"Special Topics in Artificial Intelligence")</f>
        <v>Special Topics in Artificial Intelligence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IFERROR(__xludf.DUMMYFUNCTION("""COMPUTED_VALUE"""),"CS3508")</f>
        <v>CS3508</v>
      </c>
      <c r="E66" s="2" t="str">
        <f>IFERROR(__xludf.DUMMYFUNCTION("""COMPUTED_VALUE"""),"19AI508")</f>
        <v>19AI508</v>
      </c>
      <c r="F66" s="3" t="str">
        <f>IFERROR(__xludf.DUMMYFUNCTION("""COMPUTED_VALUE"""),"Soft Computing Techniques")</f>
        <v>Soft Computing Techniques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IFERROR(__xludf.DUMMYFUNCTION("""COMPUTED_VALUE"""),"CS3509")</f>
        <v>CS3509</v>
      </c>
      <c r="E67" s="2" t="str">
        <f>IFERROR(__xludf.DUMMYFUNCTION("""COMPUTED_VALUE"""),"19AI509")</f>
        <v>19AI509</v>
      </c>
      <c r="F67" s="7" t="str">
        <f>IFERROR(__xludf.DUMMYFUNCTION("""COMPUTED_VALUE"""),"Concepts of Virtual And Augmented Reality")</f>
        <v>Concepts of Virtual And Augmented Reality</v>
      </c>
      <c r="G67" s="2" t="str">
        <f>IFERROR(__xludf.DUMMYFUNCTION("""COMPUTED_VALUE"""),"-")</f>
        <v>-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IFERROR(__xludf.DUMMYFUNCTION("""COMPUTED_VALUE"""),"CS3510")</f>
        <v>CS3510</v>
      </c>
      <c r="E68" s="2" t="str">
        <f>IFERROR(__xludf.DUMMYFUNCTION("""COMPUTED_VALUE"""),"19AI510")</f>
        <v>19AI510</v>
      </c>
      <c r="F68" s="7" t="str">
        <f>IFERROR(__xludf.DUMMYFUNCTION("""COMPUTED_VALUE"""),"Mobile VR And AI In Unity")</f>
        <v>Mobile VR And AI In Unity</v>
      </c>
      <c r="G68" s="2" t="str">
        <f>IFERROR(__xludf.DUMMYFUNCTION("""COMPUTED_VALUE"""),"19AI410/19CS302")</f>
        <v>19AI410/19CS302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IFERROR(__xludf.DUMMYFUNCTION("""COMPUTED_VALUE"""),"CS3511")</f>
        <v>CS3511</v>
      </c>
      <c r="E69" s="2" t="str">
        <f>IFERROR(__xludf.DUMMYFUNCTION("""COMPUTED_VALUE"""),"19AI511")</f>
        <v>19AI511</v>
      </c>
      <c r="F69" s="7" t="str">
        <f>IFERROR(__xludf.DUMMYFUNCTION("""COMPUTED_VALUE"""),"Scientific and Engineering Data Visualization")</f>
        <v>Scientific and Engineering Data Visualization</v>
      </c>
      <c r="G69" s="2" t="str">
        <f>IFERROR(__xludf.DUMMYFUNCTION("""COMPUTED_VALUE"""),"-")</f>
        <v>-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IFERROR(__xludf.DUMMYFUNCTION("""COMPUTED_VALUE"""),"CS3512")</f>
        <v>CS3512</v>
      </c>
      <c r="E70" s="2" t="str">
        <f>IFERROR(__xludf.DUMMYFUNCTION("""COMPUTED_VALUE"""),"19AI512")</f>
        <v>19AI512</v>
      </c>
      <c r="F70" s="7" t="str">
        <f>IFERROR(__xludf.DUMMYFUNCTION("""COMPUTED_VALUE"""),"NoSQL Database Design")</f>
        <v>NoSQL Database Design</v>
      </c>
      <c r="G70" s="2" t="str">
        <f>IFERROR(__xludf.DUMMYFUNCTION("""COMPUTED_VALUE"""),"19CS301")</f>
        <v>19CS301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IFERROR(__xludf.DUMMYFUNCTION("""COMPUTED_VALUE"""),"CS3513")</f>
        <v>CS3513</v>
      </c>
      <c r="E71" s="2" t="str">
        <f>IFERROR(__xludf.DUMMYFUNCTION("""COMPUTED_VALUE"""),"19AI513")</f>
        <v>19AI513</v>
      </c>
      <c r="F71" s="7" t="str">
        <f>IFERROR(__xludf.DUMMYFUNCTION("""COMPUTED_VALUE"""),"Game Programming")</f>
        <v>Game Programming</v>
      </c>
      <c r="G71" s="2" t="str">
        <f>IFERROR(__xludf.DUMMYFUNCTION("""COMPUTED_VALUE"""),"19CS401")</f>
        <v>19CS401</v>
      </c>
      <c r="H71" s="2">
        <f>IFERROR(__xludf.DUMMYFUNCTION("""COMPUTED_VALUE"""),2)</f>
        <v>2</v>
      </c>
      <c r="I71" s="2">
        <f>IFERROR(__xludf.DUMMYFUNCTION("""COMPUTED_VALUE"""),2)</f>
        <v>2</v>
      </c>
      <c r="J71" s="2">
        <f>IFERROR(__xludf.DUMMYFUNCTION("""COMPUTED_VALUE"""),4)</f>
        <v>4</v>
      </c>
      <c r="K71" s="2" t="str">
        <f>IFERROR(__xludf.DUMMYFUNCTION("""COMPUTED_VALUE"""),"CGPA")</f>
        <v>CGPA</v>
      </c>
      <c r="L71" s="2" t="str">
        <f>IFERROR(__xludf.DUMMYFUNCTION("""COMPUTED_VALUE"""),"TIP (10 Expts)")</f>
        <v>TIP (10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IFERROR(__xludf.DUMMYFUNCTION("""COMPUTED_VALUE"""),"CS3514")</f>
        <v>CS3514</v>
      </c>
      <c r="E72" s="2" t="str">
        <f>IFERROR(__xludf.DUMMYFUNCTION("""COMPUTED_VALUE"""),"19AI514")</f>
        <v>19AI514</v>
      </c>
      <c r="F72" s="7" t="str">
        <f>IFERROR(__xludf.DUMMYFUNCTION("""COMPUTED_VALUE"""),"Self Driving Car")</f>
        <v>Self Driving Car</v>
      </c>
      <c r="G72" s="2" t="str">
        <f>IFERROR(__xludf.DUMMYFUNCTION("""COMPUTED_VALUE"""),"19CS301/19AI410")</f>
        <v>19CS301/19AI410</v>
      </c>
      <c r="H72" s="2">
        <f>IFERROR(__xludf.DUMMYFUNCTION("""COMPUTED_VALUE"""),2)</f>
        <v>2</v>
      </c>
      <c r="I72" s="2">
        <f>IFERROR(__xludf.DUMMYFUNCTION("""COMPUTED_VALUE"""),2)</f>
        <v>2</v>
      </c>
      <c r="J72" s="2">
        <f>IFERROR(__xludf.DUMMYFUNCTION("""COMPUTED_VALUE"""),4)</f>
        <v>4</v>
      </c>
      <c r="K72" s="2" t="str">
        <f>IFERROR(__xludf.DUMMYFUNCTION("""COMPUTED_VALUE"""),"CGPA")</f>
        <v>CGPA</v>
      </c>
      <c r="L72" s="2" t="str">
        <f>IFERROR(__xludf.DUMMYFUNCTION("""COMPUTED_VALUE"""),"TIP (10 Expts)")</f>
        <v>TIP (10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IFERROR(__xludf.DUMMYFUNCTION("""COMPUTED_VALUE"""),"CS3515")</f>
        <v>CS3515</v>
      </c>
      <c r="E73" s="2" t="str">
        <f>IFERROR(__xludf.DUMMYFUNCTION("""COMPUTED_VALUE"""),"19AI515")</f>
        <v>19AI515</v>
      </c>
      <c r="F73" s="7" t="str">
        <f>IFERROR(__xludf.DUMMYFUNCTION("""COMPUTED_VALUE"""),"Smart Manufacturing Technology")</f>
        <v>Smart Manufacturing Technology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IFERROR(__xludf.DUMMYFUNCTION("""COMPUTED_VALUE"""),"CS3516")</f>
        <v>CS3516</v>
      </c>
      <c r="E74" s="2" t="str">
        <f>IFERROR(__xludf.DUMMYFUNCTION("""COMPUTED_VALUE"""),"19AI516")</f>
        <v>19AI516</v>
      </c>
      <c r="F74" s="7" t="str">
        <f>IFERROR(__xludf.DUMMYFUNCTION("""COMPUTED_VALUE"""),"Big Data Mining and Analysis")</f>
        <v>Big Data Mining and Analysis</v>
      </c>
      <c r="G74" s="2" t="str">
        <f>IFERROR(__xludf.DUMMYFUNCTION("""COMPUTED_VALUE"""),"19AI408/ 19CS410/19IT405")</f>
        <v>19AI408/ 19CS410/19IT405</v>
      </c>
      <c r="H74" s="2">
        <f>IFERROR(__xludf.DUMMYFUNCTION("""COMPUTED_VALUE"""),2)</f>
        <v>2</v>
      </c>
      <c r="I74" s="2">
        <f>IFERROR(__xludf.DUMMYFUNCTION("""COMPUTED_VALUE"""),1)</f>
        <v>1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IFERROR(__xludf.DUMMYFUNCTION("""COMPUTED_VALUE"""),"CS3517")</f>
        <v>CS3517</v>
      </c>
      <c r="E75" s="2" t="str">
        <f>IFERROR(__xludf.DUMMYFUNCTION("""COMPUTED_VALUE"""),"19AI517")</f>
        <v>19AI517</v>
      </c>
      <c r="F75" s="7" t="str">
        <f>IFERROR(__xludf.DUMMYFUNCTION("""COMPUTED_VALUE"""),"Business Analytics")</f>
        <v>Business Analytics</v>
      </c>
      <c r="G75" s="2" t="str">
        <f>IFERROR(__xludf.DUMMYFUNCTION("""COMPUTED_VALUE"""),"-")</f>
        <v>-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IFERROR(__xludf.DUMMYFUNCTION("""COMPUTED_VALUE"""),"CS3518")</f>
        <v>CS3518</v>
      </c>
      <c r="E76" s="2" t="str">
        <f>IFERROR(__xludf.DUMMYFUNCTION("""COMPUTED_VALUE"""),"19AI518")</f>
        <v>19AI518</v>
      </c>
      <c r="F76" s="7" t="str">
        <f>IFERROR(__xludf.DUMMYFUNCTION("""COMPUTED_VALUE"""),"Cognitive Systems")</f>
        <v>Cognitive Systems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IFERROR(__xludf.DUMMYFUNCTION("""COMPUTED_VALUE"""),"CS3519")</f>
        <v>CS3519</v>
      </c>
      <c r="E77" s="2" t="str">
        <f>IFERROR(__xludf.DUMMYFUNCTION("""COMPUTED_VALUE"""),"19AI519")</f>
        <v>19AI519</v>
      </c>
      <c r="F77" s="7" t="str">
        <f>IFERROR(__xludf.DUMMYFUNCTION("""COMPUTED_VALUE"""),"Distributed Database")</f>
        <v>Distributed Database</v>
      </c>
      <c r="G77" s="2" t="str">
        <f>IFERROR(__xludf.DUMMYFUNCTION("""COMPUTED_VALUE"""),"19CS404")</f>
        <v>19CS404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IFERROR(__xludf.DUMMYFUNCTION("""COMPUTED_VALUE"""),"CS3520")</f>
        <v>CS3520</v>
      </c>
      <c r="E78" s="2" t="str">
        <f>IFERROR(__xludf.DUMMYFUNCTION("""COMPUTED_VALUE"""),"19AI520")</f>
        <v>19AI520</v>
      </c>
      <c r="F78" s="7" t="str">
        <f>IFERROR(__xludf.DUMMYFUNCTION("""COMPUTED_VALUE"""),"Data Mining and Warehousing")</f>
        <v>Data Mining and Warehousing</v>
      </c>
      <c r="G78" s="2" t="str">
        <f>IFERROR(__xludf.DUMMYFUNCTION("""COMPUTED_VALUE"""),"-")</f>
        <v>-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IFERROR(__xludf.DUMMYFUNCTION("""COMPUTED_VALUE"""),"CS3521")</f>
        <v>CS3521</v>
      </c>
      <c r="E79" s="2" t="str">
        <f>IFERROR(__xludf.DUMMYFUNCTION("""COMPUTED_VALUE"""),"19AI521")</f>
        <v>19AI521</v>
      </c>
      <c r="F79" s="7" t="str">
        <f>IFERROR(__xludf.DUMMYFUNCTION("""COMPUTED_VALUE"""),"Expert Systems")</f>
        <v>Expert Systems</v>
      </c>
      <c r="G79" s="2" t="str">
        <f>IFERROR(__xludf.DUMMYFUNCTION("""COMPUTED_VALUE"""),"-")</f>
        <v>-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IFERROR(__xludf.DUMMYFUNCTION("""COMPUTED_VALUE"""),"CS3522")</f>
        <v>CS3522</v>
      </c>
      <c r="E80" s="2" t="str">
        <f>IFERROR(__xludf.DUMMYFUNCTION("""COMPUTED_VALUE"""),"19AI522")</f>
        <v>19AI522</v>
      </c>
      <c r="F80" s="7" t="str">
        <f>IFERROR(__xludf.DUMMYFUNCTION("""COMPUTED_VALUE"""),"Knowledge Engineering")</f>
        <v>Knowledge Engineering</v>
      </c>
      <c r="G80" s="2" t="str">
        <f>IFERROR(__xludf.DUMMYFUNCTION("""COMPUTED_VALUE"""),"19CS410")</f>
        <v>19CS410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IFERROR(__xludf.DUMMYFUNCTION("""COMPUTED_VALUE"""),"CS3523")</f>
        <v>CS3523</v>
      </c>
      <c r="E81" s="2" t="str">
        <f>IFERROR(__xludf.DUMMYFUNCTION("""COMPUTED_VALUE"""),"19AI523")</f>
        <v>19AI523</v>
      </c>
      <c r="F81" s="7" t="str">
        <f>IFERROR(__xludf.DUMMYFUNCTION("""COMPUTED_VALUE"""),"Mobile Database")</f>
        <v>Mobile Database</v>
      </c>
      <c r="G81" s="2" t="str">
        <f>IFERROR(__xludf.DUMMYFUNCTION("""COMPUTED_VALUE"""),"-")</f>
        <v>-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IFERROR(__xludf.DUMMYFUNCTION("""COMPUTED_VALUE"""),"CS3524")</f>
        <v>CS3524</v>
      </c>
      <c r="E82" s="2" t="str">
        <f>IFERROR(__xludf.DUMMYFUNCTION("""COMPUTED_VALUE"""),"19AI524")</f>
        <v>19AI524</v>
      </c>
      <c r="F82" s="7" t="str">
        <f>IFERROR(__xludf.DUMMYFUNCTION("""COMPUTED_VALUE"""),"Multimedia Database")</f>
        <v>Multimedia Database</v>
      </c>
      <c r="G82" s="2" t="str">
        <f>IFERROR(__xludf.DUMMYFUNCTION("""COMPUTED_VALUE"""),"19CS410")</f>
        <v>19CS410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IFERROR(__xludf.DUMMYFUNCTION("""COMPUTED_VALUE"""),"CS3525")</f>
        <v>CS3525</v>
      </c>
      <c r="E83" s="2" t="str">
        <f>IFERROR(__xludf.DUMMYFUNCTION("""COMPUTED_VALUE"""),"19AI525")</f>
        <v>19AI525</v>
      </c>
      <c r="F83" s="7" t="str">
        <f>IFERROR(__xludf.DUMMYFUNCTION("""COMPUTED_VALUE"""),"Video Processing")</f>
        <v>Video Processing</v>
      </c>
      <c r="G83" s="2" t="str">
        <f>IFERROR(__xludf.DUMMYFUNCTION("""COMPUTED_VALUE"""),"19CS301")</f>
        <v>19CS301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IFERROR(__xludf.DUMMYFUNCTION("""COMPUTED_VALUE"""),"CS3526")</f>
        <v>CS3526</v>
      </c>
      <c r="E84" s="2" t="str">
        <f>IFERROR(__xludf.DUMMYFUNCTION("""COMPUTED_VALUE"""),"19AI526")</f>
        <v>19AI526</v>
      </c>
      <c r="F84" s="7" t="str">
        <f>IFERROR(__xludf.DUMMYFUNCTION("""COMPUTED_VALUE"""),"Information Security and Access Control")</f>
        <v>Information Security and Access Control</v>
      </c>
      <c r="G84" s="2" t="str">
        <f>IFERROR(__xludf.DUMMYFUNCTION("""COMPUTED_VALUE"""),"19AI527")</f>
        <v>19AI527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IFERROR(__xludf.DUMMYFUNCTION("""COMPUTED_VALUE"""),"CS3527")</f>
        <v>CS3527</v>
      </c>
      <c r="E85" s="2" t="str">
        <f>IFERROR(__xludf.DUMMYFUNCTION("""COMPUTED_VALUE"""),"19AI527")</f>
        <v>19AI527</v>
      </c>
      <c r="F85" s="7" t="str">
        <f>IFERROR(__xludf.DUMMYFUNCTION("""COMPUTED_VALUE"""),"Security Assessment and Risk Analysis")</f>
        <v>Security Assessment and Risk Analysis</v>
      </c>
      <c r="G85" s="2" t="str">
        <f>IFERROR(__xludf.DUMMYFUNCTION("""COMPUTED_VALUE"""),"-")</f>
        <v>-</v>
      </c>
      <c r="H85" s="2">
        <f>IFERROR(__xludf.DUMMYFUNCTION("""COMPUTED_VALUE"""),3)</f>
        <v>3</v>
      </c>
      <c r="I85" s="2">
        <f>IFERROR(__xludf.DUMMYFUNCTION("""COMPUTED_VALUE"""),1)</f>
        <v>1</v>
      </c>
      <c r="J85" s="2">
        <f>IFERROR(__xludf.DUMMYFUNCTION("""COMPUTED_VALUE"""),4)</f>
        <v>4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IFERROR(__xludf.DUMMYFUNCTION("""COMPUTED_VALUE"""),"CS3528")</f>
        <v>CS3528</v>
      </c>
      <c r="E86" s="2" t="str">
        <f>IFERROR(__xludf.DUMMYFUNCTION("""COMPUTED_VALUE"""),"19AI528")</f>
        <v>19AI528</v>
      </c>
      <c r="F86" s="7" t="str">
        <f>IFERROR(__xludf.DUMMYFUNCTION("""COMPUTED_VALUE"""),"Advanced Graph Theory and Applications")</f>
        <v>Advanced Graph Theory and Applications</v>
      </c>
      <c r="G86" s="2" t="str">
        <f>IFERROR(__xludf.DUMMYFUNCTION("""COMPUTED_VALUE"""),"19CS402")</f>
        <v>19CS402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IFERROR(__xludf.DUMMYFUNCTION("""COMPUTED_VALUE"""),"CS3529")</f>
        <v>CS3529</v>
      </c>
      <c r="E87" s="2" t="str">
        <f>IFERROR(__xludf.DUMMYFUNCTION("""COMPUTED_VALUE"""),"19AI529")</f>
        <v>19AI529</v>
      </c>
      <c r="F87" s="7" t="str">
        <f>IFERROR(__xludf.DUMMYFUNCTION("""COMPUTED_VALUE"""),"Advanced Data Structures")</f>
        <v>Advanced Data Structures</v>
      </c>
      <c r="G87" s="2" t="str">
        <f>IFERROR(__xludf.DUMMYFUNCTION("""COMPUTED_VALUE"""),"19CS401")</f>
        <v>19CS401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IFERROR(__xludf.DUMMYFUNCTION("""COMPUTED_VALUE"""),"CS3530")</f>
        <v>CS3530</v>
      </c>
      <c r="E88" s="2" t="str">
        <f>IFERROR(__xludf.DUMMYFUNCTION("""COMPUTED_VALUE"""),"19AI530")</f>
        <v>19AI530</v>
      </c>
      <c r="F88" s="7" t="str">
        <f>IFERROR(__xludf.DUMMYFUNCTION("""COMPUTED_VALUE"""),"Control of Robotic Systems")</f>
        <v>Control of Robotic Systems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IFERROR(__xludf.DUMMYFUNCTION("""COMPUTED_VALUE"""),"CS3531")</f>
        <v>CS3531</v>
      </c>
      <c r="E89" s="2" t="str">
        <f>IFERROR(__xludf.DUMMYFUNCTION("""COMPUTED_VALUE"""),"19AI531")</f>
        <v>19AI531</v>
      </c>
      <c r="F89" s="7" t="str">
        <f>IFERROR(__xludf.DUMMYFUNCTION("""COMPUTED_VALUE"""),"Cryptography and Security")</f>
        <v>Cryptography and Security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IFERROR(__xludf.DUMMYFUNCTION("""COMPUTED_VALUE"""),"CS3532")</f>
        <v>CS3532</v>
      </c>
      <c r="E90" s="2" t="str">
        <f>IFERROR(__xludf.DUMMYFUNCTION("""COMPUTED_VALUE"""),"19AI532")</f>
        <v>19AI532</v>
      </c>
      <c r="F90" s="7" t="str">
        <f>IFERROR(__xludf.DUMMYFUNCTION("""COMPUTED_VALUE"""),"Information Theory for Cyber Security")</f>
        <v>Information Theory for Cyber Security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IFERROR(__xludf.DUMMYFUNCTION("""COMPUTED_VALUE"""),"CS3533")</f>
        <v>CS3533</v>
      </c>
      <c r="E91" s="2" t="str">
        <f>IFERROR(__xludf.DUMMYFUNCTION("""COMPUTED_VALUE"""),"19AI533")</f>
        <v>19AI533</v>
      </c>
      <c r="F91" s="7" t="str">
        <f>IFERROR(__xludf.DUMMYFUNCTION("""COMPUTED_VALUE"""),"Introduction to Robotics")</f>
        <v>Introduction to Robotics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IFERROR(__xludf.DUMMYFUNCTION("""COMPUTED_VALUE"""),"CS3534")</f>
        <v>CS3534</v>
      </c>
      <c r="E92" s="2" t="str">
        <f>IFERROR(__xludf.DUMMYFUNCTION("""COMPUTED_VALUE"""),"19AI534")</f>
        <v>19AI534</v>
      </c>
      <c r="F92" s="7" t="str">
        <f>IFERROR(__xludf.DUMMYFUNCTION("""COMPUTED_VALUE"""),"Kinematics and Dynamics of Robots")</f>
        <v>Kinematics and Dynamics of Robots</v>
      </c>
      <c r="G92" s="2" t="str">
        <f>IFERROR(__xludf.DUMMYFUNCTION("""COMPUTED_VALUE"""),"-")</f>
        <v>-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IFERROR(__xludf.DUMMYFUNCTION("""COMPUTED_VALUE"""),"CS3535")</f>
        <v>CS3535</v>
      </c>
      <c r="E93" s="2" t="str">
        <f>IFERROR(__xludf.DUMMYFUNCTION("""COMPUTED_VALUE"""),"19AI535")</f>
        <v>19AI535</v>
      </c>
      <c r="F93" s="7" t="str">
        <f>IFERROR(__xludf.DUMMYFUNCTION("""COMPUTED_VALUE"""),"Robotic Sensors")</f>
        <v>Robotic Sensors</v>
      </c>
      <c r="G93" s="2" t="str">
        <f>IFERROR(__xludf.DUMMYFUNCTION("""COMPUTED_VALUE"""),"-")</f>
        <v>-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IFERROR(__xludf.DUMMYFUNCTION("""COMPUTED_VALUE"""),"CS3536")</f>
        <v>CS3536</v>
      </c>
      <c r="E94" s="2" t="str">
        <f>IFERROR(__xludf.DUMMYFUNCTION("""COMPUTED_VALUE"""),"19AI536")</f>
        <v>19AI536</v>
      </c>
      <c r="F94" s="7" t="str">
        <f>IFERROR(__xludf.DUMMYFUNCTION("""COMPUTED_VALUE"""),"Steganography and Digital Watermarking")</f>
        <v>Steganography and Digital Watermarking</v>
      </c>
      <c r="G94" s="2" t="str">
        <f>IFERROR(__xludf.DUMMYFUNCTION("""COMPUTED_VALUE"""),"-")</f>
        <v>-</v>
      </c>
      <c r="H94" s="2">
        <f>IFERROR(__xludf.DUMMYFUNCTION("""COMPUTED_VALUE"""),2)</f>
        <v>2</v>
      </c>
      <c r="I94" s="2">
        <f>IFERROR(__xludf.DUMMYFUNCTION("""COMPUTED_VALUE"""),1)</f>
        <v>1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IFERROR(__xludf.DUMMYFUNCTION("""COMPUTED_VALUE"""),"CS3537")</f>
        <v>CS3537</v>
      </c>
      <c r="E95" s="2" t="str">
        <f>IFERROR(__xludf.DUMMYFUNCTION("""COMPUTED_VALUE"""),"19AI537")</f>
        <v>19AI537</v>
      </c>
      <c r="F95" s="7" t="str">
        <f>IFERROR(__xludf.DUMMYFUNCTION("""COMPUTED_VALUE"""),"Computer Graphics for Virtual Reality")</f>
        <v>Computer Graphics for Virtual Reality</v>
      </c>
      <c r="G95" s="2" t="str">
        <f>IFERROR(__xludf.DUMMYFUNCTION("""COMPUTED_VALUE"""),"-")</f>
        <v>-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IFERROR(__xludf.DUMMYFUNCTION("""COMPUTED_VALUE"""),"CS3538")</f>
        <v>CS3538</v>
      </c>
      <c r="E96" s="2" t="str">
        <f>IFERROR(__xludf.DUMMYFUNCTION("""COMPUTED_VALUE"""),"19AI538")</f>
        <v>19AI538</v>
      </c>
      <c r="F96" s="7" t="str">
        <f>IFERROR(__xludf.DUMMYFUNCTION("""COMPUTED_VALUE"""),"Mathematical Modelling and Computer Aided Engineering")</f>
        <v>Mathematical Modelling and Computer Aided Engineering</v>
      </c>
      <c r="G96" s="2" t="str">
        <f>IFERROR(__xludf.DUMMYFUNCTION("""COMPUTED_VALUE"""),"-")</f>
        <v>-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IFERROR(__xludf.DUMMYFUNCTION("""COMPUTED_VALUE"""),"CS3541")</f>
        <v>CS3541</v>
      </c>
      <c r="E97" s="2" t="str">
        <f>IFERROR(__xludf.DUMMYFUNCTION("""COMPUTED_VALUE"""),"19AI541")</f>
        <v>19AI541</v>
      </c>
      <c r="F97" s="7" t="str">
        <f>IFERROR(__xludf.DUMMYFUNCTION("""COMPUTED_VALUE"""),"Cloud Computing")</f>
        <v>Cloud Computing</v>
      </c>
      <c r="G97" s="2" t="str">
        <f>IFERROR(__xludf.DUMMYFUNCTION("""COMPUTED_VALUE"""),"19CS406")</f>
        <v>19CS406</v>
      </c>
      <c r="H97" s="2">
        <f>IFERROR(__xludf.DUMMYFUNCTION("""COMPUTED_VALUE"""),3)</f>
        <v>3</v>
      </c>
      <c r="I97" s="2">
        <f>IFERROR(__xludf.DUMMYFUNCTION("""COMPUTED_VALUE"""),1)</f>
        <v>1</v>
      </c>
      <c r="J97" s="2">
        <f>IFERROR(__xludf.DUMMYFUNCTION("""COMPUTED_VALUE"""),4)</f>
        <v>4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IFERROR(__xludf.DUMMYFUNCTION("""COMPUTED_VALUE"""),"PE")</f>
        <v>PE</v>
      </c>
      <c r="D98" s="2" t="str">
        <f>IFERROR(__xludf.DUMMYFUNCTION("""COMPUTED_VALUE"""),"CS3542")</f>
        <v>CS3542</v>
      </c>
      <c r="E98" s="2" t="str">
        <f>IFERROR(__xludf.DUMMYFUNCTION("""COMPUTED_VALUE"""),"19AI542")</f>
        <v>19AI542</v>
      </c>
      <c r="F98" s="7" t="str">
        <f>IFERROR(__xludf.DUMMYFUNCTION("""COMPUTED_VALUE"""),"Agile Software Development")</f>
        <v>Agile Software Development</v>
      </c>
      <c r="G98" s="2" t="str">
        <f>IFERROR(__xludf.DUMMYFUNCTION("""COMPUTED_VALUE"""),"19CS301")</f>
        <v>19CS301</v>
      </c>
      <c r="H98" s="2">
        <f>IFERROR(__xludf.DUMMYFUNCTION("""COMPUTED_VALUE"""),3)</f>
        <v>3</v>
      </c>
      <c r="I98" s="2">
        <f>IFERROR(__xludf.DUMMYFUNCTION("""COMPUTED_VALUE"""),1)</f>
        <v>1</v>
      </c>
      <c r="J98" s="2">
        <f>IFERROR(__xludf.DUMMYFUNCTION("""COMPUTED_VALUE"""),4)</f>
        <v>4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IFERROR(__xludf.DUMMYFUNCTION("""COMPUTED_VALUE"""),"CS3543")</f>
        <v>CS3543</v>
      </c>
      <c r="E99" s="2" t="str">
        <f>IFERROR(__xludf.DUMMYFUNCTION("""COMPUTED_VALUE"""),"19AI543")</f>
        <v>19AI543</v>
      </c>
      <c r="F99" s="7" t="str">
        <f>IFERROR(__xludf.DUMMYFUNCTION("""COMPUTED_VALUE"""),"Software Testing")</f>
        <v>Software Testing</v>
      </c>
      <c r="G99" s="2" t="str">
        <f>IFERROR(__xludf.DUMMYFUNCTION("""COMPUTED_VALUE"""),"19CS301")</f>
        <v>19CS301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IFERROR(__xludf.DUMMYFUNCTION("""COMPUTED_VALUE"""),"PE")</f>
        <v>PE</v>
      </c>
      <c r="D100" s="2" t="str">
        <f>IFERROR(__xludf.DUMMYFUNCTION("""COMPUTED_VALUE"""),"CS3544")</f>
        <v>CS3544</v>
      </c>
      <c r="E100" s="2" t="str">
        <f>IFERROR(__xludf.DUMMYFUNCTION("""COMPUTED_VALUE"""),"19AI544")</f>
        <v>19AI544</v>
      </c>
      <c r="F100" s="7" t="str">
        <f>IFERROR(__xludf.DUMMYFUNCTION("""COMPUTED_VALUE"""),"Virtualization and Containerization")</f>
        <v>Virtualization and Containerization</v>
      </c>
      <c r="G100" s="2" t="str">
        <f>IFERROR(__xludf.DUMMYFUNCTION("""COMPUTED_VALUE"""),"19CS405/19CS406")</f>
        <v>19CS405/19CS406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IFERROR(__xludf.DUMMYFUNCTION("""COMPUTED_VALUE"""),"PE")</f>
        <v>PE</v>
      </c>
      <c r="D101" s="2" t="str">
        <f>IFERROR(__xludf.DUMMYFUNCTION("""COMPUTED_VALUE"""),"CS3547")</f>
        <v>CS3547</v>
      </c>
      <c r="E101" s="2" t="str">
        <f>IFERROR(__xludf.DUMMYFUNCTION("""COMPUTED_VALUE"""),"19AI547")</f>
        <v>19AI547</v>
      </c>
      <c r="F101" s="7" t="str">
        <f>IFERROR(__xludf.DUMMYFUNCTION("""COMPUTED_VALUE"""),"Blockchain for Business")</f>
        <v>Blockchain for Business</v>
      </c>
      <c r="G101" s="2" t="str">
        <f>IFERROR(__xludf.DUMMYFUNCTION("""COMPUTED_VALUE"""),"19CS301")</f>
        <v>19CS301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IFERROR(__xludf.DUMMYFUNCTION("""COMPUTED_VALUE"""),"CS3548")</f>
        <v>CS3548</v>
      </c>
      <c r="E102" s="2" t="str">
        <f>IFERROR(__xludf.DUMMYFUNCTION("""COMPUTED_VALUE"""),"19AI548")</f>
        <v>19AI548</v>
      </c>
      <c r="F102" s="7" t="str">
        <f>IFERROR(__xludf.DUMMYFUNCTION("""COMPUTED_VALUE"""),"Robot Programming")</f>
        <v>Robot Programming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IFERROR(__xludf.DUMMYFUNCTION("""COMPUTED_VALUE"""),"CS3549")</f>
        <v>CS3549</v>
      </c>
      <c r="E103" s="2" t="str">
        <f>IFERROR(__xludf.DUMMYFUNCTION("""COMPUTED_VALUE"""),"19AI549")</f>
        <v>19AI549</v>
      </c>
      <c r="F103" s="7" t="str">
        <f>IFERROR(__xludf.DUMMYFUNCTION("""COMPUTED_VALUE"""),"Drone Assembly and Applications")</f>
        <v>Drone Assembly and Applications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IFERROR(__xludf.DUMMYFUNCTION("""COMPUTED_VALUE"""),"CS3550")</f>
        <v>CS3550</v>
      </c>
      <c r="E104" s="2" t="str">
        <f>IFERROR(__xludf.DUMMYFUNCTION("""COMPUTED_VALUE"""),"19AI550")</f>
        <v>19AI550</v>
      </c>
      <c r="F104" s="7" t="str">
        <f>IFERROR(__xludf.DUMMYFUNCTION("""COMPUTED_VALUE"""),"Artificial Intelligence for Games")</f>
        <v>Artificial Intelligence for Games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IFERROR(__xludf.DUMMYFUNCTION("""COMPUTED_VALUE"""),"CS3551")</f>
        <v>CS3551</v>
      </c>
      <c r="E105" s="2" t="str">
        <f>IFERROR(__xludf.DUMMYFUNCTION("""COMPUTED_VALUE"""),"19AI551")</f>
        <v>19AI551</v>
      </c>
      <c r="F105" s="7" t="str">
        <f>IFERROR(__xludf.DUMMYFUNCTION("""COMPUTED_VALUE"""),"Drone Design and Control")</f>
        <v>Drone Design and Control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IFERROR(__xludf.DUMMYFUNCTION("""COMPUTED_VALUE"""),"CS3552")</f>
        <v>CS3552</v>
      </c>
      <c r="E106" s="2" t="str">
        <f>IFERROR(__xludf.DUMMYFUNCTION("""COMPUTED_VALUE"""),"19AI552")</f>
        <v>19AI552</v>
      </c>
      <c r="F106" s="7" t="str">
        <f>IFERROR(__xludf.DUMMYFUNCTION("""COMPUTED_VALUE"""),"Web Application User Interface Development")</f>
        <v>Web Application User Interface Development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IFERROR(__xludf.DUMMYFUNCTION("""COMPUTED_VALUE"""),"CS4401")</f>
        <v>CS4401</v>
      </c>
      <c r="E107" s="2" t="str">
        <f>IFERROR(__xludf.DUMMYFUNCTION("""COMPUTED_VALUE"""),"19AM401")</f>
        <v>19AM401</v>
      </c>
      <c r="F107" s="3" t="str">
        <f>IFERROR(__xludf.DUMMYFUNCTION("""COMPUTED_VALUE"""),"Time Series Analysis and Forecasting")</f>
        <v>Time Series Analysis and Forecasting</v>
      </c>
      <c r="G107" s="2" t="str">
        <f>IFERROR(__xludf.DUMMYFUNCTION("""COMPUTED_VALUE"""),"-")</f>
        <v>-</v>
      </c>
      <c r="H107" s="2">
        <f>IFERROR(__xludf.DUMMYFUNCTION("""COMPUTED_VALUE"""),3)</f>
        <v>3</v>
      </c>
      <c r="I107" s="2">
        <f>IFERROR(__xludf.DUMMYFUNCTION("""COMPUTED_VALUE"""),1)</f>
        <v>1</v>
      </c>
      <c r="J107" s="2">
        <f>IFERROR(__xludf.DUMMYFUNCTION("""COMPUTED_VALUE"""),4)</f>
        <v>4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IFERROR(__xludf.DUMMYFUNCTION("""COMPUTED_VALUE"""),"CS4501")</f>
        <v>CS4501</v>
      </c>
      <c r="E108" s="2" t="str">
        <f>IFERROR(__xludf.DUMMYFUNCTION("""COMPUTED_VALUE"""),"19AM501")</f>
        <v>19AM501</v>
      </c>
      <c r="F108" s="3" t="str">
        <f>IFERROR(__xludf.DUMMYFUNCTION("""COMPUTED_VALUE"""),"Machine Learning for Bioinformatics")</f>
        <v>Machine Learning for Bioinformatics</v>
      </c>
      <c r="G108" s="2" t="str">
        <f>IFERROR(__xludf.DUMMYFUNCTION("""COMPUTED_VALUE"""),"-")</f>
        <v>-</v>
      </c>
      <c r="H108" s="2">
        <f>IFERROR(__xludf.DUMMYFUNCTION("""COMPUTED_VALUE"""),3)</f>
        <v>3</v>
      </c>
      <c r="I108" s="2">
        <f>IFERROR(__xludf.DUMMYFUNCTION("""COMPUTED_VALUE"""),0)</f>
        <v>0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IFERROR(__xludf.DUMMYFUNCTION("""COMPUTED_VALUE"""),"Theory")</f>
        <v>Theory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IFERROR(__xludf.DUMMYFUNCTION("""COMPUTED_VALUE"""),"CS4502")</f>
        <v>CS4502</v>
      </c>
      <c r="E109" s="2" t="str">
        <f>IFERROR(__xludf.DUMMYFUNCTION("""COMPUTED_VALUE"""),"19AM502")</f>
        <v>19AM502</v>
      </c>
      <c r="F109" s="7" t="str">
        <f>IFERROR(__xludf.DUMMYFUNCTION("""COMPUTED_VALUE"""),"Genetic Algorithms")</f>
        <v>Genetic Algorithms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IFERROR(__xludf.DUMMYFUNCTION("""COMPUTED_VALUE"""),"CS4503")</f>
        <v>CS4503</v>
      </c>
      <c r="E110" s="2" t="str">
        <f>IFERROR(__xludf.DUMMYFUNCTION("""COMPUTED_VALUE"""),"19AM503")</f>
        <v>19AM503</v>
      </c>
      <c r="F110" s="3" t="str">
        <f>IFERROR(__xludf.DUMMYFUNCTION("""COMPUTED_VALUE"""),"Data Modeling")</f>
        <v>Data Modeling</v>
      </c>
      <c r="G110" s="2" t="str">
        <f>IFERROR(__xludf.DUMMYFUNCTION("""COMPUTED_VALUE"""),"-")</f>
        <v>-</v>
      </c>
      <c r="H110" s="2">
        <f>IFERROR(__xludf.DUMMYFUNCTION("""COMPUTED_VALUE"""),3)</f>
        <v>3</v>
      </c>
      <c r="I110" s="2">
        <f>IFERROR(__xludf.DUMMYFUNCTION("""COMPUTED_VALUE"""),0)</f>
        <v>0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IFERROR(__xludf.DUMMYFUNCTION("""COMPUTED_VALUE"""),"Theory")</f>
        <v>Theory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IFERROR(__xludf.DUMMYFUNCTION("""COMPUTED_VALUE"""),"CS4504")</f>
        <v>CS4504</v>
      </c>
      <c r="E111" s="2" t="str">
        <f>IFERROR(__xludf.DUMMYFUNCTION("""COMPUTED_VALUE"""),"19AM504")</f>
        <v>19AM504</v>
      </c>
      <c r="F111" s="7" t="str">
        <f>IFERROR(__xludf.DUMMYFUNCTION("""COMPUTED_VALUE"""),"Brain Computer Interaction")</f>
        <v>Brain Computer Interaction</v>
      </c>
      <c r="G111" s="2" t="str">
        <f>IFERROR(__xludf.DUMMYFUNCTION("""COMPUTED_VALUE"""),"-")</f>
        <v>-</v>
      </c>
      <c r="H111" s="2">
        <f>IFERROR(__xludf.DUMMYFUNCTION("""COMPUTED_VALUE"""),3)</f>
        <v>3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IFERROR(__xludf.DUMMYFUNCTION("""COMPUTED_VALUE"""),"Theory")</f>
        <v>Theory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IFERROR(__xludf.DUMMYFUNCTION("""COMPUTED_VALUE"""),"CS4505")</f>
        <v>CS4505</v>
      </c>
      <c r="E112" s="2" t="str">
        <f>IFERROR(__xludf.DUMMYFUNCTION("""COMPUTED_VALUE"""),"19AM505")</f>
        <v>19AM505</v>
      </c>
      <c r="F112" s="7" t="str">
        <f>IFERROR(__xludf.DUMMYFUNCTION("""COMPUTED_VALUE"""),"Statistical Learning Theory")</f>
        <v>Statistical Learning Theory</v>
      </c>
      <c r="G112" s="2" t="str">
        <f>IFERROR(__xludf.DUMMYFUNCTION("""COMPUTED_VALUE"""),"-")</f>
        <v>-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IFERROR(__xludf.DUMMYFUNCTION("""COMPUTED_VALUE"""),"CS4506")</f>
        <v>CS4506</v>
      </c>
      <c r="E113" s="2" t="str">
        <f>IFERROR(__xludf.DUMMYFUNCTION("""COMPUTED_VALUE"""),"19AM506")</f>
        <v>19AM506</v>
      </c>
      <c r="F113" s="7" t="str">
        <f>IFERROR(__xludf.DUMMYFUNCTION("""COMPUTED_VALUE"""),"Sensors and Actuators for IoT")</f>
        <v>Sensors and Actuators for IoT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IFERROR(__xludf.DUMMYFUNCTION("""COMPUTED_VALUE"""),"CS4507")</f>
        <v>CS4507</v>
      </c>
      <c r="E114" s="2" t="str">
        <f>IFERROR(__xludf.DUMMYFUNCTION("""COMPUTED_VALUE"""),"19AM507")</f>
        <v>19AM507</v>
      </c>
      <c r="F114" s="7" t="str">
        <f>IFERROR(__xludf.DUMMYFUNCTION("""COMPUTED_VALUE"""),"Security and Trust in IoT")</f>
        <v>Security and Trust in IoT</v>
      </c>
      <c r="G114" s="2" t="str">
        <f>IFERROR(__xludf.DUMMYFUNCTION("""COMPUTED_VALUE"""),"-")</f>
        <v>-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IFERROR(__xludf.DUMMYFUNCTION("""COMPUTED_VALUE"""),"CS4509")</f>
        <v>CS4509</v>
      </c>
      <c r="E115" s="2" t="str">
        <f>IFERROR(__xludf.DUMMYFUNCTION("""COMPUTED_VALUE"""),"19AM509")</f>
        <v>19AM509</v>
      </c>
      <c r="F115" s="7" t="str">
        <f>IFERROR(__xludf.DUMMYFUNCTION("""COMPUTED_VALUE"""),"Industrial Internet of Things")</f>
        <v>Industrial Internet of Things</v>
      </c>
      <c r="G115" s="2" t="str">
        <f>IFERROR(__xludf.DUMMYFUNCTION("""COMPUTED_VALUE"""),"-")</f>
        <v>-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IFERROR(__xludf.DUMMYFUNCTION("""COMPUTED_VALUE"""),"PE")</f>
        <v>PE</v>
      </c>
      <c r="D116" s="2" t="str">
        <f>IFERROR(__xludf.DUMMYFUNCTION("""COMPUTED_VALUE"""),"CS4510")</f>
        <v>CS4510</v>
      </c>
      <c r="E116" s="2" t="str">
        <f>IFERROR(__xludf.DUMMYFUNCTION("""COMPUTED_VALUE"""),"19AM510")</f>
        <v>19AM510</v>
      </c>
      <c r="F116" s="7" t="str">
        <f>IFERROR(__xludf.DUMMYFUNCTION("""COMPUTED_VALUE"""),"Software for Embedded Systems")</f>
        <v>Software for Embedded Systems</v>
      </c>
      <c r="G116" s="2" t="str">
        <f>IFERROR(__xludf.DUMMYFUNCTION("""COMPUTED_VALUE"""),"-")</f>
        <v>-</v>
      </c>
      <c r="H116" s="2">
        <f>IFERROR(__xludf.DUMMYFUNCTION("""COMPUTED_VALUE"""),2)</f>
        <v>2</v>
      </c>
      <c r="I116" s="2">
        <f>IFERROR(__xludf.DUMMYFUNCTION("""COMPUTED_VALUE"""),1)</f>
        <v>1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IFERROR(__xludf.DUMMYFUNCTION("""COMPUTED_VALUE"""),"TIP (6 Expts)")</f>
        <v>TIP (6 Expts)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IFERROR(__xludf.DUMMYFUNCTION("""COMPUTED_VALUE"""),"CS4511")</f>
        <v>CS4511</v>
      </c>
      <c r="E117" s="2" t="str">
        <f>IFERROR(__xludf.DUMMYFUNCTION("""COMPUTED_VALUE"""),"19AM511")</f>
        <v>19AM511</v>
      </c>
      <c r="F117" s="7" t="str">
        <f>IFERROR(__xludf.DUMMYFUNCTION("""COMPUTED_VALUE"""),"IoT Architecture and Protocols")</f>
        <v>IoT Architecture and Protocols</v>
      </c>
      <c r="G117" s="2" t="str">
        <f>IFERROR(__xludf.DUMMYFUNCTION("""COMPUTED_VALUE"""),"-")</f>
        <v>-</v>
      </c>
      <c r="H117" s="2">
        <f>IFERROR(__xludf.DUMMYFUNCTION("""COMPUTED_VALUE"""),3)</f>
        <v>3</v>
      </c>
      <c r="I117" s="2">
        <f>IFERROR(__xludf.DUMMYFUNCTION("""COMPUTED_VALUE"""),0)</f>
        <v>0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IFERROR(__xludf.DUMMYFUNCTION("""COMPUTED_VALUE"""),"Theory")</f>
        <v>Theory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IFERROR(__xludf.DUMMYFUNCTION("""COMPUTED_VALUE"""),"PE")</f>
        <v>PE</v>
      </c>
      <c r="D118" s="2" t="str">
        <f>IFERROR(__xludf.DUMMYFUNCTION("""COMPUTED_VALUE"""),"CS4512")</f>
        <v>CS4512</v>
      </c>
      <c r="E118" s="2" t="str">
        <f>IFERROR(__xludf.DUMMYFUNCTION("""COMPUTED_VALUE"""),"19AM512")</f>
        <v>19AM512</v>
      </c>
      <c r="F118" s="7" t="str">
        <f>IFERROR(__xludf.DUMMYFUNCTION("""COMPUTED_VALUE"""),"Arduino for IoT")</f>
        <v>Arduino for IoT</v>
      </c>
      <c r="G118" s="2" t="str">
        <f>IFERROR(__xludf.DUMMYFUNCTION("""COMPUTED_VALUE"""),"-")</f>
        <v>-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IFERROR(__xludf.DUMMYFUNCTION("""COMPUTED_VALUE"""),"PE")</f>
        <v>PE</v>
      </c>
      <c r="D119" s="2" t="str">
        <f>IFERROR(__xludf.DUMMYFUNCTION("""COMPUTED_VALUE"""),"CS4513")</f>
        <v>CS4513</v>
      </c>
      <c r="E119" s="2" t="str">
        <f>IFERROR(__xludf.DUMMYFUNCTION("""COMPUTED_VALUE"""),"19AM513")</f>
        <v>19AM513</v>
      </c>
      <c r="F119" s="7" t="str">
        <f>IFERROR(__xludf.DUMMYFUNCTION("""COMPUTED_VALUE"""),"Raspberry Pi for IoT")</f>
        <v>Raspberry Pi for IoT</v>
      </c>
      <c r="G119" s="2" t="str">
        <f>IFERROR(__xludf.DUMMYFUNCTION("""COMPUTED_VALUE"""),"-")</f>
        <v>-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IFERROR(__xludf.DUMMYFUNCTION("""COMPUTED_VALUE"""),"CS4514")</f>
        <v>CS4514</v>
      </c>
      <c r="E120" s="2" t="str">
        <f>IFERROR(__xludf.DUMMYFUNCTION("""COMPUTED_VALUE"""),"19AM514")</f>
        <v>19AM514</v>
      </c>
      <c r="F120" s="7" t="str">
        <f>IFERROR(__xludf.DUMMYFUNCTION("""COMPUTED_VALUE"""),"Motion Planning Techniques")</f>
        <v>Motion Planning Techniques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IFERROR(__xludf.DUMMYFUNCTION("""COMPUTED_VALUE"""),"CS4515")</f>
        <v>CS4515</v>
      </c>
      <c r="E121" s="2" t="str">
        <f>IFERROR(__xludf.DUMMYFUNCTION("""COMPUTED_VALUE"""),"19AM515")</f>
        <v>19AM515</v>
      </c>
      <c r="F121" s="7" t="str">
        <f>IFERROR(__xludf.DUMMYFUNCTION("""COMPUTED_VALUE"""),"Advanced Java Programming")</f>
        <v>Advanced Java Programming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IFERROR(__xludf.DUMMYFUNCTION("""COMPUTED_VALUE"""),"PC")</f>
        <v>PC</v>
      </c>
      <c r="D122" s="2" t="str">
        <f>IFERROR(__xludf.DUMMYFUNCTION("""COMPUTED_VALUE"""),"NA")</f>
        <v>NA</v>
      </c>
      <c r="E122" s="2" t="str">
        <f>IFERROR(__xludf.DUMMYFUNCTION("""COMPUTED_VALUE"""),"19CS403")</f>
        <v>19CS403</v>
      </c>
      <c r="F122" s="7" t="str">
        <f>IFERROR(__xludf.DUMMYFUNCTION("""COMPUTED_VALUE"""),"Programming Paradigms")</f>
        <v>Programming Paradigms</v>
      </c>
      <c r="G122" s="2" t="str">
        <f>IFERROR(__xludf.DUMMYFUNCTION("""COMPUTED_VALUE"""),"19CS401")</f>
        <v>19CS401</v>
      </c>
      <c r="H122" s="2">
        <f>IFERROR(__xludf.DUMMYFUNCTION("""COMPUTED_VALUE"""),3)</f>
        <v>3</v>
      </c>
      <c r="I122" s="2">
        <f>IFERROR(__xludf.DUMMYFUNCTION("""COMPUTED_VALUE"""),1)</f>
        <v>1</v>
      </c>
      <c r="J122" s="2">
        <f>IFERROR(__xludf.DUMMYFUNCTION("""COMPUTED_VALUE"""),4)</f>
        <v>4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IFERROR(__xludf.DUMMYFUNCTION("""COMPUTED_VALUE"""),"CS1416")</f>
        <v>CS1416</v>
      </c>
      <c r="E123" s="26" t="str">
        <f>IFERROR(__xludf.DUMMYFUNCTION("""COMPUTED_VALUE"""),"19CS416")</f>
        <v>19CS416</v>
      </c>
      <c r="F123" s="27" t="str">
        <f>IFERROR(__xludf.DUMMYFUNCTION("""COMPUTED_VALUE"""),"Cloud Security")</f>
        <v>Cloud Security</v>
      </c>
      <c r="G123" s="26" t="str">
        <f>IFERROR(__xludf.DUMMYFUNCTION("""COMPUTED_VALUE"""),"-")</f>
        <v>-</v>
      </c>
      <c r="H123" s="26">
        <f>IFERROR(__xludf.DUMMYFUNCTION("""COMPUTED_VALUE"""),2)</f>
        <v>2</v>
      </c>
      <c r="I123" s="26">
        <f>IFERROR(__xludf.DUMMYFUNCTION("""COMPUTED_VALUE"""),1)</f>
        <v>1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IFERROR(__xludf.DUMMYFUNCTION("""COMPUTED_VALUE"""),"CS1417")</f>
        <v>CS1417</v>
      </c>
      <c r="E124" s="26" t="str">
        <f>IFERROR(__xludf.DUMMYFUNCTION("""COMPUTED_VALUE"""),"19CS417")</f>
        <v>19CS417</v>
      </c>
      <c r="F124" s="27" t="str">
        <f>IFERROR(__xludf.DUMMYFUNCTION("""COMPUTED_VALUE"""),"Ethical Hacking Techniques")</f>
        <v>Ethical Hacking Techniques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IFERROR(__xludf.DUMMYFUNCTION("""COMPUTED_VALUE"""),"CS1418")</f>
        <v>CS1418</v>
      </c>
      <c r="E125" s="26" t="str">
        <f>IFERROR(__xludf.DUMMYFUNCTION("""COMPUTED_VALUE"""),"19CS418")</f>
        <v>19CS418</v>
      </c>
      <c r="F125" s="27" t="str">
        <f>IFERROR(__xludf.DUMMYFUNCTION("""COMPUTED_VALUE"""),"Cyber Law and Compliance")</f>
        <v>Cyber Law and Compliance</v>
      </c>
      <c r="G125" s="26" t="str">
        <f>IFERROR(__xludf.DUMMYFUNCTION("""COMPUTED_VALUE"""),"-")</f>
        <v>-</v>
      </c>
      <c r="H125" s="26">
        <f>IFERROR(__xludf.DUMMYFUNCTION("""COMPUTED_VALUE"""),3)</f>
        <v>3</v>
      </c>
      <c r="I125" s="26">
        <f>IFERROR(__xludf.DUMMYFUNCTION("""COMPUTED_VALUE"""),0)</f>
        <v>0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IFERROR(__xludf.DUMMYFUNCTION("""COMPUTED_VALUE"""),"Theory")</f>
        <v>Theory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IFERROR(__xludf.DUMMYFUNCTION("""COMPUTED_VALUE"""),"CS1419")</f>
        <v>CS1419</v>
      </c>
      <c r="E126" s="26" t="str">
        <f>IFERROR(__xludf.DUMMYFUNCTION("""COMPUTED_VALUE"""),"19CS419")</f>
        <v>19CS419</v>
      </c>
      <c r="F126" s="27" t="str">
        <f>IFERROR(__xludf.DUMMYFUNCTION("""COMPUTED_VALUE"""),"Digital Forensics and Digital Investigations")</f>
        <v>Digital Forensics and Digital Investigations</v>
      </c>
      <c r="G126" s="26" t="str">
        <f>IFERROR(__xludf.DUMMYFUNCTION("""COMPUTED_VALUE"""),"-")</f>
        <v>-</v>
      </c>
      <c r="H126" s="26">
        <f>IFERROR(__xludf.DUMMYFUNCTION("""COMPUTED_VALUE"""),2)</f>
        <v>2</v>
      </c>
      <c r="I126" s="26">
        <f>IFERROR(__xludf.DUMMYFUNCTION("""COMPUTED_VALUE"""),1)</f>
        <v>1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IFERROR(__xludf.DUMMYFUNCTION("""COMPUTED_VALUE"""),"CS1420")</f>
        <v>CS1420</v>
      </c>
      <c r="E127" s="26" t="str">
        <f>IFERROR(__xludf.DUMMYFUNCTION("""COMPUTED_VALUE"""),"19CS420")</f>
        <v>19CS420</v>
      </c>
      <c r="F127" s="27" t="str">
        <f>IFERROR(__xludf.DUMMYFUNCTION("""COMPUTED_VALUE"""),"Prototyping of IoT Systems")</f>
        <v>Prototyping of IoT Systems</v>
      </c>
      <c r="G127" s="26" t="str">
        <f>IFERROR(__xludf.DUMMYFUNCTION("""COMPUTED_VALUE"""),"-")</f>
        <v>-</v>
      </c>
      <c r="H127" s="26">
        <f>IFERROR(__xludf.DUMMYFUNCTION("""COMPUTED_VALUE"""),2)</f>
        <v>2</v>
      </c>
      <c r="I127" s="26">
        <f>IFERROR(__xludf.DUMMYFUNCTION("""COMPUTED_VALUE"""),1)</f>
        <v>1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IFERROR(__xludf.DUMMYFUNCTION("""COMPUTED_VALUE"""),"CS1421")</f>
        <v>CS1421</v>
      </c>
      <c r="E128" s="26" t="str">
        <f>IFERROR(__xludf.DUMMYFUNCTION("""COMPUTED_VALUE"""),"19CS421")</f>
        <v>19CS421</v>
      </c>
      <c r="F128" s="27" t="str">
        <f>IFERROR(__xludf.DUMMYFUNCTION("""COMPUTED_VALUE"""),"Edge Computing")</f>
        <v>Edge Computing</v>
      </c>
      <c r="G128" s="26" t="str">
        <f>IFERROR(__xludf.DUMMYFUNCTION("""COMPUTED_VALUE"""),"-")</f>
        <v>-</v>
      </c>
      <c r="H128" s="26">
        <f>IFERROR(__xludf.DUMMYFUNCTION("""COMPUTED_VALUE"""),2)</f>
        <v>2</v>
      </c>
      <c r="I128" s="26">
        <f>IFERROR(__xludf.DUMMYFUNCTION("""COMPUTED_VALUE"""),1)</f>
        <v>1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IFERROR(__xludf.DUMMYFUNCTION("""COMPUTED_VALUE"""),"CS1422")</f>
        <v>CS1422</v>
      </c>
      <c r="E129" s="26" t="str">
        <f>IFERROR(__xludf.DUMMYFUNCTION("""COMPUTED_VALUE"""),"19CS422")</f>
        <v>19CS422</v>
      </c>
      <c r="F129" s="27" t="str">
        <f>IFERROR(__xludf.DUMMYFUNCTION("""COMPUTED_VALUE"""),"Security for IoT Systems")</f>
        <v>Security for IoT Systems</v>
      </c>
      <c r="G129" s="26" t="str">
        <f>IFERROR(__xludf.DUMMYFUNCTION("""COMPUTED_VALUE"""),"-")</f>
        <v>-</v>
      </c>
      <c r="H129" s="26">
        <f>IFERROR(__xludf.DUMMYFUNCTION("""COMPUTED_VALUE"""),3)</f>
        <v>3</v>
      </c>
      <c r="I129" s="26">
        <f>IFERROR(__xludf.DUMMYFUNCTION("""COMPUTED_VALUE"""),0)</f>
        <v>0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IFERROR(__xludf.DUMMYFUNCTION("""COMPUTED_VALUE"""),"Theory")</f>
        <v>Theory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IFERROR(__xludf.DUMMYFUNCTION("""COMPUTED_VALUE"""),"CS1501")</f>
        <v>CS1501</v>
      </c>
      <c r="E130" s="26" t="str">
        <f>IFERROR(__xludf.DUMMYFUNCTION("""COMPUTED_VALUE"""),"19CS501")</f>
        <v>19CS501</v>
      </c>
      <c r="F130" s="27" t="str">
        <f>IFERROR(__xludf.DUMMYFUNCTION("""COMPUTED_VALUE"""),"Machine Learning")</f>
        <v>Machine Learning</v>
      </c>
      <c r="G130" s="26" t="str">
        <f>IFERROR(__xludf.DUMMYFUNCTION("""COMPUTED_VALUE"""),"19MA212/ 19MA218")</f>
        <v>19MA212/ 19MA218</v>
      </c>
      <c r="H130" s="26">
        <f>IFERROR(__xludf.DUMMYFUNCTION("""COMPUTED_VALUE"""),3)</f>
        <v>3</v>
      </c>
      <c r="I130" s="26">
        <f>IFERROR(__xludf.DUMMYFUNCTION("""COMPUTED_VALUE"""),0)</f>
        <v>0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IFERROR(__xludf.DUMMYFUNCTION("""COMPUTED_VALUE"""),"Theory")</f>
        <v>Theory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IFERROR(__xludf.DUMMYFUNCTION("""COMPUTED_VALUE"""),"CS1502")</f>
        <v>CS1502</v>
      </c>
      <c r="E131" s="26" t="str">
        <f>IFERROR(__xludf.DUMMYFUNCTION("""COMPUTED_VALUE"""),"19CS502")</f>
        <v>19CS502</v>
      </c>
      <c r="F131" s="27" t="str">
        <f>IFERROR(__xludf.DUMMYFUNCTION("""COMPUTED_VALUE"""),"Computer Graphics and Multimedia")</f>
        <v>Computer Graphics and Multimedia</v>
      </c>
      <c r="G131" s="26" t="str">
        <f>IFERROR(__xludf.DUMMYFUNCTION("""COMPUTED_VALUE"""),"19CS401")</f>
        <v>19CS401</v>
      </c>
      <c r="H131" s="26">
        <f>IFERROR(__xludf.DUMMYFUNCTION("""COMPUTED_VALUE"""),3)</f>
        <v>3</v>
      </c>
      <c r="I131" s="26">
        <f>IFERROR(__xludf.DUMMYFUNCTION("""COMPUTED_VALUE"""),0)</f>
        <v>0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IFERROR(__xludf.DUMMYFUNCTION("""COMPUTED_VALUE"""),"Theory")</f>
        <v>Theory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IFERROR(__xludf.DUMMYFUNCTION("""COMPUTED_VALUE"""),"CS1503")</f>
        <v>CS1503</v>
      </c>
      <c r="E132" s="26" t="str">
        <f>IFERROR(__xludf.DUMMYFUNCTION("""COMPUTED_VALUE"""),"19CS503")</f>
        <v>19CS503</v>
      </c>
      <c r="F132" s="27" t="str">
        <f>IFERROR(__xludf.DUMMYFUNCTION("""COMPUTED_VALUE"""),"Developing Web Application in .Net")</f>
        <v>Developing Web Application in .Net</v>
      </c>
      <c r="G132" s="26" t="str">
        <f>IFERROR(__xludf.DUMMYFUNCTION("""COMPUTED_VALUE"""),"19CS404/19CS410")</f>
        <v>19CS404/19CS410</v>
      </c>
      <c r="H132" s="26">
        <f>IFERROR(__xludf.DUMMYFUNCTION("""COMPUTED_VALUE"""),3)</f>
        <v>3</v>
      </c>
      <c r="I132" s="26">
        <f>IFERROR(__xludf.DUMMYFUNCTION("""COMPUTED_VALUE"""),0)</f>
        <v>0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IFERROR(__xludf.DUMMYFUNCTION("""COMPUTED_VALUE"""),"CS1504")</f>
        <v>CS1504</v>
      </c>
      <c r="E133" s="26" t="str">
        <f>IFERROR(__xludf.DUMMYFUNCTION("""COMPUTED_VALUE"""),"19CS504")</f>
        <v>19CS504</v>
      </c>
      <c r="F133" s="27" t="str">
        <f>IFERROR(__xludf.DUMMYFUNCTION("""COMPUTED_VALUE"""),"Software Project Management")</f>
        <v>Software Project Management</v>
      </c>
      <c r="G133" s="26" t="str">
        <f>IFERROR(__xludf.DUMMYFUNCTION("""COMPUTED_VALUE"""),"19CS408")</f>
        <v>19CS408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IFERROR(__xludf.DUMMYFUNCTION("""COMPUTED_VALUE"""),"CS1505")</f>
        <v>CS1505</v>
      </c>
      <c r="E134" s="26" t="str">
        <f>IFERROR(__xludf.DUMMYFUNCTION("""COMPUTED_VALUE"""),"19CS505")</f>
        <v>19CS505</v>
      </c>
      <c r="F134" s="27" t="str">
        <f>IFERROR(__xludf.DUMMYFUNCTION("""COMPUTED_VALUE"""),"Service Oriented Architecture")</f>
        <v>Service Oriented Architecture</v>
      </c>
      <c r="G134" s="26" t="str">
        <f>IFERROR(__xludf.DUMMYFUNCTION("""COMPUTED_VALUE"""),"-")</f>
        <v>-</v>
      </c>
      <c r="H134" s="26">
        <f>IFERROR(__xludf.DUMMYFUNCTION("""COMPUTED_VALUE"""),3)</f>
        <v>3</v>
      </c>
      <c r="I134" s="26">
        <f>IFERROR(__xludf.DUMMYFUNCTION("""COMPUTED_VALUE"""),0)</f>
        <v>0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IFERROR(__xludf.DUMMYFUNCTION("""COMPUTED_VALUE"""),"Theory")</f>
        <v>Theory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IFERROR(__xludf.DUMMYFUNCTION("""COMPUTED_VALUE"""),"CS1506")</f>
        <v>CS1506</v>
      </c>
      <c r="E135" s="26" t="str">
        <f>IFERROR(__xludf.DUMMYFUNCTION("""COMPUTED_VALUE"""),"19CS506")</f>
        <v>19CS506</v>
      </c>
      <c r="F135" s="27" t="str">
        <f>IFERROR(__xludf.DUMMYFUNCTION("""COMPUTED_VALUE"""),"Multicore Architecture")</f>
        <v>Multicore Architecture</v>
      </c>
      <c r="G135" s="26" t="str">
        <f>IFERROR(__xludf.DUMMYFUNCTION("""COMPUTED_VALUE"""),"19CS305")</f>
        <v>19CS305</v>
      </c>
      <c r="H135" s="26">
        <f>IFERROR(__xludf.DUMMYFUNCTION("""COMPUTED_VALUE"""),3)</f>
        <v>3</v>
      </c>
      <c r="I135" s="26">
        <f>IFERROR(__xludf.DUMMYFUNCTION("""COMPUTED_VALUE"""),0)</f>
        <v>0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IFERROR(__xludf.DUMMYFUNCTION("""COMPUTED_VALUE"""),"Theory")</f>
        <v>Theory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IFERROR(__xludf.DUMMYFUNCTION("""COMPUTED_VALUE"""),"CS1507")</f>
        <v>CS1507</v>
      </c>
      <c r="E136" s="26" t="str">
        <f>IFERROR(__xludf.DUMMYFUNCTION("""COMPUTED_VALUE"""),"19CS507")</f>
        <v>19CS507</v>
      </c>
      <c r="F136" s="27" t="str">
        <f>IFERROR(__xludf.DUMMYFUNCTION("""COMPUTED_VALUE"""),"Human Computer Interaction")</f>
        <v>Human Computer Interaction</v>
      </c>
      <c r="G136" s="26" t="str">
        <f>IFERROR(__xludf.DUMMYFUNCTION("""COMPUTED_VALUE"""),"19CS502/19CS408")</f>
        <v>19CS502/19CS408</v>
      </c>
      <c r="H136" s="26">
        <f>IFERROR(__xludf.DUMMYFUNCTION("""COMPUTED_VALUE"""),3)</f>
        <v>3</v>
      </c>
      <c r="I136" s="26">
        <f>IFERROR(__xludf.DUMMYFUNCTION("""COMPUTED_VALUE"""),0)</f>
        <v>0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IFERROR(__xludf.DUMMYFUNCTION("""COMPUTED_VALUE"""),"Theory")</f>
        <v>Theory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IFERROR(__xludf.DUMMYFUNCTION("""COMPUTED_VALUE"""),"CS1508")</f>
        <v>CS1508</v>
      </c>
      <c r="E137" s="26" t="str">
        <f>IFERROR(__xludf.DUMMYFUNCTION("""COMPUTED_VALUE"""),"19CS508")</f>
        <v>19CS508</v>
      </c>
      <c r="F137" s="27" t="str">
        <f>IFERROR(__xludf.DUMMYFUNCTION("""COMPUTED_VALUE"""),"Parallel and Distributed Systems")</f>
        <v>Parallel and Distributed Systems</v>
      </c>
      <c r="G137" s="26" t="str">
        <f>IFERROR(__xludf.DUMMYFUNCTION("""COMPUTED_VALUE"""),"19CS305/19CS401")</f>
        <v>19CS305/19CS401</v>
      </c>
      <c r="H137" s="26">
        <f>IFERROR(__xludf.DUMMYFUNCTION("""COMPUTED_VALUE"""),3)</f>
        <v>3</v>
      </c>
      <c r="I137" s="26">
        <f>IFERROR(__xludf.DUMMYFUNCTION("""COMPUTED_VALUE"""),0)</f>
        <v>0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IFERROR(__xludf.DUMMYFUNCTION("""COMPUTED_VALUE"""),"Theory")</f>
        <v>Theory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IFERROR(__xludf.DUMMYFUNCTION("""COMPUTED_VALUE"""),"CS1509")</f>
        <v>CS1509</v>
      </c>
      <c r="E138" s="26" t="str">
        <f>IFERROR(__xludf.DUMMYFUNCTION("""COMPUTED_VALUE"""),"19CS509")</f>
        <v>19CS509</v>
      </c>
      <c r="F138" s="27" t="str">
        <f>IFERROR(__xludf.DUMMYFUNCTION("""COMPUTED_VALUE"""),"Graph Theory and Applications")</f>
        <v>Graph Theory and Applications</v>
      </c>
      <c r="G138" s="26" t="str">
        <f>IFERROR(__xludf.DUMMYFUNCTION("""COMPUTED_VALUE"""),"19MA206")</f>
        <v>19MA206</v>
      </c>
      <c r="H138" s="26">
        <f>IFERROR(__xludf.DUMMYFUNCTION("""COMPUTED_VALUE"""),3)</f>
        <v>3</v>
      </c>
      <c r="I138" s="26">
        <f>IFERROR(__xludf.DUMMYFUNCTION("""COMPUTED_VALUE"""),0)</f>
        <v>0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IFERROR(__xludf.DUMMYFUNCTION("""COMPUTED_VALUE"""),"Theory")</f>
        <v>Theory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IFERROR(__xludf.DUMMYFUNCTION("""COMPUTED_VALUE"""),"CS1510")</f>
        <v>CS1510</v>
      </c>
      <c r="E139" s="26" t="str">
        <f>IFERROR(__xludf.DUMMYFUNCTION("""COMPUTED_VALUE"""),"19CS510")</f>
        <v>19CS510</v>
      </c>
      <c r="F139" s="27" t="str">
        <f>IFERROR(__xludf.DUMMYFUNCTION("""COMPUTED_VALUE"""),"Social Network Analysis")</f>
        <v>Social Network Analysis</v>
      </c>
      <c r="G139" s="26" t="str">
        <f>IFERROR(__xludf.DUMMYFUNCTION("""COMPUTED_VALUE"""),"19CS501/19CS413")</f>
        <v>19CS501/19CS413</v>
      </c>
      <c r="H139" s="26">
        <f>IFERROR(__xludf.DUMMYFUNCTION("""COMPUTED_VALUE"""),3)</f>
        <v>3</v>
      </c>
      <c r="I139" s="26">
        <f>IFERROR(__xludf.DUMMYFUNCTION("""COMPUTED_VALUE"""),0)</f>
        <v>0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IFERROR(__xludf.DUMMYFUNCTION("""COMPUTED_VALUE"""),"Theory")</f>
        <v>Theory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IFERROR(__xludf.DUMMYFUNCTION("""COMPUTED_VALUE"""),"CS1511")</f>
        <v>CS1511</v>
      </c>
      <c r="E140" s="26" t="str">
        <f>IFERROR(__xludf.DUMMYFUNCTION("""COMPUTED_VALUE"""),"19CS511")</f>
        <v>19CS511</v>
      </c>
      <c r="F140" s="27" t="str">
        <f>IFERROR(__xludf.DUMMYFUNCTION("""COMPUTED_VALUE"""),"Natural Language Processing")</f>
        <v>Natural Language Processing</v>
      </c>
      <c r="G140" s="26" t="str">
        <f>IFERROR(__xludf.DUMMYFUNCTION("""COMPUTED_VALUE"""),"19MA201")</f>
        <v>19MA201</v>
      </c>
      <c r="H140" s="26">
        <f>IFERROR(__xludf.DUMMYFUNCTION("""COMPUTED_VALUE"""),3)</f>
        <v>3</v>
      </c>
      <c r="I140" s="26">
        <f>IFERROR(__xludf.DUMMYFUNCTION("""COMPUTED_VALUE"""),0)</f>
        <v>0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IFERROR(__xludf.DUMMYFUNCTION("""COMPUTED_VALUE"""),"Theory")</f>
        <v>Theory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IFERROR(__xludf.DUMMYFUNCTION("""COMPUTED_VALUE"""),"CS1512")</f>
        <v>CS1512</v>
      </c>
      <c r="E141" s="26" t="str">
        <f>IFERROR(__xludf.DUMMYFUNCTION("""COMPUTED_VALUE"""),"19CS512")</f>
        <v>19CS512</v>
      </c>
      <c r="F141" s="27" t="str">
        <f>IFERROR(__xludf.DUMMYFUNCTION("""COMPUTED_VALUE"""),"Soft Computing")</f>
        <v>Soft Computing</v>
      </c>
      <c r="G141" s="26" t="str">
        <f>IFERROR(__xludf.DUMMYFUNCTION("""COMPUTED_VALUE"""),"19CS501/19AI410")</f>
        <v>19CS501/19AI410</v>
      </c>
      <c r="H141" s="26">
        <f>IFERROR(__xludf.DUMMYFUNCTION("""COMPUTED_VALUE"""),3)</f>
        <v>3</v>
      </c>
      <c r="I141" s="26">
        <f>IFERROR(__xludf.DUMMYFUNCTION("""COMPUTED_VALUE"""),0)</f>
        <v>0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IFERROR(__xludf.DUMMYFUNCTION("""COMPUTED_VALUE"""),"Theory")</f>
        <v>Theory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IFERROR(__xludf.DUMMYFUNCTION("""COMPUTED_VALUE"""),"CS1513")</f>
        <v>CS1513</v>
      </c>
      <c r="E142" s="26" t="str">
        <f>IFERROR(__xludf.DUMMYFUNCTION("""COMPUTED_VALUE"""),"19CS513")</f>
        <v>19CS513</v>
      </c>
      <c r="F142" s="27" t="str">
        <f>IFERROR(__xludf.DUMMYFUNCTION("""COMPUTED_VALUE"""),"Green Computing")</f>
        <v>Green Computing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IFERROR(__xludf.DUMMYFUNCTION("""COMPUTED_VALUE"""),0)</f>
        <v>0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IFERROR(__xludf.DUMMYFUNCTION("""COMPUTED_VALUE"""),"Theory")</f>
        <v>Theory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IFERROR(__xludf.DUMMYFUNCTION("""COMPUTED_VALUE"""),"CS1514")</f>
        <v>CS1514</v>
      </c>
      <c r="E143" s="26" t="str">
        <f>IFERROR(__xludf.DUMMYFUNCTION("""COMPUTED_VALUE"""),"19CS514")</f>
        <v>19CS514</v>
      </c>
      <c r="F143" s="27" t="str">
        <f>IFERROR(__xludf.DUMMYFUNCTION("""COMPUTED_VALUE"""),"Network Management Systems")</f>
        <v>Network Management Systems</v>
      </c>
      <c r="G143" s="26" t="str">
        <f>IFERROR(__xludf.DUMMYFUNCTION("""COMPUTED_VALUE"""),"19CS406")</f>
        <v>19CS406</v>
      </c>
      <c r="H143" s="26">
        <f>IFERROR(__xludf.DUMMYFUNCTION("""COMPUTED_VALUE"""),3)</f>
        <v>3</v>
      </c>
      <c r="I143" s="26">
        <f>IFERROR(__xludf.DUMMYFUNCTION("""COMPUTED_VALUE"""),0)</f>
        <v>0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IFERROR(__xludf.DUMMYFUNCTION("""COMPUTED_VALUE"""),"Theory")</f>
        <v>Theory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IFERROR(__xludf.DUMMYFUNCTION("""COMPUTED_VALUE"""),"CS1515")</f>
        <v>CS1515</v>
      </c>
      <c r="E144" s="26" t="str">
        <f>IFERROR(__xludf.DUMMYFUNCTION("""COMPUTED_VALUE"""),"19CS515")</f>
        <v>19CS515</v>
      </c>
      <c r="F144" s="27" t="str">
        <f>IFERROR(__xludf.DUMMYFUNCTION("""COMPUTED_VALUE"""),"Block Chain Architecture and its Use Cases")</f>
        <v>Block Chain Architecture and its Use Cases</v>
      </c>
      <c r="G144" s="26" t="str">
        <f>IFERROR(__xludf.DUMMYFUNCTION("""COMPUTED_VALUE"""),"19CS412")</f>
        <v>19CS412</v>
      </c>
      <c r="H144" s="26">
        <f>IFERROR(__xludf.DUMMYFUNCTION("""COMPUTED_VALUE"""),3)</f>
        <v>3</v>
      </c>
      <c r="I144" s="26">
        <f>IFERROR(__xludf.DUMMYFUNCTION("""COMPUTED_VALUE"""),0)</f>
        <v>0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IFERROR(__xludf.DUMMYFUNCTION("""COMPUTED_VALUE"""),"CS1516")</f>
        <v>CS1516</v>
      </c>
      <c r="E145" s="26" t="str">
        <f>IFERROR(__xludf.DUMMYFUNCTION("""COMPUTED_VALUE"""),"19CS516")</f>
        <v>19CS516</v>
      </c>
      <c r="F145" s="27" t="str">
        <f>IFERROR(__xludf.DUMMYFUNCTION("""COMPUTED_VALUE"""),"Software Testing and Quality Assurance")</f>
        <v>Software Testing and Quality Assurance</v>
      </c>
      <c r="G145" s="26" t="str">
        <f>IFERROR(__xludf.DUMMYFUNCTION("""COMPUTED_VALUE"""),"-")</f>
        <v>-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IFERROR(__xludf.DUMMYFUNCTION("""COMPUTED_VALUE"""),"CS1517")</f>
        <v>CS1517</v>
      </c>
      <c r="E146" s="26" t="str">
        <f>IFERROR(__xludf.DUMMYFUNCTION("""COMPUTED_VALUE"""),"19CS517")</f>
        <v>19CS517</v>
      </c>
      <c r="F146" s="27" t="str">
        <f>IFERROR(__xludf.DUMMYFUNCTION("""COMPUTED_VALUE"""),"Mobile Computing")</f>
        <v>Mobile Computing</v>
      </c>
      <c r="G146" s="26" t="str">
        <f>IFERROR(__xludf.DUMMYFUNCTION("""COMPUTED_VALUE"""),"19CS406")</f>
        <v>19CS406</v>
      </c>
      <c r="H146" s="26">
        <f>IFERROR(__xludf.DUMMYFUNCTION("""COMPUTED_VALUE"""),3)</f>
        <v>3</v>
      </c>
      <c r="I146" s="26">
        <f>IFERROR(__xludf.DUMMYFUNCTION("""COMPUTED_VALUE"""),0)</f>
        <v>0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IFERROR(__xludf.DUMMYFUNCTION("""COMPUTED_VALUE"""),"CS1518")</f>
        <v>CS1518</v>
      </c>
      <c r="E147" s="26" t="str">
        <f>IFERROR(__xludf.DUMMYFUNCTION("""COMPUTED_VALUE"""),"19CS518")</f>
        <v>19CS518</v>
      </c>
      <c r="F147" s="27" t="str">
        <f>IFERROR(__xludf.DUMMYFUNCTION("""COMPUTED_VALUE"""),"Game Design and Development")</f>
        <v>Game Design and Development</v>
      </c>
      <c r="G147" s="26" t="str">
        <f>IFERROR(__xludf.DUMMYFUNCTION("""COMPUTED_VALUE"""),"19CS502")</f>
        <v>19CS502</v>
      </c>
      <c r="H147" s="26">
        <f>IFERROR(__xludf.DUMMYFUNCTION("""COMPUTED_VALUE"""),3)</f>
        <v>3</v>
      </c>
      <c r="I147" s="26">
        <f>IFERROR(__xludf.DUMMYFUNCTION("""COMPUTED_VALUE"""),0)</f>
        <v>0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IFERROR(__xludf.DUMMYFUNCTION("""COMPUTED_VALUE"""),"Theory")</f>
        <v>Theory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IFERROR(__xludf.DUMMYFUNCTION("""COMPUTED_VALUE"""),"CS1519")</f>
        <v>CS1519</v>
      </c>
      <c r="E148" s="26" t="str">
        <f>IFERROR(__xludf.DUMMYFUNCTION("""COMPUTED_VALUE"""),"19CS519")</f>
        <v>19CS519</v>
      </c>
      <c r="F148" s="27" t="str">
        <f>IFERROR(__xludf.DUMMYFUNCTION("""COMPUTED_VALUE"""),"Data Science")</f>
        <v>Data Science</v>
      </c>
      <c r="G148" s="26" t="str">
        <f>IFERROR(__xludf.DUMMYFUNCTION("""COMPUTED_VALUE"""),"19CS301/19CS501")</f>
        <v>19CS301/19CS501</v>
      </c>
      <c r="H148" s="26">
        <f>IFERROR(__xludf.DUMMYFUNCTION("""COMPUTED_VALUE"""),3)</f>
        <v>3</v>
      </c>
      <c r="I148" s="26">
        <f>IFERROR(__xludf.DUMMYFUNCTION("""COMPUTED_VALUE"""),0)</f>
        <v>0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IFERROR(__xludf.DUMMYFUNCTION("""COMPUTED_VALUE"""),"Theory")</f>
        <v>Theory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IFERROR(__xludf.DUMMYFUNCTION("""COMPUTED_VALUE"""),"CS1520")</f>
        <v>CS1520</v>
      </c>
      <c r="E149" s="26" t="str">
        <f>IFERROR(__xludf.DUMMYFUNCTION("""COMPUTED_VALUE"""),"19CS520")</f>
        <v>19CS520</v>
      </c>
      <c r="F149" s="27" t="str">
        <f>IFERROR(__xludf.DUMMYFUNCTION("""COMPUTED_VALUE"""),"Big Data Analytics")</f>
        <v>Big Data Analytics</v>
      </c>
      <c r="G149" s="26" t="str">
        <f>IFERROR(__xludf.DUMMYFUNCTION("""COMPUTED_VALUE"""),"19CS411/19CS519")</f>
        <v>19CS411/19CS519</v>
      </c>
      <c r="H149" s="26">
        <f>IFERROR(__xludf.DUMMYFUNCTION("""COMPUTED_VALUE"""),3)</f>
        <v>3</v>
      </c>
      <c r="I149" s="26">
        <f>IFERROR(__xludf.DUMMYFUNCTION("""COMPUTED_VALUE"""),0)</f>
        <v>0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IFERROR(__xludf.DUMMYFUNCTION("""COMPUTED_VALUE"""),"CS1521")</f>
        <v>CS1521</v>
      </c>
      <c r="E150" s="26" t="str">
        <f>IFERROR(__xludf.DUMMYFUNCTION("""COMPUTED_VALUE"""),"19CS521")</f>
        <v>19CS521</v>
      </c>
      <c r="F150" s="27" t="str">
        <f>IFERROR(__xludf.DUMMYFUNCTION("""COMPUTED_VALUE"""),"Data Warehousing and Data Mining")</f>
        <v>Data Warehousing and Data Mining</v>
      </c>
      <c r="G150" s="26" t="str">
        <f>IFERROR(__xludf.DUMMYFUNCTION("""COMPUTED_VALUE"""),"19CS404")</f>
        <v>19CS404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IFERROR(__xludf.DUMMYFUNCTION("""COMPUTED_VALUE"""),"CS1522")</f>
        <v>CS1522</v>
      </c>
      <c r="E151" s="26" t="str">
        <f>IFERROR(__xludf.DUMMYFUNCTION("""COMPUTED_VALUE"""),"19CS522")</f>
        <v>19CS522</v>
      </c>
      <c r="F151" s="27" t="str">
        <f>IFERROR(__xludf.DUMMYFUNCTION("""COMPUTED_VALUE"""),"Advanced Database Management System")</f>
        <v>Advanced Database Management System</v>
      </c>
      <c r="G151" s="26" t="str">
        <f>IFERROR(__xludf.DUMMYFUNCTION("""COMPUTED_VALUE"""),"19CS404")</f>
        <v>19CS404</v>
      </c>
      <c r="H151" s="26">
        <f>IFERROR(__xludf.DUMMYFUNCTION("""COMPUTED_VALUE"""),3)</f>
        <v>3</v>
      </c>
      <c r="I151" s="26">
        <f>IFERROR(__xludf.DUMMYFUNCTION("""COMPUTED_VALUE"""),1)</f>
        <v>1</v>
      </c>
      <c r="J151" s="26">
        <f>IFERROR(__xludf.DUMMYFUNCTION("""COMPUTED_VALUE"""),4)</f>
        <v>4</v>
      </c>
      <c r="K151" s="26" t="str">
        <f>IFERROR(__xludf.DUMMYFUNCTION("""COMPUTED_VALUE"""),"CGPA")</f>
        <v>CGPA</v>
      </c>
      <c r="L151" s="26" t="str">
        <f>IFERROR(__xludf.DUMMYFUNCTION("""COMPUTED_VALUE"""),"TIP (6 Expts)")</f>
        <v>TIP (6 Expts)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IFERROR(__xludf.DUMMYFUNCTION("""COMPUTED_VALUE"""),"CS1523")</f>
        <v>CS1523</v>
      </c>
      <c r="E152" s="26" t="str">
        <f>IFERROR(__xludf.DUMMYFUNCTION("""COMPUTED_VALUE"""),"19CS523")</f>
        <v>19CS523</v>
      </c>
      <c r="F152" s="27" t="str">
        <f>IFERROR(__xludf.DUMMYFUNCTION("""COMPUTED_VALUE"""),"Information Retrieval")</f>
        <v>Information Retrieval</v>
      </c>
      <c r="G152" s="26" t="str">
        <f>IFERROR(__xludf.DUMMYFUNCTION("""COMPUTED_VALUE"""),"19AI410/ 19CS501/19CS413")</f>
        <v>19AI410/ 19CS501/19CS413</v>
      </c>
      <c r="H152" s="26">
        <f>IFERROR(__xludf.DUMMYFUNCTION("""COMPUTED_VALUE"""),3)</f>
        <v>3</v>
      </c>
      <c r="I152" s="26">
        <f>IFERROR(__xludf.DUMMYFUNCTION("""COMPUTED_VALUE"""),0)</f>
        <v>0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IFERROR(__xludf.DUMMYFUNCTION("""COMPUTED_VALUE"""),"Theory")</f>
        <v>Theory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IFERROR(__xludf.DUMMYFUNCTION("""COMPUTED_VALUE"""),"CS1524")</f>
        <v>CS1524</v>
      </c>
      <c r="E153" s="26" t="str">
        <f>IFERROR(__xludf.DUMMYFUNCTION("""COMPUTED_VALUE"""),"19CS524")</f>
        <v>19CS524</v>
      </c>
      <c r="F153" s="27" t="str">
        <f>IFERROR(__xludf.DUMMYFUNCTION("""COMPUTED_VALUE"""),"Deep Learning")</f>
        <v>Deep Learning</v>
      </c>
      <c r="G153" s="26" t="str">
        <f>IFERROR(__xludf.DUMMYFUNCTION("""COMPUTED_VALUE"""),"19CS501")</f>
        <v>19CS501</v>
      </c>
      <c r="H153" s="26">
        <f>IFERROR(__xludf.DUMMYFUNCTION("""COMPUTED_VALUE"""),3)</f>
        <v>3</v>
      </c>
      <c r="I153" s="26">
        <f>IFERROR(__xludf.DUMMYFUNCTION("""COMPUTED_VALUE"""),0)</f>
        <v>0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IFERROR(__xludf.DUMMYFUNCTION("""COMPUTED_VALUE"""),"Theory")</f>
        <v>Theory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IFERROR(__xludf.DUMMYFUNCTION("""COMPUTED_VALUE"""),"CS1526")</f>
        <v>CS1526</v>
      </c>
      <c r="E154" s="26" t="str">
        <f>IFERROR(__xludf.DUMMYFUNCTION("""COMPUTED_VALUE"""),"19CS526")</f>
        <v>19CS526</v>
      </c>
      <c r="F154" s="26" t="str">
        <f>IFERROR(__xludf.DUMMYFUNCTION("""COMPUTED_VALUE"""),"R Programming")</f>
        <v>R Programming</v>
      </c>
      <c r="G154" s="26" t="str">
        <f>IFERROR(__xludf.DUMMYFUNCTION("""COMPUTED_VALUE"""),"19CS301/19CS303")</f>
        <v>19CS301/19CS303</v>
      </c>
      <c r="H154" s="26">
        <f>IFERROR(__xludf.DUMMYFUNCTION("""COMPUTED_VALUE"""),2)</f>
        <v>2</v>
      </c>
      <c r="I154" s="26">
        <f>IFERROR(__xludf.DUMMYFUNCTION("""COMPUTED_VALUE"""),1)</f>
        <v>1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IFERROR(__xludf.DUMMYFUNCTION("""COMPUTED_VALUE"""),"TIP (6 Expts)")</f>
        <v>TIP (6 Expts)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IFERROR(__xludf.DUMMYFUNCTION("""COMPUTED_VALUE"""),"CS1528")</f>
        <v>CS1528</v>
      </c>
      <c r="E155" s="26" t="str">
        <f>IFERROR(__xludf.DUMMYFUNCTION("""COMPUTED_VALUE"""),"19CS528")</f>
        <v>19CS528</v>
      </c>
      <c r="F155" s="27" t="str">
        <f>IFERROR(__xludf.DUMMYFUNCTION("""COMPUTED_VALUE"""),"Robotics and its Applications")</f>
        <v>Robotics and its Applications</v>
      </c>
      <c r="G155" s="26" t="str">
        <f>IFERROR(__xludf.DUMMYFUNCTION("""COMPUTED_VALUE"""),"19CS302/19EC408")</f>
        <v>19CS302/19EC408</v>
      </c>
      <c r="H155" s="26">
        <f>IFERROR(__xludf.DUMMYFUNCTION("""COMPUTED_VALUE"""),3)</f>
        <v>3</v>
      </c>
      <c r="I155" s="26">
        <f>IFERROR(__xludf.DUMMYFUNCTION("""COMPUTED_VALUE"""),0)</f>
        <v>0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IFERROR(__xludf.DUMMYFUNCTION("""COMPUTED_VALUE"""),"CS1529")</f>
        <v>CS1529</v>
      </c>
      <c r="E156" s="26" t="str">
        <f>IFERROR(__xludf.DUMMYFUNCTION("""COMPUTED_VALUE"""),"19CS529")</f>
        <v>19CS529</v>
      </c>
      <c r="F156" s="27" t="str">
        <f>IFERROR(__xludf.DUMMYFUNCTION("""COMPUTED_VALUE"""),"Quantum Computing")</f>
        <v>Quantum Computing</v>
      </c>
      <c r="G156" s="26" t="str">
        <f>IFERROR(__xludf.DUMMYFUNCTION("""COMPUTED_VALUE"""),"19CS301/19CS303")</f>
        <v>19CS301/19CS303</v>
      </c>
      <c r="H156" s="26">
        <f>IFERROR(__xludf.DUMMYFUNCTION("""COMPUTED_VALUE"""),3)</f>
        <v>3</v>
      </c>
      <c r="I156" s="26">
        <f>IFERROR(__xludf.DUMMYFUNCTION("""COMPUTED_VALUE"""),0)</f>
        <v>0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IFERROR(__xludf.DUMMYFUNCTION("""COMPUTED_VALUE"""),"CS1530")</f>
        <v>CS1530</v>
      </c>
      <c r="E157" s="26" t="str">
        <f>IFERROR(__xludf.DUMMYFUNCTION("""COMPUTED_VALUE"""),"19CS530")</f>
        <v>19CS530</v>
      </c>
      <c r="F157" s="27" t="str">
        <f>IFERROR(__xludf.DUMMYFUNCTION("""COMPUTED_VALUE"""),"Cyber Security")</f>
        <v>Cyber Security</v>
      </c>
      <c r="G157" s="26" t="str">
        <f>IFERROR(__xludf.DUMMYFUNCTION("""COMPUTED_VALUE"""),"19CS412")</f>
        <v>19CS412</v>
      </c>
      <c r="H157" s="26">
        <f>IFERROR(__xludf.DUMMYFUNCTION("""COMPUTED_VALUE"""),3)</f>
        <v>3</v>
      </c>
      <c r="I157" s="26">
        <f>IFERROR(__xludf.DUMMYFUNCTION("""COMPUTED_VALUE"""),0)</f>
        <v>0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IFERROR(__xludf.DUMMYFUNCTION("""COMPUTED_VALUE"""),"Theory")</f>
        <v>Theory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IFERROR(__xludf.DUMMYFUNCTION("""COMPUTED_VALUE"""),"CS1531")</f>
        <v>CS1531</v>
      </c>
      <c r="E158" s="26" t="str">
        <f>IFERROR(__xludf.DUMMYFUNCTION("""COMPUTED_VALUE"""),"19CS531")</f>
        <v>19CS531</v>
      </c>
      <c r="F158" s="27" t="str">
        <f>IFERROR(__xludf.DUMMYFUNCTION("""COMPUTED_VALUE"""),"Virtual Reality")</f>
        <v>Virtual Reality</v>
      </c>
      <c r="G158" s="26" t="str">
        <f>IFERROR(__xludf.DUMMYFUNCTION("""COMPUTED_VALUE"""),"19CS401/19CS301")</f>
        <v>19CS401/19CS301</v>
      </c>
      <c r="H158" s="26">
        <f>IFERROR(__xludf.DUMMYFUNCTION("""COMPUTED_VALUE"""),3)</f>
        <v>3</v>
      </c>
      <c r="I158" s="26">
        <f>IFERROR(__xludf.DUMMYFUNCTION("""COMPUTED_VALUE"""),0)</f>
        <v>0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IFERROR(__xludf.DUMMYFUNCTION("""COMPUTED_VALUE"""),"CS1532")</f>
        <v>CS1532</v>
      </c>
      <c r="E159" s="26" t="str">
        <f>IFERROR(__xludf.DUMMYFUNCTION("""COMPUTED_VALUE"""),"19CS532")</f>
        <v>19CS532</v>
      </c>
      <c r="F159" s="27" t="str">
        <f>IFERROR(__xludf.DUMMYFUNCTION("""COMPUTED_VALUE"""),"Professional Readiness for Innovation, Employability and Entrepreneurship")</f>
        <v>Professional Readiness for Innovation, Employability and Entrepreneurship</v>
      </c>
      <c r="G159" s="26" t="str">
        <f>IFERROR(__xludf.DUMMYFUNCTION("""COMPUTED_VALUE"""),"-")</f>
        <v>-</v>
      </c>
      <c r="H159" s="26">
        <f>IFERROR(__xludf.DUMMYFUNCTION("""COMPUTED_VALUE"""),0)</f>
        <v>0</v>
      </c>
      <c r="I159" s="26">
        <f>IFERROR(__xludf.DUMMYFUNCTION("""COMPUTED_VALUE"""),3)</f>
        <v>3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IFERROR(__xludf.DUMMYFUNCTION("""COMPUTED_VALUE"""),"Practical (10 Expts)")</f>
        <v>Practical (10 Expts)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IFERROR(__xludf.DUMMYFUNCTION("""COMPUTED_VALUE"""),"CS1533")</f>
        <v>CS1533</v>
      </c>
      <c r="E160" s="26" t="str">
        <f>IFERROR(__xludf.DUMMYFUNCTION("""COMPUTED_VALUE"""),"19CS533")</f>
        <v>19CS533</v>
      </c>
      <c r="F160" s="27" t="str">
        <f>IFERROR(__xludf.DUMMYFUNCTION("""COMPUTED_VALUE"""),"Information Security Intelligence and Analytics using Big Data")</f>
        <v>Information Security Intelligence and Analytics using Big Data</v>
      </c>
      <c r="G160" s="26" t="str">
        <f>IFERROR(__xludf.DUMMYFUNCTION("""COMPUTED_VALUE"""),"-")</f>
        <v>-</v>
      </c>
      <c r="H160" s="26">
        <f>IFERROR(__xludf.DUMMYFUNCTION("""COMPUTED_VALUE"""),2)</f>
        <v>2</v>
      </c>
      <c r="I160" s="26">
        <f>IFERROR(__xludf.DUMMYFUNCTION("""COMPUTED_VALUE"""),1)</f>
        <v>1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IFERROR(__xludf.DUMMYFUNCTION("""COMPUTED_VALUE"""),"TIP (6 Expts)")</f>
        <v>TIP (6 Expts)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IFERROR(__xludf.DUMMYFUNCTION("""COMPUTED_VALUE"""),"CS1534")</f>
        <v>CS1534</v>
      </c>
      <c r="E161" s="26" t="str">
        <f>IFERROR(__xludf.DUMMYFUNCTION("""COMPUTED_VALUE"""),"19CS534")</f>
        <v>19CS534</v>
      </c>
      <c r="F161" s="27" t="str">
        <f>IFERROR(__xludf.DUMMYFUNCTION("""COMPUTED_VALUE"""),"Prevention Methodology for Cybersecurity")</f>
        <v>Prevention Methodology for Cybersecurity</v>
      </c>
      <c r="G161" s="26" t="str">
        <f>IFERROR(__xludf.DUMMYFUNCTION("""COMPUTED_VALUE"""),"-")</f>
        <v>-</v>
      </c>
      <c r="H161" s="26">
        <f>IFERROR(__xludf.DUMMYFUNCTION("""COMPUTED_VALUE"""),2)</f>
        <v>2</v>
      </c>
      <c r="I161" s="26">
        <f>IFERROR(__xludf.DUMMYFUNCTION("""COMPUTED_VALUE"""),1)</f>
        <v>1</v>
      </c>
      <c r="J161" s="26">
        <f>IFERROR(__xludf.DUMMYFUNCTION("""COMPUTED_VALUE"""),3)</f>
        <v>3</v>
      </c>
      <c r="K161" s="26" t="str">
        <f>IFERROR(__xludf.DUMMYFUNCTION("""COMPUTED_VALUE"""),"CGPA")</f>
        <v>CGPA</v>
      </c>
      <c r="L161" s="26" t="str">
        <f>IFERROR(__xludf.DUMMYFUNCTION("""COMPUTED_VALUE"""),"TIP (6 Expts)")</f>
        <v>TIP (6 Expts)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IFERROR(__xludf.DUMMYFUNCTION("""COMPUTED_VALUE"""),"CS1535")</f>
        <v>CS1535</v>
      </c>
      <c r="E162" s="26" t="str">
        <f>IFERROR(__xludf.DUMMYFUNCTION("""COMPUTED_VALUE"""),"19CS535")</f>
        <v>19CS535</v>
      </c>
      <c r="F162" s="27" t="str">
        <f>IFERROR(__xludf.DUMMYFUNCTION("""COMPUTED_VALUE"""),"Trusted Network Systems")</f>
        <v>Trusted Network Systems</v>
      </c>
      <c r="G162" s="26" t="str">
        <f>IFERROR(__xludf.DUMMYFUNCTION("""COMPUTED_VALUE"""),"-")</f>
        <v>-</v>
      </c>
      <c r="H162" s="26">
        <f>IFERROR(__xludf.DUMMYFUNCTION("""COMPUTED_VALUE"""),3)</f>
        <v>3</v>
      </c>
      <c r="I162" s="26">
        <f>IFERROR(__xludf.DUMMYFUNCTION("""COMPUTED_VALUE"""),0)</f>
        <v>0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IFERROR(__xludf.DUMMYFUNCTION("""COMPUTED_VALUE"""),"Theory")</f>
        <v>Theory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IFERROR(__xludf.DUMMYFUNCTION("""COMPUTED_VALUE"""),"CS1537")</f>
        <v>CS1537</v>
      </c>
      <c r="E163" s="26" t="str">
        <f>IFERROR(__xludf.DUMMYFUNCTION("""COMPUTED_VALUE"""),"19CS537")</f>
        <v>19CS537</v>
      </c>
      <c r="F163" s="27" t="str">
        <f>IFERROR(__xludf.DUMMYFUNCTION("""COMPUTED_VALUE"""),"Secure Software Engineering")</f>
        <v>Secure Software Engineering</v>
      </c>
      <c r="G163" s="26" t="str">
        <f>IFERROR(__xludf.DUMMYFUNCTION("""COMPUTED_VALUE"""),"-")</f>
        <v>-</v>
      </c>
      <c r="H163" s="26">
        <f>IFERROR(__xludf.DUMMYFUNCTION("""COMPUTED_VALUE"""),2)</f>
        <v>2</v>
      </c>
      <c r="I163" s="26">
        <f>IFERROR(__xludf.DUMMYFUNCTION("""COMPUTED_VALUE"""),1)</f>
        <v>1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IFERROR(__xludf.DUMMYFUNCTION("""COMPUTED_VALUE"""),"TIP (6 Expts)")</f>
        <v>TIP (6 Expts)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IFERROR(__xludf.DUMMYFUNCTION("""COMPUTED_VALUE"""),"CS1538")</f>
        <v>CS1538</v>
      </c>
      <c r="E164" s="26" t="str">
        <f>IFERROR(__xludf.DUMMYFUNCTION("""COMPUTED_VALUE"""),"19CS538")</f>
        <v>19CS538</v>
      </c>
      <c r="F164" s="27" t="str">
        <f>IFERROR(__xludf.DUMMYFUNCTION("""COMPUTED_VALUE"""),"System Security")</f>
        <v>System Security</v>
      </c>
      <c r="G164" s="26" t="str">
        <f>IFERROR(__xludf.DUMMYFUNCTION("""COMPUTED_VALUE"""),"-")</f>
        <v>-</v>
      </c>
      <c r="H164" s="26">
        <f>IFERROR(__xludf.DUMMYFUNCTION("""COMPUTED_VALUE"""),3)</f>
        <v>3</v>
      </c>
      <c r="I164" s="26">
        <f>IFERROR(__xludf.DUMMYFUNCTION("""COMPUTED_VALUE"""),0)</f>
        <v>0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IFERROR(__xludf.DUMMYFUNCTION("""COMPUTED_VALUE"""),"Theory")</f>
        <v>Theory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IFERROR(__xludf.DUMMYFUNCTION("""COMPUTED_VALUE"""),"CS1539")</f>
        <v>CS1539</v>
      </c>
      <c r="E165" s="26" t="str">
        <f>IFERROR(__xludf.DUMMYFUNCTION("""COMPUTED_VALUE"""),"19CS539")</f>
        <v>19CS539</v>
      </c>
      <c r="F165" s="27" t="str">
        <f>IFERROR(__xludf.DUMMYFUNCTION("""COMPUTED_VALUE"""),"Hardware Security")</f>
        <v>Hardware Security</v>
      </c>
      <c r="G165" s="26" t="str">
        <f>IFERROR(__xludf.DUMMYFUNCTION("""COMPUTED_VALUE"""),"-")</f>
        <v>-</v>
      </c>
      <c r="H165" s="26">
        <f>IFERROR(__xludf.DUMMYFUNCTION("""COMPUTED_VALUE"""),3)</f>
        <v>3</v>
      </c>
      <c r="I165" s="26">
        <f>IFERROR(__xludf.DUMMYFUNCTION("""COMPUTED_VALUE"""),0)</f>
        <v>0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IFERROR(__xludf.DUMMYFUNCTION("""COMPUTED_VALUE"""),"Theory")</f>
        <v>Theory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IFERROR(__xludf.DUMMYFUNCTION("""COMPUTED_VALUE"""),"CS1540")</f>
        <v>CS1540</v>
      </c>
      <c r="E166" s="26" t="str">
        <f>IFERROR(__xludf.DUMMYFUNCTION("""COMPUTED_VALUE"""),"19CS540")</f>
        <v>19CS540</v>
      </c>
      <c r="F166" s="27" t="str">
        <f>IFERROR(__xludf.DUMMYFUNCTION("""COMPUTED_VALUE"""),"Fog Computing")</f>
        <v>Fog Computing</v>
      </c>
      <c r="G166" s="26" t="str">
        <f>IFERROR(__xludf.DUMMYFUNCTION("""COMPUTED_VALUE"""),"-")</f>
        <v>-</v>
      </c>
      <c r="H166" s="26">
        <f>IFERROR(__xludf.DUMMYFUNCTION("""COMPUTED_VALUE"""),3)</f>
        <v>3</v>
      </c>
      <c r="I166" s="26">
        <f>IFERROR(__xludf.DUMMYFUNCTION("""COMPUTED_VALUE"""),0)</f>
        <v>0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IFERROR(__xludf.DUMMYFUNCTION("""COMPUTED_VALUE"""),"Theory")</f>
        <v>Theory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IFERROR(__xludf.DUMMYFUNCTION("""COMPUTED_VALUE"""),"CS4506")</f>
        <v>CS4506</v>
      </c>
      <c r="E167" s="26" t="str">
        <f>IFERROR(__xludf.DUMMYFUNCTION("""COMPUTED_VALUE"""),"19AM506")</f>
        <v>19AM506</v>
      </c>
      <c r="F167" s="27" t="str">
        <f>IFERROR(__xludf.DUMMYFUNCTION("""COMPUTED_VALUE"""),"Sensors and Actuators for IoT")</f>
        <v>Sensors and Actuators for IoT</v>
      </c>
      <c r="G167" s="26" t="str">
        <f>IFERROR(__xludf.DUMMYFUNCTION("""COMPUTED_VALUE"""),"-")</f>
        <v>-</v>
      </c>
      <c r="H167" s="26">
        <f>IFERROR(__xludf.DUMMYFUNCTION("""COMPUTED_VALUE"""),2)</f>
        <v>2</v>
      </c>
      <c r="I167" s="26">
        <f>IFERROR(__xludf.DUMMYFUNCTION("""COMPUTED_VALUE"""),1)</f>
        <v>1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IFERROR(__xludf.DUMMYFUNCTION("""COMPUTED_VALUE"""),"TIP (6 Expts)")</f>
        <v>TIP (6 Expts)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IFERROR(__xludf.DUMMYFUNCTION("""COMPUTED_VALUE"""),"CS1542")</f>
        <v>CS1542</v>
      </c>
      <c r="E168" s="26" t="str">
        <f>IFERROR(__xludf.DUMMYFUNCTION("""COMPUTED_VALUE"""),"19CS542")</f>
        <v>19CS542</v>
      </c>
      <c r="F168" s="27" t="str">
        <f>IFERROR(__xludf.DUMMYFUNCTION("""COMPUTED_VALUE"""),"Embedded Board Design")</f>
        <v>Embedded Board Design</v>
      </c>
      <c r="G168" s="26" t="str">
        <f>IFERROR(__xludf.DUMMYFUNCTION("""COMPUTED_VALUE"""),"-")</f>
        <v>-</v>
      </c>
      <c r="H168" s="26">
        <f>IFERROR(__xludf.DUMMYFUNCTION("""COMPUTED_VALUE"""),2)</f>
        <v>2</v>
      </c>
      <c r="I168" s="26">
        <f>IFERROR(__xludf.DUMMYFUNCTION("""COMPUTED_VALUE"""),1)</f>
        <v>1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IFERROR(__xludf.DUMMYFUNCTION("""COMPUTED_VALUE"""),"TIP (6 Expts)")</f>
        <v>TIP (6 Expts)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IFERROR(__xludf.DUMMYFUNCTION("""COMPUTED_VALUE"""),"CS1543")</f>
        <v>CS1543</v>
      </c>
      <c r="E169" s="26" t="str">
        <f>IFERROR(__xludf.DUMMYFUNCTION("""COMPUTED_VALUE"""),"19CS543")</f>
        <v>19CS543</v>
      </c>
      <c r="F169" s="27" t="str">
        <f>IFERROR(__xludf.DUMMYFUNCTION("""COMPUTED_VALUE"""),"Embedded Board Manufacturing")</f>
        <v>Embedded Board Manufacturing</v>
      </c>
      <c r="G169" s="26" t="str">
        <f>IFERROR(__xludf.DUMMYFUNCTION("""COMPUTED_VALUE"""),"-")</f>
        <v>-</v>
      </c>
      <c r="H169" s="26">
        <f>IFERROR(__xludf.DUMMYFUNCTION("""COMPUTED_VALUE"""),2)</f>
        <v>2</v>
      </c>
      <c r="I169" s="26">
        <f>IFERROR(__xludf.DUMMYFUNCTION("""COMPUTED_VALUE"""),1)</f>
        <v>1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IFERROR(__xludf.DUMMYFUNCTION("""COMPUTED_VALUE"""),"TIP (6 Expts)")</f>
        <v>TIP (6 Expts)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IFERROR(__xludf.DUMMYFUNCTION("""COMPUTED_VALUE"""),"CS1544")</f>
        <v>CS1544</v>
      </c>
      <c r="E170" s="26" t="str">
        <f>IFERROR(__xludf.DUMMYFUNCTION("""COMPUTED_VALUE"""),"19CS544")</f>
        <v>19CS544</v>
      </c>
      <c r="F170" s="27" t="str">
        <f>IFERROR(__xludf.DUMMYFUNCTION("""COMPUTED_VALUE"""),"Realtime Operating System")</f>
        <v>Realtime Operating System</v>
      </c>
      <c r="G170" s="26" t="str">
        <f>IFERROR(__xludf.DUMMYFUNCTION("""COMPUTED_VALUE"""),"-")</f>
        <v>-</v>
      </c>
      <c r="H170" s="26">
        <f>IFERROR(__xludf.DUMMYFUNCTION("""COMPUTED_VALUE"""),2)</f>
        <v>2</v>
      </c>
      <c r="I170" s="26">
        <f>IFERROR(__xludf.DUMMYFUNCTION("""COMPUTED_VALUE"""),1)</f>
        <v>1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IFERROR(__xludf.DUMMYFUNCTION("""COMPUTED_VALUE"""),"TIP (6 Expts)")</f>
        <v>TIP (6 Expts)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IFERROR(__xludf.DUMMYFUNCTION("""COMPUTED_VALUE"""),"CS1545")</f>
        <v>CS1545</v>
      </c>
      <c r="E171" s="26" t="str">
        <f>IFERROR(__xludf.DUMMYFUNCTION("""COMPUTED_VALUE"""),"19CS545")</f>
        <v>19CS545</v>
      </c>
      <c r="F171" s="27" t="str">
        <f>IFERROR(__xludf.DUMMYFUNCTION("""COMPUTED_VALUE"""),"Open Source Operating System")</f>
        <v>Open Source Operating System</v>
      </c>
      <c r="G171" s="26" t="str">
        <f>IFERROR(__xludf.DUMMYFUNCTION("""COMPUTED_VALUE"""),"-")</f>
        <v>-</v>
      </c>
      <c r="H171" s="26">
        <f>IFERROR(__xludf.DUMMYFUNCTION("""COMPUTED_VALUE"""),2)</f>
        <v>2</v>
      </c>
      <c r="I171" s="26">
        <f>IFERROR(__xludf.DUMMYFUNCTION("""COMPUTED_VALUE"""),1)</f>
        <v>1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IFERROR(__xludf.DUMMYFUNCTION("""COMPUTED_VALUE"""),"TIP (6 Expts)")</f>
        <v>TIP (6 Expts)</v>
      </c>
      <c r="M171" s="26"/>
      <c r="N171" s="26"/>
      <c r="O171" s="26"/>
      <c r="P171" s="26"/>
      <c r="Q171" s="26"/>
      <c r="R171" s="26"/>
    </row>
    <row r="172" ht="13.2" spans="1:18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IFERROR(__xludf.DUMMYFUNCTION("""COMPUTED_VALUE"""),"CS1546")</f>
        <v>CS1546</v>
      </c>
      <c r="E172" s="26" t="str">
        <f>IFERROR(__xludf.DUMMYFUNCTION("""COMPUTED_VALUE"""),"19CS546")</f>
        <v>19CS546</v>
      </c>
      <c r="F172" s="27" t="str">
        <f>IFERROR(__xludf.DUMMYFUNCTION("""COMPUTED_VALUE"""),"Kernel Programming")</f>
        <v>Kernel Programming</v>
      </c>
      <c r="G172" s="26" t="str">
        <f>IFERROR(__xludf.DUMMYFUNCTION("""COMPUTED_VALUE"""),"-")</f>
        <v>-</v>
      </c>
      <c r="H172" s="26">
        <f>IFERROR(__xludf.DUMMYFUNCTION("""COMPUTED_VALUE"""),2)</f>
        <v>2</v>
      </c>
      <c r="I172" s="26">
        <f>IFERROR(__xludf.DUMMYFUNCTION("""COMPUTED_VALUE"""),1)</f>
        <v>1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IFERROR(__xludf.DUMMYFUNCTION("""COMPUTED_VALUE"""),"TIP (6 Expts)")</f>
        <v>TIP (6 Expts)</v>
      </c>
      <c r="M172" s="26"/>
      <c r="N172" s="26"/>
      <c r="O172" s="26"/>
      <c r="P172" s="26"/>
      <c r="Q172" s="26"/>
      <c r="R172" s="26"/>
    </row>
    <row r="173" ht="13.2" spans="1:18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IFERROR(__xludf.DUMMYFUNCTION("""COMPUTED_VALUE"""),"CS1547")</f>
        <v>CS1547</v>
      </c>
      <c r="E173" s="26" t="str">
        <f>IFERROR(__xludf.DUMMYFUNCTION("""COMPUTED_VALUE"""),"19CS547")</f>
        <v>19CS547</v>
      </c>
      <c r="F173" s="27" t="str">
        <f>IFERROR(__xludf.DUMMYFUNCTION("""COMPUTED_VALUE"""),"Fundamentals of Cryptocurrency")</f>
        <v>Fundamentals of Cryptocurrency</v>
      </c>
      <c r="G173" s="26" t="str">
        <f>IFERROR(__xludf.DUMMYFUNCTION("""COMPUTED_VALUE"""),"-")</f>
        <v>-</v>
      </c>
      <c r="H173" s="26">
        <f>IFERROR(__xludf.DUMMYFUNCTION("""COMPUTED_VALUE"""),3)</f>
        <v>3</v>
      </c>
      <c r="I173" s="26">
        <f>IFERROR(__xludf.DUMMYFUNCTION("""COMPUTED_VALUE"""),0)</f>
        <v>0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IFERROR(__xludf.DUMMYFUNCTION("""COMPUTED_VALUE"""),"Theory")</f>
        <v>Theory</v>
      </c>
      <c r="M173" s="26"/>
      <c r="N173" s="26"/>
      <c r="O173" s="26"/>
      <c r="P173" s="26"/>
      <c r="Q173" s="26"/>
      <c r="R173" s="26"/>
    </row>
    <row r="174" ht="13.2" spans="1:18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IFERROR(__xludf.DUMMYFUNCTION("""COMPUTED_VALUE"""),"CS1565")</f>
        <v>CS1565</v>
      </c>
      <c r="E174" s="26" t="str">
        <f>IFERROR(__xludf.DUMMYFUNCTION("""COMPUTED_VALUE"""),"19CS565")</f>
        <v>19CS565</v>
      </c>
      <c r="F174" s="27" t="str">
        <f>IFERROR(__xludf.DUMMYFUNCTION("""COMPUTED_VALUE"""),"Robotic Process Automation")</f>
        <v>Robotic Process Automation</v>
      </c>
      <c r="G174" s="26" t="str">
        <f>IFERROR(__xludf.DUMMYFUNCTION("""COMPUTED_VALUE"""),"-")</f>
        <v>-</v>
      </c>
      <c r="H174" s="26">
        <f>IFERROR(__xludf.DUMMYFUNCTION("""COMPUTED_VALUE"""),2)</f>
        <v>2</v>
      </c>
      <c r="I174" s="26">
        <f>IFERROR(__xludf.DUMMYFUNCTION("""COMPUTED_VALUE"""),1)</f>
        <v>1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IFERROR(__xludf.DUMMYFUNCTION("""COMPUTED_VALUE"""),"TIP (6 Expts)")</f>
        <v>TIP (6 Expts)</v>
      </c>
      <c r="M174" s="26"/>
      <c r="N174" s="26"/>
      <c r="O174" s="26"/>
      <c r="P174" s="26"/>
      <c r="Q174" s="26"/>
      <c r="R174" s="26"/>
    </row>
    <row r="175" ht="13.2" spans="1:18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IFERROR(__xludf.DUMMYFUNCTION("""COMPUTED_VALUE"""),"CS1566")</f>
        <v>CS1566</v>
      </c>
      <c r="E175" s="26" t="str">
        <f>IFERROR(__xludf.DUMMYFUNCTION("""COMPUTED_VALUE"""),"19CS566")</f>
        <v>19CS566</v>
      </c>
      <c r="F175" s="27" t="str">
        <f>IFERROR(__xludf.DUMMYFUNCTION("""COMPUTED_VALUE"""),"Software Project Management and Version Control")</f>
        <v>Software Project Management and Version Control</v>
      </c>
      <c r="G175" s="26" t="str">
        <f>IFERROR(__xludf.DUMMYFUNCTION("""COMPUTED_VALUE"""),"-")</f>
        <v>-</v>
      </c>
      <c r="H175" s="26">
        <f>IFERROR(__xludf.DUMMYFUNCTION("""COMPUTED_VALUE"""),3)</f>
        <v>3</v>
      </c>
      <c r="I175" s="26">
        <f>IFERROR(__xludf.DUMMYFUNCTION("""COMPUTED_VALUE"""),0)</f>
        <v>0</v>
      </c>
      <c r="J175" s="26">
        <f>IFERROR(__xludf.DUMMYFUNCTION("""COMPUTED_VALUE"""),3)</f>
        <v>3</v>
      </c>
      <c r="K175" s="26" t="str">
        <f>IFERROR(__xludf.DUMMYFUNCTION("""COMPUTED_VALUE"""),"CGPA")</f>
        <v>CGPA</v>
      </c>
      <c r="L175" s="26" t="str">
        <f>IFERROR(__xludf.DUMMYFUNCTION("""COMPUTED_VALUE"""),"Theory")</f>
        <v>Theory</v>
      </c>
      <c r="M175" s="26"/>
      <c r="N175" s="26"/>
      <c r="O175" s="26"/>
      <c r="P175" s="26"/>
      <c r="Q175" s="26"/>
      <c r="R175" s="26"/>
    </row>
    <row r="176" ht="13.2" spans="1:18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IFERROR(__xludf.DUMMYFUNCTION("""COMPUTED_VALUE"""),"CS1579")</f>
        <v>CS1579</v>
      </c>
      <c r="E176" s="26" t="str">
        <f>IFERROR(__xludf.DUMMYFUNCTION("""COMPUTED_VALUE"""),"19CS579")</f>
        <v>19CS579</v>
      </c>
      <c r="F176" s="27" t="str">
        <f>IFERROR(__xludf.DUMMYFUNCTION("""COMPUTED_VALUE"""),"Generative AI Application Development")</f>
        <v>Generative AI Application Development</v>
      </c>
      <c r="G176" s="26" t="str">
        <f>IFERROR(__xludf.DUMMYFUNCTION("""COMPUTED_VALUE"""),"-")</f>
        <v>-</v>
      </c>
      <c r="H176" s="26">
        <f>IFERROR(__xludf.DUMMYFUNCTION("""COMPUTED_VALUE"""),2)</f>
        <v>2</v>
      </c>
      <c r="I176" s="26">
        <f>IFERROR(__xludf.DUMMYFUNCTION("""COMPUTED_VALUE"""),1)</f>
        <v>1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IFERROR(__xludf.DUMMYFUNCTION("""COMPUTED_VALUE"""),"TIP (6 Expts)")</f>
        <v>TIP (6 Expts)</v>
      </c>
      <c r="M176" s="26"/>
      <c r="N176" s="26"/>
      <c r="O176" s="26"/>
      <c r="P176" s="26"/>
      <c r="Q176" s="26"/>
      <c r="R176" s="26"/>
    </row>
    <row r="177" ht="13.2" spans="1:18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IFERROR(__xludf.DUMMYFUNCTION("""COMPUTED_VALUE"""),"CS1568")</f>
        <v>CS1568</v>
      </c>
      <c r="E177" s="26" t="str">
        <f>IFERROR(__xludf.DUMMYFUNCTION("""COMPUTED_VALUE"""),"19CS568")</f>
        <v>19CS568</v>
      </c>
      <c r="F177" s="27" t="str">
        <f>IFERROR(__xludf.DUMMYFUNCTION("""COMPUTED_VALUE"""),"Fine Tuning Large Language Models")</f>
        <v>Fine Tuning Large Language Models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  <c r="P177" s="26"/>
      <c r="Q177" s="26"/>
      <c r="R177" s="26"/>
    </row>
    <row r="178" ht="13.2" spans="1:18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IFERROR(__xludf.DUMMYFUNCTION("""COMPUTED_VALUE"""),"CS1569")</f>
        <v>CS1569</v>
      </c>
      <c r="E178" s="26" t="str">
        <f>IFERROR(__xludf.DUMMYFUNCTION("""COMPUTED_VALUE"""),"19CS569")</f>
        <v>19CS569</v>
      </c>
      <c r="F178" s="27" t="str">
        <f>IFERROR(__xludf.DUMMYFUNCTION("""COMPUTED_VALUE"""),"Applied Data Science")</f>
        <v>Applied Data Science</v>
      </c>
      <c r="G178" s="26" t="str">
        <f>IFERROR(__xludf.DUMMYFUNCTION("""COMPUTED_VALUE"""),"-")</f>
        <v>-</v>
      </c>
      <c r="H178" s="26">
        <f>IFERROR(__xludf.DUMMYFUNCTION("""COMPUTED_VALUE"""),2)</f>
        <v>2</v>
      </c>
      <c r="I178" s="26">
        <f>IFERROR(__xludf.DUMMYFUNCTION("""COMPUTED_VALUE"""),1)</f>
        <v>1</v>
      </c>
      <c r="J178" s="26">
        <f>IFERROR(__xludf.DUMMYFUNCTION("""COMPUTED_VALUE"""),3)</f>
        <v>3</v>
      </c>
      <c r="K178" s="26" t="str">
        <f>IFERROR(__xludf.DUMMYFUNCTION("""COMPUTED_VALUE"""),"CGPA")</f>
        <v>CGPA</v>
      </c>
      <c r="L178" s="26" t="str">
        <f>IFERROR(__xludf.DUMMYFUNCTION("""COMPUTED_VALUE"""),"TIP (6 Expts)")</f>
        <v>TIP (6 Expts)</v>
      </c>
      <c r="M178" s="26"/>
      <c r="N178" s="26"/>
      <c r="O178" s="26"/>
      <c r="P178" s="26"/>
      <c r="Q178" s="26"/>
      <c r="R178" s="26"/>
    </row>
    <row r="179" ht="13.2" spans="1:18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IFERROR(__xludf.DUMMYFUNCTION("""COMPUTED_VALUE"""),"CS1570")</f>
        <v>CS1570</v>
      </c>
      <c r="E179" s="26" t="str">
        <f>IFERROR(__xludf.DUMMYFUNCTION("""COMPUTED_VALUE"""),"19CS570")</f>
        <v>19CS570</v>
      </c>
      <c r="F179" s="27" t="str">
        <f>IFERROR(__xludf.DUMMYFUNCTION("""COMPUTED_VALUE"""),"Entrepreneurship and Small Business Development")</f>
        <v>Entrepreneurship and Small Business Development</v>
      </c>
      <c r="G179" s="26" t="str">
        <f>IFERROR(__xludf.DUMMYFUNCTION("""COMPUTED_VALUE"""),"-")</f>
        <v>-</v>
      </c>
      <c r="H179" s="26">
        <f>IFERROR(__xludf.DUMMYFUNCTION("""COMPUTED_VALUE"""),2)</f>
        <v>2</v>
      </c>
      <c r="I179" s="26">
        <f>IFERROR(__xludf.DUMMYFUNCTION("""COMPUTED_VALUE"""),1)</f>
        <v>1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IFERROR(__xludf.DUMMYFUNCTION("""COMPUTED_VALUE"""),"TIP (6 Expts)")</f>
        <v>TIP (6 Expts)</v>
      </c>
      <c r="M179" s="26"/>
      <c r="N179" s="26"/>
      <c r="O179" s="26"/>
      <c r="P179" s="26"/>
      <c r="Q179" s="26"/>
      <c r="R179" s="26"/>
    </row>
    <row r="180" ht="13.2" spans="1:18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IFERROR(__xludf.DUMMYFUNCTION("""COMPUTED_VALUE"""),"CS1571")</f>
        <v>CS1571</v>
      </c>
      <c r="E180" s="26" t="str">
        <f>IFERROR(__xludf.DUMMYFUNCTION("""COMPUTED_VALUE"""),"19CS571")</f>
        <v>19CS571</v>
      </c>
      <c r="F180" s="27" t="str">
        <f>IFERROR(__xludf.DUMMYFUNCTION("""COMPUTED_VALUE"""),"Software Development and Operations")</f>
        <v>Software Development and Operations</v>
      </c>
      <c r="G180" s="26" t="str">
        <f>IFERROR(__xludf.DUMMYFUNCTION("""COMPUTED_VALUE"""),"-")</f>
        <v>-</v>
      </c>
      <c r="H180" s="26">
        <f>IFERROR(__xludf.DUMMYFUNCTION("""COMPUTED_VALUE"""),3)</f>
        <v>3</v>
      </c>
      <c r="I180" s="26">
        <f>IFERROR(__xludf.DUMMYFUNCTION("""COMPUTED_VALUE"""),0)</f>
        <v>0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IFERROR(__xludf.DUMMYFUNCTION("""COMPUTED_VALUE"""),"Theory")</f>
        <v>Theory</v>
      </c>
      <c r="M180" s="26"/>
      <c r="N180" s="26"/>
      <c r="O180" s="26"/>
      <c r="P180" s="26"/>
      <c r="Q180" s="26"/>
      <c r="R180" s="26"/>
    </row>
    <row r="181" ht="13.2" spans="1:18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IFERROR(__xludf.DUMMYFUNCTION("""COMPUTED_VALUE"""),"CS1572")</f>
        <v>CS1572</v>
      </c>
      <c r="E181" s="26" t="str">
        <f>IFERROR(__xludf.DUMMYFUNCTION("""COMPUTED_VALUE"""),"19CS572")</f>
        <v>19CS572</v>
      </c>
      <c r="F181" s="27" t="str">
        <f>IFERROR(__xludf.DUMMYFUNCTION("""COMPUTED_VALUE"""),"Serverless App Development")</f>
        <v>Serverless App Development</v>
      </c>
      <c r="G181" s="26" t="str">
        <f>IFERROR(__xludf.DUMMYFUNCTION("""COMPUTED_VALUE"""),"-")</f>
        <v>-</v>
      </c>
      <c r="H181" s="26">
        <f>IFERROR(__xludf.DUMMYFUNCTION("""COMPUTED_VALUE"""),3)</f>
        <v>3</v>
      </c>
      <c r="I181" s="26">
        <f>IFERROR(__xludf.DUMMYFUNCTION("""COMPUTED_VALUE"""),0)</f>
        <v>0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IFERROR(__xludf.DUMMYFUNCTION("""COMPUTED_VALUE"""),"Theory")</f>
        <v>Theory</v>
      </c>
      <c r="M181" s="26"/>
      <c r="N181" s="26"/>
      <c r="O181" s="26"/>
      <c r="P181" s="26"/>
      <c r="Q181" s="26"/>
      <c r="R181" s="26"/>
    </row>
    <row r="182" ht="13.2" spans="1:18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IFERROR(__xludf.DUMMYFUNCTION("""COMPUTED_VALUE"""),"CS1573")</f>
        <v>CS1573</v>
      </c>
      <c r="E182" s="26" t="str">
        <f>IFERROR(__xludf.DUMMYFUNCTION("""COMPUTED_VALUE"""),"19CS573")</f>
        <v>19CS573</v>
      </c>
      <c r="F182" s="27" t="str">
        <f>IFERROR(__xludf.DUMMYFUNCTION("""COMPUTED_VALUE"""),"Enterprise Cloud Architecture")</f>
        <v>Enterprise Cloud Architecture</v>
      </c>
      <c r="G182" s="26" t="str">
        <f>IFERROR(__xludf.DUMMYFUNCTION("""COMPUTED_VALUE"""),"-")</f>
        <v>-</v>
      </c>
      <c r="H182" s="26">
        <f>IFERROR(__xludf.DUMMYFUNCTION("""COMPUTED_VALUE"""),3)</f>
        <v>3</v>
      </c>
      <c r="I182" s="26">
        <f>IFERROR(__xludf.DUMMYFUNCTION("""COMPUTED_VALUE"""),0)</f>
        <v>0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IFERROR(__xludf.DUMMYFUNCTION("""COMPUTED_VALUE"""),"Theory")</f>
        <v>Theory</v>
      </c>
      <c r="M182" s="26"/>
      <c r="N182" s="26"/>
      <c r="O182" s="26"/>
      <c r="P182" s="26"/>
      <c r="Q182" s="26"/>
      <c r="R182" s="26"/>
    </row>
    <row r="183" ht="13.2" spans="1:18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IFERROR(__xludf.DUMMYFUNCTION("""COMPUTED_VALUE"""),"CS1574")</f>
        <v>CS1574</v>
      </c>
      <c r="E183" s="26" t="str">
        <f>IFERROR(__xludf.DUMMYFUNCTION("""COMPUTED_VALUE"""),"19CS574")</f>
        <v>19CS574</v>
      </c>
      <c r="F183" s="27" t="str">
        <f>IFERROR(__xludf.DUMMYFUNCTION("""COMPUTED_VALUE"""),"Advanced Class Design and Object-Oriented Techniques")</f>
        <v>Advanced Class Design and Object-Oriented Techniques</v>
      </c>
      <c r="G183" s="26" t="str">
        <f>IFERROR(__xludf.DUMMYFUNCTION("""COMPUTED_VALUE"""),"-")</f>
        <v>-</v>
      </c>
      <c r="H183" s="26">
        <f>IFERROR(__xludf.DUMMYFUNCTION("""COMPUTED_VALUE"""),3)</f>
        <v>3</v>
      </c>
      <c r="I183" s="26">
        <f>IFERROR(__xludf.DUMMYFUNCTION("""COMPUTED_VALUE"""),0)</f>
        <v>0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IFERROR(__xludf.DUMMYFUNCTION("""COMPUTED_VALUE"""),"Theory")</f>
        <v>Theory</v>
      </c>
      <c r="M183" s="26"/>
      <c r="N183" s="26"/>
      <c r="O183" s="26"/>
      <c r="P183" s="26"/>
      <c r="Q183" s="26"/>
      <c r="R183" s="26"/>
    </row>
    <row r="184" ht="13.2" spans="1:18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IFERROR(__xludf.DUMMYFUNCTION("""COMPUTED_VALUE"""),"CS1575")</f>
        <v>CS1575</v>
      </c>
      <c r="E184" s="26" t="str">
        <f>IFERROR(__xludf.DUMMYFUNCTION("""COMPUTED_VALUE"""),"19CS575")</f>
        <v>19CS575</v>
      </c>
      <c r="F184" s="27" t="str">
        <f>IFERROR(__xludf.DUMMYFUNCTION("""COMPUTED_VALUE"""),"Low-Code App Development")</f>
        <v>Low-Code App Development</v>
      </c>
      <c r="G184" s="26" t="str">
        <f>IFERROR(__xludf.DUMMYFUNCTION("""COMPUTED_VALUE"""),"-")</f>
        <v>-</v>
      </c>
      <c r="H184" s="26">
        <f>IFERROR(__xludf.DUMMYFUNCTION("""COMPUTED_VALUE"""),3)</f>
        <v>3</v>
      </c>
      <c r="I184" s="26">
        <f>IFERROR(__xludf.DUMMYFUNCTION("""COMPUTED_VALUE"""),0)</f>
        <v>0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IFERROR(__xludf.DUMMYFUNCTION("""COMPUTED_VALUE"""),"Theory")</f>
        <v>Theory</v>
      </c>
      <c r="M184" s="26"/>
      <c r="N184" s="26"/>
      <c r="O184" s="26"/>
      <c r="P184" s="26"/>
      <c r="Q184" s="26"/>
      <c r="R184" s="26"/>
    </row>
    <row r="185" ht="13.2" spans="1:18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IFERROR(__xludf.DUMMYFUNCTION("""COMPUTED_VALUE"""),"CS1577")</f>
        <v>CS1577</v>
      </c>
      <c r="E185" s="26" t="str">
        <f>IFERROR(__xludf.DUMMYFUNCTION("""COMPUTED_VALUE"""),"19CS577")</f>
        <v>19CS577</v>
      </c>
      <c r="F185" s="27" t="str">
        <f>IFERROR(__xludf.DUMMYFUNCTION("""COMPUTED_VALUE"""),"Cloud System Administration")</f>
        <v>Cloud System Administration</v>
      </c>
      <c r="G185" s="26" t="str">
        <f>IFERROR(__xludf.DUMMYFUNCTION("""COMPUTED_VALUE"""),"-")</f>
        <v>-</v>
      </c>
      <c r="H185" s="26">
        <f>IFERROR(__xludf.DUMMYFUNCTION("""COMPUTED_VALUE"""),3)</f>
        <v>3</v>
      </c>
      <c r="I185" s="26">
        <f>IFERROR(__xludf.DUMMYFUNCTION("""COMPUTED_VALUE"""),0)</f>
        <v>0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IFERROR(__xludf.DUMMYFUNCTION("""COMPUTED_VALUE"""),"Theory")</f>
        <v>Theory</v>
      </c>
      <c r="M185" s="26"/>
      <c r="N185" s="26"/>
      <c r="O185" s="26"/>
      <c r="P185" s="26"/>
      <c r="Q185" s="26"/>
      <c r="R185" s="26"/>
    </row>
    <row r="186" ht="13.2" spans="1:18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IFERROR(__xludf.DUMMYFUNCTION("""COMPUTED_VALUE"""),"CS1578")</f>
        <v>CS1578</v>
      </c>
      <c r="E186" s="26" t="str">
        <f>IFERROR(__xludf.DUMMYFUNCTION("""COMPUTED_VALUE"""),"19CS578")</f>
        <v>19CS578</v>
      </c>
      <c r="F186" s="27" t="str">
        <f>IFERROR(__xludf.DUMMYFUNCTION("""COMPUTED_VALUE"""),"Machine Learning Operations")</f>
        <v>Machine Learning Operations</v>
      </c>
      <c r="G186" s="26" t="str">
        <f>IFERROR(__xludf.DUMMYFUNCTION("""COMPUTED_VALUE"""),"-")</f>
        <v>-</v>
      </c>
      <c r="H186" s="26">
        <f>IFERROR(__xludf.DUMMYFUNCTION("""COMPUTED_VALUE"""),3)</f>
        <v>3</v>
      </c>
      <c r="I186" s="26">
        <f>IFERROR(__xludf.DUMMYFUNCTION("""COMPUTED_VALUE"""),0)</f>
        <v>0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IFERROR(__xludf.DUMMYFUNCTION("""COMPUTED_VALUE"""),"Theory")</f>
        <v>Theory</v>
      </c>
      <c r="M186" s="26"/>
      <c r="N186" s="26"/>
      <c r="O186" s="26"/>
      <c r="P186" s="26"/>
      <c r="Q186" s="26"/>
      <c r="R186" s="26"/>
    </row>
    <row r="187" ht="13.2" spans="1:18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IFERROR(__xludf.DUMMYFUNCTION("""COMPUTED_VALUE"""),"NA")</f>
        <v>NA</v>
      </c>
      <c r="E187" s="26" t="str">
        <f>IFERROR(__xludf.DUMMYFUNCTION("""COMPUTED_VALUE"""),"19EC414")</f>
        <v>19EC414</v>
      </c>
      <c r="F187" s="27" t="str">
        <f>IFERROR(__xludf.DUMMYFUNCTION("""COMPUTED_VALUE"""),"Embedded Systems")</f>
        <v>Embedded Systems</v>
      </c>
      <c r="G187" s="26" t="str">
        <f>IFERROR(__xludf.DUMMYFUNCTION("""COMPUTED_VALUE"""),"19EC408")</f>
        <v>19EC408</v>
      </c>
      <c r="H187" s="26">
        <f>IFERROR(__xludf.DUMMYFUNCTION("""COMPUTED_VALUE"""),2)</f>
        <v>2</v>
      </c>
      <c r="I187" s="26">
        <f>IFERROR(__xludf.DUMMYFUNCTION("""COMPUTED_VALUE"""),1)</f>
        <v>1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IFERROR(__xludf.DUMMYFUNCTION("""COMPUTED_VALUE"""),"TIP (6 Expts)")</f>
        <v>TIP (6 Expts)</v>
      </c>
      <c r="M187" s="26"/>
      <c r="N187" s="26"/>
      <c r="O187" s="26"/>
      <c r="P187" s="26"/>
      <c r="Q187" s="26"/>
      <c r="R187" s="26"/>
    </row>
    <row r="188" ht="13.2" spans="1:18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IFERROR(__xludf.DUMMYFUNCTION("""COMPUTED_VALUE"""),"NA")</f>
        <v>NA</v>
      </c>
      <c r="E188" s="26" t="str">
        <f>IFERROR(__xludf.DUMMYFUNCTION("""COMPUTED_VALUE"""),"19EC416")</f>
        <v>19EC416</v>
      </c>
      <c r="F188" s="27" t="str">
        <f>IFERROR(__xludf.DUMMYFUNCTION("""COMPUTED_VALUE"""),"Principles of Digital Signal Processing")</f>
        <v>Principles of Digital Signal Processing</v>
      </c>
      <c r="G188" s="26" t="str">
        <f>IFERROR(__xludf.DUMMYFUNCTION("""COMPUTED_VALUE"""),"19EC307")</f>
        <v>19EC307</v>
      </c>
      <c r="H188" s="26">
        <f>IFERROR(__xludf.DUMMYFUNCTION("""COMPUTED_VALUE"""),3)</f>
        <v>3</v>
      </c>
      <c r="I188" s="26">
        <f>IFERROR(__xludf.DUMMYFUNCTION("""COMPUTED_VALUE"""),0)</f>
        <v>0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IFERROR(__xludf.DUMMYFUNCTION("""COMPUTED_VALUE"""),"Theory")</f>
        <v>Theory</v>
      </c>
      <c r="M188" s="26"/>
      <c r="N188" s="26"/>
      <c r="O188" s="26"/>
      <c r="P188" s="26"/>
      <c r="Q188" s="26"/>
      <c r="R188" s="26"/>
    </row>
    <row r="189" ht="13.2" spans="1:18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IFERROR(__xludf.DUMMYFUNCTION("""COMPUTED_VALUE"""),"EC1503")</f>
        <v>EC1503</v>
      </c>
      <c r="E189" s="26" t="str">
        <f>IFERROR(__xludf.DUMMYFUNCTION("""COMPUTED_VALUE"""),"19EC503")</f>
        <v>19EC503</v>
      </c>
      <c r="F189" s="27" t="str">
        <f>IFERROR(__xludf.DUMMYFUNCTION("""COMPUTED_VALUE"""),"Digital Image Processing")</f>
        <v>Digital Image Processing</v>
      </c>
      <c r="G189" s="26" t="str">
        <f>IFERROR(__xludf.DUMMYFUNCTION("""COMPUTED_VALUE"""),"19EC409 / EC1409")</f>
        <v>19EC409 / EC1409</v>
      </c>
      <c r="H189" s="26">
        <f>IFERROR(__xludf.DUMMYFUNCTION("""COMPUTED_VALUE"""),3)</f>
        <v>3</v>
      </c>
      <c r="I189" s="26">
        <f>IFERROR(__xludf.DUMMYFUNCTION("""COMPUTED_VALUE"""),0)</f>
        <v>0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IFERROR(__xludf.DUMMYFUNCTION("""COMPUTED_VALUE"""),"Theory")</f>
        <v>Theory</v>
      </c>
      <c r="M189" s="26"/>
      <c r="N189" s="26"/>
      <c r="O189" s="26"/>
      <c r="P189" s="26"/>
      <c r="Q189" s="26"/>
      <c r="R189" s="26"/>
    </row>
    <row r="190" ht="13.2" spans="1:18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IFERROR(__xludf.DUMMYFUNCTION("""COMPUTED_VALUE"""),"NA")</f>
        <v>NA</v>
      </c>
      <c r="E190" s="26" t="str">
        <f>IFERROR(__xludf.DUMMYFUNCTION("""COMPUTED_VALUE"""),"19EC508")</f>
        <v>19EC508</v>
      </c>
      <c r="F190" s="27" t="str">
        <f>IFERROR(__xludf.DUMMYFUNCTION("""COMPUTED_VALUE"""),"Ad Hoc and Wireless Sensor Networks")</f>
        <v>Ad Hoc and Wireless Sensor Networks</v>
      </c>
      <c r="G190" s="26" t="str">
        <f>IFERROR(__xludf.DUMMYFUNCTION("""COMPUTED_VALUE"""),"19EC412")</f>
        <v>19EC412</v>
      </c>
      <c r="H190" s="26">
        <f>IFERROR(__xludf.DUMMYFUNCTION("""COMPUTED_VALUE"""),3)</f>
        <v>3</v>
      </c>
      <c r="I190" s="26">
        <f>IFERROR(__xludf.DUMMYFUNCTION("""COMPUTED_VALUE"""),0)</f>
        <v>0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IFERROR(__xludf.DUMMYFUNCTION("""COMPUTED_VALUE"""),"Theory")</f>
        <v>Theory</v>
      </c>
      <c r="M190" s="26"/>
      <c r="N190" s="26"/>
      <c r="O190" s="26"/>
      <c r="P190" s="26"/>
      <c r="Q190" s="26"/>
      <c r="R190" s="26"/>
    </row>
    <row r="191" ht="13.2" spans="1:18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IFERROR(__xludf.DUMMYFUNCTION("""COMPUTED_VALUE"""),"CS2408")</f>
        <v>CS2408</v>
      </c>
      <c r="E191" s="26" t="str">
        <f>IFERROR(__xludf.DUMMYFUNCTION("""COMPUTED_VALUE"""),"19IT408")</f>
        <v>19IT408</v>
      </c>
      <c r="F191" s="27" t="str">
        <f>IFERROR(__xludf.DUMMYFUNCTION("""COMPUTED_VALUE"""),"Distributed Computing")</f>
        <v>Distributed Computing</v>
      </c>
      <c r="G191" s="26" t="str">
        <f>IFERROR(__xludf.DUMMYFUNCTION("""COMPUTED_VALUE"""),"-")</f>
        <v>-</v>
      </c>
      <c r="H191" s="26">
        <f>IFERROR(__xludf.DUMMYFUNCTION("""COMPUTED_VALUE"""),3)</f>
        <v>3</v>
      </c>
      <c r="I191" s="26">
        <f>IFERROR(__xludf.DUMMYFUNCTION("""COMPUTED_VALUE"""),0)</f>
        <v>0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IFERROR(__xludf.DUMMYFUNCTION("""COMPUTED_VALUE"""),"Theory")</f>
        <v>Theory</v>
      </c>
      <c r="M191" s="26"/>
      <c r="N191" s="26"/>
      <c r="O191" s="26"/>
      <c r="P191" s="26"/>
      <c r="Q191" s="26"/>
      <c r="R191" s="26"/>
    </row>
    <row r="192" ht="13.2" spans="1:18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IFERROR(__xludf.DUMMYFUNCTION("""COMPUTED_VALUE"""),"CS2501")</f>
        <v>CS2501</v>
      </c>
      <c r="E192" s="26" t="str">
        <f>IFERROR(__xludf.DUMMYFUNCTION("""COMPUTED_VALUE"""),"19IT501")</f>
        <v>19IT501</v>
      </c>
      <c r="F192" s="27" t="str">
        <f>IFERROR(__xludf.DUMMYFUNCTION("""COMPUTED_VALUE"""),"Information Theory and Coding Techniques")</f>
        <v>Information Theory and Coding Techniques</v>
      </c>
      <c r="G192" s="26" t="str">
        <f>IFERROR(__xludf.DUMMYFUNCTION("""COMPUTED_VALUE"""),"-")</f>
        <v>-</v>
      </c>
      <c r="H192" s="26">
        <f>IFERROR(__xludf.DUMMYFUNCTION("""COMPUTED_VALUE"""),3)</f>
        <v>3</v>
      </c>
      <c r="I192" s="26">
        <f>IFERROR(__xludf.DUMMYFUNCTION("""COMPUTED_VALUE"""),0)</f>
        <v>0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IFERROR(__xludf.DUMMYFUNCTION("""COMPUTED_VALUE"""),"Theory")</f>
        <v>Theory</v>
      </c>
      <c r="M192" s="26"/>
      <c r="N192" s="26"/>
      <c r="O192" s="26"/>
      <c r="P192" s="26"/>
      <c r="Q192" s="26"/>
      <c r="R192" s="26"/>
    </row>
    <row r="193" ht="13.2" spans="1:18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IFERROR(__xludf.DUMMYFUNCTION("""COMPUTED_VALUE"""),"CS2502")</f>
        <v>CS2502</v>
      </c>
      <c r="E193" s="26" t="str">
        <f>IFERROR(__xludf.DUMMYFUNCTION("""COMPUTED_VALUE"""),"19IT502")</f>
        <v>19IT502</v>
      </c>
      <c r="F193" s="27" t="str">
        <f>IFERROR(__xludf.DUMMYFUNCTION("""COMPUTED_VALUE"""),"Enterprise Resource Planning")</f>
        <v>Enterprise Resource Planning</v>
      </c>
      <c r="G193" s="26" t="str">
        <f>IFERROR(__xludf.DUMMYFUNCTION("""COMPUTED_VALUE"""),"-")</f>
        <v>-</v>
      </c>
      <c r="H193" s="26">
        <f>IFERROR(__xludf.DUMMYFUNCTION("""COMPUTED_VALUE"""),3)</f>
        <v>3</v>
      </c>
      <c r="I193" s="26">
        <f>IFERROR(__xludf.DUMMYFUNCTION("""COMPUTED_VALUE"""),0)</f>
        <v>0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IFERROR(__xludf.DUMMYFUNCTION("""COMPUTED_VALUE"""),"Theory")</f>
        <v>Theory</v>
      </c>
      <c r="M193" s="26"/>
      <c r="N193" s="26"/>
      <c r="O193" s="26"/>
      <c r="P193" s="26"/>
      <c r="Q193" s="26"/>
      <c r="R193" s="26"/>
    </row>
    <row r="194" ht="13.2" spans="1:18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IFERROR(__xludf.DUMMYFUNCTION("""COMPUTED_VALUE"""),"CS2503")</f>
        <v>CS2503</v>
      </c>
      <c r="E194" s="26" t="str">
        <f>IFERROR(__xludf.DUMMYFUNCTION("""COMPUTED_VALUE"""),"19IT503")</f>
        <v>19IT503</v>
      </c>
      <c r="F194" s="27" t="str">
        <f>IFERROR(__xludf.DUMMYFUNCTION("""COMPUTED_VALUE"""),"User Interface Design")</f>
        <v>User Interface Design</v>
      </c>
      <c r="G194" s="26" t="str">
        <f>IFERROR(__xludf.DUMMYFUNCTION("""COMPUTED_VALUE"""),"-")</f>
        <v>-</v>
      </c>
      <c r="H194" s="26">
        <f>IFERROR(__xludf.DUMMYFUNCTION("""COMPUTED_VALUE"""),3)</f>
        <v>3</v>
      </c>
      <c r="I194" s="26">
        <f>IFERROR(__xludf.DUMMYFUNCTION("""COMPUTED_VALUE"""),0)</f>
        <v>0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IFERROR(__xludf.DUMMYFUNCTION("""COMPUTED_VALUE"""),"Theory")</f>
        <v>Theory</v>
      </c>
      <c r="M194" s="26"/>
      <c r="N194" s="26"/>
      <c r="O194" s="26"/>
      <c r="P194" s="26"/>
      <c r="Q194" s="26"/>
      <c r="R194" s="26"/>
    </row>
    <row r="195" ht="13.2" spans="1:18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IFERROR(__xludf.DUMMYFUNCTION("""COMPUTED_VALUE"""),"CS2504")</f>
        <v>CS2504</v>
      </c>
      <c r="E195" s="26" t="str">
        <f>IFERROR(__xludf.DUMMYFUNCTION("""COMPUTED_VALUE"""),"19IT504")</f>
        <v>19IT504</v>
      </c>
      <c r="F195" s="27" t="str">
        <f>IFERROR(__xludf.DUMMYFUNCTION("""COMPUTED_VALUE"""),"Information Storage Management")</f>
        <v>Information Storage Management</v>
      </c>
      <c r="G195" s="26" t="str">
        <f>IFERROR(__xludf.DUMMYFUNCTION("""COMPUTED_VALUE"""),"-")</f>
        <v>-</v>
      </c>
      <c r="H195" s="26">
        <f>IFERROR(__xludf.DUMMYFUNCTION("""COMPUTED_VALUE"""),3)</f>
        <v>3</v>
      </c>
      <c r="I195" s="26">
        <f>IFERROR(__xludf.DUMMYFUNCTION("""COMPUTED_VALUE"""),0)</f>
        <v>0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IFERROR(__xludf.DUMMYFUNCTION("""COMPUTED_VALUE"""),"Theory")</f>
        <v>Theory</v>
      </c>
      <c r="M195" s="26"/>
      <c r="N195" s="26"/>
      <c r="O195" s="26"/>
      <c r="P195" s="26"/>
      <c r="Q195" s="26"/>
      <c r="R195" s="26"/>
    </row>
    <row r="196" ht="13.2" spans="1:18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IFERROR(__xludf.DUMMYFUNCTION("""COMPUTED_VALUE"""),"CS2505")</f>
        <v>CS2505</v>
      </c>
      <c r="E196" s="26" t="str">
        <f>IFERROR(__xludf.DUMMYFUNCTION("""COMPUTED_VALUE"""),"19IT505")</f>
        <v>19IT505</v>
      </c>
      <c r="F196" s="27" t="str">
        <f>IFERROR(__xludf.DUMMYFUNCTION("""COMPUTED_VALUE"""),"Software Design Patterns")</f>
        <v>Software Design Patterns</v>
      </c>
      <c r="G196" s="26" t="str">
        <f>IFERROR(__xludf.DUMMYFUNCTION("""COMPUTED_VALUE"""),"-")</f>
        <v>-</v>
      </c>
      <c r="H196" s="26">
        <f>IFERROR(__xludf.DUMMYFUNCTION("""COMPUTED_VALUE"""),3)</f>
        <v>3</v>
      </c>
      <c r="I196" s="26">
        <f>IFERROR(__xludf.DUMMYFUNCTION("""COMPUTED_VALUE"""),0)</f>
        <v>0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IFERROR(__xludf.DUMMYFUNCTION("""COMPUTED_VALUE"""),"Theory")</f>
        <v>Theory</v>
      </c>
      <c r="M196" s="26"/>
      <c r="N196" s="26"/>
      <c r="O196" s="26"/>
      <c r="P196" s="26"/>
      <c r="Q196" s="26"/>
      <c r="R196" s="26"/>
    </row>
    <row r="197" ht="13.2" spans="1:18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IFERROR(__xludf.DUMMYFUNCTION("""COMPUTED_VALUE"""),"CS2506")</f>
        <v>CS2506</v>
      </c>
      <c r="E197" s="26" t="str">
        <f>IFERROR(__xludf.DUMMYFUNCTION("""COMPUTED_VALUE"""),"19IT506")</f>
        <v>19IT506</v>
      </c>
      <c r="F197" s="27" t="str">
        <f>IFERROR(__xludf.DUMMYFUNCTION("""COMPUTED_VALUE"""),"E-Learning Techniques")</f>
        <v>E-Learning Techniques</v>
      </c>
      <c r="G197" s="26" t="str">
        <f>IFERROR(__xludf.DUMMYFUNCTION("""COMPUTED_VALUE"""),"-")</f>
        <v>-</v>
      </c>
      <c r="H197" s="26">
        <f>IFERROR(__xludf.DUMMYFUNCTION("""COMPUTED_VALUE"""),3)</f>
        <v>3</v>
      </c>
      <c r="I197" s="26">
        <f>IFERROR(__xludf.DUMMYFUNCTION("""COMPUTED_VALUE"""),0)</f>
        <v>0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IFERROR(__xludf.DUMMYFUNCTION("""COMPUTED_VALUE"""),"Theory")</f>
        <v>Theory</v>
      </c>
      <c r="M197" s="26"/>
      <c r="N197" s="26"/>
      <c r="O197" s="26"/>
      <c r="P197" s="26"/>
      <c r="Q197" s="26"/>
      <c r="R197" s="26"/>
    </row>
    <row r="198" ht="13.2" spans="1:18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IFERROR(__xludf.DUMMYFUNCTION("""COMPUTED_VALUE"""),"CS2508")</f>
        <v>CS2508</v>
      </c>
      <c r="E198" s="26" t="str">
        <f>IFERROR(__xludf.DUMMYFUNCTION("""COMPUTED_VALUE"""),"19IT508")</f>
        <v>19IT508</v>
      </c>
      <c r="F198" s="27" t="str">
        <f>IFERROR(__xludf.DUMMYFUNCTION("""COMPUTED_VALUE"""),"TCP/IP Design and Implementation")</f>
        <v>TCP/IP Design and Implementation</v>
      </c>
      <c r="G198" s="26" t="str">
        <f>IFERROR(__xludf.DUMMYFUNCTION("""COMPUTED_VALUE"""),"-")</f>
        <v>-</v>
      </c>
      <c r="H198" s="26">
        <f>IFERROR(__xludf.DUMMYFUNCTION("""COMPUTED_VALUE"""),3)</f>
        <v>3</v>
      </c>
      <c r="I198" s="26">
        <f>IFERROR(__xludf.DUMMYFUNCTION("""COMPUTED_VALUE"""),0)</f>
        <v>0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IFERROR(__xludf.DUMMYFUNCTION("""COMPUTED_VALUE"""),"Theory")</f>
        <v>Theory</v>
      </c>
      <c r="M198" s="26"/>
      <c r="N198" s="26"/>
      <c r="O198" s="26"/>
      <c r="P198" s="26"/>
      <c r="Q198" s="26"/>
      <c r="R198" s="26"/>
    </row>
    <row r="199" ht="13.2" spans="1:18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IFERROR(__xludf.DUMMYFUNCTION("""COMPUTED_VALUE"""),"CS2509")</f>
        <v>CS2509</v>
      </c>
      <c r="E199" s="26" t="str">
        <f>IFERROR(__xludf.DUMMYFUNCTION("""COMPUTED_VALUE"""),"19IT509")</f>
        <v>19IT509</v>
      </c>
      <c r="F199" s="27" t="str">
        <f>IFERROR(__xludf.DUMMYFUNCTION("""COMPUTED_VALUE"""),"Advanced Algorithms")</f>
        <v>Advanced Algorithms</v>
      </c>
      <c r="G199" s="26" t="str">
        <f>IFERROR(__xludf.DUMMYFUNCTION("""COMPUTED_VALUE"""),"-")</f>
        <v>-</v>
      </c>
      <c r="H199" s="26">
        <f>IFERROR(__xludf.DUMMYFUNCTION("""COMPUTED_VALUE"""),3)</f>
        <v>3</v>
      </c>
      <c r="I199" s="26">
        <f>IFERROR(__xludf.DUMMYFUNCTION("""COMPUTED_VALUE"""),0)</f>
        <v>0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IFERROR(__xludf.DUMMYFUNCTION("""COMPUTED_VALUE"""),"Theory")</f>
        <v>Theory</v>
      </c>
      <c r="M199" s="26"/>
      <c r="N199" s="26"/>
      <c r="O199" s="26"/>
      <c r="P199" s="26"/>
      <c r="Q199" s="26"/>
      <c r="R199" s="26"/>
    </row>
    <row r="200" ht="13.2" spans="1:18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IFERROR(__xludf.DUMMYFUNCTION("""COMPUTED_VALUE"""),"CS2510")</f>
        <v>CS2510</v>
      </c>
      <c r="E200" s="26" t="str">
        <f>IFERROR(__xludf.DUMMYFUNCTION("""COMPUTED_VALUE"""),"19IT510")</f>
        <v>19IT510</v>
      </c>
      <c r="F200" s="27" t="str">
        <f>IFERROR(__xludf.DUMMYFUNCTION("""COMPUTED_VALUE"""),"Ethical Hacking")</f>
        <v>Ethical Hacking</v>
      </c>
      <c r="G200" s="26" t="str">
        <f>IFERROR(__xludf.DUMMYFUNCTION("""COMPUTED_VALUE"""),"-")</f>
        <v>-</v>
      </c>
      <c r="H200" s="26">
        <f>IFERROR(__xludf.DUMMYFUNCTION("""COMPUTED_VALUE"""),3)</f>
        <v>3</v>
      </c>
      <c r="I200" s="26">
        <f>IFERROR(__xludf.DUMMYFUNCTION("""COMPUTED_VALUE"""),0)</f>
        <v>0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IFERROR(__xludf.DUMMYFUNCTION("""COMPUTED_VALUE"""),"Theory")</f>
        <v>Theory</v>
      </c>
      <c r="M200" s="26"/>
      <c r="N200" s="26"/>
      <c r="O200" s="26"/>
      <c r="P200" s="26"/>
      <c r="Q200" s="26"/>
      <c r="R200" s="26"/>
    </row>
    <row r="201" ht="13.2" spans="1:18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IFERROR(__xludf.DUMMYFUNCTION("""COMPUTED_VALUE"""),"CS2511")</f>
        <v>CS2511</v>
      </c>
      <c r="E201" s="26" t="str">
        <f>IFERROR(__xludf.DUMMYFUNCTION("""COMPUTED_VALUE"""),"19IT511")</f>
        <v>19IT511</v>
      </c>
      <c r="F201" s="27" t="str">
        <f>IFERROR(__xludf.DUMMYFUNCTION("""COMPUTED_VALUE"""),"DHTML and XML")</f>
        <v>DHTML and XML</v>
      </c>
      <c r="G201" s="26" t="str">
        <f>IFERROR(__xludf.DUMMYFUNCTION("""COMPUTED_VALUE"""),"-")</f>
        <v>-</v>
      </c>
      <c r="H201" s="26">
        <f>IFERROR(__xludf.DUMMYFUNCTION("""COMPUTED_VALUE"""),3)</f>
        <v>3</v>
      </c>
      <c r="I201" s="26">
        <f>IFERROR(__xludf.DUMMYFUNCTION("""COMPUTED_VALUE"""),0)</f>
        <v>0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IFERROR(__xludf.DUMMYFUNCTION("""COMPUTED_VALUE"""),"Theory")</f>
        <v>Theory</v>
      </c>
      <c r="M201" s="26"/>
      <c r="N201" s="26"/>
      <c r="O201" s="26"/>
      <c r="P201" s="26"/>
      <c r="Q201" s="26"/>
      <c r="R201" s="26"/>
    </row>
    <row r="202" ht="13.2" spans="1:18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IFERROR(__xludf.DUMMYFUNCTION("""COMPUTED_VALUE"""),"CS2512")</f>
        <v>CS2512</v>
      </c>
      <c r="E202" s="26" t="str">
        <f>IFERROR(__xludf.DUMMYFUNCTION("""COMPUTED_VALUE"""),"19IT512")</f>
        <v>19IT512</v>
      </c>
      <c r="F202" s="27" t="str">
        <f>IFERROR(__xludf.DUMMYFUNCTION("""COMPUTED_VALUE"""),"E-Commerce")</f>
        <v>E-Commerce</v>
      </c>
      <c r="G202" s="26" t="str">
        <f>IFERROR(__xludf.DUMMYFUNCTION("""COMPUTED_VALUE"""),"-")</f>
        <v>-</v>
      </c>
      <c r="H202" s="26">
        <f>IFERROR(__xludf.DUMMYFUNCTION("""COMPUTED_VALUE"""),3)</f>
        <v>3</v>
      </c>
      <c r="I202" s="26">
        <f>IFERROR(__xludf.DUMMYFUNCTION("""COMPUTED_VALUE"""),0)</f>
        <v>0</v>
      </c>
      <c r="J202" s="26">
        <f>IFERROR(__xludf.DUMMYFUNCTION("""COMPUTED_VALUE"""),3)</f>
        <v>3</v>
      </c>
      <c r="K202" s="26" t="str">
        <f>IFERROR(__xludf.DUMMYFUNCTION("""COMPUTED_VALUE"""),"CGPA")</f>
        <v>CGPA</v>
      </c>
      <c r="L202" s="26" t="str">
        <f>IFERROR(__xludf.DUMMYFUNCTION("""COMPUTED_VALUE"""),"Theory")</f>
        <v>Theory</v>
      </c>
      <c r="M202" s="26"/>
      <c r="N202" s="26"/>
      <c r="O202" s="26"/>
      <c r="P202" s="26"/>
      <c r="Q202" s="26"/>
      <c r="R202" s="26"/>
    </row>
    <row r="203" ht="13.2" spans="1:18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IFERROR(__xludf.DUMMYFUNCTION("""COMPUTED_VALUE"""),"CS2513")</f>
        <v>CS2513</v>
      </c>
      <c r="E203" s="26" t="str">
        <f>IFERROR(__xludf.DUMMYFUNCTION("""COMPUTED_VALUE"""),"19IT513")</f>
        <v>19IT513</v>
      </c>
      <c r="F203" s="27" t="str">
        <f>IFERROR(__xludf.DUMMYFUNCTION("""COMPUTED_VALUE"""),"Free Open Source Software")</f>
        <v>Free Open Source Software</v>
      </c>
      <c r="G203" s="26" t="str">
        <f>IFERROR(__xludf.DUMMYFUNCTION("""COMPUTED_VALUE"""),"-")</f>
        <v>-</v>
      </c>
      <c r="H203" s="26">
        <f>IFERROR(__xludf.DUMMYFUNCTION("""COMPUTED_VALUE"""),3)</f>
        <v>3</v>
      </c>
      <c r="I203" s="26">
        <f>IFERROR(__xludf.DUMMYFUNCTION("""COMPUTED_VALUE"""),0)</f>
        <v>0</v>
      </c>
      <c r="J203" s="26">
        <f>IFERROR(__xludf.DUMMYFUNCTION("""COMPUTED_VALUE"""),3)</f>
        <v>3</v>
      </c>
      <c r="K203" s="26" t="str">
        <f>IFERROR(__xludf.DUMMYFUNCTION("""COMPUTED_VALUE"""),"CGPA")</f>
        <v>CGPA</v>
      </c>
      <c r="L203" s="26" t="str">
        <f>IFERROR(__xludf.DUMMYFUNCTION("""COMPUTED_VALUE"""),"Theory")</f>
        <v>Theory</v>
      </c>
      <c r="M203" s="26"/>
      <c r="N203" s="26"/>
      <c r="O203" s="26"/>
      <c r="P203" s="26"/>
      <c r="Q203" s="26"/>
      <c r="R203" s="26"/>
    </row>
    <row r="204" ht="13.2" spans="1:18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IFERROR(__xludf.DUMMYFUNCTION("""COMPUTED_VALUE"""),"CS2514")</f>
        <v>CS2514</v>
      </c>
      <c r="E204" s="26" t="str">
        <f>IFERROR(__xludf.DUMMYFUNCTION("""COMPUTED_VALUE"""),"19IT514")</f>
        <v>19IT514</v>
      </c>
      <c r="F204" s="27" t="str">
        <f>IFERROR(__xludf.DUMMYFUNCTION("""COMPUTED_VALUE"""),"Real Time Operating Systems")</f>
        <v>Real Time Operating Systems</v>
      </c>
      <c r="G204" s="26" t="str">
        <f>IFERROR(__xludf.DUMMYFUNCTION("""COMPUTED_VALUE"""),"-")</f>
        <v>-</v>
      </c>
      <c r="H204" s="26">
        <f>IFERROR(__xludf.DUMMYFUNCTION("""COMPUTED_VALUE"""),3)</f>
        <v>3</v>
      </c>
      <c r="I204" s="26">
        <f>IFERROR(__xludf.DUMMYFUNCTION("""COMPUTED_VALUE"""),0)</f>
        <v>0</v>
      </c>
      <c r="J204" s="26">
        <f>IFERROR(__xludf.DUMMYFUNCTION("""COMPUTED_VALUE"""),3)</f>
        <v>3</v>
      </c>
      <c r="K204" s="26" t="str">
        <f>IFERROR(__xludf.DUMMYFUNCTION("""COMPUTED_VALUE"""),"CGPA")</f>
        <v>CGPA</v>
      </c>
      <c r="L204" s="26" t="str">
        <f>IFERROR(__xludf.DUMMYFUNCTION("""COMPUTED_VALUE"""),"Theory")</f>
        <v>Theory</v>
      </c>
      <c r="M204" s="26"/>
      <c r="N204" s="26"/>
      <c r="O204" s="26"/>
      <c r="P204" s="26"/>
      <c r="Q204" s="26"/>
      <c r="R204" s="26"/>
    </row>
    <row r="205" ht="13.2" spans="1:18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IFERROR(__xludf.DUMMYFUNCTION("""COMPUTED_VALUE"""),"CS2515")</f>
        <v>CS2515</v>
      </c>
      <c r="E205" s="26" t="str">
        <f>IFERROR(__xludf.DUMMYFUNCTION("""COMPUTED_VALUE"""),"19IT515")</f>
        <v>19IT515</v>
      </c>
      <c r="F205" s="27" t="str">
        <f>IFERROR(__xludf.DUMMYFUNCTION("""COMPUTED_VALUE"""),"Software Agents")</f>
        <v>Software Agents</v>
      </c>
      <c r="G205" s="26" t="str">
        <f>IFERROR(__xludf.DUMMYFUNCTION("""COMPUTED_VALUE"""),"-")</f>
        <v>-</v>
      </c>
      <c r="H205" s="26">
        <f>IFERROR(__xludf.DUMMYFUNCTION("""COMPUTED_VALUE"""),3)</f>
        <v>3</v>
      </c>
      <c r="I205" s="26">
        <f>IFERROR(__xludf.DUMMYFUNCTION("""COMPUTED_VALUE"""),0)</f>
        <v>0</v>
      </c>
      <c r="J205" s="26">
        <f>IFERROR(__xludf.DUMMYFUNCTION("""COMPUTED_VALUE"""),3)</f>
        <v>3</v>
      </c>
      <c r="K205" s="26" t="str">
        <f>IFERROR(__xludf.DUMMYFUNCTION("""COMPUTED_VALUE"""),"CGPA")</f>
        <v>CGPA</v>
      </c>
      <c r="L205" s="26" t="str">
        <f>IFERROR(__xludf.DUMMYFUNCTION("""COMPUTED_VALUE"""),"Theory")</f>
        <v>Theory</v>
      </c>
      <c r="M205" s="26"/>
      <c r="N205" s="26"/>
      <c r="O205" s="26"/>
      <c r="P205" s="26"/>
      <c r="Q205" s="26"/>
      <c r="R205" s="26"/>
    </row>
    <row r="206" ht="13.2" spans="1:18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IFERROR(__xludf.DUMMYFUNCTION("""COMPUTED_VALUE"""),"CS2516")</f>
        <v>CS2516</v>
      </c>
      <c r="E206" s="26" t="str">
        <f>IFERROR(__xludf.DUMMYFUNCTION("""COMPUTED_VALUE"""),"19IT516")</f>
        <v>19IT516</v>
      </c>
      <c r="F206" s="27" t="str">
        <f>IFERROR(__xludf.DUMMYFUNCTION("""COMPUTED_VALUE"""),"Business Intelligence and Analytics")</f>
        <v>Business Intelligence and Analytics</v>
      </c>
      <c r="G206" s="26" t="str">
        <f>IFERROR(__xludf.DUMMYFUNCTION("""COMPUTED_VALUE"""),"-")</f>
        <v>-</v>
      </c>
      <c r="H206" s="26">
        <f>IFERROR(__xludf.DUMMYFUNCTION("""COMPUTED_VALUE"""),3)</f>
        <v>3</v>
      </c>
      <c r="I206" s="26">
        <f>IFERROR(__xludf.DUMMYFUNCTION("""COMPUTED_VALUE"""),0)</f>
        <v>0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IFERROR(__xludf.DUMMYFUNCTION("""COMPUTED_VALUE"""),"Theory")</f>
        <v>Theory</v>
      </c>
      <c r="M206" s="26"/>
      <c r="N206" s="26"/>
      <c r="O206" s="26"/>
      <c r="P206" s="26"/>
      <c r="Q206" s="26"/>
      <c r="R206" s="26"/>
    </row>
    <row r="207" ht="13.2" spans="1:18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IFERROR(__xludf.DUMMYFUNCTION("""COMPUTED_VALUE"""),"CS1536")</f>
        <v>CS1536</v>
      </c>
      <c r="E207" s="26" t="str">
        <f>IFERROR(__xludf.DUMMYFUNCTION("""COMPUTED_VALUE"""),"19CS536")</f>
        <v>19CS536</v>
      </c>
      <c r="F207" s="27" t="str">
        <f>IFERROR(__xludf.DUMMYFUNCTION("""COMPUTED_VALUE"""),"Firewalls and Intrusion Detection System")</f>
        <v>Firewalls and Intrusion Detection System</v>
      </c>
      <c r="G207" s="26" t="str">
        <f>IFERROR(__xludf.DUMMYFUNCTION("""COMPUTED_VALUE"""),"-")</f>
        <v>-</v>
      </c>
      <c r="H207" s="26">
        <f>IFERROR(__xludf.DUMMYFUNCTION("""COMPUTED_VALUE"""),2)</f>
        <v>2</v>
      </c>
      <c r="I207" s="26">
        <f>IFERROR(__xludf.DUMMYFUNCTION("""COMPUTED_VALUE"""),1)</f>
        <v>1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IFERROR(__xludf.DUMMYFUNCTION("""COMPUTED_VALUE"""),"TIP (6 Expts)")</f>
        <v>TIP (6 Expts)</v>
      </c>
      <c r="M207" s="26"/>
      <c r="N207" s="26"/>
      <c r="O207" s="26"/>
      <c r="P207" s="26"/>
      <c r="Q207" s="26"/>
      <c r="R207" s="26"/>
    </row>
    <row r="208" ht="13.2" spans="1:18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IFERROR(__xludf.DUMMYFUNCTION("""COMPUTED_VALUE"""),"CS4406")</f>
        <v>CS4406</v>
      </c>
      <c r="E208" s="26" t="str">
        <f>IFERROR(__xludf.DUMMYFUNCTION("""COMPUTED_VALUE"""),"19AM406")</f>
        <v>19AM406</v>
      </c>
      <c r="F208" s="26" t="str">
        <f>IFERROR(__xludf.DUMMYFUNCTION("""COMPUTED_VALUE"""),"Blockchain and Cryptocurrency")</f>
        <v>Blockchain and Cryptocurrency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IFERROR(__xludf.DUMMYFUNCTION("""COMPUTED_VALUE"""),0)</f>
        <v>0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  <c r="P208" s="26"/>
      <c r="Q208" s="26"/>
      <c r="R208" s="26"/>
    </row>
    <row r="209" ht="13.2" spans="1:18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IFERROR(__xludf.DUMMYFUNCTION("""COMPUTED_VALUE"""),"CS4407")</f>
        <v>CS4407</v>
      </c>
      <c r="E209" s="26" t="str">
        <f>IFERROR(__xludf.DUMMYFUNCTION("""COMPUTED_VALUE"""),"19AM407")</f>
        <v>19AM407</v>
      </c>
      <c r="F209" s="26" t="str">
        <f>IFERROR(__xludf.DUMMYFUNCTION("""COMPUTED_VALUE"""),"Cyber Forensics")</f>
        <v>Cyber Forensics</v>
      </c>
      <c r="G209" s="26" t="str">
        <f>IFERROR(__xludf.DUMMYFUNCTION("""COMPUTED_VALUE"""),"-")</f>
        <v>-</v>
      </c>
      <c r="H209" s="26">
        <f>IFERROR(__xludf.DUMMYFUNCTION("""COMPUTED_VALUE"""),3)</f>
        <v>3</v>
      </c>
      <c r="I209" s="26">
        <f>IFERROR(__xludf.DUMMYFUNCTION("""COMPUTED_VALUE"""),0)</f>
        <v>0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IFERROR(__xludf.DUMMYFUNCTION("""COMPUTED_VALUE"""),"Theory")</f>
        <v>Theory</v>
      </c>
      <c r="M209" s="26"/>
      <c r="N209" s="26"/>
      <c r="O209" s="26"/>
      <c r="P209" s="26"/>
      <c r="Q209" s="26"/>
      <c r="R209" s="26"/>
    </row>
    <row r="210" ht="13.2" spans="1:18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IFERROR(__xludf.DUMMYFUNCTION("""COMPUTED_VALUE"""),"CS4516")</f>
        <v>CS4516</v>
      </c>
      <c r="E210" s="26" t="str">
        <f>IFERROR(__xludf.DUMMYFUNCTION("""COMPUTED_VALUE"""),"19AM516")</f>
        <v>19AM516</v>
      </c>
      <c r="F210" s="27" t="str">
        <f>IFERROR(__xludf.DUMMYFUNCTION("""COMPUTED_VALUE"""),"Python Programming for IoT")</f>
        <v>Python Programming for IoT</v>
      </c>
      <c r="G210" s="26" t="str">
        <f>IFERROR(__xludf.DUMMYFUNCTION("""COMPUTED_VALUE"""),"-")</f>
        <v>-</v>
      </c>
      <c r="H210" s="26">
        <f>IFERROR(__xludf.DUMMYFUNCTION("""COMPUTED_VALUE"""),3)</f>
        <v>3</v>
      </c>
      <c r="I210" s="26">
        <f>IFERROR(__xludf.DUMMYFUNCTION("""COMPUTED_VALUE"""),0)</f>
        <v>0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IFERROR(__xludf.DUMMYFUNCTION("""COMPUTED_VALUE"""),"Theory")</f>
        <v>Theory</v>
      </c>
      <c r="M210" s="26"/>
      <c r="N210" s="26"/>
      <c r="O210" s="26"/>
      <c r="P210" s="26"/>
      <c r="Q210" s="26"/>
      <c r="R210" s="26"/>
    </row>
    <row r="211" ht="13.2" spans="1:18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IFERROR(__xludf.DUMMYFUNCTION("""COMPUTED_VALUE"""),"CS4517")</f>
        <v>CS4517</v>
      </c>
      <c r="E211" s="26" t="str">
        <f>IFERROR(__xludf.DUMMYFUNCTION("""COMPUTED_VALUE"""),"19AM517")</f>
        <v>19AM517</v>
      </c>
      <c r="F211" s="27" t="str">
        <f>IFERROR(__xludf.DUMMYFUNCTION("""COMPUTED_VALUE"""),"Applications of IoT in Robotics")</f>
        <v>Applications of IoT in Robotics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IFERROR(__xludf.DUMMYFUNCTION("""COMPUTED_VALUE"""),0)</f>
        <v>0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  <c r="P211" s="26"/>
      <c r="Q211" s="26"/>
      <c r="R211" s="26"/>
    </row>
    <row r="212" ht="13.2" spans="1:18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IFERROR(__xludf.DUMMYFUNCTION("""COMPUTED_VALUE"""),"CS4518")</f>
        <v>CS4518</v>
      </c>
      <c r="E212" s="26" t="str">
        <f>IFERROR(__xludf.DUMMYFUNCTION("""COMPUTED_VALUE"""),"19AM518")</f>
        <v>19AM518</v>
      </c>
      <c r="F212" s="27" t="str">
        <f>IFERROR(__xludf.DUMMYFUNCTION("""COMPUTED_VALUE"""),"Programming for IoT Boards")</f>
        <v>Programming for IoT Boards</v>
      </c>
      <c r="G212" s="26" t="str">
        <f>IFERROR(__xludf.DUMMYFUNCTION("""COMPUTED_VALUE"""),"-")</f>
        <v>-</v>
      </c>
      <c r="H212" s="26">
        <f>IFERROR(__xludf.DUMMYFUNCTION("""COMPUTED_VALUE"""),3)</f>
        <v>3</v>
      </c>
      <c r="I212" s="26">
        <f>IFERROR(__xludf.DUMMYFUNCTION("""COMPUTED_VALUE"""),0)</f>
        <v>0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IFERROR(__xludf.DUMMYFUNCTION("""COMPUTED_VALUE"""),"Theory")</f>
        <v>Theory</v>
      </c>
      <c r="M212" s="26"/>
      <c r="N212" s="26"/>
      <c r="O212" s="26"/>
      <c r="P212" s="26"/>
      <c r="Q212" s="26"/>
      <c r="R212" s="26"/>
    </row>
    <row r="213" ht="13.2" spans="1:18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IFERROR(__xludf.DUMMYFUNCTION("""COMPUTED_VALUE"""),"CS4519")</f>
        <v>CS4519</v>
      </c>
      <c r="E213" s="26" t="str">
        <f>IFERROR(__xludf.DUMMYFUNCTION("""COMPUTED_VALUE"""),"19AM519")</f>
        <v>19AM519</v>
      </c>
      <c r="F213" s="27" t="str">
        <f>IFERROR(__xludf.DUMMYFUNCTION("""COMPUTED_VALUE"""),"Design of Smart Cities")</f>
        <v>Design of Smart Cities</v>
      </c>
      <c r="G213" s="26" t="str">
        <f>IFERROR(__xludf.DUMMYFUNCTION("""COMPUTED_VALUE"""),"-")</f>
        <v>-</v>
      </c>
      <c r="H213" s="26">
        <f>IFERROR(__xludf.DUMMYFUNCTION("""COMPUTED_VALUE"""),3)</f>
        <v>3</v>
      </c>
      <c r="I213" s="26">
        <f>IFERROR(__xludf.DUMMYFUNCTION("""COMPUTED_VALUE"""),0)</f>
        <v>0</v>
      </c>
      <c r="J213" s="26">
        <f>IFERROR(__xludf.DUMMYFUNCTION("""COMPUTED_VALUE"""),3)</f>
        <v>3</v>
      </c>
      <c r="K213" s="26" t="str">
        <f>IFERROR(__xludf.DUMMYFUNCTION("""COMPUTED_VALUE"""),"CGPA")</f>
        <v>CGPA</v>
      </c>
      <c r="L213" s="26" t="str">
        <f>IFERROR(__xludf.DUMMYFUNCTION("""COMPUTED_VALUE"""),"Theory")</f>
        <v>Theory</v>
      </c>
      <c r="M213" s="26"/>
      <c r="N213" s="26"/>
      <c r="O213" s="26"/>
      <c r="P213" s="26"/>
      <c r="Q213" s="26"/>
      <c r="R213" s="26"/>
    </row>
    <row r="214" ht="13.2" spans="1:18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IFERROR(__xludf.DUMMYFUNCTION("""COMPUTED_VALUE"""),"CS4520")</f>
        <v>CS4520</v>
      </c>
      <c r="E214" s="26" t="str">
        <f>IFERROR(__xludf.DUMMYFUNCTION("""COMPUTED_VALUE"""),"19AM520")</f>
        <v>19AM520</v>
      </c>
      <c r="F214" s="27" t="str">
        <f>IFERROR(__xludf.DUMMYFUNCTION("""COMPUTED_VALUE"""),"IoT and Multimedia Technology")</f>
        <v>IoT and Multimedia Technology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IFERROR(__xludf.DUMMYFUNCTION("""COMPUTED_VALUE"""),0)</f>
        <v>0</v>
      </c>
      <c r="J214" s="26">
        <f>IFERROR(__xludf.DUMMYFUNCTION("""COMPUTED_VALUE"""),3)</f>
        <v>3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  <c r="P214" s="26"/>
      <c r="Q214" s="26"/>
      <c r="R214" s="26"/>
    </row>
    <row r="215" ht="13.2" spans="1:18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IFERROR(__xludf.DUMMYFUNCTION("""COMPUTED_VALUE"""),"CS4521")</f>
        <v>CS4521</v>
      </c>
      <c r="E215" s="26" t="str">
        <f>IFERROR(__xludf.DUMMYFUNCTION("""COMPUTED_VALUE"""),"19AM521")</f>
        <v>19AM521</v>
      </c>
      <c r="F215" s="27" t="str">
        <f>IFERROR(__xludf.DUMMYFUNCTION("""COMPUTED_VALUE"""),"Mobile Application Development for IoT")</f>
        <v>Mobile Application Development for IoT</v>
      </c>
      <c r="G215" s="26" t="str">
        <f>IFERROR(__xludf.DUMMYFUNCTION("""COMPUTED_VALUE"""),"-")</f>
        <v>-</v>
      </c>
      <c r="H215" s="26">
        <f>IFERROR(__xludf.DUMMYFUNCTION("""COMPUTED_VALUE"""),3)</f>
        <v>3</v>
      </c>
      <c r="I215" s="26">
        <f>IFERROR(__xludf.DUMMYFUNCTION("""COMPUTED_VALUE"""),0)</f>
        <v>0</v>
      </c>
      <c r="J215" s="26">
        <f>IFERROR(__xludf.DUMMYFUNCTION("""COMPUTED_VALUE"""),3)</f>
        <v>3</v>
      </c>
      <c r="K215" s="26" t="str">
        <f>IFERROR(__xludf.DUMMYFUNCTION("""COMPUTED_VALUE"""),"CGPA")</f>
        <v>CGPA</v>
      </c>
      <c r="L215" s="26" t="str">
        <f>IFERROR(__xludf.DUMMYFUNCTION("""COMPUTED_VALUE"""),"Theory")</f>
        <v>Theory</v>
      </c>
      <c r="M215" s="26"/>
      <c r="N215" s="26"/>
      <c r="O215" s="26"/>
      <c r="P215" s="26"/>
      <c r="Q215" s="26"/>
      <c r="R215" s="26"/>
    </row>
    <row r="216" ht="13.2" spans="1:18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IFERROR(__xludf.DUMMYFUNCTION("""COMPUTED_VALUE"""),"CS4522")</f>
        <v>CS4522</v>
      </c>
      <c r="E216" s="26" t="str">
        <f>IFERROR(__xludf.DUMMYFUNCTION("""COMPUTED_VALUE"""),"19AM522")</f>
        <v>19AM522</v>
      </c>
      <c r="F216" s="27" t="str">
        <f>IFERROR(__xludf.DUMMYFUNCTION("""COMPUTED_VALUE"""),"Open Source Programming for IoT")</f>
        <v>Open Source Programming for IoT</v>
      </c>
      <c r="G216" s="26" t="str">
        <f>IFERROR(__xludf.DUMMYFUNCTION("""COMPUTED_VALUE"""),"-")</f>
        <v>-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  <c r="P216" s="26"/>
      <c r="Q216" s="26"/>
      <c r="R216" s="26"/>
    </row>
    <row r="217" ht="13.2" spans="1:18">
      <c r="A217" s="26">
        <f>IFERROR(__xludf.DUMMYFUNCTION("""COMPUTED_VALUE"""),215)</f>
        <v>215</v>
      </c>
      <c r="B217" s="26"/>
      <c r="C217" s="26" t="str">
        <f>IFERROR(__xludf.DUMMYFUNCTION("""COMPUTED_VALUE"""),"OE")</f>
        <v>OE</v>
      </c>
      <c r="D217" s="26" t="str">
        <f>IFERROR(__xludf.DUMMYFUNCTION("""COMPUTED_VALUE"""),"XXXXXX")</f>
        <v>XXXXXX</v>
      </c>
      <c r="E217" s="26" t="str">
        <f>IFERROR(__xludf.DUMMYFUNCTION("""COMPUTED_VALUE"""),"19XXXXX")</f>
        <v>19XXXXX</v>
      </c>
      <c r="F217" s="26" t="str">
        <f>IFERROR(__xludf.DUMMYFUNCTION("""COMPUTED_VALUE"""),"Open Electives")</f>
        <v>Open Electives</v>
      </c>
      <c r="G217" s="26" t="str">
        <f>IFERROR(__xludf.DUMMYFUNCTION("""COMPUTED_VALUE"""),"-")</f>
        <v>-</v>
      </c>
      <c r="H217" s="26">
        <f>IFERROR(__xludf.DUMMYFUNCTION("""COMPUTED_VALUE"""),0)</f>
        <v>0</v>
      </c>
      <c r="I217" s="26">
        <f>IFERROR(__xludf.DUMMYFUNCTION("""COMPUTED_VALUE"""),0)</f>
        <v>0</v>
      </c>
      <c r="J217" s="26">
        <f>IFERROR(__xludf.DUMMYFUNCTION("""COMPUTED_VALUE"""),0)</f>
        <v>0</v>
      </c>
      <c r="K217" s="26" t="str">
        <f>IFERROR(__xludf.DUMMYFUNCTION("""COMPUTED_VALUE"""),"CGPA")</f>
        <v>CGPA</v>
      </c>
      <c r="L217" s="26" t="str">
        <f>IFERROR(__xludf.DUMMYFUNCTION("""COMPUTED_VALUE"""),"Theory")</f>
        <v>Theory</v>
      </c>
      <c r="M217" s="26"/>
      <c r="N217" s="26"/>
      <c r="O217" s="26"/>
      <c r="P217" s="26"/>
      <c r="Q217" s="26"/>
      <c r="R217" s="26"/>
    </row>
    <row r="218" ht="13.2" spans="1:18">
      <c r="A218" s="26">
        <f>IFERROR(__xludf.DUMMYFUNCTION("""COMPUTED_VALUE"""),216)</f>
        <v>216</v>
      </c>
      <c r="B218" s="26"/>
      <c r="C218" s="26" t="str">
        <f>IFERROR(__xludf.DUMMYFUNCTION("""COMPUTED_VALUE"""),"OE")</f>
        <v>OE</v>
      </c>
      <c r="D218" s="26" t="str">
        <f>IFERROR(__xludf.DUMMYFUNCTION("""COMPUTED_VALUE"""),"XXXXXX")</f>
        <v>XXXXXX</v>
      </c>
      <c r="E218" s="26" t="str">
        <f>IFERROR(__xludf.DUMMYFUNCTION("""COMPUTED_VALUE"""),"19XXXXX")</f>
        <v>19XXXXX</v>
      </c>
      <c r="F218" s="26" t="str">
        <f>IFERROR(__xludf.DUMMYFUNCTION("""COMPUTED_VALUE"""),"Online Courses")</f>
        <v>Online Courses</v>
      </c>
      <c r="G218" s="26" t="str">
        <f>IFERROR(__xludf.DUMMYFUNCTION("""COMPUTED_VALUE"""),"-")</f>
        <v>-</v>
      </c>
      <c r="H218" s="26">
        <f>IFERROR(__xludf.DUMMYFUNCTION("""COMPUTED_VALUE"""),0)</f>
        <v>0</v>
      </c>
      <c r="I218" s="26">
        <f>IFERROR(__xludf.DUMMYFUNCTION("""COMPUTED_VALUE"""),0)</f>
        <v>0</v>
      </c>
      <c r="J218" s="26">
        <f>IFERROR(__xludf.DUMMYFUNCTION("""COMPUTED_VALUE"""),0)</f>
        <v>0</v>
      </c>
      <c r="K218" s="26" t="str">
        <f>IFERROR(__xludf.DUMMYFUNCTION("""COMPUTED_VALUE"""),"CGPA")</f>
        <v>CGPA</v>
      </c>
      <c r="L218" s="26" t="str">
        <f>IFERROR(__xludf.DUMMYFUNCTION("""COMPUTED_VALUE"""),"Experiential Learning")</f>
        <v>Experiential Learning</v>
      </c>
      <c r="M218" s="26"/>
      <c r="N218" s="26"/>
      <c r="O218" s="26"/>
      <c r="P218" s="26"/>
      <c r="Q218" s="26"/>
      <c r="R218" s="26"/>
    </row>
    <row r="219" ht="13.2" spans="1:18">
      <c r="A219" s="26">
        <f>IFERROR(__xludf.DUMMYFUNCTION("""COMPUTED_VALUE"""),217)</f>
        <v>217</v>
      </c>
      <c r="B219" s="26"/>
      <c r="C219" s="26" t="str">
        <f>IFERROR(__xludf.DUMMYFUNCTION("""COMPUTED_VALUE"""),"EEC")</f>
        <v>EEC</v>
      </c>
      <c r="D219" s="26" t="str">
        <f>IFERROR(__xludf.DUMMYFUNCTION("""COMPUTED_VALUE"""),"CS2701")</f>
        <v>CS2701</v>
      </c>
      <c r="E219" s="26" t="str">
        <f>IFERROR(__xludf.DUMMYFUNCTION("""COMPUTED_VALUE"""),"19IT701")</f>
        <v>19IT701</v>
      </c>
      <c r="F219" s="27" t="str">
        <f>IFERROR(__xludf.DUMMYFUNCTION("""COMPUTED_VALUE"""),"Mini Project")</f>
        <v>Mini Project</v>
      </c>
      <c r="G219" s="26" t="str">
        <f>IFERROR(__xludf.DUMMYFUNCTION("""COMPUTED_VALUE"""),"-")</f>
        <v>-</v>
      </c>
      <c r="H219" s="26">
        <f>IFERROR(__xludf.DUMMYFUNCTION("""COMPUTED_VALUE"""),0)</f>
        <v>0</v>
      </c>
      <c r="I219" s="26">
        <f>IFERROR(__xludf.DUMMYFUNCTION("""COMPUTED_VALUE"""),2)</f>
        <v>2</v>
      </c>
      <c r="J219" s="26">
        <f>IFERROR(__xludf.DUMMYFUNCTION("""COMPUTED_VALUE"""),2)</f>
        <v>2</v>
      </c>
      <c r="K219" s="26" t="str">
        <f>IFERROR(__xludf.DUMMYFUNCTION("""COMPUTED_VALUE"""),"CGPA")</f>
        <v>CGPA</v>
      </c>
      <c r="L219" s="26" t="str">
        <f>IFERROR(__xludf.DUMMYFUNCTION("""COMPUTED_VALUE"""),"Project (Int Only)")</f>
        <v>Project (Int Only)</v>
      </c>
      <c r="M219" s="26"/>
      <c r="N219" s="26"/>
      <c r="O219" s="26"/>
      <c r="P219" s="26"/>
      <c r="Q219" s="26"/>
      <c r="R219" s="26"/>
    </row>
    <row r="220" ht="13.2" spans="1:18">
      <c r="A220" s="26">
        <f>IFERROR(__xludf.DUMMYFUNCTION("""COMPUTED_VALUE"""),218)</f>
        <v>218</v>
      </c>
      <c r="B220" s="26"/>
      <c r="C220" s="26" t="str">
        <f>IFERROR(__xludf.DUMMYFUNCTION("""COMPUTED_VALUE"""),"EEC")</f>
        <v>EEC</v>
      </c>
      <c r="D220" s="26" t="str">
        <f>IFERROR(__xludf.DUMMYFUNCTION("""COMPUTED_VALUE"""),"CS2702")</f>
        <v>CS2702</v>
      </c>
      <c r="E220" s="26" t="str">
        <f>IFERROR(__xludf.DUMMYFUNCTION("""COMPUTED_VALUE"""),"19IT702")</f>
        <v>19IT702</v>
      </c>
      <c r="F220" s="27" t="str">
        <f>IFERROR(__xludf.DUMMYFUNCTION("""COMPUTED_VALUE"""),"Project Work Phase I")</f>
        <v>Project Work Phase I</v>
      </c>
      <c r="G220" s="26" t="str">
        <f>IFERROR(__xludf.DUMMYFUNCTION("""COMPUTED_VALUE"""),"-")</f>
        <v>-</v>
      </c>
      <c r="H220" s="26">
        <f>IFERROR(__xludf.DUMMYFUNCTION("""COMPUTED_VALUE"""),0)</f>
        <v>0</v>
      </c>
      <c r="I220" s="26">
        <f>IFERROR(__xludf.DUMMYFUNCTION("""COMPUTED_VALUE"""),2)</f>
        <v>2</v>
      </c>
      <c r="J220" s="26">
        <f>IFERROR(__xludf.DUMMYFUNCTION("""COMPUTED_VALUE"""),2)</f>
        <v>2</v>
      </c>
      <c r="K220" s="26" t="str">
        <f>IFERROR(__xludf.DUMMYFUNCTION("""COMPUTED_VALUE"""),"CGPA")</f>
        <v>CGPA</v>
      </c>
      <c r="L220" s="26" t="str">
        <f>IFERROR(__xludf.DUMMYFUNCTION("""COMPUTED_VALUE"""),"Project (Int Only)")</f>
        <v>Project (Int Only)</v>
      </c>
      <c r="M220" s="26"/>
      <c r="N220" s="26"/>
      <c r="O220" s="26"/>
      <c r="P220" s="26"/>
      <c r="Q220" s="26"/>
      <c r="R220" s="26"/>
    </row>
    <row r="221" ht="13.2" spans="1:18">
      <c r="A221" s="26">
        <f>IFERROR(__xludf.DUMMYFUNCTION("""COMPUTED_VALUE"""),219)</f>
        <v>219</v>
      </c>
      <c r="B221" s="26"/>
      <c r="C221" s="26" t="str">
        <f>IFERROR(__xludf.DUMMYFUNCTION("""COMPUTED_VALUE"""),"EEC")</f>
        <v>EEC</v>
      </c>
      <c r="D221" s="26" t="str">
        <f>IFERROR(__xludf.DUMMYFUNCTION("""COMPUTED_VALUE"""),"CS2703")</f>
        <v>CS2703</v>
      </c>
      <c r="E221" s="26" t="str">
        <f>IFERROR(__xludf.DUMMYFUNCTION("""COMPUTED_VALUE"""),"19IT703")</f>
        <v>19IT703</v>
      </c>
      <c r="F221" s="27" t="str">
        <f>IFERROR(__xludf.DUMMYFUNCTION("""COMPUTED_VALUE"""),"Project Work Phase II")</f>
        <v>Project Work Phase II</v>
      </c>
      <c r="G221" s="26" t="str">
        <f>IFERROR(__xludf.DUMMYFUNCTION("""COMPUTED_VALUE"""),"19CS702")</f>
        <v>19CS702</v>
      </c>
      <c r="H221" s="26">
        <f>IFERROR(__xludf.DUMMYFUNCTION("""COMPUTED_VALUE"""),0)</f>
        <v>0</v>
      </c>
      <c r="I221" s="26">
        <f>IFERROR(__xludf.DUMMYFUNCTION("""COMPUTED_VALUE"""),6)</f>
        <v>6</v>
      </c>
      <c r="J221" s="26">
        <f>IFERROR(__xludf.DUMMYFUNCTION("""COMPUTED_VALUE"""),6)</f>
        <v>6</v>
      </c>
      <c r="K221" s="26" t="str">
        <f>IFERROR(__xludf.DUMMYFUNCTION("""COMPUTED_VALUE"""),"CGPA")</f>
        <v>CGPA</v>
      </c>
      <c r="L221" s="26" t="str">
        <f>IFERROR(__xludf.DUMMYFUNCTION("""COMPUTED_VALUE"""),"Project")</f>
        <v>Project</v>
      </c>
      <c r="M221" s="26"/>
      <c r="N221" s="26"/>
      <c r="O221" s="26"/>
      <c r="P221" s="26"/>
      <c r="Q221" s="26"/>
      <c r="R221" s="26"/>
    </row>
    <row r="222" ht="13.2" spans="1:18">
      <c r="A222" s="26">
        <f>IFERROR(__xludf.DUMMYFUNCTION("""COMPUTED_VALUE"""),220)</f>
        <v>220</v>
      </c>
      <c r="B222" s="26" t="str">
        <f>IFERROR(__xludf.DUMMYFUNCTION("""COMPUTED_VALUE"""),"Any 1")</f>
        <v>Any 1</v>
      </c>
      <c r="C222" s="26" t="str">
        <f>IFERROR(__xludf.DUMMYFUNCTION("""COMPUTED_VALUE"""),"EEC")</f>
        <v>EEC</v>
      </c>
      <c r="D222" s="26" t="str">
        <f>IFERROR(__xludf.DUMMYFUNCTION("""COMPUTED_VALUE"""),"NA")</f>
        <v>NA</v>
      </c>
      <c r="E222" s="26" t="str">
        <f>IFERROR(__xludf.DUMMYFUNCTION("""COMPUTED_VALUE"""),"19EY701")</f>
        <v>19EY701</v>
      </c>
      <c r="F222" s="27" t="str">
        <f>IFERROR(__xludf.DUMMYFUNCTION("""COMPUTED_VALUE"""),"Softskills")</f>
        <v>Softskills</v>
      </c>
      <c r="G222" s="26" t="str">
        <f>IFERROR(__xludf.DUMMYFUNCTION("""COMPUTED_VALUE"""),"-")</f>
        <v>-</v>
      </c>
      <c r="H222" s="26">
        <f>IFERROR(__xludf.DUMMYFUNCTION("""COMPUTED_VALUE"""),0)</f>
        <v>0</v>
      </c>
      <c r="I222" s="26">
        <f>IFERROR(__xludf.DUMMYFUNCTION("""COMPUTED_VALUE"""),1)</f>
        <v>1</v>
      </c>
      <c r="J222" s="26">
        <f>IFERROR(__xludf.DUMMYFUNCTION("""COMPUTED_VALUE"""),1)</f>
        <v>1</v>
      </c>
      <c r="K222" s="26" t="str">
        <f>IFERROR(__xludf.DUMMYFUNCTION("""COMPUTED_VALUE"""),"CGPA")</f>
        <v>CGPA</v>
      </c>
      <c r="L222" s="26" t="str">
        <f>IFERROR(__xludf.DUMMYFUNCTION("""COMPUTED_VALUE"""),"Practical (6 Expts)")</f>
        <v>Practical (6 Expts)</v>
      </c>
      <c r="M222" s="26"/>
      <c r="N222" s="26"/>
      <c r="O222" s="26"/>
      <c r="P222" s="26"/>
      <c r="Q222" s="26"/>
      <c r="R222" s="26"/>
    </row>
    <row r="223" ht="13.2" spans="1:18">
      <c r="A223" s="26">
        <f>IFERROR(__xludf.DUMMYFUNCTION("""COMPUTED_VALUE"""),221)</f>
        <v>221</v>
      </c>
      <c r="B223" s="26" t="str">
        <f>IFERROR(__xludf.DUMMYFUNCTION("""COMPUTED_VALUE"""),"Any 1")</f>
        <v>Any 1</v>
      </c>
      <c r="C223" s="26" t="str">
        <f>IFERROR(__xludf.DUMMYFUNCTION("""COMPUTED_VALUE"""),"EEC")</f>
        <v>EEC</v>
      </c>
      <c r="D223" s="26" t="str">
        <f>IFERROR(__xludf.DUMMYFUNCTION("""COMPUTED_VALUE"""),"SH6708")</f>
        <v>SH6708</v>
      </c>
      <c r="E223" s="26" t="str">
        <f>IFERROR(__xludf.DUMMYFUNCTION("""COMPUTED_VALUE"""),"19EY708")</f>
        <v>19EY708</v>
      </c>
      <c r="F223" s="27" t="str">
        <f>IFERROR(__xludf.DUMMYFUNCTION("""COMPUTED_VALUE"""),"Career Development Skills")</f>
        <v>Career Development Skills</v>
      </c>
      <c r="G223" s="26" t="str">
        <f>IFERROR(__xludf.DUMMYFUNCTION("""COMPUTED_VALUE"""),"NIL")</f>
        <v>NIL</v>
      </c>
      <c r="H223" s="26">
        <f>IFERROR(__xludf.DUMMYFUNCTION("""COMPUTED_VALUE"""),1)</f>
        <v>1</v>
      </c>
      <c r="I223" s="26">
        <f>IFERROR(__xludf.DUMMYFUNCTION("""COMPUTED_VALUE"""),0)</f>
        <v>0</v>
      </c>
      <c r="J223" s="26">
        <f>IFERROR(__xludf.DUMMYFUNCTION("""COMPUTED_VALUE"""),1)</f>
        <v>1</v>
      </c>
      <c r="K223" s="26" t="str">
        <f>IFERROR(__xludf.DUMMYFUNCTION("""COMPUTED_VALUE"""),"CGPA")</f>
        <v>CGPA</v>
      </c>
      <c r="L223" s="26" t="str">
        <f>IFERROR(__xludf.DUMMYFUNCTION("""COMPUTED_VALUE"""),"Theory (Int Only)")</f>
        <v>Theory (Int Only)</v>
      </c>
      <c r="M223" s="26"/>
      <c r="N223" s="26"/>
      <c r="O223" s="26"/>
      <c r="P223" s="26"/>
      <c r="Q223" s="26"/>
      <c r="R223" s="26"/>
    </row>
    <row r="224" ht="13.2" spans="1:18">
      <c r="A224" s="26">
        <f>IFERROR(__xludf.DUMMYFUNCTION("""COMPUTED_VALUE"""),222)</f>
        <v>222</v>
      </c>
      <c r="B224" s="26" t="str">
        <f>IFERROR(__xludf.DUMMYFUNCTION("""COMPUTED_VALUE"""),"Any 1")</f>
        <v>Any 1</v>
      </c>
      <c r="C224" s="26" t="str">
        <f>IFERROR(__xludf.DUMMYFUNCTION("""COMPUTED_VALUE"""),"EEC")</f>
        <v>EEC</v>
      </c>
      <c r="D224" s="26" t="str">
        <f>IFERROR(__xludf.DUMMYFUNCTION("""COMPUTED_VALUE"""),"NA")</f>
        <v>NA</v>
      </c>
      <c r="E224" s="26" t="str">
        <f>IFERROR(__xludf.DUMMYFUNCTION("""COMPUTED_VALUE"""),"19EY702")</f>
        <v>19EY702</v>
      </c>
      <c r="F224" s="27" t="str">
        <f>IFERROR(__xludf.DUMMYFUNCTION("""COMPUTED_VALUE"""),"Creative Skills for Communication")</f>
        <v>Creative Skills for Communication</v>
      </c>
      <c r="G224" s="26" t="str">
        <f>IFERROR(__xludf.DUMMYFUNCTION("""COMPUTED_VALUE"""),"-")</f>
        <v>-</v>
      </c>
      <c r="H224" s="26">
        <f>IFERROR(__xludf.DUMMYFUNCTION("""COMPUTED_VALUE"""),0)</f>
        <v>0</v>
      </c>
      <c r="I224" s="26">
        <f>IFERROR(__xludf.DUMMYFUNCTION("""COMPUTED_VALUE"""),1)</f>
        <v>1</v>
      </c>
      <c r="J224" s="26">
        <f>IFERROR(__xludf.DUMMYFUNCTION("""COMPUTED_VALUE"""),1)</f>
        <v>1</v>
      </c>
      <c r="K224" s="26" t="str">
        <f>IFERROR(__xludf.DUMMYFUNCTION("""COMPUTED_VALUE"""),"CGPA")</f>
        <v>CGPA</v>
      </c>
      <c r="L224" s="26" t="str">
        <f>IFERROR(__xludf.DUMMYFUNCTION("""COMPUTED_VALUE"""),"Practical (6 Expts)")</f>
        <v>Practical (6 Expts)</v>
      </c>
      <c r="M224" s="26"/>
      <c r="N224" s="26"/>
      <c r="O224" s="26"/>
      <c r="P224" s="26"/>
      <c r="Q224" s="26"/>
      <c r="R224" s="26"/>
    </row>
    <row r="225" ht="13.2" spans="1:18">
      <c r="A225" s="26">
        <f>IFERROR(__xludf.DUMMYFUNCTION("""COMPUTED_VALUE"""),223)</f>
        <v>223</v>
      </c>
      <c r="B225" s="26" t="str">
        <f>IFERROR(__xludf.DUMMYFUNCTION("""COMPUTED_VALUE"""),"Any 1")</f>
        <v>Any 1</v>
      </c>
      <c r="C225" s="26" t="str">
        <f>IFERROR(__xludf.DUMMYFUNCTION("""COMPUTED_VALUE"""),"EEC")</f>
        <v>EEC</v>
      </c>
      <c r="D225" s="26" t="str">
        <f>IFERROR(__xludf.DUMMYFUNCTION("""COMPUTED_VALUE"""),"SH6709")</f>
        <v>SH6709</v>
      </c>
      <c r="E225" s="26" t="str">
        <f>IFERROR(__xludf.DUMMYFUNCTION("""COMPUTED_VALUE"""),"19EY709")</f>
        <v>19EY709</v>
      </c>
      <c r="F225" s="27" t="str">
        <f>IFERROR(__xludf.DUMMYFUNCTION("""COMPUTED_VALUE"""),"Reasoning Ability")</f>
        <v>Reasoning Ability</v>
      </c>
      <c r="G225" s="26" t="str">
        <f>IFERROR(__xludf.DUMMYFUNCTION("""COMPUTED_VALUE"""),"NIL")</f>
        <v>NIL</v>
      </c>
      <c r="H225" s="26">
        <f>IFERROR(__xludf.DUMMYFUNCTION("""COMPUTED_VALUE"""),1)</f>
        <v>1</v>
      </c>
      <c r="I225" s="26">
        <f>IFERROR(__xludf.DUMMYFUNCTION("""COMPUTED_VALUE"""),0)</f>
        <v>0</v>
      </c>
      <c r="J225" s="26">
        <f>IFERROR(__xludf.DUMMYFUNCTION("""COMPUTED_VALUE"""),1)</f>
        <v>1</v>
      </c>
      <c r="K225" s="26" t="str">
        <f>IFERROR(__xludf.DUMMYFUNCTION("""COMPUTED_VALUE"""),"CGPA")</f>
        <v>CGPA</v>
      </c>
      <c r="L225" s="26" t="str">
        <f>IFERROR(__xludf.DUMMYFUNCTION("""COMPUTED_VALUE"""),"Theory (Int Only)")</f>
        <v>Theory (Int Only)</v>
      </c>
      <c r="M225" s="26"/>
      <c r="N225" s="26"/>
      <c r="O225" s="26"/>
      <c r="P225" s="26"/>
      <c r="Q225" s="26"/>
      <c r="R225" s="26"/>
    </row>
    <row r="226" ht="13.2" spans="1:18">
      <c r="A226" s="26">
        <f>IFERROR(__xludf.DUMMYFUNCTION("""COMPUTED_VALUE"""),224)</f>
        <v>224</v>
      </c>
      <c r="B226" s="26" t="str">
        <f>IFERROR(__xludf.DUMMYFUNCTION("""COMPUTED_VALUE"""),"Option 1")</f>
        <v>Option 1</v>
      </c>
      <c r="C226" s="26" t="str">
        <f>IFERROR(__xludf.DUMMYFUNCTION("""COMPUTED_VALUE"""),"EEC")</f>
        <v>EEC</v>
      </c>
      <c r="D226" s="26" t="str">
        <f>IFERROR(__xludf.DUMMYFUNCTION("""COMPUTED_VALUE"""),"NA")</f>
        <v>NA</v>
      </c>
      <c r="E226" s="26" t="str">
        <f>IFERROR(__xludf.DUMMYFUNCTION("""COMPUTED_VALUE"""),"19EY703")</f>
        <v>19EY703</v>
      </c>
      <c r="F226" s="27" t="str">
        <f>IFERROR(__xludf.DUMMYFUNCTION("""COMPUTED_VALUE"""),"System of Numerical and Logical Terminologies")</f>
        <v>System of Numerical and Logical Terminologies</v>
      </c>
      <c r="G226" s="26" t="str">
        <f>IFERROR(__xludf.DUMMYFUNCTION("""COMPUTED_VALUE"""),"-")</f>
        <v>-</v>
      </c>
      <c r="H226" s="26">
        <f>IFERROR(__xludf.DUMMYFUNCTION("""COMPUTED_VALUE"""),0)</f>
        <v>0</v>
      </c>
      <c r="I226" s="26">
        <f>IFERROR(__xludf.DUMMYFUNCTION("""COMPUTED_VALUE"""),1)</f>
        <v>1</v>
      </c>
      <c r="J226" s="26">
        <f>IFERROR(__xludf.DUMMYFUNCTION("""COMPUTED_VALUE"""),1)</f>
        <v>1</v>
      </c>
      <c r="K226" s="26" t="str">
        <f>IFERROR(__xludf.DUMMYFUNCTION("""COMPUTED_VALUE"""),"CGPA")</f>
        <v>CGPA</v>
      </c>
      <c r="L226" s="26" t="str">
        <f>IFERROR(__xludf.DUMMYFUNCTION("""COMPUTED_VALUE"""),"Practical (6 Expts)")</f>
        <v>Practical (6 Expts)</v>
      </c>
      <c r="M226" s="26"/>
      <c r="N226" s="26"/>
      <c r="O226" s="26"/>
      <c r="P226" s="26"/>
      <c r="Q226" s="26"/>
      <c r="R226" s="26"/>
    </row>
    <row r="227" ht="13.2" spans="1:18">
      <c r="A227" s="26">
        <f>IFERROR(__xludf.DUMMYFUNCTION("""COMPUTED_VALUE"""),225)</f>
        <v>225</v>
      </c>
      <c r="B227" s="26" t="str">
        <f>IFERROR(__xludf.DUMMYFUNCTION("""COMPUTED_VALUE"""),"Option 1")</f>
        <v>Option 1</v>
      </c>
      <c r="C227" s="26" t="str">
        <f>IFERROR(__xludf.DUMMYFUNCTION("""COMPUTED_VALUE"""),"EEC")</f>
        <v>EEC</v>
      </c>
      <c r="D227" s="26" t="str">
        <f>IFERROR(__xludf.DUMMYFUNCTION("""COMPUTED_VALUE"""),"NA")</f>
        <v>NA</v>
      </c>
      <c r="E227" s="26" t="str">
        <f>IFERROR(__xludf.DUMMYFUNCTION("""COMPUTED_VALUE"""),"19EY704")</f>
        <v>19EY704</v>
      </c>
      <c r="F227" s="27" t="str">
        <f>IFERROR(__xludf.DUMMYFUNCTION("""COMPUTED_VALUE"""),"Advanced Quantitative and Logical Reasoning")</f>
        <v>Advanced Quantitative and Logical Reasoning</v>
      </c>
      <c r="G227" s="26" t="str">
        <f>IFERROR(__xludf.DUMMYFUNCTION("""COMPUTED_VALUE"""),"-")</f>
        <v>-</v>
      </c>
      <c r="H227" s="26">
        <f>IFERROR(__xludf.DUMMYFUNCTION("""COMPUTED_VALUE"""),0)</f>
        <v>0</v>
      </c>
      <c r="I227" s="26">
        <f>IFERROR(__xludf.DUMMYFUNCTION("""COMPUTED_VALUE"""),1)</f>
        <v>1</v>
      </c>
      <c r="J227" s="26">
        <f>IFERROR(__xludf.DUMMYFUNCTION("""COMPUTED_VALUE"""),1)</f>
        <v>1</v>
      </c>
      <c r="K227" s="26" t="str">
        <f>IFERROR(__xludf.DUMMYFUNCTION("""COMPUTED_VALUE"""),"CGPA")</f>
        <v>CGPA</v>
      </c>
      <c r="L227" s="26" t="str">
        <f>IFERROR(__xludf.DUMMYFUNCTION("""COMPUTED_VALUE"""),"Practical (6 Expts)")</f>
        <v>Practical (6 Expts)</v>
      </c>
      <c r="M227" s="26"/>
      <c r="N227" s="26"/>
      <c r="O227" s="26"/>
      <c r="P227" s="26"/>
      <c r="Q227" s="26"/>
      <c r="R227" s="26"/>
    </row>
    <row r="228" ht="13.2" spans="1:18">
      <c r="A228" s="26">
        <f>IFERROR(__xludf.DUMMYFUNCTION("""COMPUTED_VALUE"""),226)</f>
        <v>226</v>
      </c>
      <c r="B228" s="26" t="str">
        <f>IFERROR(__xludf.DUMMYFUNCTION("""COMPUTED_VALUE"""),"Option 2")</f>
        <v>Option 2</v>
      </c>
      <c r="C228" s="26" t="str">
        <f>IFERROR(__xludf.DUMMYFUNCTION("""COMPUTED_VALUE"""),"EEC")</f>
        <v>EEC</v>
      </c>
      <c r="D228" s="26" t="str">
        <f>IFERROR(__xludf.DUMMYFUNCTION("""COMPUTED_VALUE"""),"SH6710")</f>
        <v>SH6710</v>
      </c>
      <c r="E228" s="26" t="str">
        <f>IFERROR(__xludf.DUMMYFUNCTION("""COMPUTED_VALUE"""),"19EY710")</f>
        <v>19EY710</v>
      </c>
      <c r="F228" s="27" t="str">
        <f>IFERROR(__xludf.DUMMYFUNCTION("""COMPUTED_VALUE"""),"Quantitative Ability I")</f>
        <v>Quantitative Ability I</v>
      </c>
      <c r="G228" s="26" t="str">
        <f>IFERROR(__xludf.DUMMYFUNCTION("""COMPUTED_VALUE"""),"NIL")</f>
        <v>NIL</v>
      </c>
      <c r="H228" s="26">
        <f>IFERROR(__xludf.DUMMYFUNCTION("""COMPUTED_VALUE"""),1)</f>
        <v>1</v>
      </c>
      <c r="I228" s="26">
        <f>IFERROR(__xludf.DUMMYFUNCTION("""COMPUTED_VALUE"""),0)</f>
        <v>0</v>
      </c>
      <c r="J228" s="26">
        <f>IFERROR(__xludf.DUMMYFUNCTION("""COMPUTED_VALUE"""),1)</f>
        <v>1</v>
      </c>
      <c r="K228" s="26" t="str">
        <f>IFERROR(__xludf.DUMMYFUNCTION("""COMPUTED_VALUE"""),"CGPA")</f>
        <v>CGPA</v>
      </c>
      <c r="L228" s="26" t="str">
        <f>IFERROR(__xludf.DUMMYFUNCTION("""COMPUTED_VALUE"""),"Theory (Int Only)")</f>
        <v>Theory (Int Only)</v>
      </c>
      <c r="M228" s="26"/>
      <c r="N228" s="26"/>
      <c r="O228" s="26"/>
      <c r="P228" s="26"/>
      <c r="Q228" s="26"/>
      <c r="R228" s="26"/>
    </row>
    <row r="229" ht="13.2" spans="1:18">
      <c r="A229" s="26">
        <f>IFERROR(__xludf.DUMMYFUNCTION("""COMPUTED_VALUE"""),227)</f>
        <v>227</v>
      </c>
      <c r="B229" s="26" t="str">
        <f>IFERROR(__xludf.DUMMYFUNCTION("""COMPUTED_VALUE"""),"Option 2")</f>
        <v>Option 2</v>
      </c>
      <c r="C229" s="26" t="str">
        <f>IFERROR(__xludf.DUMMYFUNCTION("""COMPUTED_VALUE"""),"EEC")</f>
        <v>EEC</v>
      </c>
      <c r="D229" s="26" t="str">
        <f>IFERROR(__xludf.DUMMYFUNCTION("""COMPUTED_VALUE"""),"SH6711")</f>
        <v>SH6711</v>
      </c>
      <c r="E229" s="26" t="str">
        <f>IFERROR(__xludf.DUMMYFUNCTION("""COMPUTED_VALUE"""),"19EY711")</f>
        <v>19EY711</v>
      </c>
      <c r="F229" s="27" t="str">
        <f>IFERROR(__xludf.DUMMYFUNCTION("""COMPUTED_VALUE"""),"Quantitative Ability II")</f>
        <v>Quantitative Ability II</v>
      </c>
      <c r="G229" s="26" t="str">
        <f>IFERROR(__xludf.DUMMYFUNCTION("""COMPUTED_VALUE"""),"SH6710 /19EY710")</f>
        <v>SH6710 /19EY710</v>
      </c>
      <c r="H229" s="26">
        <f>IFERROR(__xludf.DUMMYFUNCTION("""COMPUTED_VALUE"""),1)</f>
        <v>1</v>
      </c>
      <c r="I229" s="26">
        <f>IFERROR(__xludf.DUMMYFUNCTION("""COMPUTED_VALUE"""),0)</f>
        <v>0</v>
      </c>
      <c r="J229" s="26">
        <f>IFERROR(__xludf.DUMMYFUNCTION("""COMPUTED_VALUE"""),1)</f>
        <v>1</v>
      </c>
      <c r="K229" s="26" t="str">
        <f>IFERROR(__xludf.DUMMYFUNCTION("""COMPUTED_VALUE"""),"CGPA")</f>
        <v>CGPA</v>
      </c>
      <c r="L229" s="26" t="str">
        <f>IFERROR(__xludf.DUMMYFUNCTION("""COMPUTED_VALUE"""),"Theory (Int Only)")</f>
        <v>Theory (Int Only)</v>
      </c>
      <c r="M229" s="26"/>
      <c r="N229" s="26"/>
      <c r="O229" s="26"/>
      <c r="P229" s="26"/>
      <c r="Q229" s="26"/>
      <c r="R229" s="26"/>
    </row>
    <row r="230" ht="13.2" spans="1:18">
      <c r="A230" s="26">
        <f>IFERROR(__xludf.DUMMYFUNCTION("""COMPUTED_VALUE"""),228)</f>
        <v>228</v>
      </c>
      <c r="B230" s="26" t="str">
        <f>IFERROR(__xludf.DUMMYFUNCTION("""COMPUTED_VALUE"""),"Any 1")</f>
        <v>Any 1</v>
      </c>
      <c r="C230" s="26" t="str">
        <f>IFERROR(__xludf.DUMMYFUNCTION("""COMPUTED_VALUE"""),"EEC")</f>
        <v>EEC</v>
      </c>
      <c r="D230" s="26" t="str">
        <f>IFERROR(__xludf.DUMMYFUNCTION("""COMPUTED_VALUE"""),"NA")</f>
        <v>NA</v>
      </c>
      <c r="E230" s="26" t="str">
        <f>IFERROR(__xludf.DUMMYFUNCTION("""COMPUTED_VALUE"""),"19EY705")</f>
        <v>19EY705</v>
      </c>
      <c r="F230" s="27" t="str">
        <f>IFERROR(__xludf.DUMMYFUNCTION("""COMPUTED_VALUE"""),"Employment Enhancement Skills")</f>
        <v>Employment Enhancement Skills</v>
      </c>
      <c r="G230" s="26" t="str">
        <f>IFERROR(__xludf.DUMMYFUNCTION("""COMPUTED_VALUE"""),"-")</f>
        <v>-</v>
      </c>
      <c r="H230" s="26">
        <f>IFERROR(__xludf.DUMMYFUNCTION("""COMPUTED_VALUE"""),0)</f>
        <v>0</v>
      </c>
      <c r="I230" s="26">
        <f>IFERROR(__xludf.DUMMYFUNCTION("""COMPUTED_VALUE"""),1)</f>
        <v>1</v>
      </c>
      <c r="J230" s="26">
        <f>IFERROR(__xludf.DUMMYFUNCTION("""COMPUTED_VALUE"""),1)</f>
        <v>1</v>
      </c>
      <c r="K230" s="26" t="str">
        <f>IFERROR(__xludf.DUMMYFUNCTION("""COMPUTED_VALUE"""),"CGPA")</f>
        <v>CGPA</v>
      </c>
      <c r="L230" s="26" t="str">
        <f>IFERROR(__xludf.DUMMYFUNCTION("""COMPUTED_VALUE"""),"Practical (6 Expts)")</f>
        <v>Practical (6 Expts)</v>
      </c>
      <c r="M230" s="26"/>
      <c r="N230" s="26"/>
      <c r="O230" s="26"/>
      <c r="P230" s="26"/>
      <c r="Q230" s="26"/>
      <c r="R230" s="26"/>
    </row>
    <row r="231" ht="13.2" spans="1:18">
      <c r="A231" s="26">
        <f>IFERROR(__xludf.DUMMYFUNCTION("""COMPUTED_VALUE"""),229)</f>
        <v>229</v>
      </c>
      <c r="B231" s="26" t="str">
        <f>IFERROR(__xludf.DUMMYFUNCTION("""COMPUTED_VALUE"""),"Any 1")</f>
        <v>Any 1</v>
      </c>
      <c r="C231" s="26" t="str">
        <f>IFERROR(__xludf.DUMMYFUNCTION("""COMPUTED_VALUE"""),"EEC")</f>
        <v>EEC</v>
      </c>
      <c r="D231" s="26" t="str">
        <f>IFERROR(__xludf.DUMMYFUNCTION("""COMPUTED_VALUE"""),"SH6712")</f>
        <v>SH6712</v>
      </c>
      <c r="E231" s="26" t="str">
        <f>IFERROR(__xludf.DUMMYFUNCTION("""COMPUTED_VALUE"""),"19EY712")</f>
        <v>19EY712</v>
      </c>
      <c r="F231" s="27" t="str">
        <f>IFERROR(__xludf.DUMMYFUNCTION("""COMPUTED_VALUE"""),"Employment Enrichment Skills")</f>
        <v>Employment Enrichment Skills</v>
      </c>
      <c r="G231" s="26" t="str">
        <f>IFERROR(__xludf.DUMMYFUNCTION("""COMPUTED_VALUE"""),"19EY702 / 19EY709 / SH6709")</f>
        <v>19EY702 / 19EY709 / SH6709</v>
      </c>
      <c r="H231" s="26">
        <f>IFERROR(__xludf.DUMMYFUNCTION("""COMPUTED_VALUE"""),1)</f>
        <v>1</v>
      </c>
      <c r="I231" s="26">
        <f>IFERROR(__xludf.DUMMYFUNCTION("""COMPUTED_VALUE"""),0)</f>
        <v>0</v>
      </c>
      <c r="J231" s="26">
        <f>IFERROR(__xludf.DUMMYFUNCTION("""COMPUTED_VALUE"""),1)</f>
        <v>1</v>
      </c>
      <c r="K231" s="26" t="str">
        <f>IFERROR(__xludf.DUMMYFUNCTION("""COMPUTED_VALUE"""),"CGPA")</f>
        <v>CGPA</v>
      </c>
      <c r="L231" s="26" t="str">
        <f>IFERROR(__xludf.DUMMYFUNCTION("""COMPUTED_VALUE"""),"Theory (Int Only)")</f>
        <v>Theory (Int Only)</v>
      </c>
      <c r="M231" s="26"/>
      <c r="N231" s="26"/>
      <c r="O231" s="26"/>
      <c r="P231" s="26"/>
      <c r="Q231" s="26"/>
      <c r="R231" s="26"/>
    </row>
    <row r="232" ht="13.2" spans="1:18">
      <c r="A232" s="26">
        <f>IFERROR(__xludf.DUMMYFUNCTION("""COMPUTED_VALUE"""),230)</f>
        <v>230</v>
      </c>
      <c r="B232" s="26" t="str">
        <f>IFERROR(__xludf.DUMMYFUNCTION("""COMPUTED_VALUE"""),"Any 1")</f>
        <v>Any 1</v>
      </c>
      <c r="C232" s="26" t="str">
        <f>IFERROR(__xludf.DUMMYFUNCTION("""COMPUTED_VALUE"""),"EEC")</f>
        <v>EEC</v>
      </c>
      <c r="D232" s="26" t="str">
        <f>IFERROR(__xludf.DUMMYFUNCTION("""COMPUTED_VALUE"""),"NA")</f>
        <v>NA</v>
      </c>
      <c r="E232" s="26" t="str">
        <f>IFERROR(__xludf.DUMMYFUNCTION("""COMPUTED_VALUE"""),"19EY706")</f>
        <v>19EY706</v>
      </c>
      <c r="F232" s="27" t="str">
        <f>IFERROR(__xludf.DUMMYFUNCTION("""COMPUTED_VALUE"""),"Company Specific Assessments For Employability")</f>
        <v>Company Specific Assessments For Employability</v>
      </c>
      <c r="G232" s="26" t="str">
        <f>IFERROR(__xludf.DUMMYFUNCTION("""COMPUTED_VALUE"""),"-")</f>
        <v>-</v>
      </c>
      <c r="H232" s="26">
        <f>IFERROR(__xludf.DUMMYFUNCTION("""COMPUTED_VALUE"""),0)</f>
        <v>0</v>
      </c>
      <c r="I232" s="26">
        <f>IFERROR(__xludf.DUMMYFUNCTION("""COMPUTED_VALUE"""),1)</f>
        <v>1</v>
      </c>
      <c r="J232" s="26">
        <f>IFERROR(__xludf.DUMMYFUNCTION("""COMPUTED_VALUE"""),1)</f>
        <v>1</v>
      </c>
      <c r="K232" s="26" t="str">
        <f>IFERROR(__xludf.DUMMYFUNCTION("""COMPUTED_VALUE"""),"CGPA")</f>
        <v>CGPA</v>
      </c>
      <c r="L232" s="26" t="str">
        <f>IFERROR(__xludf.DUMMYFUNCTION("""COMPUTED_VALUE"""),"Practical (6 Expts)")</f>
        <v>Practical (6 Expts)</v>
      </c>
      <c r="M232" s="26"/>
      <c r="N232" s="26"/>
      <c r="O232" s="26"/>
      <c r="P232" s="26"/>
      <c r="Q232" s="26"/>
      <c r="R232" s="26"/>
    </row>
    <row r="233" ht="13.2" spans="1:18">
      <c r="A233" s="26">
        <f>IFERROR(__xludf.DUMMYFUNCTION("""COMPUTED_VALUE"""),231)</f>
        <v>231</v>
      </c>
      <c r="B233" s="26" t="str">
        <f>IFERROR(__xludf.DUMMYFUNCTION("""COMPUTED_VALUE"""),"Any 1")</f>
        <v>Any 1</v>
      </c>
      <c r="C233" s="26"/>
      <c r="D233" s="26" t="str">
        <f>IFERROR(__xludf.DUMMYFUNCTION("""COMPUTED_VALUE"""),"SH6713")</f>
        <v>SH6713</v>
      </c>
      <c r="E233" s="26" t="str">
        <f>IFERROR(__xludf.DUMMYFUNCTION("""COMPUTED_VALUE"""),"19EY713")</f>
        <v>19EY713</v>
      </c>
      <c r="F233" s="27" t="str">
        <f>IFERROR(__xludf.DUMMYFUNCTION("""COMPUTED_VALUE"""),"Placement Readiness Assessment")</f>
        <v>Placement Readiness Assessment</v>
      </c>
      <c r="G233" s="26" t="str">
        <f>IFERROR(__xludf.DUMMYFUNCTION("""COMPUTED_VALUE"""),"19EY704 / 19EY711/SH6711")</f>
        <v>19EY704 / 19EY711/SH6711</v>
      </c>
      <c r="H233" s="26">
        <f>IFERROR(__xludf.DUMMYFUNCTION("""COMPUTED_VALUE"""),1)</f>
        <v>1</v>
      </c>
      <c r="I233" s="26">
        <f>IFERROR(__xludf.DUMMYFUNCTION("""COMPUTED_VALUE"""),0)</f>
        <v>0</v>
      </c>
      <c r="J233" s="26">
        <f>IFERROR(__xludf.DUMMYFUNCTION("""COMPUTED_VALUE"""),1)</f>
        <v>1</v>
      </c>
      <c r="K233" s="26" t="str">
        <f>IFERROR(__xludf.DUMMYFUNCTION("""COMPUTED_VALUE"""),"CGPA")</f>
        <v>CGPA</v>
      </c>
      <c r="L233" s="26" t="str">
        <f>IFERROR(__xludf.DUMMYFUNCTION("""COMPUTED_VALUE"""),"Theory (Int Only)")</f>
        <v>Theory (Int Only)</v>
      </c>
      <c r="M233" s="26"/>
      <c r="N233" s="26"/>
      <c r="O233" s="26"/>
      <c r="P233" s="26"/>
      <c r="Q233" s="26"/>
      <c r="R233" s="26"/>
    </row>
    <row r="234" ht="13.2" spans="1:18">
      <c r="A234" s="26">
        <f>IFERROR(__xludf.DUMMYFUNCTION("""COMPUTED_VALUE"""),232)</f>
        <v>232</v>
      </c>
      <c r="B234" s="26"/>
      <c r="C234" s="26" t="str">
        <f>IFERROR(__xludf.DUMMYFUNCTION("""COMPUTED_VALUE"""),"EEC")</f>
        <v>EEC</v>
      </c>
      <c r="D234" s="26" t="str">
        <f>IFERROR(__xludf.DUMMYFUNCTION("""COMPUTED_VALUE"""),"SH6707")</f>
        <v>SH6707</v>
      </c>
      <c r="E234" s="26" t="str">
        <f>IFERROR(__xludf.DUMMYFUNCTION("""COMPUTED_VALUE"""),"19EY707")</f>
        <v>19EY707</v>
      </c>
      <c r="F234" s="27" t="str">
        <f>IFERROR(__xludf.DUMMYFUNCTION("""COMPUTED_VALUE"""),"Paper Publication")</f>
        <v>Paper Publication</v>
      </c>
      <c r="G234" s="26" t="str">
        <f>IFERROR(__xludf.DUMMYFUNCTION("""COMPUTED_VALUE"""),"-")</f>
        <v>-</v>
      </c>
      <c r="H234" s="26">
        <f>IFERROR(__xludf.DUMMYFUNCTION("""COMPUTED_VALUE"""),0)</f>
        <v>0</v>
      </c>
      <c r="I234" s="26">
        <f>IFERROR(__xludf.DUMMYFUNCTION("""COMPUTED_VALUE"""),0)</f>
        <v>0</v>
      </c>
      <c r="J234" s="26">
        <f>IFERROR(__xludf.DUMMYFUNCTION("""COMPUTED_VALUE"""),1)</f>
        <v>1</v>
      </c>
      <c r="K234" s="26" t="str">
        <f>IFERROR(__xludf.DUMMYFUNCTION("""COMPUTED_VALUE"""),"NON-CGPA")</f>
        <v>NON-CGPA</v>
      </c>
      <c r="L234" s="26" t="str">
        <f>IFERROR(__xludf.DUMMYFUNCTION("""COMPUTED_VALUE"""),"Experiential Learning (Int Only)")</f>
        <v>Experiential Learning (Int Only)</v>
      </c>
      <c r="M234" s="26"/>
      <c r="N234" s="26"/>
      <c r="O234" s="26"/>
      <c r="P234" s="26"/>
      <c r="Q234" s="26"/>
      <c r="R234" s="26"/>
    </row>
    <row r="235" ht="13.2" spans="1:18">
      <c r="A235" s="26">
        <f>IFERROR(__xludf.DUMMYFUNCTION("""COMPUTED_VALUE"""),233)</f>
        <v>233</v>
      </c>
      <c r="B235" s="26"/>
      <c r="C235" s="26" t="str">
        <f>IFERROR(__xludf.DUMMYFUNCTION("""COMPUTED_VALUE"""),"MC")</f>
        <v>MC</v>
      </c>
      <c r="D235" s="26" t="str">
        <f>IFERROR(__xludf.DUMMYFUNCTION("""COMPUTED_VALUE"""),"NA")</f>
        <v>NA</v>
      </c>
      <c r="E235" s="26" t="str">
        <f>IFERROR(__xludf.DUMMYFUNCTION("""COMPUTED_VALUE"""),"19MC801")</f>
        <v>19MC801</v>
      </c>
      <c r="F235" s="27" t="str">
        <f>IFERROR(__xludf.DUMMYFUNCTION("""COMPUTED_VALUE"""),"Professional Ethics")</f>
        <v>Professional Ethics</v>
      </c>
      <c r="G235" s="26" t="str">
        <f>IFERROR(__xludf.DUMMYFUNCTION("""COMPUTED_VALUE"""),"-")</f>
        <v>-</v>
      </c>
      <c r="H235" s="26">
        <f>IFERROR(__xludf.DUMMYFUNCTION("""COMPUTED_VALUE"""),0)</f>
        <v>0</v>
      </c>
      <c r="I235" s="26">
        <f>IFERROR(__xludf.DUMMYFUNCTION("""COMPUTED_VALUE"""),0)</f>
        <v>0</v>
      </c>
      <c r="J235" s="26">
        <f>IFERROR(__xludf.DUMMYFUNCTION("""COMPUTED_VALUE"""),0)</f>
        <v>0</v>
      </c>
      <c r="K235" s="26" t="str">
        <f>IFERROR(__xludf.DUMMYFUNCTION("""COMPUTED_VALUE"""),"NON - CGPA")</f>
        <v>NON - CGPA</v>
      </c>
      <c r="L235" s="26" t="str">
        <f>IFERROR(__xludf.DUMMYFUNCTION("""COMPUTED_VALUE"""),"Theory (Int Only)")</f>
        <v>Theory (Int Only)</v>
      </c>
      <c r="M235" s="26"/>
      <c r="N235" s="26"/>
      <c r="O235" s="26"/>
      <c r="P235" s="26"/>
      <c r="Q235" s="26"/>
      <c r="R235" s="26"/>
    </row>
    <row r="236" ht="13.2" spans="1:18">
      <c r="A236" s="26">
        <f>IFERROR(__xludf.DUMMYFUNCTION("""COMPUTED_VALUE"""),234)</f>
        <v>234</v>
      </c>
      <c r="B236" s="26"/>
      <c r="C236" s="26" t="str">
        <f>IFERROR(__xludf.DUMMYFUNCTION("""COMPUTED_VALUE"""),"MC")</f>
        <v>MC</v>
      </c>
      <c r="D236" s="26" t="str">
        <f>IFERROR(__xludf.DUMMYFUNCTION("""COMPUTED_VALUE"""),"NA")</f>
        <v>NA</v>
      </c>
      <c r="E236" s="26" t="str">
        <f>IFERROR(__xludf.DUMMYFUNCTION("""COMPUTED_VALUE"""),"19MC802")</f>
        <v>19MC802</v>
      </c>
      <c r="F236" s="27" t="str">
        <f>IFERROR(__xludf.DUMMYFUNCTION("""COMPUTED_VALUE"""),"Environmental Science")</f>
        <v>Environmental Science</v>
      </c>
      <c r="G236" s="26" t="str">
        <f>IFERROR(__xludf.DUMMYFUNCTION("""COMPUTED_VALUE"""),"-")</f>
        <v>-</v>
      </c>
      <c r="H236" s="26">
        <f>IFERROR(__xludf.DUMMYFUNCTION("""COMPUTED_VALUE"""),0)</f>
        <v>0</v>
      </c>
      <c r="I236" s="26">
        <f>IFERROR(__xludf.DUMMYFUNCTION("""COMPUTED_VALUE"""),0)</f>
        <v>0</v>
      </c>
      <c r="J236" s="26">
        <f>IFERROR(__xludf.DUMMYFUNCTION("""COMPUTED_VALUE"""),0)</f>
        <v>0</v>
      </c>
      <c r="K236" s="26" t="str">
        <f>IFERROR(__xludf.DUMMYFUNCTION("""COMPUTED_VALUE"""),"CGPA")</f>
        <v>CGPA</v>
      </c>
      <c r="L236" s="26" t="str">
        <f>IFERROR(__xludf.DUMMYFUNCTION("""COMPUTED_VALUE"""),"Theory (Int Only)")</f>
        <v>Theory (Int Only)</v>
      </c>
      <c r="M236" s="26"/>
      <c r="N236" s="26"/>
      <c r="O236" s="26"/>
      <c r="P236" s="26"/>
      <c r="Q236" s="26"/>
      <c r="R236" s="26"/>
    </row>
    <row r="237" ht="13.2" spans="1:18">
      <c r="A237" s="26">
        <f>IFERROR(__xludf.DUMMYFUNCTION("""COMPUTED_VALUE"""),235)</f>
        <v>235</v>
      </c>
      <c r="B237" s="26"/>
      <c r="C237" s="26" t="str">
        <f>IFERROR(__xludf.DUMMYFUNCTION("""COMPUTED_VALUE"""),"MC")</f>
        <v>MC</v>
      </c>
      <c r="D237" s="26" t="str">
        <f>IFERROR(__xludf.DUMMYFUNCTION("""COMPUTED_VALUE"""),"NA")</f>
        <v>NA</v>
      </c>
      <c r="E237" s="26" t="str">
        <f>IFERROR(__xludf.DUMMYFUNCTION("""COMPUTED_VALUE"""),"19MC803")</f>
        <v>19MC803</v>
      </c>
      <c r="F237" s="27" t="str">
        <f>IFERROR(__xludf.DUMMYFUNCTION("""COMPUTED_VALUE"""),"Constitution of India")</f>
        <v>Constitution of India</v>
      </c>
      <c r="G237" s="26" t="str">
        <f>IFERROR(__xludf.DUMMYFUNCTION("""COMPUTED_VALUE"""),"-")</f>
        <v>-</v>
      </c>
      <c r="H237" s="26">
        <f>IFERROR(__xludf.DUMMYFUNCTION("""COMPUTED_VALUE"""),0)</f>
        <v>0</v>
      </c>
      <c r="I237" s="26">
        <f>IFERROR(__xludf.DUMMYFUNCTION("""COMPUTED_VALUE"""),0)</f>
        <v>0</v>
      </c>
      <c r="J237" s="26">
        <f>IFERROR(__xludf.DUMMYFUNCTION("""COMPUTED_VALUE"""),0)</f>
        <v>0</v>
      </c>
      <c r="K237" s="26" t="str">
        <f>IFERROR(__xludf.DUMMYFUNCTION("""COMPUTED_VALUE"""),"CGPA")</f>
        <v>CGPA</v>
      </c>
      <c r="L237" s="26" t="str">
        <f>IFERROR(__xludf.DUMMYFUNCTION("""COMPUTED_VALUE"""),"Theory (Int Only)")</f>
        <v>Theory (Int Only)</v>
      </c>
      <c r="M237" s="26"/>
      <c r="N237" s="26"/>
      <c r="O237" s="26"/>
      <c r="P237" s="26"/>
      <c r="Q237" s="26"/>
      <c r="R237" s="26"/>
    </row>
    <row r="238" ht="13.2" spans="1:18">
      <c r="A238" s="26">
        <f>IFERROR(__xludf.DUMMYFUNCTION("""COMPUTED_VALUE"""),236)</f>
        <v>236</v>
      </c>
      <c r="B238" s="26"/>
      <c r="C238" s="26" t="str">
        <f>IFERROR(__xludf.DUMMYFUNCTION("""COMPUTED_VALUE"""),"MC")</f>
        <v>MC</v>
      </c>
      <c r="D238" s="26" t="str">
        <f>IFERROR(__xludf.DUMMYFUNCTION("""COMPUTED_VALUE"""),"NA")</f>
        <v>NA</v>
      </c>
      <c r="E238" s="26" t="str">
        <f>IFERROR(__xludf.DUMMYFUNCTION("""COMPUTED_VALUE"""),"19MC804")</f>
        <v>19MC804</v>
      </c>
      <c r="F238" s="26" t="str">
        <f>IFERROR(__xludf.DUMMYFUNCTION("""COMPUTED_VALUE"""),"Internship/Entrepreneurship/Consultancy")</f>
        <v>Internship/Entrepreneurship/Consultancy</v>
      </c>
      <c r="G238" s="26" t="str">
        <f>IFERROR(__xludf.DUMMYFUNCTION("""COMPUTED_VALUE"""),"-")</f>
        <v>-</v>
      </c>
      <c r="H238" s="26">
        <f>IFERROR(__xludf.DUMMYFUNCTION("""COMPUTED_VALUE"""),0)</f>
        <v>0</v>
      </c>
      <c r="I238" s="26">
        <f>IFERROR(__xludf.DUMMYFUNCTION("""COMPUTED_VALUE"""),0)</f>
        <v>0</v>
      </c>
      <c r="J238" s="26">
        <f>IFERROR(__xludf.DUMMYFUNCTION("""COMPUTED_VALUE"""),2)</f>
        <v>2</v>
      </c>
      <c r="K238" s="26" t="str">
        <f>IFERROR(__xludf.DUMMYFUNCTION("""COMPUTED_VALUE"""),"NON-CGPA")</f>
        <v>NON-CGPA</v>
      </c>
      <c r="L238" s="26" t="str">
        <f>IFERROR(__xludf.DUMMYFUNCTION("""COMPUTED_VALUE"""),"Experiential Learning (Int Only)")</f>
        <v>Experiential Learning (Int Only)</v>
      </c>
      <c r="M238" s="26"/>
      <c r="N238" s="26"/>
      <c r="O238" s="26"/>
      <c r="P238" s="26"/>
      <c r="Q238" s="26"/>
      <c r="R238" s="26"/>
    </row>
    <row r="239" ht="13.2" spans="1:18">
      <c r="A239" s="26">
        <f>IFERROR(__xludf.DUMMYFUNCTION("""COMPUTED_VALUE"""),237)</f>
        <v>237</v>
      </c>
      <c r="B239" s="26"/>
      <c r="C239" s="26" t="str">
        <f>IFERROR(__xludf.DUMMYFUNCTION("""COMPUTED_VALUE"""),"MC")</f>
        <v>MC</v>
      </c>
      <c r="D239" s="26" t="str">
        <f>IFERROR(__xludf.DUMMYFUNCTION("""COMPUTED_VALUE"""),"NA")</f>
        <v>NA</v>
      </c>
      <c r="E239" s="26" t="str">
        <f>IFERROR(__xludf.DUMMYFUNCTION("""COMPUTED_VALUE"""),"19MC805")</f>
        <v>19MC805</v>
      </c>
      <c r="F239" s="27" t="str">
        <f>IFERROR(__xludf.DUMMYFUNCTION("""COMPUTED_VALUE"""),"Inplant Training")</f>
        <v>Inplant Training</v>
      </c>
      <c r="G239" s="26" t="str">
        <f>IFERROR(__xludf.DUMMYFUNCTION("""COMPUTED_VALUE"""),"-")</f>
        <v>-</v>
      </c>
      <c r="H239" s="26">
        <f>IFERROR(__xludf.DUMMYFUNCTION("""COMPUTED_VALUE"""),0)</f>
        <v>0</v>
      </c>
      <c r="I239" s="26">
        <f>IFERROR(__xludf.DUMMYFUNCTION("""COMPUTED_VALUE"""),0)</f>
        <v>0</v>
      </c>
      <c r="J239" s="26">
        <f>IFERROR(__xludf.DUMMYFUNCTION("""COMPUTED_VALUE"""),1)</f>
        <v>1</v>
      </c>
      <c r="K239" s="26" t="str">
        <f>IFERROR(__xludf.DUMMYFUNCTION("""COMPUTED_VALUE"""),"Non - CGPA")</f>
        <v>Non - CGPA</v>
      </c>
      <c r="L239" s="26" t="str">
        <f>IFERROR(__xludf.DUMMYFUNCTION("""COMPUTED_VALUE"""),"Experiential Learning (Int Only)")</f>
        <v>Experiential Learning (Int Only)</v>
      </c>
      <c r="M239" s="26"/>
      <c r="N239" s="26"/>
      <c r="O239" s="26"/>
      <c r="P239" s="26"/>
      <c r="Q239" s="26"/>
      <c r="R239" s="26"/>
    </row>
    <row r="240" ht="13.2" spans="1:18">
      <c r="A240" s="26">
        <f>IFERROR(__xludf.DUMMYFUNCTION("""COMPUTED_VALUE"""),238)</f>
        <v>238</v>
      </c>
      <c r="B240" s="26" t="str">
        <f>IFERROR(__xludf.DUMMYFUNCTION("""COMPUTED_VALUE"""),"Any 1")</f>
        <v>Any 1</v>
      </c>
      <c r="C240" s="26" t="str">
        <f>IFERROR(__xludf.DUMMYFUNCTION("""COMPUTED_VALUE"""),"MC")</f>
        <v>MC</v>
      </c>
      <c r="D240" s="26" t="str">
        <f>IFERROR(__xludf.DUMMYFUNCTION("""COMPUTED_VALUE"""),"SH6803")</f>
        <v>SH6803</v>
      </c>
      <c r="E240" s="26" t="str">
        <f>IFERROR(__xludf.DUMMYFUNCTION("""COMPUTED_VALUE"""),"19MC807")</f>
        <v>19MC807</v>
      </c>
      <c r="F240" s="26" t="str">
        <f>IFERROR(__xludf.DUMMYFUNCTION("""COMPUTED_VALUE"""),"National Service Scheme")</f>
        <v>National Service Scheme</v>
      </c>
      <c r="G240" s="26" t="str">
        <f>IFERROR(__xludf.DUMMYFUNCTION("""COMPUTED_VALUE"""),"-")</f>
        <v>-</v>
      </c>
      <c r="H240" s="26">
        <f>IFERROR(__xludf.DUMMYFUNCTION("""COMPUTED_VALUE"""),0)</f>
        <v>0</v>
      </c>
      <c r="I240" s="26">
        <f>IFERROR(__xludf.DUMMYFUNCTION("""COMPUTED_VALUE"""),0)</f>
        <v>0</v>
      </c>
      <c r="J240" s="26">
        <f>IFERROR(__xludf.DUMMYFUNCTION("""COMPUTED_VALUE"""),0)</f>
        <v>0</v>
      </c>
      <c r="K240" s="26" t="str">
        <f>IFERROR(__xludf.DUMMYFUNCTION("""COMPUTED_VALUE"""),"NON-CGPA")</f>
        <v>NON-CGPA</v>
      </c>
      <c r="L240" s="26" t="str">
        <f>IFERROR(__xludf.DUMMYFUNCTION("""COMPUTED_VALUE"""),"Experiential Learning (Int Only)")</f>
        <v>Experiential Learning (Int Only)</v>
      </c>
      <c r="M240" s="26"/>
      <c r="N240" s="26"/>
      <c r="O240" s="26"/>
      <c r="P240" s="26"/>
      <c r="Q240" s="26"/>
      <c r="R240" s="26"/>
    </row>
    <row r="241" ht="13.2" spans="1:18">
      <c r="A241" s="26">
        <f>IFERROR(__xludf.DUMMYFUNCTION("""COMPUTED_VALUE"""),239)</f>
        <v>239</v>
      </c>
      <c r="B241" s="26" t="str">
        <f>IFERROR(__xludf.DUMMYFUNCTION("""COMPUTED_VALUE"""),"Any 1")</f>
        <v>Any 1</v>
      </c>
      <c r="C241" s="26" t="str">
        <f>IFERROR(__xludf.DUMMYFUNCTION("""COMPUTED_VALUE"""),"MC")</f>
        <v>MC</v>
      </c>
      <c r="D241" s="26" t="str">
        <f>IFERROR(__xludf.DUMMYFUNCTION("""COMPUTED_VALUE"""),"SH8807")</f>
        <v>SH8807</v>
      </c>
      <c r="E241" s="26" t="str">
        <f>IFERROR(__xludf.DUMMYFUNCTION("""COMPUTED_VALUE"""),"19MC808")</f>
        <v>19MC808</v>
      </c>
      <c r="F241" s="26" t="str">
        <f>IFERROR(__xludf.DUMMYFUNCTION("""COMPUTED_VALUE"""),"National Sports Organization ")</f>
        <v>National Sports Organization </v>
      </c>
      <c r="G241" s="26" t="str">
        <f>IFERROR(__xludf.DUMMYFUNCTION("""COMPUTED_VALUE"""),"-")</f>
        <v>-</v>
      </c>
      <c r="H241" s="26">
        <f>IFERROR(__xludf.DUMMYFUNCTION("""COMPUTED_VALUE"""),0)</f>
        <v>0</v>
      </c>
      <c r="I241" s="26">
        <f>IFERROR(__xludf.DUMMYFUNCTION("""COMPUTED_VALUE"""),0)</f>
        <v>0</v>
      </c>
      <c r="J241" s="26">
        <f>IFERROR(__xludf.DUMMYFUNCTION("""COMPUTED_VALUE"""),0)</f>
        <v>0</v>
      </c>
      <c r="K241" s="26" t="str">
        <f>IFERROR(__xludf.DUMMYFUNCTION("""COMPUTED_VALUE"""),"NON-CGPA")</f>
        <v>NON-CGPA</v>
      </c>
      <c r="L241" s="26" t="str">
        <f>IFERROR(__xludf.DUMMYFUNCTION("""COMPUTED_VALUE"""),"Experiential Learning (Int Only)")</f>
        <v>Experiential Learning (Int Only)</v>
      </c>
      <c r="M241" s="26"/>
      <c r="N241" s="26"/>
      <c r="O241" s="26"/>
      <c r="P241" s="26"/>
      <c r="Q241" s="26"/>
      <c r="R241" s="26"/>
    </row>
    <row r="242" ht="13.2" spans="1:18">
      <c r="A242" s="26">
        <f>IFERROR(__xludf.DUMMYFUNCTION("""COMPUTED_VALUE"""),240)</f>
        <v>240</v>
      </c>
      <c r="B242" s="26" t="str">
        <f>IFERROR(__xludf.DUMMYFUNCTION("""COMPUTED_VALUE"""),"Any 1")</f>
        <v>Any 1</v>
      </c>
      <c r="C242" s="26" t="str">
        <f>IFERROR(__xludf.DUMMYFUNCTION("""COMPUTED_VALUE"""),"MC")</f>
        <v>MC</v>
      </c>
      <c r="D242" s="26" t="str">
        <f>IFERROR(__xludf.DUMMYFUNCTION("""COMPUTED_VALUE"""),"SH8808")</f>
        <v>SH8808</v>
      </c>
      <c r="E242" s="26" t="str">
        <f>IFERROR(__xludf.DUMMYFUNCTION("""COMPUTED_VALUE"""),"19MC809")</f>
        <v>19MC809</v>
      </c>
      <c r="F242" s="26" t="str">
        <f>IFERROR(__xludf.DUMMYFUNCTION("""COMPUTED_VALUE"""),"Youth Red Cross")</f>
        <v>Youth Red Cross</v>
      </c>
      <c r="G242" s="26" t="str">
        <f>IFERROR(__xludf.DUMMYFUNCTION("""COMPUTED_VALUE"""),"-")</f>
        <v>-</v>
      </c>
      <c r="H242" s="26">
        <f>IFERROR(__xludf.DUMMYFUNCTION("""COMPUTED_VALUE"""),0)</f>
        <v>0</v>
      </c>
      <c r="I242" s="26">
        <f>IFERROR(__xludf.DUMMYFUNCTION("""COMPUTED_VALUE"""),0)</f>
        <v>0</v>
      </c>
      <c r="J242" s="26">
        <f>IFERROR(__xludf.DUMMYFUNCTION("""COMPUTED_VALUE"""),0)</f>
        <v>0</v>
      </c>
      <c r="K242" s="26" t="str">
        <f>IFERROR(__xludf.DUMMYFUNCTION("""COMPUTED_VALUE"""),"NON-CGPA")</f>
        <v>NON-CGPA</v>
      </c>
      <c r="L242" s="26" t="str">
        <f>IFERROR(__xludf.DUMMYFUNCTION("""COMPUTED_VALUE"""),"Experiential Learning (Int Only)")</f>
        <v>Experiential Learning (Int Only)</v>
      </c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  <row r="832" ht="13.2" spans="1:18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</row>
    <row r="833" ht="13.2" spans="1:18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</row>
    <row r="834" ht="13.2" spans="1:18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</row>
    <row r="835" ht="13.2" spans="1:18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</row>
    <row r="836" ht="13.2" spans="1:18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</row>
    <row r="837" ht="13.2" spans="1:18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</row>
    <row r="838" ht="13.2" spans="1:1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</row>
    <row r="839" ht="13.2" spans="1:18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</row>
    <row r="840" ht="13.2" spans="1:18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</row>
    <row r="841" ht="13.2" spans="1:18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</row>
    <row r="842" ht="13.2" spans="1:18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</row>
    <row r="843" ht="13.2" spans="1:18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</row>
    <row r="844" ht="13.2" spans="1:18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</row>
    <row r="845" ht="13.2" spans="1:18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</row>
    <row r="846" ht="13.2" spans="1:18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</row>
    <row r="847" ht="13.2" spans="1:18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</row>
    <row r="848" ht="13.2" spans="1:1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</row>
    <row r="849" ht="13.2" spans="1:18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</row>
    <row r="850" ht="13.2" spans="1:18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</row>
    <row r="851" ht="13.2" spans="1:18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</row>
    <row r="852" ht="13.2" spans="1:18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</row>
    <row r="853" ht="13.2" spans="1:18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</row>
    <row r="854" ht="13.2" spans="1:18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</row>
    <row r="855" ht="13.2" spans="1:18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</row>
    <row r="856" ht="13.2" spans="1:18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ht="13.2" spans="1:18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ht="13.2" spans="1:1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ht="13.2" spans="1:18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ht="13.2" spans="1:18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ht="13.2" spans="1:18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ht="13.2" spans="1:18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</row>
    <row r="863" ht="13.2" spans="1:18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</row>
    <row r="864" ht="13.2" spans="1:18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</row>
    <row r="865" ht="13.2" spans="1:18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</row>
    <row r="866" ht="13.2" spans="1:18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</row>
    <row r="867" ht="13.2" spans="1:18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</row>
    <row r="868" ht="13.2" spans="1:1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</row>
    <row r="869" ht="13.2" spans="1:18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ht="13.2" spans="1:18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</row>
    <row r="871" ht="13.2" spans="1:18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</row>
    <row r="872" ht="13.2" spans="1:18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</row>
    <row r="873" ht="13.2" spans="1:18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</row>
    <row r="874" ht="13.2" spans="1:18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</row>
    <row r="875" ht="13.2" spans="1:18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</row>
    <row r="876" ht="13.2" spans="1:18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</row>
    <row r="877" ht="13.2" spans="1:18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</row>
    <row r="878" ht="13.2" spans="1:1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ht="13.2" spans="1:18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</row>
    <row r="880" ht="13.2" spans="1:18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</row>
    <row r="881" ht="13.2" spans="1:18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</row>
    <row r="882" ht="13.2" spans="1:18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</row>
    <row r="883" ht="13.2" spans="1:18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</row>
    <row r="884" ht="13.2" spans="1:18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</row>
    <row r="885" ht="13.2" spans="1:18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</row>
    <row r="886" ht="13.2" spans="1:18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</row>
    <row r="887" ht="13.2" spans="1:18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</row>
    <row r="888" ht="13.2" spans="1:1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</row>
    <row r="889" ht="13.2" spans="1:18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</row>
    <row r="890" ht="13.2" spans="1:18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</row>
    <row r="891" ht="13.2" spans="1:18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</row>
    <row r="892" ht="13.2" spans="1:18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</row>
    <row r="893" ht="13.2" spans="1:18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</row>
    <row r="894" ht="13.2" spans="1:18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</row>
    <row r="895" ht="13.2" spans="1:18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</row>
    <row r="896" ht="13.2" spans="1:18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ht="13.2" spans="1:18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</row>
    <row r="898" ht="13.2" spans="1:1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</row>
    <row r="899" ht="13.2" spans="1:18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</row>
    <row r="900" ht="13.2" spans="1:18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</row>
    <row r="901" ht="13.2" spans="1:18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</row>
    <row r="902" ht="13.2" spans="1:18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</row>
    <row r="903" ht="13.2" spans="1:18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</row>
    <row r="904" ht="13.2" spans="1:18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</row>
    <row r="905" ht="13.2" spans="1:18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</row>
    <row r="906" ht="13.2" spans="1:18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English&quot;)"/>
    <hyperlink ref="F4" r:id="rId3" display="=IFERROR(@__xludf.DUMMYFUNCTION(&quot;&quot;&quot;COMPUTED_VALUE&quot;&quot;&quot;),&quot;Communicative English&quot;)"/>
    <hyperlink ref="F5" r:id="rId4" display="=IFERROR(@__xludf.DUMMYFUNCTION(&quot;&quot;&quot;COMPUTED_VALUE&quot;&quot;&quot;),&quot;Principles of Management&quot;)"/>
    <hyperlink ref="F6" r:id="rId5" display="=IFERROR(@__xludf.DUMMYFUNCTION(&quot;&quot;&quot;COMPUTED_VALUE&quot;&quot;&quot;),&quot;Total Quality Management&quot;)"/>
    <hyperlink ref="F7" r:id="rId6" display="=IFERROR(@__xludf.DUMMYFUNCTION(&quot;&quot;&quot;COMPUTED_VALUE&quot;&quot;&quot;),&quot;Management and Quality Principles for Engineering&quot;)"/>
    <hyperlink ref="F8" r:id="rId7" display="=IFERROR(@__xludf.DUMMYFUNCTION(&quot;&quot;&quot;COMPUTED_VALUE&quot;&quot;&quot;),&quot;தமிழர் மரபு/ Heritage of Tamils&quot;)"/>
    <hyperlink ref="F9" r:id="rId8" display="=IFERROR(@__xludf.DUMMYFUNCTION(&quot;&quot;&quot;COMPUTED_VALUE&quot;&quot;&quot;),&quot;தமிழரும் தொழில்நுட்பமும்/ Tamils and Technology&quot;)"/>
    <hyperlink ref="F10" r:id="rId9" display="=IFERROR(@__xludf.DUMMYFUNCTION(&quot;&quot;&quot;COMPUTED_VALUE&quot;&quot;&quot;),&quot;Calculus and Matrix Algebra&quot;)"/>
    <hyperlink ref="F11" r:id="rId10" display="=IFERROR(@__xludf.DUMMYFUNCTION(&quot;&quot;&quot;COMPUTED_VALUE&quot;&quot;&quot;),&quot;Logic and Combinatorics&quot;)"/>
    <hyperlink ref="F12" r:id="rId11" display="=IFERROR(@__xludf.DUMMYFUNCTION(&quot;&quot;&quot;COMPUTED_VALUE&quot;&quot;&quot;),&quot;Algebra and Number Theory&quot;)"/>
    <hyperlink ref="F13" r:id="rId12" display="=IFERROR(@__xludf.DUMMYFUNCTION(&quot;&quot;&quot;COMPUTED_VALUE&quot;&quot;&quot;),&quot;Probability and Queueing Theory&quot;)"/>
    <hyperlink ref="F14" r:id="rId13" display="=IFERROR(@__xludf.DUMMYFUNCTION(&quot;&quot;&quot;COMPUTED_VALUE&quot;&quot;&quot;),&quot;Physics for Information Technology&quot;)"/>
    <hyperlink ref="F15" r:id="rId14" display="=IFERROR(@__xludf.DUMMYFUNCTION(&quot;&quot;&quot;COMPUTED_VALUE&quot;&quot;&quot;),&quot;Principles of Chemistry in Engineering&quot;)"/>
    <hyperlink ref="F16" r:id="rId15" display="=IFERROR(@__xludf.DUMMYFUNCTION(&quot;&quot;&quot;COMPUTED_VALUE&quot;&quot;&quot;),&quot;Problem Solving and Python Programming&quot;)"/>
    <hyperlink ref="F17" r:id="rId16" display="=IFERROR(@__xludf.DUMMYFUNCTION(&quot;&quot;&quot;COMPUTED_VALUE&quot;&quot;&quot;),&quot;Basic Electrical, Electronics and Measurement Engineering&quot;)"/>
    <hyperlink ref="F18" r:id="rId17" display="=IFERROR(@__xludf.DUMMYFUNCTION(&quot;&quot;&quot;COMPUTED_VALUE&quot;&quot;&quot;),&quot;Engineering Drawing&quot;)"/>
    <hyperlink ref="F19" r:id="rId18" display="=IFERROR(@__xludf.DUMMYFUNCTION(&quot;&quot;&quot;COMPUTED_VALUE&quot;&quot;&quot;),&quot;Digital Principles and System Design&quot;)"/>
    <hyperlink ref="F20" r:id="rId19" display="=IFERROR(@__xludf.DUMMYFUNCTION(&quot;&quot;&quot;COMPUTED_VALUE&quot;&quot;&quot;),&quot;Analog and Digital Communication&quot;)"/>
    <hyperlink ref="F21" r:id="rId20" display="=IFERROR(@__xludf.DUMMYFUNCTION(&quot;&quot;&quot;COMPUTED_VALUE&quot;&quot;&quot;),&quot;Programming in C&quot;)"/>
    <hyperlink ref="F22" r:id="rId21" display="=IFERROR(@__xludf.DUMMYFUNCTION(&quot;&quot;&quot;COMPUTED_VALUE&quot;&quot;&quot;),&quot;Computer Architecture&quot;)"/>
    <hyperlink ref="F23" r:id="rId22" display="=IFERROR(@__xludf.DUMMYFUNCTION(&quot;&quot;&quot;COMPUTED_VALUE&quot;&quot;&quot;),&quot;Data Structures using Python&quot;)"/>
    <hyperlink ref="F24" r:id="rId23" display="=IFERROR(@__xludf.DUMMYFUNCTION(&quot;&quot;&quot;COMPUTED_VALUE&quot;&quot;&quot;),&quot;Design and Analysis of Algorithms&quot;)"/>
    <hyperlink ref="F25" r:id="rId24" display="=IFERROR(@__xludf.DUMMYFUNCTION(&quot;&quot;&quot;COMPUTED_VALUE&quot;&quot;&quot;),&quot;Web Technology&quot;)"/>
    <hyperlink ref="F26" r:id="rId25" display="=IFERROR(@__xludf.DUMMYFUNCTION(&quot;&quot;&quot;COMPUTED_VALUE&quot;&quot;&quot;),&quot;Information Technology Essentials&quot;)"/>
    <hyperlink ref="F27" r:id="rId26" display="=IFERROR(@__xludf.DUMMYFUNCTION(&quot;&quot;&quot;COMPUTED_VALUE&quot;&quot;&quot;),&quot;Object Oriented Programming using Java&quot;)"/>
    <hyperlink ref="F28" r:id="rId27" display="=IFERROR(@__xludf.DUMMYFUNCTION(&quot;&quot;&quot;COMPUTED_VALUE&quot;&quot;&quot;),&quot;Fundamentals of Web Application Development&quot;)"/>
    <hyperlink ref="F29" r:id="rId28" display="=IFERROR(@__xludf.DUMMYFUNCTION(&quot;&quot;&quot;COMPUTED_VALUE&quot;&quot;&quot;),&quot;Game Development Technologies&quot;)"/>
    <hyperlink ref="F30" r:id="rId29" display="=IFERROR(@__xludf.DUMMYFUNCTION(&quot;&quot;&quot;COMPUTED_VALUE&quot;&quot;&quot;),&quot;Grid and Cloud Computing&quot;)"/>
    <hyperlink ref="F32" r:id="rId30" display="=IFERROR(@__xludf.DUMMYFUNCTION(&quot;&quot;&quot;COMPUTED_VALUE&quot;&quot;&quot;),&quot;Operating System&quot;)"/>
    <hyperlink ref="F33" r:id="rId31" display="=IFERROR(@__xludf.DUMMYFUNCTION(&quot;&quot;&quot;COMPUTED_VALUE&quot;&quot;&quot;),&quot;Computer Networks&quot;)"/>
    <hyperlink ref="F34" r:id="rId32" display="=IFERROR(@__xludf.DUMMYFUNCTION(&quot;&quot;&quot;COMPUTED_VALUE&quot;&quot;&quot;),&quot;Compiler Design&quot;)"/>
    <hyperlink ref="F35" r:id="rId33" display="=IFERROR(@__xludf.DUMMYFUNCTION(&quot;&quot;&quot;COMPUTED_VALUE&quot;&quot;&quot;),&quot;Software Engineering&quot;)"/>
    <hyperlink ref="F36" r:id="rId34" display="=IFERROR(@__xludf.DUMMYFUNCTION(&quot;&quot;&quot;COMPUTED_VALUE&quot;&quot;&quot;),&quot;Cryptography and Network Security&quot;)"/>
    <hyperlink ref="F37" r:id="rId35" display="=IFERROR(@__xludf.DUMMYFUNCTION(&quot;&quot;&quot;COMPUTED_VALUE&quot;&quot;&quot;),&quot;Artificial Intelligence&quot;)"/>
    <hyperlink ref="F38" r:id="rId36" display="=IFERROR(@__xludf.DUMMYFUNCTION(&quot;&quot;&quot;COMPUTED_VALUE&quot;&quot;&quot;),&quot;Mobile Application Development&quot;)"/>
    <hyperlink ref="F39" r:id="rId37" display="=IFERROR(@__xludf.DUMMYFUNCTION(&quot;&quot;&quot;COMPUTED_VALUE&quot;&quot;&quot;),&quot;Microprocessor and Microcontroller&quot;)"/>
    <hyperlink ref="F40" r:id="rId38" display="=IFERROR(@__xludf.DUMMYFUNCTION(&quot;&quot;&quot;COMPUTED_VALUE&quot;&quot;&quot;),&quot;Introduction to Machine Learning&quot;)"/>
    <hyperlink ref="F41" r:id="rId39" display="=IFERROR(@__xludf.DUMMYFUNCTION(&quot;&quot;&quot;COMPUTED_VALUE&quot;&quot;&quot;),&quot;Mobile User Interface Development&quot;)"/>
    <hyperlink ref="F42" r:id="rId40" display="=IFERROR(@__xludf.DUMMYFUNCTION(&quot;&quot;&quot;COMPUTED_VALUE&quot;&quot;&quot;),&quot;Programming Mobile Devices&quot;)"/>
    <hyperlink ref="F43" r:id="rId41" display="=IFERROR(@__xludf.DUMMYFUNCTION(&quot;&quot;&quot;COMPUTED_VALUE&quot;&quot;&quot;),&quot;Advanced Java Web Applications&quot;)"/>
    <hyperlink ref="F44" r:id="rId42" display="=IFERROR(@__xludf.DUMMYFUNCTION(&quot;&quot;&quot;COMPUTED_VALUE&quot;&quot;&quot;),&quot;Cloud Native App Development&quot;)"/>
    <hyperlink ref="F45" r:id="rId43" display="=IFERROR(@__xludf.DUMMYFUNCTION(&quot;&quot;&quot;COMPUTED_VALUE&quot;&quot;&quot;),&quot;Web Server Programming&quot;)"/>
    <hyperlink ref="F46" r:id="rId44" display="=IFERROR(@__xludf.DUMMYFUNCTION(&quot;&quot;&quot;COMPUTED_VALUE&quot;&quot;&quot;),&quot;Introduction to IoT&quot;)"/>
    <hyperlink ref="F47" r:id="rId45" display="=IFERROR(@__xludf.DUMMYFUNCTION(&quot;&quot;&quot;COMPUTED_VALUE&quot;&quot;&quot;),&quot;Modern Web Application Development&quot;)"/>
    <hyperlink ref="F48" r:id="rId46" display="=IFERROR(@__xludf.DUMMYFUNCTION(&quot;&quot;&quot;COMPUTED_VALUE&quot;&quot;&quot;),&quot;Programming Microcontrollers&quot;)"/>
    <hyperlink ref="F49" r:id="rId47" display="=IFERROR(@__xludf.DUMMYFUNCTION(&quot;&quot;&quot;COMPUTED_VALUE&quot;&quot;&quot;),&quot;Engineering Mechanics and Product Development&quot;)"/>
    <hyperlink ref="F50" r:id="rId48" display="=IFERROR(@__xludf.DUMMYFUNCTION(&quot;&quot;&quot;COMPUTED_VALUE&quot;&quot;&quot;),&quot;Object Oriented Programming using C++&quot;)"/>
    <hyperlink ref="F51" r:id="rId49" display="=IFERROR(@__xludf.DUMMYFUNCTION(&quot;&quot;&quot;COMPUTED_VALUE&quot;&quot;&quot;),&quot;Object Oriented Programming using C#&quot;)"/>
    <hyperlink ref="F52" r:id="rId50" display="=IFERROR(@__xludf.DUMMYFUNCTION(&quot;&quot;&quot;COMPUTED_VALUE&quot;&quot;&quot;),&quot;Introduction to Data Science&quot;)"/>
    <hyperlink ref="F53" r:id="rId51" display="=IFERROR(@__xludf.DUMMYFUNCTION(&quot;&quot;&quot;COMPUTED_VALUE&quot;&quot;&quot;),&quot;Digital Image Processing Techniques&quot;)"/>
    <hyperlink ref="F54" r:id="rId52" display="=IFERROR(@__xludf.DUMMYFUNCTION(&quot;&quot;&quot;COMPUTED_VALUE&quot;&quot;&quot;),&quot;Parallel Computing Architecture&quot;)"/>
    <hyperlink ref="F55" r:id="rId53" display="=IFERROR(@__xludf.DUMMYFUNCTION(&quot;&quot;&quot;COMPUTED_VALUE&quot;&quot;&quot;),&quot;Applied Artificial Intelligence&quot;)"/>
    <hyperlink ref="F56" r:id="rId54" display="=IFERROR(@__xludf.DUMMYFUNCTION(&quot;&quot;&quot;COMPUTED_VALUE&quot;&quot;&quot;),&quot;Neural Networks&quot;)"/>
    <hyperlink ref="F57" r:id="rId55" display="=IFERROR(@__xludf.DUMMYFUNCTION(&quot;&quot;&quot;COMPUTED_VALUE&quot;&quot;&quot;),&quot;Web Data Mining&quot;)"/>
    <hyperlink ref="F58" r:id="rId56" display="=IFERROR(@__xludf.DUMMYFUNCTION(&quot;&quot;&quot;COMPUTED_VALUE&quot;&quot;&quot;),&quot;Deep Learning and its Applications&quot;)"/>
    <hyperlink ref="F60" r:id="rId57" display="=IFERROR(@__xludf.DUMMYFUNCTION(&quot;&quot;&quot;COMPUTED_VALUE&quot;&quot;&quot;),&quot;Applied Natural Language Processing&quot;)"/>
    <hyperlink ref="F61" r:id="rId58" display="=IFERROR(@__xludf.DUMMYFUNCTION(&quot;&quot;&quot;COMPUTED_VALUE&quot;&quot;&quot;),&quot;Computer Vision&quot;)"/>
    <hyperlink ref="F62" r:id="rId59" display="=IFERROR(@__xludf.DUMMYFUNCTION(&quot;&quot;&quot;COMPUTED_VALUE&quot;&quot;&quot;),&quot;Mobile Robotics&quot;)"/>
    <hyperlink ref="F65" r:id="rId60" display="=IFERROR(@__xludf.DUMMYFUNCTION(&quot;&quot;&quot;COMPUTED_VALUE&quot;&quot;&quot;),&quot;Special Topics in Artificial Intelligence&quot;)"/>
    <hyperlink ref="F67" r:id="rId61" display="=IFERROR(@__xludf.DUMMYFUNCTION(&quot;&quot;&quot;COMPUTED_VALUE&quot;&quot;&quot;),&quot;Concepts of Virtual And Augmented Reality&quot;)"/>
    <hyperlink ref="F68" r:id="rId62" display="=IFERROR(@__xludf.DUMMYFUNCTION(&quot;&quot;&quot;COMPUTED_VALUE&quot;&quot;&quot;),&quot;Mobile VR And AI In Unity&quot;)"/>
    <hyperlink ref="F69" r:id="rId63" display="=IFERROR(@__xludf.DUMMYFUNCTION(&quot;&quot;&quot;COMPUTED_VALUE&quot;&quot;&quot;),&quot;Scientific and Engineering Data Visualization&quot;)"/>
    <hyperlink ref="F70" r:id="rId64" display="=IFERROR(@__xludf.DUMMYFUNCTION(&quot;&quot;&quot;COMPUTED_VALUE&quot;&quot;&quot;),&quot;NoSQL Database Design&quot;)"/>
    <hyperlink ref="F71" r:id="rId65" display="=IFERROR(@__xludf.DUMMYFUNCTION(&quot;&quot;&quot;COMPUTED_VALUE&quot;&quot;&quot;),&quot;Game Programming&quot;)"/>
    <hyperlink ref="F72" r:id="rId66" display="=IFERROR(@__xludf.DUMMYFUNCTION(&quot;&quot;&quot;COMPUTED_VALUE&quot;&quot;&quot;),&quot;Self Driving Car&quot;)"/>
    <hyperlink ref="F73" r:id="rId67" display="=IFERROR(@__xludf.DUMMYFUNCTION(&quot;&quot;&quot;COMPUTED_VALUE&quot;&quot;&quot;),&quot;Smart Manufacturing Technology&quot;)"/>
    <hyperlink ref="F74" r:id="rId68" display="=IFERROR(@__xludf.DUMMYFUNCTION(&quot;&quot;&quot;COMPUTED_VALUE&quot;&quot;&quot;),&quot;Big Data Mining and Analysis&quot;)"/>
    <hyperlink ref="F75" r:id="rId69" display="=IFERROR(@__xludf.DUMMYFUNCTION(&quot;&quot;&quot;COMPUTED_VALUE&quot;&quot;&quot;),&quot;Business Analytics&quot;)"/>
    <hyperlink ref="F76" r:id="rId70" display="=IFERROR(@__xludf.DUMMYFUNCTION(&quot;&quot;&quot;COMPUTED_VALUE&quot;&quot;&quot;),&quot;Cognitive Systems&quot;)"/>
    <hyperlink ref="F77" r:id="rId71" display="=IFERROR(@__xludf.DUMMYFUNCTION(&quot;&quot;&quot;COMPUTED_VALUE&quot;&quot;&quot;),&quot;Distributed Database&quot;)"/>
    <hyperlink ref="F78" r:id="rId72" display="=IFERROR(@__xludf.DUMMYFUNCTION(&quot;&quot;&quot;COMPUTED_VALUE&quot;&quot;&quot;),&quot;Data Mining and Warehousing&quot;)"/>
    <hyperlink ref="F79" r:id="rId73" display="=IFERROR(@__xludf.DUMMYFUNCTION(&quot;&quot;&quot;COMPUTED_VALUE&quot;&quot;&quot;),&quot;Expert Systems&quot;)"/>
    <hyperlink ref="F80" r:id="rId74" display="=IFERROR(@__xludf.DUMMYFUNCTION(&quot;&quot;&quot;COMPUTED_VALUE&quot;&quot;&quot;),&quot;Knowledge Engineering&quot;)"/>
    <hyperlink ref="F81" r:id="rId75" display="=IFERROR(@__xludf.DUMMYFUNCTION(&quot;&quot;&quot;COMPUTED_VALUE&quot;&quot;&quot;),&quot;Mobile Database&quot;)"/>
    <hyperlink ref="F82" r:id="rId76" display="=IFERROR(@__xludf.DUMMYFUNCTION(&quot;&quot;&quot;COMPUTED_VALUE&quot;&quot;&quot;),&quot;Multimedia Database&quot;)"/>
    <hyperlink ref="F83" r:id="rId77" display="=IFERROR(@__xludf.DUMMYFUNCTION(&quot;&quot;&quot;COMPUTED_VALUE&quot;&quot;&quot;),&quot;Video Processing&quot;)"/>
    <hyperlink ref="F84" r:id="rId78" display="=IFERROR(@__xludf.DUMMYFUNCTION(&quot;&quot;&quot;COMPUTED_VALUE&quot;&quot;&quot;),&quot;Information Security and Access Control&quot;)"/>
    <hyperlink ref="F85" r:id="rId79" display="=IFERROR(@__xludf.DUMMYFUNCTION(&quot;&quot;&quot;COMPUTED_VALUE&quot;&quot;&quot;),&quot;Security Assessment and Risk Analysis&quot;)"/>
    <hyperlink ref="F86" r:id="rId80" display="=IFERROR(@__xludf.DUMMYFUNCTION(&quot;&quot;&quot;COMPUTED_VALUE&quot;&quot;&quot;),&quot;Advanced Graph Theory and Applications&quot;)"/>
    <hyperlink ref="F87" r:id="rId81" display="=IFERROR(@__xludf.DUMMYFUNCTION(&quot;&quot;&quot;COMPUTED_VALUE&quot;&quot;&quot;),&quot;Advanced Data Structures&quot;)"/>
    <hyperlink ref="F88" r:id="rId82" display="=IFERROR(@__xludf.DUMMYFUNCTION(&quot;&quot;&quot;COMPUTED_VALUE&quot;&quot;&quot;),&quot;Control of Robotic Systems&quot;)"/>
    <hyperlink ref="F89" r:id="rId83" display="=IFERROR(@__xludf.DUMMYFUNCTION(&quot;&quot;&quot;COMPUTED_VALUE&quot;&quot;&quot;),&quot;Cryptography and Security&quot;)"/>
    <hyperlink ref="F90" r:id="rId84" display="=IFERROR(@__xludf.DUMMYFUNCTION(&quot;&quot;&quot;COMPUTED_VALUE&quot;&quot;&quot;),&quot;Information Theory for Cyber Security&quot;)"/>
    <hyperlink ref="F91" r:id="rId85" display="=IFERROR(@__xludf.DUMMYFUNCTION(&quot;&quot;&quot;COMPUTED_VALUE&quot;&quot;&quot;),&quot;Introduction to Robotics&quot;)"/>
    <hyperlink ref="F92" r:id="rId86" display="=IFERROR(@__xludf.DUMMYFUNCTION(&quot;&quot;&quot;COMPUTED_VALUE&quot;&quot;&quot;),&quot;Kinematics and Dynamics of Robots&quot;)"/>
    <hyperlink ref="F93" r:id="rId87" display="=IFERROR(@__xludf.DUMMYFUNCTION(&quot;&quot;&quot;COMPUTED_VALUE&quot;&quot;&quot;),&quot;Robotic Sensors&quot;)"/>
    <hyperlink ref="F94" r:id="rId88" display="=IFERROR(@__xludf.DUMMYFUNCTION(&quot;&quot;&quot;COMPUTED_VALUE&quot;&quot;&quot;),&quot;Steganography and Digital Watermarking&quot;)"/>
    <hyperlink ref="F95" r:id="rId89" display="=IFERROR(@__xludf.DUMMYFUNCTION(&quot;&quot;&quot;COMPUTED_VALUE&quot;&quot;&quot;),&quot;Computer Graphics for Virtual Reality&quot;)"/>
    <hyperlink ref="F96" r:id="rId90" display="=IFERROR(@__xludf.DUMMYFUNCTION(&quot;&quot;&quot;COMPUTED_VALUE&quot;&quot;&quot;),&quot;Mathematical Modelling and Computer Aided Engineering&quot;)"/>
    <hyperlink ref="F97" r:id="rId91" display="=IFERROR(@__xludf.DUMMYFUNCTION(&quot;&quot;&quot;COMPUTED_VALUE&quot;&quot;&quot;),&quot;Cloud Computing&quot;)"/>
    <hyperlink ref="F98" r:id="rId92" display="=IFERROR(@__xludf.DUMMYFUNCTION(&quot;&quot;&quot;COMPUTED_VALUE&quot;&quot;&quot;),&quot;Agile Software Development&quot;)"/>
    <hyperlink ref="F99" r:id="rId93" display="=IFERROR(@__xludf.DUMMYFUNCTION(&quot;&quot;&quot;COMPUTED_VALUE&quot;&quot;&quot;),&quot;Software Testing&quot;)"/>
    <hyperlink ref="F100" r:id="rId94" display="=IFERROR(@__xludf.DUMMYFUNCTION(&quot;&quot;&quot;COMPUTED_VALUE&quot;&quot;&quot;),&quot;Virtualization and Containerization&quot;)"/>
    <hyperlink ref="F101" r:id="rId95" display="=IFERROR(@__xludf.DUMMYFUNCTION(&quot;&quot;&quot;COMPUTED_VALUE&quot;&quot;&quot;),&quot;Blockchain for Business&quot;)"/>
    <hyperlink ref="F102" r:id="rId96" display="=IFERROR(@__xludf.DUMMYFUNCTION(&quot;&quot;&quot;COMPUTED_VALUE&quot;&quot;&quot;),&quot;Robot Programming&quot;)"/>
    <hyperlink ref="F103" r:id="rId97" display="=IFERROR(@__xludf.DUMMYFUNCTION(&quot;&quot;&quot;COMPUTED_VALUE&quot;&quot;&quot;),&quot;Drone Assembly and Applications&quot;)"/>
    <hyperlink ref="F104" r:id="rId98" display="=IFERROR(@__xludf.DUMMYFUNCTION(&quot;&quot;&quot;COMPUTED_VALUE&quot;&quot;&quot;),&quot;Artificial Intelligence for Games&quot;)"/>
    <hyperlink ref="F105" r:id="rId99" display="=IFERROR(@__xludf.DUMMYFUNCTION(&quot;&quot;&quot;COMPUTED_VALUE&quot;&quot;&quot;),&quot;Drone Design and Control&quot;)"/>
    <hyperlink ref="F106" r:id="rId100" display="=IFERROR(@__xludf.DUMMYFUNCTION(&quot;&quot;&quot;COMPUTED_VALUE&quot;&quot;&quot;),&quot;Web Application User Interface Development&quot;)"/>
    <hyperlink ref="F109" r:id="rId101" display="=IFERROR(@__xludf.DUMMYFUNCTION(&quot;&quot;&quot;COMPUTED_VALUE&quot;&quot;&quot;),&quot;Genetic Algorithms&quot;)"/>
    <hyperlink ref="F111" r:id="rId102" display="=IFERROR(@__xludf.DUMMYFUNCTION(&quot;&quot;&quot;COMPUTED_VALUE&quot;&quot;&quot;),&quot;Brain Computer Interaction&quot;)"/>
    <hyperlink ref="F112" r:id="rId103" display="=IFERROR(@__xludf.DUMMYFUNCTION(&quot;&quot;&quot;COMPUTED_VALUE&quot;&quot;&quot;),&quot;Statistical Learning Theory&quot;)"/>
    <hyperlink ref="F113" r:id="rId104" display="=IFERROR(@__xludf.DUMMYFUNCTION(&quot;&quot;&quot;COMPUTED_VALUE&quot;&quot;&quot;),&quot;Sensors and Actuators for IoT&quot;)"/>
    <hyperlink ref="F114" r:id="rId105" display="=IFERROR(@__xludf.DUMMYFUNCTION(&quot;&quot;&quot;COMPUTED_VALUE&quot;&quot;&quot;),&quot;Security and Trust in IoT&quot;)"/>
    <hyperlink ref="F115" r:id="rId106" display="=IFERROR(@__xludf.DUMMYFUNCTION(&quot;&quot;&quot;COMPUTED_VALUE&quot;&quot;&quot;),&quot;Industrial Internet of Things&quot;)"/>
    <hyperlink ref="F116" r:id="rId107" display="=IFERROR(@__xludf.DUMMYFUNCTION(&quot;&quot;&quot;COMPUTED_VALUE&quot;&quot;&quot;),&quot;Software for Embedded Systems&quot;)"/>
    <hyperlink ref="F117" r:id="rId108" display="=IFERROR(@__xludf.DUMMYFUNCTION(&quot;&quot;&quot;COMPUTED_VALUE&quot;&quot;&quot;),&quot;IoT Architecture and Protocols&quot;)"/>
    <hyperlink ref="F118" r:id="rId109" display="=IFERROR(@__xludf.DUMMYFUNCTION(&quot;&quot;&quot;COMPUTED_VALUE&quot;&quot;&quot;),&quot;Arduino for IoT&quot;)"/>
    <hyperlink ref="F119" r:id="rId110" display="=IFERROR(@__xludf.DUMMYFUNCTION(&quot;&quot;&quot;COMPUTED_VALUE&quot;&quot;&quot;),&quot;Raspberry Pi for IoT&quot;)"/>
    <hyperlink ref="F120" r:id="rId111" display="=IFERROR(@__xludf.DUMMYFUNCTION(&quot;&quot;&quot;COMPUTED_VALUE&quot;&quot;&quot;),&quot;Motion Planning Techniques&quot;)"/>
    <hyperlink ref="F121" r:id="rId112" display="=IFERROR(@__xludf.DUMMYFUNCTION(&quot;&quot;&quot;COMPUTED_VALUE&quot;&quot;&quot;),&quot;Advanced Java Programming&quot;)"/>
    <hyperlink ref="F122" r:id="rId113" display="=IFERROR(@__xludf.DUMMYFUNCTION(&quot;&quot;&quot;COMPUTED_VALUE&quot;&quot;&quot;),&quot;Programming Paradigms&quot;)"/>
    <hyperlink ref="F123" r:id="rId114" display="=IFERROR(@__xludf.DUMMYFUNCTION(&quot;&quot;&quot;COMPUTED_VALUE&quot;&quot;&quot;),&quot;Cloud Security&quot;)"/>
    <hyperlink ref="F124" r:id="rId115" display="=IFERROR(@__xludf.DUMMYFUNCTION(&quot;&quot;&quot;COMPUTED_VALUE&quot;&quot;&quot;),&quot;Ethical Hacking Techniques&quot;)"/>
    <hyperlink ref="F125" r:id="rId116" display="=IFERROR(@__xludf.DUMMYFUNCTION(&quot;&quot;&quot;COMPUTED_VALUE&quot;&quot;&quot;),&quot;Cyber Law and Compliance&quot;)"/>
    <hyperlink ref="F126" r:id="rId117" display="=IFERROR(@__xludf.DUMMYFUNCTION(&quot;&quot;&quot;COMPUTED_VALUE&quot;&quot;&quot;),&quot;Digital Forensics and Digital Investigations&quot;)"/>
    <hyperlink ref="F127" r:id="rId118" display="=IFERROR(@__xludf.DUMMYFUNCTION(&quot;&quot;&quot;COMPUTED_VALUE&quot;&quot;&quot;),&quot;Prototyping of IoT Systems&quot;)"/>
    <hyperlink ref="F128" r:id="rId119" display="=IFERROR(@__xludf.DUMMYFUNCTION(&quot;&quot;&quot;COMPUTED_VALUE&quot;&quot;&quot;),&quot;Edge Computing&quot;)"/>
    <hyperlink ref="F129" r:id="rId120" display="=IFERROR(@__xludf.DUMMYFUNCTION(&quot;&quot;&quot;COMPUTED_VALUE&quot;&quot;&quot;),&quot;Security for IoT Systems&quot;)"/>
    <hyperlink ref="F130" r:id="rId121" display="=IFERROR(@__xludf.DUMMYFUNCTION(&quot;&quot;&quot;COMPUTED_VALUE&quot;&quot;&quot;),&quot;Machine Learning&quot;)"/>
    <hyperlink ref="F131" r:id="rId122" display="=IFERROR(@__xludf.DUMMYFUNCTION(&quot;&quot;&quot;COMPUTED_VALUE&quot;&quot;&quot;),&quot;Computer Graphics and Multimedia&quot;)"/>
    <hyperlink ref="F132" r:id="rId123" display="=IFERROR(@__xludf.DUMMYFUNCTION(&quot;&quot;&quot;COMPUTED_VALUE&quot;&quot;&quot;),&quot;Developing Web Application in .Net&quot;)"/>
    <hyperlink ref="F133" r:id="rId124" display="=IFERROR(@__xludf.DUMMYFUNCTION(&quot;&quot;&quot;COMPUTED_VALUE&quot;&quot;&quot;),&quot;Software Project Management&quot;)"/>
    <hyperlink ref="F134" r:id="rId125" display="=IFERROR(@__xludf.DUMMYFUNCTION(&quot;&quot;&quot;COMPUTED_VALUE&quot;&quot;&quot;),&quot;Service Oriented Architecture&quot;)"/>
    <hyperlink ref="F135" r:id="rId126" display="=IFERROR(@__xludf.DUMMYFUNCTION(&quot;&quot;&quot;COMPUTED_VALUE&quot;&quot;&quot;),&quot;Multicore Architecture&quot;)"/>
    <hyperlink ref="F136" r:id="rId127" display="=IFERROR(@__xludf.DUMMYFUNCTION(&quot;&quot;&quot;COMPUTED_VALUE&quot;&quot;&quot;),&quot;Human Computer Interaction&quot;)"/>
    <hyperlink ref="F137" r:id="rId128" display="=IFERROR(@__xludf.DUMMYFUNCTION(&quot;&quot;&quot;COMPUTED_VALUE&quot;&quot;&quot;),&quot;Parallel and Distributed Systems&quot;)"/>
    <hyperlink ref="F138" r:id="rId129" display="=IFERROR(@__xludf.DUMMYFUNCTION(&quot;&quot;&quot;COMPUTED_VALUE&quot;&quot;&quot;),&quot;Graph Theory and Applications&quot;)"/>
    <hyperlink ref="F139" r:id="rId130" display="=IFERROR(@__xludf.DUMMYFUNCTION(&quot;&quot;&quot;COMPUTED_VALUE&quot;&quot;&quot;),&quot;Social Network Analysis&quot;)"/>
    <hyperlink ref="F140" r:id="rId131" display="=IFERROR(@__xludf.DUMMYFUNCTION(&quot;&quot;&quot;COMPUTED_VALUE&quot;&quot;&quot;),&quot;Natural Language Processing&quot;)"/>
    <hyperlink ref="F141" r:id="rId132" display="=IFERROR(@__xludf.DUMMYFUNCTION(&quot;&quot;&quot;COMPUTED_VALUE&quot;&quot;&quot;),&quot;Soft Computing&quot;)"/>
    <hyperlink ref="F142" r:id="rId133" display="=IFERROR(@__xludf.DUMMYFUNCTION(&quot;&quot;&quot;COMPUTED_VALUE&quot;&quot;&quot;),&quot;Green Computing&quot;)"/>
    <hyperlink ref="F143" r:id="rId134" display="=IFERROR(@__xludf.DUMMYFUNCTION(&quot;&quot;&quot;COMPUTED_VALUE&quot;&quot;&quot;),&quot;Network Management Systems&quot;)"/>
    <hyperlink ref="F144" r:id="rId135" display="=IFERROR(@__xludf.DUMMYFUNCTION(&quot;&quot;&quot;COMPUTED_VALUE&quot;&quot;&quot;),&quot;Block Chain Architecture and its Use Cases&quot;)"/>
    <hyperlink ref="F145" r:id="rId136" display="=IFERROR(@__xludf.DUMMYFUNCTION(&quot;&quot;&quot;COMPUTED_VALUE&quot;&quot;&quot;),&quot;Software Testing and Quality Assurance&quot;)"/>
    <hyperlink ref="F146" r:id="rId137" display="=IFERROR(@__xludf.DUMMYFUNCTION(&quot;&quot;&quot;COMPUTED_VALUE&quot;&quot;&quot;),&quot;Mobile Computing&quot;)"/>
    <hyperlink ref="F147" r:id="rId138" display="=IFERROR(@__xludf.DUMMYFUNCTION(&quot;&quot;&quot;COMPUTED_VALUE&quot;&quot;&quot;),&quot;Game Design and Development&quot;)"/>
    <hyperlink ref="F148" r:id="rId139" display="=IFERROR(@__xludf.DUMMYFUNCTION(&quot;&quot;&quot;COMPUTED_VALUE&quot;&quot;&quot;),&quot;Data Science&quot;)"/>
    <hyperlink ref="F149" r:id="rId140" display="=IFERROR(@__xludf.DUMMYFUNCTION(&quot;&quot;&quot;COMPUTED_VALUE&quot;&quot;&quot;),&quot;Big Data Analytics&quot;)"/>
    <hyperlink ref="F150" r:id="rId141" display="=IFERROR(@__xludf.DUMMYFUNCTION(&quot;&quot;&quot;COMPUTED_VALUE&quot;&quot;&quot;),&quot;Data Warehousing and Data Mining&quot;)"/>
    <hyperlink ref="F151" r:id="rId142" display="=IFERROR(@__xludf.DUMMYFUNCTION(&quot;&quot;&quot;COMPUTED_VALUE&quot;&quot;&quot;),&quot;Advanced Database Management System&quot;)"/>
    <hyperlink ref="F152" r:id="rId143" display="=IFERROR(@__xludf.DUMMYFUNCTION(&quot;&quot;&quot;COMPUTED_VALUE&quot;&quot;&quot;),&quot;Information Retrieval&quot;)"/>
    <hyperlink ref="F153" r:id="rId144" display="=IFERROR(@__xludf.DUMMYFUNCTION(&quot;&quot;&quot;COMPUTED_VALUE&quot;&quot;&quot;),&quot;Deep Learning&quot;)"/>
    <hyperlink ref="F155" r:id="rId145" display="=IFERROR(@__xludf.DUMMYFUNCTION(&quot;&quot;&quot;COMPUTED_VALUE&quot;&quot;&quot;),&quot;Robotics and its Applications&quot;)"/>
    <hyperlink ref="F156" r:id="rId146" display="=IFERROR(@__xludf.DUMMYFUNCTION(&quot;&quot;&quot;COMPUTED_VALUE&quot;&quot;&quot;),&quot;Quantum Computing&quot;)"/>
    <hyperlink ref="F157" r:id="rId147" display="=IFERROR(@__xludf.DUMMYFUNCTION(&quot;&quot;&quot;COMPUTED_VALUE&quot;&quot;&quot;),&quot;Cyber Security&quot;)"/>
    <hyperlink ref="F158" r:id="rId148" display="=IFERROR(@__xludf.DUMMYFUNCTION(&quot;&quot;&quot;COMPUTED_VALUE&quot;&quot;&quot;),&quot;Virtual Reality&quot;)"/>
    <hyperlink ref="F159" r:id="rId149" display="=IFERROR(@__xludf.DUMMYFUNCTION(&quot;&quot;&quot;COMPUTED_VALUE&quot;&quot;&quot;),&quot;Professional Readiness for Innovation, Employability and Entrepreneurship&quot;)"/>
    <hyperlink ref="F160" r:id="rId150" display="=IFERROR(@__xludf.DUMMYFUNCTION(&quot;&quot;&quot;COMPUTED_VALUE&quot;&quot;&quot;),&quot;Information Security Intelligence and Analytics using Big Data&quot;)"/>
    <hyperlink ref="F161" r:id="rId151" display="=IFERROR(@__xludf.DUMMYFUNCTION(&quot;&quot;&quot;COMPUTED_VALUE&quot;&quot;&quot;),&quot;Prevention Methodology for Cybersecurity&quot;)"/>
    <hyperlink ref="F162" r:id="rId152" display="=IFERROR(@__xludf.DUMMYFUNCTION(&quot;&quot;&quot;COMPUTED_VALUE&quot;&quot;&quot;),&quot;Trusted Network Systems&quot;)"/>
    <hyperlink ref="F163" r:id="rId153" display="=IFERROR(@__xludf.DUMMYFUNCTION(&quot;&quot;&quot;COMPUTED_VALUE&quot;&quot;&quot;),&quot;Secure Software Engineering&quot;)"/>
    <hyperlink ref="F164" r:id="rId154" display="=IFERROR(@__xludf.DUMMYFUNCTION(&quot;&quot;&quot;COMPUTED_VALUE&quot;&quot;&quot;),&quot;System Security&quot;)"/>
    <hyperlink ref="F165" r:id="rId155" display="=IFERROR(@__xludf.DUMMYFUNCTION(&quot;&quot;&quot;COMPUTED_VALUE&quot;&quot;&quot;),&quot;Hardware Security&quot;)"/>
    <hyperlink ref="F166" r:id="rId156" display="=IFERROR(@__xludf.DUMMYFUNCTION(&quot;&quot;&quot;COMPUTED_VALUE&quot;&quot;&quot;),&quot;Fog Computing&quot;)"/>
    <hyperlink ref="F167" r:id="rId104" display="=IFERROR(@__xludf.DUMMYFUNCTION(&quot;&quot;&quot;COMPUTED_VALUE&quot;&quot;&quot;),&quot;Sensors and Actuators for IoT&quot;)"/>
    <hyperlink ref="F168" r:id="rId157" display="=IFERROR(@__xludf.DUMMYFUNCTION(&quot;&quot;&quot;COMPUTED_VALUE&quot;&quot;&quot;),&quot;Embedded Board Design&quot;)"/>
    <hyperlink ref="F169" r:id="rId151" display="=IFERROR(@__xludf.DUMMYFUNCTION(&quot;&quot;&quot;COMPUTED_VALUE&quot;&quot;&quot;),&quot;Embedded Board Manufacturing&quot;)"/>
    <hyperlink ref="F170" r:id="rId158" display="=IFERROR(@__xludf.DUMMYFUNCTION(&quot;&quot;&quot;COMPUTED_VALUE&quot;&quot;&quot;),&quot;Realtime Operating System&quot;)"/>
    <hyperlink ref="F171" r:id="rId159" display="=IFERROR(@__xludf.DUMMYFUNCTION(&quot;&quot;&quot;COMPUTED_VALUE&quot;&quot;&quot;),&quot;Open Source Operating System&quot;)"/>
    <hyperlink ref="F172" r:id="rId160" display="=IFERROR(@__xludf.DUMMYFUNCTION(&quot;&quot;&quot;COMPUTED_VALUE&quot;&quot;&quot;),&quot;Kernel Programming&quot;)"/>
    <hyperlink ref="F173" r:id="rId161" display="=IFERROR(@__xludf.DUMMYFUNCTION(&quot;&quot;&quot;COMPUTED_VALUE&quot;&quot;&quot;),&quot;Fundamentals of Cryptocurrency&quot;)"/>
    <hyperlink ref="F174" r:id="rId162" display="=IFERROR(@__xludf.DUMMYFUNCTION(&quot;&quot;&quot;COMPUTED_VALUE&quot;&quot;&quot;),&quot;Robotic Process Automation&quot;)"/>
    <hyperlink ref="F175" r:id="rId163" display="=IFERROR(@__xludf.DUMMYFUNCTION(&quot;&quot;&quot;COMPUTED_VALUE&quot;&quot;&quot;),&quot;Software Project Management and Version Control&quot;)"/>
    <hyperlink ref="F176" r:id="rId164" display="=IFERROR(@__xludf.DUMMYFUNCTION(&quot;&quot;&quot;COMPUTED_VALUE&quot;&quot;&quot;),&quot;Generative AI Application Development&quot;)"/>
    <hyperlink ref="F177" r:id="rId165" display="=IFERROR(@__xludf.DUMMYFUNCTION(&quot;&quot;&quot;COMPUTED_VALUE&quot;&quot;&quot;),&quot;Fine Tuning Large Language Models&quot;)"/>
    <hyperlink ref="F178" r:id="rId166" display="=IFERROR(@__xludf.DUMMYFUNCTION(&quot;&quot;&quot;COMPUTED_VALUE&quot;&quot;&quot;),&quot;Applied Data Science&quot;)"/>
    <hyperlink ref="F179" r:id="rId167" display="=IFERROR(@__xludf.DUMMYFUNCTION(&quot;&quot;&quot;COMPUTED_VALUE&quot;&quot;&quot;),&quot;Entrepreneurship and Small Business Development&quot;)"/>
    <hyperlink ref="F180" r:id="rId168" display="=IFERROR(@__xludf.DUMMYFUNCTION(&quot;&quot;&quot;COMPUTED_VALUE&quot;&quot;&quot;),&quot;Software Development and Operations&quot;)"/>
    <hyperlink ref="F181" r:id="rId169" display="=IFERROR(@__xludf.DUMMYFUNCTION(&quot;&quot;&quot;COMPUTED_VALUE&quot;&quot;&quot;),&quot;Serverless App Development&quot;)"/>
    <hyperlink ref="F182" r:id="rId170" display="=IFERROR(@__xludf.DUMMYFUNCTION(&quot;&quot;&quot;COMPUTED_VALUE&quot;&quot;&quot;),&quot;Enterprise Cloud Architecture&quot;)"/>
    <hyperlink ref="F183" r:id="rId171" display="=IFERROR(@__xludf.DUMMYFUNCTION(&quot;&quot;&quot;COMPUTED_VALUE&quot;&quot;&quot;),&quot;Advanced Class Design and Object-Oriented Techniques&quot;)"/>
    <hyperlink ref="F184" r:id="rId172" display="=IFERROR(@__xludf.DUMMYFUNCTION(&quot;&quot;&quot;COMPUTED_VALUE&quot;&quot;&quot;),&quot;Low-Code App Development&quot;)"/>
    <hyperlink ref="F185" r:id="rId173" display="=IFERROR(@__xludf.DUMMYFUNCTION(&quot;&quot;&quot;COMPUTED_VALUE&quot;&quot;&quot;),&quot;Cloud System Administration&quot;)"/>
    <hyperlink ref="F186" r:id="rId174" display="=IFERROR(@__xludf.DUMMYFUNCTION(&quot;&quot;&quot;COMPUTED_VALUE&quot;&quot;&quot;),&quot;Machine Learning Operations&quot;)"/>
    <hyperlink ref="F187" r:id="rId175" display="=IFERROR(@__xludf.DUMMYFUNCTION(&quot;&quot;&quot;COMPUTED_VALUE&quot;&quot;&quot;),&quot;Embedded Systems&quot;)"/>
    <hyperlink ref="F188" r:id="rId176" display="=IFERROR(@__xludf.DUMMYFUNCTION(&quot;&quot;&quot;COMPUTED_VALUE&quot;&quot;&quot;),&quot;Principles of Digital Signal Processing&quot;)"/>
    <hyperlink ref="F189" r:id="rId177" display="=IFERROR(@__xludf.DUMMYFUNCTION(&quot;&quot;&quot;COMPUTED_VALUE&quot;&quot;&quot;),&quot;Digital Image Processing&quot;)"/>
    <hyperlink ref="F190" r:id="rId178" display="=IFERROR(@__xludf.DUMMYFUNCTION(&quot;&quot;&quot;COMPUTED_VALUE&quot;&quot;&quot;),&quot;Ad Hoc and Wireless Sensor Networks&quot;)"/>
    <hyperlink ref="F191" r:id="rId179" display="=IFERROR(@__xludf.DUMMYFUNCTION(&quot;&quot;&quot;COMPUTED_VALUE&quot;&quot;&quot;),&quot;Distributed Computing&quot;)"/>
    <hyperlink ref="F192" r:id="rId180" display="=IFERROR(@__xludf.DUMMYFUNCTION(&quot;&quot;&quot;COMPUTED_VALUE&quot;&quot;&quot;),&quot;Information Theory and Coding Techniques&quot;)"/>
    <hyperlink ref="F193" r:id="rId181" display="=IFERROR(@__xludf.DUMMYFUNCTION(&quot;&quot;&quot;COMPUTED_VALUE&quot;&quot;&quot;),&quot;Enterprise Resource Planning&quot;)"/>
    <hyperlink ref="F194" r:id="rId182" display="=IFERROR(@__xludf.DUMMYFUNCTION(&quot;&quot;&quot;COMPUTED_VALUE&quot;&quot;&quot;),&quot;User Interface Design&quot;)"/>
    <hyperlink ref="F195" r:id="rId183" display="=IFERROR(@__xludf.DUMMYFUNCTION(&quot;&quot;&quot;COMPUTED_VALUE&quot;&quot;&quot;),&quot;Information Storage Management&quot;)"/>
    <hyperlink ref="F196" r:id="rId184" display="=IFERROR(@__xludf.DUMMYFUNCTION(&quot;&quot;&quot;COMPUTED_VALUE&quot;&quot;&quot;),&quot;Software Design Patterns&quot;)"/>
    <hyperlink ref="F197" r:id="rId185" display="=IFERROR(@__xludf.DUMMYFUNCTION(&quot;&quot;&quot;COMPUTED_VALUE&quot;&quot;&quot;),&quot;E-Learning Techniques&quot;)"/>
    <hyperlink ref="F198" r:id="rId186" display="=IFERROR(@__xludf.DUMMYFUNCTION(&quot;&quot;&quot;COMPUTED_VALUE&quot;&quot;&quot;),&quot;TCP/IP Design and Implementation&quot;)"/>
    <hyperlink ref="F199" r:id="rId187" display="=IFERROR(@__xludf.DUMMYFUNCTION(&quot;&quot;&quot;COMPUTED_VALUE&quot;&quot;&quot;),&quot;Advanced Algorithms&quot;)"/>
    <hyperlink ref="F200" r:id="rId188" display="=IFERROR(@__xludf.DUMMYFUNCTION(&quot;&quot;&quot;COMPUTED_VALUE&quot;&quot;&quot;),&quot;Ethical Hacking&quot;)"/>
    <hyperlink ref="F201" r:id="rId189" display="=IFERROR(@__xludf.DUMMYFUNCTION(&quot;&quot;&quot;COMPUTED_VALUE&quot;&quot;&quot;),&quot;DHTML and XML&quot;)"/>
    <hyperlink ref="F202" r:id="rId190" display="=IFERROR(@__xludf.DUMMYFUNCTION(&quot;&quot;&quot;COMPUTED_VALUE&quot;&quot;&quot;),&quot;E-Commerce&quot;)"/>
    <hyperlink ref="F203" r:id="rId191" display="=IFERROR(@__xludf.DUMMYFUNCTION(&quot;&quot;&quot;COMPUTED_VALUE&quot;&quot;&quot;),&quot;Free Open Source Software&quot;)"/>
    <hyperlink ref="F204" r:id="rId192" display="=IFERROR(@__xludf.DUMMYFUNCTION(&quot;&quot;&quot;COMPUTED_VALUE&quot;&quot;&quot;),&quot;Real Time Operating Systems&quot;)"/>
    <hyperlink ref="F205" r:id="rId193" display="=IFERROR(@__xludf.DUMMYFUNCTION(&quot;&quot;&quot;COMPUTED_VALUE&quot;&quot;&quot;),&quot;Software Agents&quot;)"/>
    <hyperlink ref="F206" r:id="rId194" display="=IFERROR(@__xludf.DUMMYFUNCTION(&quot;&quot;&quot;COMPUTED_VALUE&quot;&quot;&quot;),&quot;Business Intelligence and Analytics&quot;)"/>
    <hyperlink ref="F207" r:id="rId195" display="=IFERROR(@__xludf.DUMMYFUNCTION(&quot;&quot;&quot;COMPUTED_VALUE&quot;&quot;&quot;),&quot;Firewalls and Intrusion Detection System&quot;)"/>
    <hyperlink ref="F210" r:id="rId196" display="=IFERROR(@__xludf.DUMMYFUNCTION(&quot;&quot;&quot;COMPUTED_VALUE&quot;&quot;&quot;),&quot;Python Programming for IoT&quot;)"/>
    <hyperlink ref="F211" r:id="rId197" display="=IFERROR(@__xludf.DUMMYFUNCTION(&quot;&quot;&quot;COMPUTED_VALUE&quot;&quot;&quot;),&quot;Applications of IoT in Robotics&quot;)"/>
    <hyperlink ref="F212" r:id="rId198" display="=IFERROR(@__xludf.DUMMYFUNCTION(&quot;&quot;&quot;COMPUTED_VALUE&quot;&quot;&quot;),&quot;Programming for IoT Boards&quot;)"/>
    <hyperlink ref="F213" r:id="rId199" display="=IFERROR(@__xludf.DUMMYFUNCTION(&quot;&quot;&quot;COMPUTED_VALUE&quot;&quot;&quot;),&quot;Design of Smart Cities&quot;)"/>
    <hyperlink ref="F214" r:id="rId200" display="=IFERROR(@__xludf.DUMMYFUNCTION(&quot;&quot;&quot;COMPUTED_VALUE&quot;&quot;&quot;),&quot;IoT and Multimedia Technology&quot;)"/>
    <hyperlink ref="F215" r:id="rId201" display="=IFERROR(@__xludf.DUMMYFUNCTION(&quot;&quot;&quot;COMPUTED_VALUE&quot;&quot;&quot;),&quot;Mobile Application Development for IoT&quot;)"/>
    <hyperlink ref="F216" r:id="rId201" display="=IFERROR(@__xludf.DUMMYFUNCTION(&quot;&quot;&quot;COMPUTED_VALUE&quot;&quot;&quot;),&quot;Open Source Programming for IoT&quot;)"/>
    <hyperlink ref="F219" r:id="rId202" display="=IFERROR(@__xludf.DUMMYFUNCTION(&quot;&quot;&quot;COMPUTED_VALUE&quot;&quot;&quot;),&quot;Mini Project&quot;)"/>
    <hyperlink ref="F220" r:id="rId203" display="=IFERROR(@__xludf.DUMMYFUNCTION(&quot;&quot;&quot;COMPUTED_VALUE&quot;&quot;&quot;),&quot;Project Work Phase I&quot;)"/>
    <hyperlink ref="F221" r:id="rId204" display="=IFERROR(@__xludf.DUMMYFUNCTION(&quot;&quot;&quot;COMPUTED_VALUE&quot;&quot;&quot;),&quot;Project Work Phase II&quot;)"/>
    <hyperlink ref="F222" r:id="rId205" display="=IFERROR(@__xludf.DUMMYFUNCTION(&quot;&quot;&quot;COMPUTED_VALUE&quot;&quot;&quot;),&quot;Softskills&quot;)"/>
    <hyperlink ref="F223" r:id="rId206" display="=IFERROR(@__xludf.DUMMYFUNCTION(&quot;&quot;&quot;COMPUTED_VALUE&quot;&quot;&quot;),&quot;Career Development Skills&quot;)"/>
    <hyperlink ref="F224" r:id="rId207" display="=IFERROR(@__xludf.DUMMYFUNCTION(&quot;&quot;&quot;COMPUTED_VALUE&quot;&quot;&quot;),&quot;Creative Skills for Communication&quot;)"/>
    <hyperlink ref="F225" r:id="rId208" display="=IFERROR(@__xludf.DUMMYFUNCTION(&quot;&quot;&quot;COMPUTED_VALUE&quot;&quot;&quot;),&quot;Reasoning Ability&quot;)"/>
    <hyperlink ref="F226" r:id="rId209" display="=IFERROR(@__xludf.DUMMYFUNCTION(&quot;&quot;&quot;COMPUTED_VALUE&quot;&quot;&quot;),&quot;System of Numerical and Logical Terminologies&quot;)"/>
    <hyperlink ref="F227" r:id="rId210" display="=IFERROR(@__xludf.DUMMYFUNCTION(&quot;&quot;&quot;COMPUTED_VALUE&quot;&quot;&quot;),&quot;Advanced Quantitative and Logical Reasoning&quot;)"/>
    <hyperlink ref="F228" r:id="rId211" display="=IFERROR(@__xludf.DUMMYFUNCTION(&quot;&quot;&quot;COMPUTED_VALUE&quot;&quot;&quot;),&quot;Quantitative Ability I&quot;)"/>
    <hyperlink ref="F229" r:id="rId212" display="=IFERROR(@__xludf.DUMMYFUNCTION(&quot;&quot;&quot;COMPUTED_VALUE&quot;&quot;&quot;),&quot;Quantitative Ability II&quot;)"/>
    <hyperlink ref="F230" r:id="rId213" display="=IFERROR(@__xludf.DUMMYFUNCTION(&quot;&quot;&quot;COMPUTED_VALUE&quot;&quot;&quot;),&quot;Employment Enhancement Skills&quot;)"/>
    <hyperlink ref="F231" r:id="rId214" display="=IFERROR(@__xludf.DUMMYFUNCTION(&quot;&quot;&quot;COMPUTED_VALUE&quot;&quot;&quot;),&quot;Employment Enrichment Skills&quot;)"/>
    <hyperlink ref="F232" r:id="rId215" display="=IFERROR(@__xludf.DUMMYFUNCTION(&quot;&quot;&quot;COMPUTED_VALUE&quot;&quot;&quot;),&quot;Company Specific Assessments For Employability&quot;)"/>
    <hyperlink ref="F233" r:id="rId216" display="=IFERROR(@__xludf.DUMMYFUNCTION(&quot;&quot;&quot;COMPUTED_VALUE&quot;&quot;&quot;),&quot;Placement Readiness Assessment&quot;)"/>
    <hyperlink ref="F234" r:id="rId217" display="=IFERROR(@__xludf.DUMMYFUNCTION(&quot;&quot;&quot;COMPUTED_VALUE&quot;&quot;&quot;),&quot;Paper Publication&quot;)"/>
    <hyperlink ref="F235" r:id="rId218" display="=IFERROR(@__xludf.DUMMYFUNCTION(&quot;&quot;&quot;COMPUTED_VALUE&quot;&quot;&quot;),&quot;Professional Ethics&quot;)"/>
    <hyperlink ref="F236" r:id="rId219" display="=IFERROR(@__xludf.DUMMYFUNCTION(&quot;&quot;&quot;COMPUTED_VALUE&quot;&quot;&quot;),&quot;Environmental Science&quot;)"/>
    <hyperlink ref="F237" r:id="rId220" display="=IFERROR(@__xludf.DUMMYFUNCTION(&quot;&quot;&quot;COMPUTED_VALUE&quot;&quot;&quot;),&quot;Constitution of India&quot;)"/>
    <hyperlink ref="F239" r:id="rId221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99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""2023-IT!A:A""),
IMPORTRANGE(""https://docs.google.com/spreadsheets/d/1UvPg-G_Bj-UNhLC2uL8tntfYsnld_PABqE3impzOchM/edit"", ""2023-IT!"&amp;"D:D""),
IMPORTRANGE(""https://docs.google.com/spreadsheets/d/1UvPg-G_Bj-UNhLC2uL8tntfYsnld_PABqE3impzOchM/edit"", ""2023-IT!E:E""),
IMPORTRANGE(""https://docs.google.com/spreadsheets/d/1UvPg-G_Bj-UNhLC2uL8tntfYsnld_PABqE3impzOchM/edit"", ""2023-IT!F:F""),"&amp;"
IMPORTRANGE(""https://docs.google.com/spreadsheets/d/1UvPg-G_Bj-UNhLC2uL8tntfYsnld_PABqE3impzOchM/edit"", ""2023-IT!G:G""),
IMPORTRANGE(""https://docs.google.com/spreadsheets/d/1UvPg-G_Bj-UNhLC2uL8tntfYsnld_PABqE3impzOchM/edit"", ""2023-IT!I:I""),
IMPORT"&amp;"RANGE(""https://docs.google.com/spreadsheets/d/1UvPg-G_Bj-UNhLC2uL8tntfYsnld_PABqE3impzOchM/edit"", ""2023-IT!N:N""),
IMPORTRANGE(""https://docs.google.com/spreadsheets/d/1UvPg-G_Bj-UNhLC2uL8tntfYsnld_PABqE3impzOchM/edit"", ""2023-IT!O:O""),
IMPORTRANGE("&amp;"""https://docs.google.com/spreadsheets/d/1UvPg-G_Bj-UNhLC2uL8tntfYsnld_PABqE3impzOchM/edit"", ""2023-IT!P:P""),
IMPORTRANGE(""https://docs.google.com/spreadsheets/d/1UvPg-G_Bj-UNhLC2uL8tntfYsnld_PABqE3impzOchM/edit"", ""2023-IT!Q:Q""),
IMPORTRANGE(""https"&amp;"://docs.google.com/spreadsheets/d/1UvPg-G_Bj-UNhLC2uL8tntfYsnld_PABqE3impzOchM/edit"", ""2023-IT!R:R""),
IMPORTRANGE(""https://docs.google.com/spreadsheets/d/1UvPg-G_Bj-UNhLC2uL8tntfYsnld_PABqE3impzOchM/edit"", ""2023-IT!S:S""),
IMPORTRANGE(""https://docs"&amp;".google.com/spreadsheets/d/1UvPg-G_Bj-UNhLC2uL8tntfYsnld_PABqE3impzOchM/edit"", ""2023-IT!V:V""),
IMPORTRANGE(""https://docs.google.com/spreadsheets/d/1UvPg-G_Bj-UNhLC2uL8tntfYsnld_PABqE3impzOchM/edit"", ""2023-IT!X:X""),
IMPORTRANGE(""https://docs.google"&amp;".com/spreadsheets/d/1UvPg-G_Bj-UNhLC2uL8tntfYsnld_PABqE3impzOchM/edit"", ""2023-IT!Y:Y""),
IMPORTRANGE(""https://docs.google.com/spreadsheets/d/1UvPg-G_Bj-UNhLC2uL8tntfYsnld_PABqE3impzOchM/edit"", ""2023-IT!AA:AA""),
IMPORTRANGE(""https://docs.google.com/"&amp;"spreadsheets/d/1UvPg-G_Bj-UNhLC2uL8tntfYsnld_PABqE3impzOchM/edit"", ""2023-IT!AC:AC""),
IMPORTRANGE(""https://docs.google.com/spreadsheets/d/1UvPg-G_Bj-UNhLC2uL8tntfYsnld_PABqE3impzOchM/edit"", ""2023-IT!AD:AD"")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IFERROR(__xludf.DUMMYFUNCTION("""COMPUTED_VALUE"""),"2023-2027")</f>
        <v>2023-2027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IFERROR(__xludf.DUMMYFUNCTION("""COMPUTED_VALUE"""),11)</f>
        <v>11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IFERROR(__xludf.DUMMYFUNCTION("""COMPUTED_VALUE"""),23)</f>
        <v>23</v>
      </c>
      <c r="O4" s="20">
        <f>IFERROR(__xludf.DUMMYFUNCTION("""COMPUTED_VALUE"""),8)</f>
        <v>8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IFERROR(__xludf.DUMMYFUNCTION("""COMPUTED_VALUE"""),25)</f>
        <v>25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IFERROR(__xludf.DUMMYFUNCTION("""COMPUTED_VALUE"""),58)</f>
        <v>58</v>
      </c>
      <c r="O6" s="20">
        <f>IFERROR(__xludf.DUMMYFUNCTION("""COMPUTED_VALUE"""),58)</f>
        <v>58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IFERROR(__xludf.DUMMYFUNCTION("""COMPUTED_VALUE"""),16)</f>
        <v>16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IFERROR(__xludf.DUMMYFUNCTION("""COMPUTED_VALUE"""),"SH2201")</f>
        <v>SH2201</v>
      </c>
      <c r="E11" s="2" t="str">
        <f>IFERROR(__xludf.DUMMYFUNCTION("""COMPUTED_VALUE"""),"19MA201")</f>
        <v>19MA201</v>
      </c>
      <c r="F11" s="7" t="str">
        <f>IFERROR(__xludf.DUMMYFUNCTION("""COMPUTED_VALUE"""),"Calculus and Matrix Algebra")</f>
        <v>Calculus and Matrix Algebra</v>
      </c>
      <c r="G11" s="2" t="str">
        <f>IFERROR(__xludf.DUMMYFUNCTION("""COMPUTED_VALUE"""),"-")</f>
        <v>-</v>
      </c>
      <c r="H11" s="2">
        <f>IFERROR(__xludf.DUMMYFUNCTION("""COMPUTED_VALUE"""),4)</f>
        <v>4</v>
      </c>
      <c r="I11" s="2">
        <f>IFERROR(__xludf.DUMMYFUNCTION("""COMPUTED_VALUE"""),0)</f>
        <v>0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IFERROR(__xludf.DUMMYFUNCTION("""COMPUTED_VALUE"""),164)</f>
        <v>164</v>
      </c>
      <c r="O11" s="23">
        <f>IFERROR(__xludf.DUMMYFUNCTION("""COMPUTED_VALUE"""),128)</f>
        <v>128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IFERROR(__xludf.DUMMYFUNCTION("""COMPUTED_VALUE"""),"SH2206")</f>
        <v>SH2206</v>
      </c>
      <c r="E12" s="2" t="str">
        <f>IFERROR(__xludf.DUMMYFUNCTION("""COMPUTED_VALUE"""),"19MA206")</f>
        <v>19MA206</v>
      </c>
      <c r="F12" s="7" t="str">
        <f>IFERROR(__xludf.DUMMYFUNCTION("""COMPUTED_VALUE"""),"Logic and Combinatorics")</f>
        <v>Logic and Combinatorics</v>
      </c>
      <c r="G12" s="2" t="str">
        <f>IFERROR(__xludf.DUMMYFUNCTION("""COMPUTED_VALUE"""),"19MA201")</f>
        <v>19MA201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IFERROR(__xludf.DUMMYFUNCTION("""COMPUTED_VALUE"""),"SH2222")</f>
        <v>SH2222</v>
      </c>
      <c r="E13" s="2" t="str">
        <f>IFERROR(__xludf.DUMMYFUNCTION("""COMPUTED_VALUE"""),"19MA222")</f>
        <v>19MA222</v>
      </c>
      <c r="F13" s="7" t="str">
        <f>IFERROR(__xludf.DUMMYFUNCTION("""COMPUTED_VALUE"""),"Probability and Queueing Models")</f>
        <v>Probability and Queueing Models</v>
      </c>
      <c r="G13" s="2" t="str">
        <f>IFERROR(__xludf.DUMMYFUNCTION("""COMPUTED_VALUE"""),"-")</f>
        <v>-</v>
      </c>
      <c r="H13" s="2">
        <f>IFERROR(__xludf.DUMMYFUNCTION("""COMPUTED_VALUE"""),3)</f>
        <v>3</v>
      </c>
      <c r="I13" s="2">
        <f>IFERROR(__xludf.DUMMYFUNCTION("""COMPUTED_VALUE"""),1)</f>
        <v>1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IFERROR(__xludf.DUMMYFUNCTION("""COMPUTED_VALUE"""),"SH2212")</f>
        <v>SH2212</v>
      </c>
      <c r="E14" s="2" t="str">
        <f>IFERROR(__xludf.DUMMYFUNCTION("""COMPUTED_VALUE"""),"19MA212")</f>
        <v>19MA212</v>
      </c>
      <c r="F14" s="7" t="str">
        <f>IFERROR(__xludf.DUMMYFUNCTION("""COMPUTED_VALUE"""),"Algebra and Number Theory")</f>
        <v>Algebra and Number Theory</v>
      </c>
      <c r="G14" s="2" t="str">
        <f>IFERROR(__xludf.DUMMYFUNCTION("""COMPUTED_VALUE"""),"19MA201")</f>
        <v>19MA201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IFERROR(__xludf.DUMMYFUNCTION("""COMPUTED_VALUE"""),"19PH214")</f>
        <v>19PH214</v>
      </c>
      <c r="F15" s="7" t="str">
        <f>IFERROR(__xludf.DUMMYFUNCTION("""COMPUTED_VALUE"""),"Physics for Quantum Computing")</f>
        <v>Physics for Quantum Computing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IFERROR(__xludf.DUMMYFUNCTION("""COMPUTED_VALUE"""),0)</f>
        <v>0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IFERROR(__xludf.DUMMYFUNCTION("""COMPUTED_VALUE"""),"SH4205")</f>
        <v>SH4205</v>
      </c>
      <c r="E16" s="2" t="str">
        <f>IFERROR(__xludf.DUMMYFUNCTION("""COMPUTED_VALUE"""),"19CY205")</f>
        <v>19CY205</v>
      </c>
      <c r="F16" s="7" t="str">
        <f>IFERROR(__xludf.DUMMYFUNCTION("""COMPUTED_VALUE"""),"Principles of Chemistry in Engineering")</f>
        <v>Principles of Chemistry in Engineering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IFERROR(__xludf.DUMMYFUNCTION("""COMPUTED_VALUE"""),"ES")</f>
        <v>ES</v>
      </c>
      <c r="D17" s="2" t="str">
        <f>IFERROR(__xludf.DUMMYFUNCTION("""COMPUTED_VALUE"""),"CS3301")</f>
        <v>CS3301</v>
      </c>
      <c r="E17" s="2" t="str">
        <f>IFERROR(__xludf.DUMMYFUNCTION("""COMPUTED_VALUE"""),"19AI301")</f>
        <v>19AI301</v>
      </c>
      <c r="F17" s="7" t="str">
        <f>IFERROR(__xludf.DUMMYFUNCTION("""COMPUTED_VALUE"""),"Python Programming")</f>
        <v>Python Programming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IFERROR(__xludf.DUMMYFUNCTION("""COMPUTED_VALUE"""),"CS3302")</f>
        <v>CS3302</v>
      </c>
      <c r="E18" s="2" t="str">
        <f>IFERROR(__xludf.DUMMYFUNCTION("""COMPUTED_VALUE"""),"19AI302")</f>
        <v>19AI302</v>
      </c>
      <c r="F18" s="7" t="str">
        <f>IFERROR(__xludf.DUMMYFUNCTION("""COMPUTED_VALUE"""),"Engineering Design and Modelling")</f>
        <v>Engineering Design and Modelling</v>
      </c>
      <c r="G18" s="2" t="str">
        <f>IFERROR(__xludf.DUMMYFUNCTION("""COMPUTED_VALUE"""),"-")</f>
        <v>-</v>
      </c>
      <c r="H18" s="2">
        <f>IFERROR(__xludf.DUMMYFUNCTION("""COMPUTED_VALUE"""),0)</f>
        <v>0</v>
      </c>
      <c r="I18" s="2">
        <f>IFERROR(__xludf.DUMMYFUNCTION("""COMPUTED_VALUE"""),3)</f>
        <v>3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IFERROR(__xludf.DUMMYFUNCTION("""COMPUTED_VALUE"""),"Practical (10 Expts)")</f>
        <v>Practical (10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IFERROR(__xludf.DUMMYFUNCTION("""COMPUTED_VALUE"""),"EC2404")</f>
        <v>EC2404</v>
      </c>
      <c r="E19" s="2" t="str">
        <f>IFERROR(__xludf.DUMMYFUNCTION("""COMPUTED_VALUE"""),"19EE404")</f>
        <v>19EE404</v>
      </c>
      <c r="F19" s="7" t="str">
        <f>IFERROR(__xludf.DUMMYFUNCTION("""COMPUTED_VALUE"""),"Digital Electronics")</f>
        <v>Digital Electronics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IFERROR(__xludf.DUMMYFUNCTION("""COMPUTED_VALUE"""),"EC2305")</f>
        <v>EC2305</v>
      </c>
      <c r="E20" s="2" t="str">
        <f>IFERROR(__xludf.DUMMYFUNCTION("""COMPUTED_VALUE"""),"19EE305")</f>
        <v>19EE305</v>
      </c>
      <c r="F20" s="7" t="str">
        <f>IFERROR(__xludf.DUMMYFUNCTION("""COMPUTED_VALUE"""),"Basic Electrical, Electronics and Measurement Engineering")</f>
        <v>Basic Electrical, Electronics and Measurement Engineering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IFERROR(__xludf.DUMMYFUNCTION("""COMPUTED_VALUE"""),"CS3307")</f>
        <v>CS3307</v>
      </c>
      <c r="E21" s="2" t="str">
        <f>IFERROR(__xludf.DUMMYFUNCTION("""COMPUTED_VALUE"""),"19AI307")</f>
        <v>19AI307</v>
      </c>
      <c r="F21" s="7" t="str">
        <f>IFERROR(__xludf.DUMMYFUNCTION("""COMPUTED_VALUE"""),"Object Oriented Programming using Java")</f>
        <v>Object Oriented Programming using Java</v>
      </c>
      <c r="G21" s="2" t="str">
        <f>IFERROR(__xludf.DUMMYFUNCTION("""COMPUTED_VALUE"""),"19AI304")</f>
        <v>19AI304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IFERROR(__xludf.DUMMYFUNCTION("""COMPUTED_VALUE"""),"CS3304")</f>
        <v>CS3304</v>
      </c>
      <c r="E22" s="2" t="str">
        <f>IFERROR(__xludf.DUMMYFUNCTION("""COMPUTED_VALUE"""),"19AI304")</f>
        <v>19AI304</v>
      </c>
      <c r="F22" s="7" t="str">
        <f>IFERROR(__xludf.DUMMYFUNCTION("""COMPUTED_VALUE"""),"Fundamentals of C Programming")</f>
        <v>Fundamentals of C Programming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IFERROR(__xludf.DUMMYFUNCTION("""COMPUTED_VALUE"""),"CS3305")</f>
        <v>CS3305</v>
      </c>
      <c r="E23" s="2" t="str">
        <f>IFERROR(__xludf.DUMMYFUNCTION("""COMPUTED_VALUE"""),"19AI305")</f>
        <v>19AI305</v>
      </c>
      <c r="F23" s="7" t="str">
        <f>IFERROR(__xludf.DUMMYFUNCTION("""COMPUTED_VALUE"""),"Advanced C Programming")</f>
        <v>Advanced C Programming</v>
      </c>
      <c r="G23" s="2" t="str">
        <f>IFERROR(__xludf.DUMMYFUNCTION("""COMPUTED_VALUE"""),"19AI304 / CS3304")</f>
        <v>19AI304 / CS3304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IFERROR(__xludf.DUMMYFUNCTION("""COMPUTED_VALUE"""),"CS1305")</f>
        <v>CS1305</v>
      </c>
      <c r="E24" s="2" t="str">
        <f>IFERROR(__xludf.DUMMYFUNCTION("""COMPUTED_VALUE"""),"19CS305")</f>
        <v>19CS305</v>
      </c>
      <c r="F24" s="7" t="str">
        <f>IFERROR(__xludf.DUMMYFUNCTION("""COMPUTED_VALUE"""),"Computer Architecture")</f>
        <v>Computer Architecture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IFERROR(__xludf.DUMMYFUNCTION("""COMPUTED_VALUE"""),0)</f>
        <v>0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IFERROR(__xludf.DUMMYFUNCTION("""COMPUTED_VALUE"""),"Theory")</f>
        <v>Theory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IFERROR(__xludf.DUMMYFUNCTION("""COMPUTED_VALUE"""),"PC")</f>
        <v>PC</v>
      </c>
      <c r="D25" s="2" t="str">
        <f>IFERROR(__xludf.DUMMYFUNCTION("""COMPUTED_VALUE"""),"CS3404")</f>
        <v>CS3404</v>
      </c>
      <c r="E25" s="2" t="str">
        <f>IFERROR(__xludf.DUMMYFUNCTION("""COMPUTED_VALUE"""),"19AI404")</f>
        <v>19AI404</v>
      </c>
      <c r="F25" s="7" t="str">
        <f>IFERROR(__xludf.DUMMYFUNCTION("""COMPUTED_VALUE"""),"Analysis of Algorithms")</f>
        <v>Analysis of Algorithms</v>
      </c>
      <c r="G25" s="2" t="str">
        <f>IFERROR(__xludf.DUMMYFUNCTION("""COMPUTED_VALUE"""),"19AI301")</f>
        <v>19AI301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IFERROR(__xludf.DUMMYFUNCTION("""COMPUTED_VALUE"""),"PC")</f>
        <v>PC</v>
      </c>
      <c r="D26" s="2" t="str">
        <f>IFERROR(__xludf.DUMMYFUNCTION("""COMPUTED_VALUE"""),"CS3405")</f>
        <v>CS3405</v>
      </c>
      <c r="E26" s="2" t="str">
        <f>IFERROR(__xludf.DUMMYFUNCTION("""COMPUTED_VALUE"""),"19AI405")</f>
        <v>19AI405</v>
      </c>
      <c r="F26" s="7" t="str">
        <f>IFERROR(__xludf.DUMMYFUNCTION("""COMPUTED_VALUE"""),"Fundamentals of Artificial Intelligence")</f>
        <v>Fundamentals of Artificial Intelligence</v>
      </c>
      <c r="G26" s="2" t="str">
        <f>IFERROR(__xludf.DUMMYFUNCTION("""COMPUTED_VALUE"""),"19CS301")</f>
        <v>19CS301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IFERROR(__xludf.DUMMYFUNCTION("""COMPUTED_VALUE"""),"CS3408")</f>
        <v>CS3408</v>
      </c>
      <c r="E27" s="2" t="str">
        <f>IFERROR(__xludf.DUMMYFUNCTION("""COMPUTED_VALUE"""),"19AI408")</f>
        <v>19AI408</v>
      </c>
      <c r="F27" s="7" t="str">
        <f>IFERROR(__xludf.DUMMYFUNCTION("""COMPUTED_VALUE"""),"Data Structures")</f>
        <v>Data Structures</v>
      </c>
      <c r="G27" s="2" t="str">
        <f>IFERROR(__xludf.DUMMYFUNCTION("""COMPUTED_VALUE"""),"19AI304 / CS3304")</f>
        <v>19AI304 / CS3304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IFERROR(__xludf.DUMMYFUNCTION("""COMPUTED_VALUE"""),"CS3410")</f>
        <v>CS3410</v>
      </c>
      <c r="E28" s="2" t="str">
        <f>IFERROR(__xludf.DUMMYFUNCTION("""COMPUTED_VALUE"""),"19AI410")</f>
        <v>19AI410</v>
      </c>
      <c r="F28" s="7" t="str">
        <f>IFERROR(__xludf.DUMMYFUNCTION("""COMPUTED_VALUE"""),"Introduction to Machine Learning")</f>
        <v>Introduction to Machine Learning</v>
      </c>
      <c r="G28" s="2" t="str">
        <f>IFERROR(__xludf.DUMMYFUNCTION("""COMPUTED_VALUE"""),"-")</f>
        <v>-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IFERROR(__xludf.DUMMYFUNCTION("""COMPUTED_VALUE"""),"CS3414")</f>
        <v>CS3414</v>
      </c>
      <c r="E29" s="2" t="str">
        <f>IFERROR(__xludf.DUMMYFUNCTION("""COMPUTED_VALUE"""),"19AI414")</f>
        <v>19AI414</v>
      </c>
      <c r="F29" s="7" t="str">
        <f>IFERROR(__xludf.DUMMYFUNCTION("""COMPUTED_VALUE"""),"Fundamentals of Web Application Development")</f>
        <v>Fundamentals of Web Application Development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IFERROR(__xludf.DUMMYFUNCTION("""COMPUTED_VALUE"""),2)</f>
        <v>2</v>
      </c>
      <c r="J29" s="2">
        <f>IFERROR(__xludf.DUMMYFUNCTION("""COMPUTED_VALUE"""),5)</f>
        <v>5</v>
      </c>
      <c r="K29" s="2" t="str">
        <f>IFERROR(__xludf.DUMMYFUNCTION("""COMPUTED_VALUE"""),"CGPA")</f>
        <v>CGPA</v>
      </c>
      <c r="L29" s="2" t="str">
        <f>IFERROR(__xludf.DUMMYFUNCTION("""COMPUTED_VALUE"""),"TIP (10 Expts)")</f>
        <v>TIP (10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IFERROR(__xludf.DUMMYFUNCTION("""COMPUTED_VALUE"""),"CS3539")</f>
        <v>CS3539</v>
      </c>
      <c r="E30" s="2" t="str">
        <f>IFERROR(__xludf.DUMMYFUNCTION("""COMPUTED_VALUE"""),"19AI539")</f>
        <v>19AI539</v>
      </c>
      <c r="F30" s="7" t="str">
        <f>IFERROR(__xludf.DUMMYFUNCTION("""COMPUTED_VALUE"""),"Mobile User Interface Development")</f>
        <v>Mobile User Interface Development</v>
      </c>
      <c r="G30" s="2" t="str">
        <f>IFERROR(__xludf.DUMMYFUNCTION("""COMPUTED_VALUE"""),"19CS401")</f>
        <v>19CS401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IFERROR(__xludf.DUMMYFUNCTION("""COMPUTED_VALUE"""),"CS3540")</f>
        <v>CS3540</v>
      </c>
      <c r="E31" s="2" t="str">
        <f>IFERROR(__xludf.DUMMYFUNCTION("""COMPUTED_VALUE"""),"19AI540")</f>
        <v>19AI540</v>
      </c>
      <c r="F31" s="7" t="str">
        <f>IFERROR(__xludf.DUMMYFUNCTION("""COMPUTED_VALUE"""),"Programming Mobile Devices")</f>
        <v>Programming Mobile Devices</v>
      </c>
      <c r="G31" s="2" t="str">
        <f>IFERROR(__xludf.DUMMYFUNCTION("""COMPUTED_VALUE"""),"19CS401")</f>
        <v>19CS401</v>
      </c>
      <c r="H31" s="2">
        <f>IFERROR(__xludf.DUMMYFUNCTION("""COMPUTED_VALUE"""),2)</f>
        <v>2</v>
      </c>
      <c r="I31" s="2">
        <f>IFERROR(__xludf.DUMMYFUNCTION("""COMPUTED_VALUE"""),1)</f>
        <v>1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IFERROR(__xludf.DUMMYFUNCTION("""COMPUTED_VALUE"""),"CS3541")</f>
        <v>CS3541</v>
      </c>
      <c r="E32" s="2" t="str">
        <f>IFERROR(__xludf.DUMMYFUNCTION("""COMPUTED_VALUE"""),"19AI541")</f>
        <v>19AI541</v>
      </c>
      <c r="F32" s="7" t="str">
        <f>IFERROR(__xludf.DUMMYFUNCTION("""COMPUTED_VALUE"""),"Cloud Computing")</f>
        <v>Cloud Computing</v>
      </c>
      <c r="G32" s="2" t="str">
        <f>IFERROR(__xludf.DUMMYFUNCTION("""COMPUTED_VALUE"""),"19CS406")</f>
        <v>19CS406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IFERROR(__xludf.DUMMYFUNCTION("""COMPUTED_VALUE"""),"Any 1")</f>
        <v>Any 1</v>
      </c>
      <c r="C33" s="2" t="str">
        <f>IFERROR(__xludf.DUMMYFUNCTION("""COMPUTED_VALUE"""),"PC")</f>
        <v>PC</v>
      </c>
      <c r="D33" s="2" t="str">
        <f>IFERROR(__xludf.DUMMYFUNCTION("""COMPUTED_VALUE"""),"CS3546")</f>
        <v>CS3546</v>
      </c>
      <c r="E33" s="2" t="str">
        <f>IFERROR(__xludf.DUMMYFUNCTION("""COMPUTED_VALUE"""),"19AI546")</f>
        <v>19AI546</v>
      </c>
      <c r="F33" s="7" t="str">
        <f>IFERROR(__xludf.DUMMYFUNCTION("""COMPUTED_VALUE"""),"Web Server Programming")</f>
        <v>Web Server Programming</v>
      </c>
      <c r="G33" s="2" t="str">
        <f>IFERROR(__xludf.DUMMYFUNCTION("""COMPUTED_VALUE"""),"19CS401")</f>
        <v>19CS401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IFERROR(__xludf.DUMMYFUNCTION("""COMPUTED_VALUE"""),"Any 1")</f>
        <v>Any 1</v>
      </c>
      <c r="C34" s="2" t="str">
        <f>IFERROR(__xludf.DUMMYFUNCTION("""COMPUTED_VALUE"""),"PC")</f>
        <v>PC</v>
      </c>
      <c r="D34" s="2" t="str">
        <f>IFERROR(__xludf.DUMMYFUNCTION("""COMPUTED_VALUE"""),"CS3553")</f>
        <v>CS3553</v>
      </c>
      <c r="E34" s="2" t="str">
        <f>IFERROR(__xludf.DUMMYFUNCTION("""COMPUTED_VALUE"""),"19AI553")</f>
        <v>19AI553</v>
      </c>
      <c r="F34" s="7" t="str">
        <f>IFERROR(__xludf.DUMMYFUNCTION("""COMPUTED_VALUE"""),"Advanced Java Web Applications")</f>
        <v>Advanced Java Web Applications</v>
      </c>
      <c r="G34" s="2" t="str">
        <f>IFERROR(__xludf.DUMMYFUNCTION("""COMPUTED_VALUE"""),"19AI307")</f>
        <v>19AI307</v>
      </c>
      <c r="H34" s="2">
        <f>IFERROR(__xludf.DUMMYFUNCTION("""COMPUTED_VALUE"""),2)</f>
        <v>2</v>
      </c>
      <c r="I34" s="2">
        <f>IFERROR(__xludf.DUMMYFUNCTION("""COMPUTED_VALUE"""),1)</f>
        <v>1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IFERROR(__xludf.DUMMYFUNCTION("""COMPUTED_VALUE"""),"CS1567")</f>
        <v>CS1567</v>
      </c>
      <c r="E35" s="2" t="str">
        <f>IFERROR(__xludf.DUMMYFUNCTION("""COMPUTED_VALUE"""),"19CS567")</f>
        <v>19CS567</v>
      </c>
      <c r="F35" s="7" t="str">
        <f>IFERROR(__xludf.DUMMYFUNCTION("""COMPUTED_VALUE"""),"Cloud Native App Development")</f>
        <v>Cloud Native App Development</v>
      </c>
      <c r="G35" s="2" t="str">
        <f>IFERROR(__xludf.DUMMYFUNCTION("""COMPUTED_VALUE"""),"-")</f>
        <v>-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IFERROR(__xludf.DUMMYFUNCTION("""COMPUTED_VALUE"""),"CS3545")</f>
        <v>CS3545</v>
      </c>
      <c r="E36" s="2" t="str">
        <f>IFERROR(__xludf.DUMMYFUNCTION("""COMPUTED_VALUE"""),"19AI545")</f>
        <v>19AI545</v>
      </c>
      <c r="F36" s="7" t="str">
        <f>IFERROR(__xludf.DUMMYFUNCTION("""COMPUTED_VALUE"""),"Modern Web Application Development")</f>
        <v>Modern Web Application Development</v>
      </c>
      <c r="G36" s="2" t="str">
        <f>IFERROR(__xludf.DUMMYFUNCTION("""COMPUTED_VALUE"""),"19CS410")</f>
        <v>19CS410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IFERROR(__xludf.DUMMYFUNCTION("""COMPUTED_VALUE"""),"CS4508")</f>
        <v>CS4508</v>
      </c>
      <c r="E37" s="2" t="str">
        <f>IFERROR(__xludf.DUMMYFUNCTION("""COMPUTED_VALUE"""),"19AM508")</f>
        <v>19AM508</v>
      </c>
      <c r="F37" s="7" t="str">
        <f>IFERROR(__xludf.DUMMYFUNCTION("""COMPUTED_VALUE"""),"Introduction to IoT")</f>
        <v>Introduction to IoT</v>
      </c>
      <c r="G37" s="2" t="str">
        <f>IFERROR(__xludf.DUMMYFUNCTION("""COMPUTED_VALUE"""),"-")</f>
        <v>-</v>
      </c>
      <c r="H37" s="2">
        <f>IFERROR(__xludf.DUMMYFUNCTION("""COMPUTED_VALUE"""),2)</f>
        <v>2</v>
      </c>
      <c r="I37" s="2">
        <f>IFERROR(__xludf.DUMMYFUNCTION("""COMPUTED_VALUE"""),1)</f>
        <v>1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IFERROR(__xludf.DUMMYFUNCTION("""COMPUTED_VALUE"""),"CS1404")</f>
        <v>CS1404</v>
      </c>
      <c r="E38" s="2" t="str">
        <f>IFERROR(__xludf.DUMMYFUNCTION("""COMPUTED_VALUE"""),"19CS404")</f>
        <v>19CS404</v>
      </c>
      <c r="F38" s="3" t="str">
        <f>IFERROR(__xludf.DUMMYFUNCTION("""COMPUTED_VALUE"""),"Database Management System and its Applications")</f>
        <v>Database Management System and its Applications</v>
      </c>
      <c r="G38" s="2" t="str">
        <f>IFERROR(__xludf.DUMMYFUNCTION("""COMPUTED_VALUE"""),"19AI301/19AI304/19CS301/19CS302/19CS303")</f>
        <v>19AI301/19AI304/19CS301/19CS302/19CS303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IFERROR(__xludf.DUMMYFUNCTION("""COMPUTED_VALUE"""),"CS1405")</f>
        <v>CS1405</v>
      </c>
      <c r="E39" s="2" t="str">
        <f>IFERROR(__xludf.DUMMYFUNCTION("""COMPUTED_VALUE"""),"19CS405")</f>
        <v>19CS405</v>
      </c>
      <c r="F39" s="7" t="str">
        <f>IFERROR(__xludf.DUMMYFUNCTION("""COMPUTED_VALUE"""),"Operating System")</f>
        <v>Operating System</v>
      </c>
      <c r="G39" s="2" t="str">
        <f>IFERROR(__xludf.DUMMYFUNCTION("""COMPUTED_VALUE"""),"-")</f>
        <v>-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IFERROR(__xludf.DUMMYFUNCTION("""COMPUTED_VALUE"""),"CS1406")</f>
        <v>CS1406</v>
      </c>
      <c r="E40" s="2" t="str">
        <f>IFERROR(__xludf.DUMMYFUNCTION("""COMPUTED_VALUE"""),"19CS406")</f>
        <v>19CS406</v>
      </c>
      <c r="F40" s="7" t="str">
        <f>IFERROR(__xludf.DUMMYFUNCTION("""COMPUTED_VALUE"""),"Computer Networks")</f>
        <v>Computer Networks</v>
      </c>
      <c r="G40" s="2" t="str">
        <f>IFERROR(__xludf.DUMMYFUNCTION("""COMPUTED_VALUE"""),"-")</f>
        <v>-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IFERROR(__xludf.DUMMYFUNCTION("""COMPUTED_VALUE"""),"CS1407")</f>
        <v>CS1407</v>
      </c>
      <c r="E41" s="2" t="str">
        <f>IFERROR(__xludf.DUMMYFUNCTION("""COMPUTED_VALUE"""),"19CS407")</f>
        <v>19CS407</v>
      </c>
      <c r="F41" s="7" t="str">
        <f>IFERROR(__xludf.DUMMYFUNCTION("""COMPUTED_VALUE"""),"Theory of Computation")</f>
        <v>Theory of Computation</v>
      </c>
      <c r="G41" s="2" t="str">
        <f>IFERROR(__xludf.DUMMYFUNCTION("""COMPUTED_VALUE"""),"19MA206")</f>
        <v>19MA206</v>
      </c>
      <c r="H41" s="2">
        <f>IFERROR(__xludf.DUMMYFUNCTION("""COMPUTED_VALUE"""),3)</f>
        <v>3</v>
      </c>
      <c r="I41" s="2">
        <f>IFERROR(__xludf.DUMMYFUNCTION("""COMPUTED_VALUE"""),0)</f>
        <v>0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IFERROR(__xludf.DUMMYFUNCTION("""COMPUTED_VALUE"""),"Theory")</f>
        <v>Theory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IFERROR(__xludf.DUMMYFUNCTION("""COMPUTED_VALUE"""),"CS1408")</f>
        <v>CS1408</v>
      </c>
      <c r="E42" s="2" t="str">
        <f>IFERROR(__xludf.DUMMYFUNCTION("""COMPUTED_VALUE"""),"19CS408")</f>
        <v>19CS408</v>
      </c>
      <c r="F42" s="7" t="str">
        <f>IFERROR(__xludf.DUMMYFUNCTION("""COMPUTED_VALUE"""),"Software Engineering")</f>
        <v>Software Engineering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IFERROR(__xludf.DUMMYFUNCTION("""COMPUTED_VALUE"""),"CS1415")</f>
        <v>CS1415</v>
      </c>
      <c r="E43" s="2" t="str">
        <f>IFERROR(__xludf.DUMMYFUNCTION("""COMPUTED_VALUE"""),"19CS415")</f>
        <v>19CS415</v>
      </c>
      <c r="F43" s="7" t="str">
        <f>IFERROR(__xludf.DUMMYFUNCTION("""COMPUTED_VALUE"""),"Cryptography")</f>
        <v>Cryptography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IFERROR(__xludf.DUMMYFUNCTION("""COMPUTED_VALUE"""),"PE")</f>
        <v>PE</v>
      </c>
      <c r="D44" s="2" t="str">
        <f>IFERROR(__xludf.DUMMYFUNCTION("""COMPUTED_VALUE"""),"CS3303")</f>
        <v>CS3303</v>
      </c>
      <c r="E44" s="2" t="str">
        <f>IFERROR(__xludf.DUMMYFUNCTION("""COMPUTED_VALUE"""),"19AI303")</f>
        <v>19AI303</v>
      </c>
      <c r="F44" s="7" t="str">
        <f>IFERROR(__xludf.DUMMYFUNCTION("""COMPUTED_VALUE"""),"Engineering Mechanics and Product Development")</f>
        <v>Engineering Mechanics and Product Development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IFERROR(__xludf.DUMMYFUNCTION("""COMPUTED_VALUE"""),"CS3306")</f>
        <v>CS3306</v>
      </c>
      <c r="E45" s="2" t="str">
        <f>IFERROR(__xludf.DUMMYFUNCTION("""COMPUTED_VALUE"""),"19AI306")</f>
        <v>19AI306</v>
      </c>
      <c r="F45" s="7" t="str">
        <f>IFERROR(__xludf.DUMMYFUNCTION("""COMPUTED_VALUE"""),"Object Oriented Programming using C++")</f>
        <v>Object Oriented Programming using C++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IFERROR(__xludf.DUMMYFUNCTION("""COMPUTED_VALUE"""),"CS3308")</f>
        <v>CS3308</v>
      </c>
      <c r="E46" s="2" t="str">
        <f>IFERROR(__xludf.DUMMYFUNCTION("""COMPUTED_VALUE"""),"19AI308")</f>
        <v>19AI308</v>
      </c>
      <c r="F46" s="7" t="str">
        <f>IFERROR(__xludf.DUMMYFUNCTION("""COMPUTED_VALUE"""),"Object Oriented Programming using C#")</f>
        <v>Object Oriented Programming using C#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IFERROR(__xludf.DUMMYFUNCTION("""COMPUTED_VALUE"""),"CS3403")</f>
        <v>CS3403</v>
      </c>
      <c r="E47" s="2" t="str">
        <f>IFERROR(__xludf.DUMMYFUNCTION("""COMPUTED_VALUE"""),"19AI403")</f>
        <v>19AI403</v>
      </c>
      <c r="F47" s="7" t="str">
        <f>IFERROR(__xludf.DUMMYFUNCTION("""COMPUTED_VALUE"""),"Introduction to Data Science")</f>
        <v>Introduction to Data Science</v>
      </c>
      <c r="G47" s="2" t="str">
        <f>IFERROR(__xludf.DUMMYFUNCTION("""COMPUTED_VALUE"""),"19CS301")</f>
        <v>19CS301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IFERROR(__xludf.DUMMYFUNCTION("""COMPUTED_VALUE"""),"CS3406")</f>
        <v>CS3406</v>
      </c>
      <c r="E48" s="2" t="str">
        <f>IFERROR(__xludf.DUMMYFUNCTION("""COMPUTED_VALUE"""),"19AI406")</f>
        <v>19AI406</v>
      </c>
      <c r="F48" s="7" t="str">
        <f>IFERROR(__xludf.DUMMYFUNCTION("""COMPUTED_VALUE"""),"Digital Image Processing Techniques")</f>
        <v>Digital Image Processing Techniques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IFERROR(__xludf.DUMMYFUNCTION("""COMPUTED_VALUE"""),"CS3407")</f>
        <v>CS3407</v>
      </c>
      <c r="E49" s="2" t="str">
        <f>IFERROR(__xludf.DUMMYFUNCTION("""COMPUTED_VALUE"""),"19AI407")</f>
        <v>19AI407</v>
      </c>
      <c r="F49" s="7" t="str">
        <f>IFERROR(__xludf.DUMMYFUNCTION("""COMPUTED_VALUE"""),"Parallel Computing Architecture")</f>
        <v>Parallel Computing Architecture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IFERROR(__xludf.DUMMYFUNCTION("""COMPUTED_VALUE"""),1)</f>
        <v>1</v>
      </c>
      <c r="J49" s="2">
        <f>IFERROR(__xludf.DUMMYFUNCTION("""COMPUTED_VALUE"""),4)</f>
        <v>4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IFERROR(__xludf.DUMMYFUNCTION("""COMPUTED_VALUE"""),"CS3409")</f>
        <v>CS3409</v>
      </c>
      <c r="E50" s="2" t="str">
        <f>IFERROR(__xludf.DUMMYFUNCTION("""COMPUTED_VALUE"""),"19AI409")</f>
        <v>19AI409</v>
      </c>
      <c r="F50" s="7" t="str">
        <f>IFERROR(__xludf.DUMMYFUNCTION("""COMPUTED_VALUE"""),"Applied Artificial Intelligence")</f>
        <v>Applied Artificial Intelligence</v>
      </c>
      <c r="G50" s="2" t="str">
        <f>IFERROR(__xludf.DUMMYFUNCTION("""COMPUTED_VALUE"""),"19AI405/19CS301")</f>
        <v>19AI405/19CS301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IFERROR(__xludf.DUMMYFUNCTION("""COMPUTED_VALUE"""),"CS3411")</f>
        <v>CS3411</v>
      </c>
      <c r="E51" s="2" t="str">
        <f>IFERROR(__xludf.DUMMYFUNCTION("""COMPUTED_VALUE"""),"19AI411")</f>
        <v>19AI411</v>
      </c>
      <c r="F51" s="7" t="str">
        <f>IFERROR(__xludf.DUMMYFUNCTION("""COMPUTED_VALUE"""),"Neural Networks")</f>
        <v>Neural Networks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IFERROR(__xludf.DUMMYFUNCTION("""COMPUTED_VALUE"""),"CS3412")</f>
        <v>CS3412</v>
      </c>
      <c r="E52" s="2" t="str">
        <f>IFERROR(__xludf.DUMMYFUNCTION("""COMPUTED_VALUE"""),"19AI412")</f>
        <v>19AI412</v>
      </c>
      <c r="F52" s="7" t="str">
        <f>IFERROR(__xludf.DUMMYFUNCTION("""COMPUTED_VALUE"""),"Web Data Mining")</f>
        <v>Web Data Mining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IFERROR(__xludf.DUMMYFUNCTION("""COMPUTED_VALUE"""),1)</f>
        <v>1</v>
      </c>
      <c r="J52" s="2">
        <f>IFERROR(__xludf.DUMMYFUNCTION("""COMPUTED_VALUE"""),4)</f>
        <v>4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IFERROR(__xludf.DUMMYFUNCTION("""COMPUTED_VALUE"""),"CS3413")</f>
        <v>CS3413</v>
      </c>
      <c r="E53" s="2" t="str">
        <f>IFERROR(__xludf.DUMMYFUNCTION("""COMPUTED_VALUE"""),"19AI413")</f>
        <v>19AI413</v>
      </c>
      <c r="F53" s="7" t="str">
        <f>IFERROR(__xludf.DUMMYFUNCTION("""COMPUTED_VALUE"""),"Deep Learning and its Applications")</f>
        <v>Deep Learning and its Applications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IFERROR(__xludf.DUMMYFUNCTION("""COMPUTED_VALUE"""),"CS3501")</f>
        <v>CS3501</v>
      </c>
      <c r="E54" s="2" t="str">
        <f>IFERROR(__xludf.DUMMYFUNCTION("""COMPUTED_VALUE"""),"19AI501")</f>
        <v>19AI501</v>
      </c>
      <c r="F54" s="3" t="str">
        <f>IFERROR(__xludf.DUMMYFUNCTION("""COMPUTED_VALUE"""),"Applications of Artificial Intelligence")</f>
        <v>Applications of Artificial Intelligence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IFERROR(__xludf.DUMMYFUNCTION("""COMPUTED_VALUE"""),"CS3502")</f>
        <v>CS3502</v>
      </c>
      <c r="E55" s="2" t="str">
        <f>IFERROR(__xludf.DUMMYFUNCTION("""COMPUTED_VALUE"""),"19AI502")</f>
        <v>19AI502</v>
      </c>
      <c r="F55" s="7" t="str">
        <f>IFERROR(__xludf.DUMMYFUNCTION("""COMPUTED_VALUE"""),"Applied Natural Language Processing")</f>
        <v>Applied Natural Language Processing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IFERROR(__xludf.DUMMYFUNCTION("""COMPUTED_VALUE"""),"CS3503")</f>
        <v>CS3503</v>
      </c>
      <c r="E56" s="2" t="str">
        <f>IFERROR(__xludf.DUMMYFUNCTION("""COMPUTED_VALUE"""),"19AI503")</f>
        <v>19AI503</v>
      </c>
      <c r="F56" s="7" t="str">
        <f>IFERROR(__xludf.DUMMYFUNCTION("""COMPUTED_VALUE"""),"Computer Vision")</f>
        <v>Computer Vision</v>
      </c>
      <c r="G56" s="2" t="str">
        <f>IFERROR(__xludf.DUMMYFUNCTION("""COMPUTED_VALUE"""),"19CS301")</f>
        <v>19CS301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IFERROR(__xludf.DUMMYFUNCTION("""COMPUTED_VALUE"""),"CS3504")</f>
        <v>CS3504</v>
      </c>
      <c r="E57" s="2" t="str">
        <f>IFERROR(__xludf.DUMMYFUNCTION("""COMPUTED_VALUE"""),"19AI504")</f>
        <v>19AI504</v>
      </c>
      <c r="F57" s="7" t="str">
        <f>IFERROR(__xludf.DUMMYFUNCTION("""COMPUTED_VALUE"""),"Mobile Robotics")</f>
        <v>Mobile Robotics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IFERROR(__xludf.DUMMYFUNCTION("""COMPUTED_VALUE"""),"CS3505")</f>
        <v>CS3505</v>
      </c>
      <c r="E58" s="2" t="str">
        <f>IFERROR(__xludf.DUMMYFUNCTION("""COMPUTED_VALUE"""),"19AI505")</f>
        <v>19AI505</v>
      </c>
      <c r="F58" s="3" t="str">
        <f>IFERROR(__xludf.DUMMYFUNCTION("""COMPUTED_VALUE"""),"Reinforcement Learning")</f>
        <v>Reinforcement Learning</v>
      </c>
      <c r="G58" s="2" t="str">
        <f>IFERROR(__xludf.DUMMYFUNCTION("""COMPUTED_VALUE"""),"19CS301")</f>
        <v>19CS301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IFERROR(__xludf.DUMMYFUNCTION("""COMPUTED_VALUE"""),"CS3506")</f>
        <v>CS3506</v>
      </c>
      <c r="E59" s="2" t="str">
        <f>IFERROR(__xludf.DUMMYFUNCTION("""COMPUTED_VALUE"""),"19AI506")</f>
        <v>19AI506</v>
      </c>
      <c r="F59" s="3" t="str">
        <f>IFERROR(__xludf.DUMMYFUNCTION("""COMPUTED_VALUE"""),"Speech Analysis and Processing")</f>
        <v>Speech Analysis and Processing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IFERROR(__xludf.DUMMYFUNCTION("""COMPUTED_VALUE"""),"CS3507")</f>
        <v>CS3507</v>
      </c>
      <c r="E60" s="2" t="str">
        <f>IFERROR(__xludf.DUMMYFUNCTION("""COMPUTED_VALUE"""),"19AI507")</f>
        <v>19AI507</v>
      </c>
      <c r="F60" s="7" t="str">
        <f>IFERROR(__xludf.DUMMYFUNCTION("""COMPUTED_VALUE"""),"Special Topics in Artificial Intelligence")</f>
        <v>Special Topics in Artificial Intelligence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IFERROR(__xludf.DUMMYFUNCTION("""COMPUTED_VALUE"""),"CS3508")</f>
        <v>CS3508</v>
      </c>
      <c r="E61" s="2" t="str">
        <f>IFERROR(__xludf.DUMMYFUNCTION("""COMPUTED_VALUE"""),"19AI508")</f>
        <v>19AI508</v>
      </c>
      <c r="F61" s="3" t="str">
        <f>IFERROR(__xludf.DUMMYFUNCTION("""COMPUTED_VALUE"""),"Soft Computing Techniques")</f>
        <v>Soft Computing Techniques</v>
      </c>
      <c r="G61" s="2" t="str">
        <f>IFERROR(__xludf.DUMMYFUNCTION("""COMPUTED_VALUE"""),"-")</f>
        <v>-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IFERROR(__xludf.DUMMYFUNCTION("""COMPUTED_VALUE"""),"CS3509")</f>
        <v>CS3509</v>
      </c>
      <c r="E62" s="2" t="str">
        <f>IFERROR(__xludf.DUMMYFUNCTION("""COMPUTED_VALUE"""),"19AI509")</f>
        <v>19AI509</v>
      </c>
      <c r="F62" s="7" t="str">
        <f>IFERROR(__xludf.DUMMYFUNCTION("""COMPUTED_VALUE"""),"Concepts of Virtual And Augmented Reality")</f>
        <v>Concepts of Virtual And Augmented Reality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IFERROR(__xludf.DUMMYFUNCTION("""COMPUTED_VALUE"""),"CS3510")</f>
        <v>CS3510</v>
      </c>
      <c r="E63" s="2" t="str">
        <f>IFERROR(__xludf.DUMMYFUNCTION("""COMPUTED_VALUE"""),"19AI510")</f>
        <v>19AI510</v>
      </c>
      <c r="F63" s="7" t="str">
        <f>IFERROR(__xludf.DUMMYFUNCTION("""COMPUTED_VALUE"""),"Mobile VR And AI In Unity")</f>
        <v>Mobile VR And AI In Unity</v>
      </c>
      <c r="G63" s="2" t="str">
        <f>IFERROR(__xludf.DUMMYFUNCTION("""COMPUTED_VALUE"""),"19AI410/19CS302")</f>
        <v>19AI410/19CS302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IFERROR(__xludf.DUMMYFUNCTION("""COMPUTED_VALUE"""),"CS3511")</f>
        <v>CS3511</v>
      </c>
      <c r="E64" s="2" t="str">
        <f>IFERROR(__xludf.DUMMYFUNCTION("""COMPUTED_VALUE"""),"19AI511")</f>
        <v>19AI511</v>
      </c>
      <c r="F64" s="7" t="str">
        <f>IFERROR(__xludf.DUMMYFUNCTION("""COMPUTED_VALUE"""),"Scientific and Engineering Data Visualization")</f>
        <v>Scientific and Engineering Data Visualization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IFERROR(__xludf.DUMMYFUNCTION("""COMPUTED_VALUE"""),"CS3512")</f>
        <v>CS3512</v>
      </c>
      <c r="E65" s="2" t="str">
        <f>IFERROR(__xludf.DUMMYFUNCTION("""COMPUTED_VALUE"""),"19AI512")</f>
        <v>19AI512</v>
      </c>
      <c r="F65" s="7" t="str">
        <f>IFERROR(__xludf.DUMMYFUNCTION("""COMPUTED_VALUE"""),"NoSQL Database Design")</f>
        <v>NoSQL Database Design</v>
      </c>
      <c r="G65" s="2" t="str">
        <f>IFERROR(__xludf.DUMMYFUNCTION("""COMPUTED_VALUE"""),"19CS301")</f>
        <v>19CS301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IFERROR(__xludf.DUMMYFUNCTION("""COMPUTED_VALUE"""),"CS3513")</f>
        <v>CS3513</v>
      </c>
      <c r="E66" s="2" t="str">
        <f>IFERROR(__xludf.DUMMYFUNCTION("""COMPUTED_VALUE"""),"19AI513")</f>
        <v>19AI513</v>
      </c>
      <c r="F66" s="7" t="str">
        <f>IFERROR(__xludf.DUMMYFUNCTION("""COMPUTED_VALUE"""),"Game Programming")</f>
        <v>Game Programming</v>
      </c>
      <c r="G66" s="2" t="str">
        <f>IFERROR(__xludf.DUMMYFUNCTION("""COMPUTED_VALUE"""),"19CS401")</f>
        <v>19CS401</v>
      </c>
      <c r="H66" s="2">
        <f>IFERROR(__xludf.DUMMYFUNCTION("""COMPUTED_VALUE"""),2)</f>
        <v>2</v>
      </c>
      <c r="I66" s="2">
        <f>IFERROR(__xludf.DUMMYFUNCTION("""COMPUTED_VALUE"""),2)</f>
        <v>2</v>
      </c>
      <c r="J66" s="2">
        <f>IFERROR(__xludf.DUMMYFUNCTION("""COMPUTED_VALUE"""),4)</f>
        <v>4</v>
      </c>
      <c r="K66" s="2" t="str">
        <f>IFERROR(__xludf.DUMMYFUNCTION("""COMPUTED_VALUE"""),"CGPA")</f>
        <v>CGPA</v>
      </c>
      <c r="L66" s="2" t="str">
        <f>IFERROR(__xludf.DUMMYFUNCTION("""COMPUTED_VALUE"""),"TIP (10 Expts)")</f>
        <v>TIP (10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IFERROR(__xludf.DUMMYFUNCTION("""COMPUTED_VALUE"""),"CS3514")</f>
        <v>CS3514</v>
      </c>
      <c r="E67" s="2" t="str">
        <f>IFERROR(__xludf.DUMMYFUNCTION("""COMPUTED_VALUE"""),"19AI514")</f>
        <v>19AI514</v>
      </c>
      <c r="F67" s="7" t="str">
        <f>IFERROR(__xludf.DUMMYFUNCTION("""COMPUTED_VALUE"""),"Self Driving Car")</f>
        <v>Self Driving Car</v>
      </c>
      <c r="G67" s="2" t="str">
        <f>IFERROR(__xludf.DUMMYFUNCTION("""COMPUTED_VALUE"""),"19CS301/19AI410")</f>
        <v>19CS301/19AI410</v>
      </c>
      <c r="H67" s="2">
        <f>IFERROR(__xludf.DUMMYFUNCTION("""COMPUTED_VALUE"""),2)</f>
        <v>2</v>
      </c>
      <c r="I67" s="2">
        <f>IFERROR(__xludf.DUMMYFUNCTION("""COMPUTED_VALUE"""),2)</f>
        <v>2</v>
      </c>
      <c r="J67" s="2">
        <f>IFERROR(__xludf.DUMMYFUNCTION("""COMPUTED_VALUE"""),4)</f>
        <v>4</v>
      </c>
      <c r="K67" s="2" t="str">
        <f>IFERROR(__xludf.DUMMYFUNCTION("""COMPUTED_VALUE"""),"CGPA")</f>
        <v>CGPA</v>
      </c>
      <c r="L67" s="2" t="str">
        <f>IFERROR(__xludf.DUMMYFUNCTION("""COMPUTED_VALUE"""),"TIP (10 Expts)")</f>
        <v>TIP (10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IFERROR(__xludf.DUMMYFUNCTION("""COMPUTED_VALUE"""),"CS3515")</f>
        <v>CS3515</v>
      </c>
      <c r="E68" s="2" t="str">
        <f>IFERROR(__xludf.DUMMYFUNCTION("""COMPUTED_VALUE"""),"19AI515")</f>
        <v>19AI515</v>
      </c>
      <c r="F68" s="7" t="str">
        <f>IFERROR(__xludf.DUMMYFUNCTION("""COMPUTED_VALUE"""),"Smart Manufacturing Technology")</f>
        <v>Smart Manufacturing Technology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IFERROR(__xludf.DUMMYFUNCTION("""COMPUTED_VALUE"""),"CS1520")</f>
        <v>CS1520</v>
      </c>
      <c r="E69" s="2" t="str">
        <f>IFERROR(__xludf.DUMMYFUNCTION("""COMPUTED_VALUE"""),"19CS520")</f>
        <v>19CS520</v>
      </c>
      <c r="F69" s="7" t="str">
        <f>IFERROR(__xludf.DUMMYFUNCTION("""COMPUTED_VALUE"""),"Big Data Analytics")</f>
        <v>Big Data Analytics</v>
      </c>
      <c r="G69" s="2" t="str">
        <f>IFERROR(__xludf.DUMMYFUNCTION("""COMPUTED_VALUE"""),"19CS411/19CS519")</f>
        <v>19CS411/19CS519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IFERROR(__xludf.DUMMYFUNCTION("""COMPUTED_VALUE"""),"CS3517")</f>
        <v>CS3517</v>
      </c>
      <c r="E70" s="2" t="str">
        <f>IFERROR(__xludf.DUMMYFUNCTION("""COMPUTED_VALUE"""),"19AI517")</f>
        <v>19AI517</v>
      </c>
      <c r="F70" s="7" t="str">
        <f>IFERROR(__xludf.DUMMYFUNCTION("""COMPUTED_VALUE"""),"Business Analytics")</f>
        <v>Business Analytics</v>
      </c>
      <c r="G70" s="2" t="str">
        <f>IFERROR(__xludf.DUMMYFUNCTION("""COMPUTED_VALUE"""),"-")</f>
        <v>-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IFERROR(__xludf.DUMMYFUNCTION("""COMPUTED_VALUE"""),"CS3518")</f>
        <v>CS3518</v>
      </c>
      <c r="E71" s="2" t="str">
        <f>IFERROR(__xludf.DUMMYFUNCTION("""COMPUTED_VALUE"""),"19AI518")</f>
        <v>19AI518</v>
      </c>
      <c r="F71" s="7" t="str">
        <f>IFERROR(__xludf.DUMMYFUNCTION("""COMPUTED_VALUE"""),"Cognitive Systems")</f>
        <v>Cognitive Systems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IFERROR(__xludf.DUMMYFUNCTION("""COMPUTED_VALUE"""),"CS3519")</f>
        <v>CS3519</v>
      </c>
      <c r="E72" s="2" t="str">
        <f>IFERROR(__xludf.DUMMYFUNCTION("""COMPUTED_VALUE"""),"19AI519")</f>
        <v>19AI519</v>
      </c>
      <c r="F72" s="7" t="str">
        <f>IFERROR(__xludf.DUMMYFUNCTION("""COMPUTED_VALUE"""),"Distributed Database")</f>
        <v>Distributed Database</v>
      </c>
      <c r="G72" s="2" t="str">
        <f>IFERROR(__xludf.DUMMYFUNCTION("""COMPUTED_VALUE"""),"19CS404")</f>
        <v>19CS404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IFERROR(__xludf.DUMMYFUNCTION("""COMPUTED_VALUE"""),"CS3520")</f>
        <v>CS3520</v>
      </c>
      <c r="E73" s="2" t="str">
        <f>IFERROR(__xludf.DUMMYFUNCTION("""COMPUTED_VALUE"""),"19AI520")</f>
        <v>19AI520</v>
      </c>
      <c r="F73" s="7" t="str">
        <f>IFERROR(__xludf.DUMMYFUNCTION("""COMPUTED_VALUE"""),"Data Mining and Warehousing")</f>
        <v>Data Mining and Warehousing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IFERROR(__xludf.DUMMYFUNCTION("""COMPUTED_VALUE"""),"CS3521")</f>
        <v>CS3521</v>
      </c>
      <c r="E74" s="2" t="str">
        <f>IFERROR(__xludf.DUMMYFUNCTION("""COMPUTED_VALUE"""),"19AI521")</f>
        <v>19AI521</v>
      </c>
      <c r="F74" s="7" t="str">
        <f>IFERROR(__xludf.DUMMYFUNCTION("""COMPUTED_VALUE"""),"Expert Systems")</f>
        <v>Expert Systems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IFERROR(__xludf.DUMMYFUNCTION("""COMPUTED_VALUE"""),"CS3522")</f>
        <v>CS3522</v>
      </c>
      <c r="E75" s="2" t="str">
        <f>IFERROR(__xludf.DUMMYFUNCTION("""COMPUTED_VALUE"""),"19AI522")</f>
        <v>19AI522</v>
      </c>
      <c r="F75" s="7" t="str">
        <f>IFERROR(__xludf.DUMMYFUNCTION("""COMPUTED_VALUE"""),"Knowledge Engineering")</f>
        <v>Knowledge Engineering</v>
      </c>
      <c r="G75" s="2" t="str">
        <f>IFERROR(__xludf.DUMMYFUNCTION("""COMPUTED_VALUE"""),"19CS410")</f>
        <v>19CS410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IFERROR(__xludf.DUMMYFUNCTION("""COMPUTED_VALUE"""),"CS3523")</f>
        <v>CS3523</v>
      </c>
      <c r="E76" s="2" t="str">
        <f>IFERROR(__xludf.DUMMYFUNCTION("""COMPUTED_VALUE"""),"19AI523")</f>
        <v>19AI523</v>
      </c>
      <c r="F76" s="7" t="str">
        <f>IFERROR(__xludf.DUMMYFUNCTION("""COMPUTED_VALUE"""),"Mobile Database")</f>
        <v>Mobile Database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IFERROR(__xludf.DUMMYFUNCTION("""COMPUTED_VALUE"""),"CS3524")</f>
        <v>CS3524</v>
      </c>
      <c r="E77" s="2" t="str">
        <f>IFERROR(__xludf.DUMMYFUNCTION("""COMPUTED_VALUE"""),"19AI524")</f>
        <v>19AI524</v>
      </c>
      <c r="F77" s="7" t="str">
        <f>IFERROR(__xludf.DUMMYFUNCTION("""COMPUTED_VALUE"""),"Multimedia Database")</f>
        <v>Multimedia Database</v>
      </c>
      <c r="G77" s="2" t="str">
        <f>IFERROR(__xludf.DUMMYFUNCTION("""COMPUTED_VALUE"""),"19CS410")</f>
        <v>19CS410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IFERROR(__xludf.DUMMYFUNCTION("""COMPUTED_VALUE"""),"CS3525")</f>
        <v>CS3525</v>
      </c>
      <c r="E78" s="2" t="str">
        <f>IFERROR(__xludf.DUMMYFUNCTION("""COMPUTED_VALUE"""),"19AI525")</f>
        <v>19AI525</v>
      </c>
      <c r="F78" s="7" t="str">
        <f>IFERROR(__xludf.DUMMYFUNCTION("""COMPUTED_VALUE"""),"Video Processing")</f>
        <v>Video Processing</v>
      </c>
      <c r="G78" s="2" t="str">
        <f>IFERROR(__xludf.DUMMYFUNCTION("""COMPUTED_VALUE"""),"19CS301")</f>
        <v>19CS301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IFERROR(__xludf.DUMMYFUNCTION("""COMPUTED_VALUE"""),"CS3526")</f>
        <v>CS3526</v>
      </c>
      <c r="E79" s="2" t="str">
        <f>IFERROR(__xludf.DUMMYFUNCTION("""COMPUTED_VALUE"""),"19AI526")</f>
        <v>19AI526</v>
      </c>
      <c r="F79" s="7" t="str">
        <f>IFERROR(__xludf.DUMMYFUNCTION("""COMPUTED_VALUE"""),"Information Security and Access Control")</f>
        <v>Information Security and Access Control</v>
      </c>
      <c r="G79" s="2" t="str">
        <f>IFERROR(__xludf.DUMMYFUNCTION("""COMPUTED_VALUE"""),"19AI527")</f>
        <v>19AI527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IFERROR(__xludf.DUMMYFUNCTION("""COMPUTED_VALUE"""),"CS3527")</f>
        <v>CS3527</v>
      </c>
      <c r="E80" s="2" t="str">
        <f>IFERROR(__xludf.DUMMYFUNCTION("""COMPUTED_VALUE"""),"19AI527")</f>
        <v>19AI527</v>
      </c>
      <c r="F80" s="7" t="str">
        <f>IFERROR(__xludf.DUMMYFUNCTION("""COMPUTED_VALUE"""),"Security Assessment and Risk Analysis")</f>
        <v>Security Assessment and Risk Analysis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IFERROR(__xludf.DUMMYFUNCTION("""COMPUTED_VALUE"""),1)</f>
        <v>1</v>
      </c>
      <c r="J80" s="2">
        <f>IFERROR(__xludf.DUMMYFUNCTION("""COMPUTED_VALUE"""),4)</f>
        <v>4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IFERROR(__xludf.DUMMYFUNCTION("""COMPUTED_VALUE"""),"CS3528")</f>
        <v>CS3528</v>
      </c>
      <c r="E81" s="2" t="str">
        <f>IFERROR(__xludf.DUMMYFUNCTION("""COMPUTED_VALUE"""),"19AI528")</f>
        <v>19AI528</v>
      </c>
      <c r="F81" s="7" t="str">
        <f>IFERROR(__xludf.DUMMYFUNCTION("""COMPUTED_VALUE"""),"Advanced Graph Theory and Applications")</f>
        <v>Advanced Graph Theory and Applications</v>
      </c>
      <c r="G81" s="2" t="str">
        <f>IFERROR(__xludf.DUMMYFUNCTION("""COMPUTED_VALUE"""),"19CS402")</f>
        <v>19CS402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IFERROR(__xludf.DUMMYFUNCTION("""COMPUTED_VALUE"""),"CS3529")</f>
        <v>CS3529</v>
      </c>
      <c r="E82" s="2" t="str">
        <f>IFERROR(__xludf.DUMMYFUNCTION("""COMPUTED_VALUE"""),"19AI529")</f>
        <v>19AI529</v>
      </c>
      <c r="F82" s="7" t="str">
        <f>IFERROR(__xludf.DUMMYFUNCTION("""COMPUTED_VALUE"""),"Advanced Data Structures")</f>
        <v>Advanced Data Structures</v>
      </c>
      <c r="G82" s="2" t="str">
        <f>IFERROR(__xludf.DUMMYFUNCTION("""COMPUTED_VALUE"""),"19CS401")</f>
        <v>19CS401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IFERROR(__xludf.DUMMYFUNCTION("""COMPUTED_VALUE"""),"CS3530")</f>
        <v>CS3530</v>
      </c>
      <c r="E83" s="2" t="str">
        <f>IFERROR(__xludf.DUMMYFUNCTION("""COMPUTED_VALUE"""),"19AI530")</f>
        <v>19AI530</v>
      </c>
      <c r="F83" s="7" t="str">
        <f>IFERROR(__xludf.DUMMYFUNCTION("""COMPUTED_VALUE"""),"Control of Robotic Systems")</f>
        <v>Control of Robotic Systems</v>
      </c>
      <c r="G83" s="2" t="str">
        <f>IFERROR(__xludf.DUMMYFUNCTION("""COMPUTED_VALUE"""),"-")</f>
        <v>-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IFERROR(__xludf.DUMMYFUNCTION("""COMPUTED_VALUE"""),"CS3531")</f>
        <v>CS3531</v>
      </c>
      <c r="E84" s="2" t="str">
        <f>IFERROR(__xludf.DUMMYFUNCTION("""COMPUTED_VALUE"""),"19AI531")</f>
        <v>19AI531</v>
      </c>
      <c r="F84" s="7" t="str">
        <f>IFERROR(__xludf.DUMMYFUNCTION("""COMPUTED_VALUE"""),"Cryptography and Security")</f>
        <v>Cryptography and Security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IFERROR(__xludf.DUMMYFUNCTION("""COMPUTED_VALUE"""),"CS3532")</f>
        <v>CS3532</v>
      </c>
      <c r="E85" s="2" t="str">
        <f>IFERROR(__xludf.DUMMYFUNCTION("""COMPUTED_VALUE"""),"19AI532")</f>
        <v>19AI532</v>
      </c>
      <c r="F85" s="7" t="str">
        <f>IFERROR(__xludf.DUMMYFUNCTION("""COMPUTED_VALUE"""),"Information Theory for Cyber Security")</f>
        <v>Information Theory for Cyber Security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IFERROR(__xludf.DUMMYFUNCTION("""COMPUTED_VALUE"""),"CS3533")</f>
        <v>CS3533</v>
      </c>
      <c r="E86" s="2" t="str">
        <f>IFERROR(__xludf.DUMMYFUNCTION("""COMPUTED_VALUE"""),"19AI533")</f>
        <v>19AI533</v>
      </c>
      <c r="F86" s="7" t="str">
        <f>IFERROR(__xludf.DUMMYFUNCTION("""COMPUTED_VALUE"""),"Introduction to Robotics")</f>
        <v>Introduction to Robotics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IFERROR(__xludf.DUMMYFUNCTION("""COMPUTED_VALUE"""),"CS3534")</f>
        <v>CS3534</v>
      </c>
      <c r="E87" s="2" t="str">
        <f>IFERROR(__xludf.DUMMYFUNCTION("""COMPUTED_VALUE"""),"19AI534")</f>
        <v>19AI534</v>
      </c>
      <c r="F87" s="7" t="str">
        <f>IFERROR(__xludf.DUMMYFUNCTION("""COMPUTED_VALUE"""),"Kinematics and Dynamics of Robots")</f>
        <v>Kinematics and Dynamics of Robots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IFERROR(__xludf.DUMMYFUNCTION("""COMPUTED_VALUE"""),"CS3535")</f>
        <v>CS3535</v>
      </c>
      <c r="E88" s="2" t="str">
        <f>IFERROR(__xludf.DUMMYFUNCTION("""COMPUTED_VALUE"""),"19AI535")</f>
        <v>19AI535</v>
      </c>
      <c r="F88" s="7" t="str">
        <f>IFERROR(__xludf.DUMMYFUNCTION("""COMPUTED_VALUE"""),"Robotic Sensors")</f>
        <v>Robotic Sensors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IFERROR(__xludf.DUMMYFUNCTION("""COMPUTED_VALUE"""),"CS3536")</f>
        <v>CS3536</v>
      </c>
      <c r="E89" s="2" t="str">
        <f>IFERROR(__xludf.DUMMYFUNCTION("""COMPUTED_VALUE"""),"19AI536")</f>
        <v>19AI536</v>
      </c>
      <c r="F89" s="7" t="str">
        <f>IFERROR(__xludf.DUMMYFUNCTION("""COMPUTED_VALUE"""),"Steganography and Digital Watermarking")</f>
        <v>Steganography and Digital Watermarking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IFERROR(__xludf.DUMMYFUNCTION("""COMPUTED_VALUE"""),"CS3537")</f>
        <v>CS3537</v>
      </c>
      <c r="E90" s="2" t="str">
        <f>IFERROR(__xludf.DUMMYFUNCTION("""COMPUTED_VALUE"""),"19AI537")</f>
        <v>19AI537</v>
      </c>
      <c r="F90" s="7" t="str">
        <f>IFERROR(__xludf.DUMMYFUNCTION("""COMPUTED_VALUE"""),"Computer Graphics for Virtual Reality")</f>
        <v>Computer Graphics for Virtual Reality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IFERROR(__xludf.DUMMYFUNCTION("""COMPUTED_VALUE"""),"CS3538")</f>
        <v>CS3538</v>
      </c>
      <c r="E91" s="2" t="str">
        <f>IFERROR(__xludf.DUMMYFUNCTION("""COMPUTED_VALUE"""),"19AI538")</f>
        <v>19AI538</v>
      </c>
      <c r="F91" s="7" t="str">
        <f>IFERROR(__xludf.DUMMYFUNCTION("""COMPUTED_VALUE"""),"Mathematical Modelling and Computer Aided Engineering")</f>
        <v>Mathematical Modelling and Computer Aided Engineering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IFERROR(__xludf.DUMMYFUNCTION("""COMPUTED_VALUE"""),"CS3542")</f>
        <v>CS3542</v>
      </c>
      <c r="E92" s="2" t="str">
        <f>IFERROR(__xludf.DUMMYFUNCTION("""COMPUTED_VALUE"""),"19AI542")</f>
        <v>19AI542</v>
      </c>
      <c r="F92" s="7" t="str">
        <f>IFERROR(__xludf.DUMMYFUNCTION("""COMPUTED_VALUE"""),"Agile Software Development")</f>
        <v>Agile Software Development</v>
      </c>
      <c r="G92" s="2" t="str">
        <f>IFERROR(__xludf.DUMMYFUNCTION("""COMPUTED_VALUE"""),"19CS301")</f>
        <v>19CS301</v>
      </c>
      <c r="H92" s="2">
        <f>IFERROR(__xludf.DUMMYFUNCTION("""COMPUTED_VALUE"""),3)</f>
        <v>3</v>
      </c>
      <c r="I92" s="2">
        <f>IFERROR(__xludf.DUMMYFUNCTION("""COMPUTED_VALUE"""),1)</f>
        <v>1</v>
      </c>
      <c r="J92" s="2">
        <f>IFERROR(__xludf.DUMMYFUNCTION("""COMPUTED_VALUE"""),4)</f>
        <v>4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IFERROR(__xludf.DUMMYFUNCTION("""COMPUTED_VALUE"""),"CS3543")</f>
        <v>CS3543</v>
      </c>
      <c r="E93" s="2" t="str">
        <f>IFERROR(__xludf.DUMMYFUNCTION("""COMPUTED_VALUE"""),"19AI543")</f>
        <v>19AI543</v>
      </c>
      <c r="F93" s="7" t="str">
        <f>IFERROR(__xludf.DUMMYFUNCTION("""COMPUTED_VALUE"""),"Software Testing")</f>
        <v>Software Testing</v>
      </c>
      <c r="G93" s="2" t="str">
        <f>IFERROR(__xludf.DUMMYFUNCTION("""COMPUTED_VALUE"""),"19CS301")</f>
        <v>19CS301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IFERROR(__xludf.DUMMYFUNCTION("""COMPUTED_VALUE"""),"CS3544")</f>
        <v>CS3544</v>
      </c>
      <c r="E94" s="2" t="str">
        <f>IFERROR(__xludf.DUMMYFUNCTION("""COMPUTED_VALUE"""),"19AI544")</f>
        <v>19AI544</v>
      </c>
      <c r="F94" s="7" t="str">
        <f>IFERROR(__xludf.DUMMYFUNCTION("""COMPUTED_VALUE"""),"Virtualization and Containerization")</f>
        <v>Virtualization and Containerization</v>
      </c>
      <c r="G94" s="2" t="str">
        <f>IFERROR(__xludf.DUMMYFUNCTION("""COMPUTED_VALUE"""),"19CS405/19CS406")</f>
        <v>19CS405/19CS406</v>
      </c>
      <c r="H94" s="2">
        <f>IFERROR(__xludf.DUMMYFUNCTION("""COMPUTED_VALUE"""),2)</f>
        <v>2</v>
      </c>
      <c r="I94" s="2">
        <f>IFERROR(__xludf.DUMMYFUNCTION("""COMPUTED_VALUE"""),1)</f>
        <v>1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IFERROR(__xludf.DUMMYFUNCTION("""COMPUTED_VALUE"""),"CS3547")</f>
        <v>CS3547</v>
      </c>
      <c r="E95" s="2" t="str">
        <f>IFERROR(__xludf.DUMMYFUNCTION("""COMPUTED_VALUE"""),"19AI547")</f>
        <v>19AI547</v>
      </c>
      <c r="F95" s="7" t="str">
        <f>IFERROR(__xludf.DUMMYFUNCTION("""COMPUTED_VALUE"""),"Blockchain for Business")</f>
        <v>Blockchain for Business</v>
      </c>
      <c r="G95" s="2" t="str">
        <f>IFERROR(__xludf.DUMMYFUNCTION("""COMPUTED_VALUE"""),"19CS301")</f>
        <v>19CS301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IFERROR(__xludf.DUMMYFUNCTION("""COMPUTED_VALUE"""),"CS3548")</f>
        <v>CS3548</v>
      </c>
      <c r="E96" s="2" t="str">
        <f>IFERROR(__xludf.DUMMYFUNCTION("""COMPUTED_VALUE"""),"19AI548")</f>
        <v>19AI548</v>
      </c>
      <c r="F96" s="7" t="str">
        <f>IFERROR(__xludf.DUMMYFUNCTION("""COMPUTED_VALUE"""),"Robot Programming")</f>
        <v>Robot Programming</v>
      </c>
      <c r="G96" s="2" t="str">
        <f>IFERROR(__xludf.DUMMYFUNCTION("""COMPUTED_VALUE"""),"-")</f>
        <v>-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IFERROR(__xludf.DUMMYFUNCTION("""COMPUTED_VALUE"""),"CS3549")</f>
        <v>CS3549</v>
      </c>
      <c r="E97" s="2" t="str">
        <f>IFERROR(__xludf.DUMMYFUNCTION("""COMPUTED_VALUE"""),"19AI549")</f>
        <v>19AI549</v>
      </c>
      <c r="F97" s="7" t="str">
        <f>IFERROR(__xludf.DUMMYFUNCTION("""COMPUTED_VALUE"""),"Drone Assembly and Applications")</f>
        <v>Drone Assembly and Applications</v>
      </c>
      <c r="G97" s="2" t="str">
        <f>IFERROR(__xludf.DUMMYFUNCTION("""COMPUTED_VALUE"""),"-")</f>
        <v>-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IFERROR(__xludf.DUMMYFUNCTION("""COMPUTED_VALUE"""),"PE")</f>
        <v>PE</v>
      </c>
      <c r="D98" s="2" t="str">
        <f>IFERROR(__xludf.DUMMYFUNCTION("""COMPUTED_VALUE"""),"CS3550")</f>
        <v>CS3550</v>
      </c>
      <c r="E98" s="2" t="str">
        <f>IFERROR(__xludf.DUMMYFUNCTION("""COMPUTED_VALUE"""),"19AI550")</f>
        <v>19AI550</v>
      </c>
      <c r="F98" s="7" t="str">
        <f>IFERROR(__xludf.DUMMYFUNCTION("""COMPUTED_VALUE"""),"Artificial Intelligence for Games")</f>
        <v>Artificial Intelligence for Games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IFERROR(__xludf.DUMMYFUNCTION("""COMPUTED_VALUE"""),"CS3551")</f>
        <v>CS3551</v>
      </c>
      <c r="E99" s="2" t="str">
        <f>IFERROR(__xludf.DUMMYFUNCTION("""COMPUTED_VALUE"""),"19AI551")</f>
        <v>19AI551</v>
      </c>
      <c r="F99" s="7" t="str">
        <f>IFERROR(__xludf.DUMMYFUNCTION("""COMPUTED_VALUE"""),"Drone Design and Control")</f>
        <v>Drone Design and Control</v>
      </c>
      <c r="G99" s="2" t="str">
        <f>IFERROR(__xludf.DUMMYFUNCTION("""COMPUTED_VALUE"""),"-")</f>
        <v>-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IFERROR(__xludf.DUMMYFUNCTION("""COMPUTED_VALUE"""),"PE")</f>
        <v>PE</v>
      </c>
      <c r="D100" s="2" t="str">
        <f>IFERROR(__xludf.DUMMYFUNCTION("""COMPUTED_VALUE"""),"CS3552")</f>
        <v>CS3552</v>
      </c>
      <c r="E100" s="2" t="str">
        <f>IFERROR(__xludf.DUMMYFUNCTION("""COMPUTED_VALUE"""),"19AI552")</f>
        <v>19AI552</v>
      </c>
      <c r="F100" s="7" t="str">
        <f>IFERROR(__xludf.DUMMYFUNCTION("""COMPUTED_VALUE"""),"Web Application User Interface Development")</f>
        <v>Web Application User Interface Development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IFERROR(__xludf.DUMMYFUNCTION("""COMPUTED_VALUE"""),"PE")</f>
        <v>PE</v>
      </c>
      <c r="D101" s="2" t="str">
        <f>IFERROR(__xludf.DUMMYFUNCTION("""COMPUTED_VALUE"""),"CS3554")</f>
        <v>CS3554</v>
      </c>
      <c r="E101" s="2" t="str">
        <f>IFERROR(__xludf.DUMMYFUNCTION("""COMPUTED_VALUE"""),"19AI554")</f>
        <v>19AI554</v>
      </c>
      <c r="F101" s="7" t="str">
        <f>IFERROR(__xludf.DUMMYFUNCTION("""COMPUTED_VALUE"""),"Fundamentals of Large Language Models")</f>
        <v>Fundamentals of Large Language Models</v>
      </c>
      <c r="G101" s="2" t="str">
        <f>IFERROR(__xludf.DUMMYFUNCTION("""COMPUTED_VALUE"""),"-")</f>
        <v>-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IFERROR(__xludf.DUMMYFUNCTION("""COMPUTED_VALUE"""),"CS3555")</f>
        <v>CS3555</v>
      </c>
      <c r="E102" s="2" t="str">
        <f>IFERROR(__xludf.DUMMYFUNCTION("""COMPUTED_VALUE"""),"19AI555")</f>
        <v>19AI555</v>
      </c>
      <c r="F102" s="7" t="str">
        <f>IFERROR(__xludf.DUMMYFUNCTION("""COMPUTED_VALUE"""),"Exploratory Data Analysis")</f>
        <v>Exploratory Data Analysis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IFERROR(__xludf.DUMMYFUNCTION("""COMPUTED_VALUE"""),"CS3556")</f>
        <v>CS3556</v>
      </c>
      <c r="E103" s="2" t="str">
        <f>IFERROR(__xludf.DUMMYFUNCTION("""COMPUTED_VALUE"""),"19AI556")</f>
        <v>19AI556</v>
      </c>
      <c r="F103" s="7" t="str">
        <f>IFERROR(__xludf.DUMMYFUNCTION("""COMPUTED_VALUE"""),"Recommender Systems")</f>
        <v>Recommender Systems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IFERROR(__xludf.DUMMYFUNCTION("""COMPUTED_VALUE"""),"CS3557")</f>
        <v>CS3557</v>
      </c>
      <c r="E104" s="2" t="str">
        <f>IFERROR(__xludf.DUMMYFUNCTION("""COMPUTED_VALUE"""),"19AI557")</f>
        <v>19AI557</v>
      </c>
      <c r="F104" s="7" t="str">
        <f>IFERROR(__xludf.DUMMYFUNCTION("""COMPUTED_VALUE"""),"Neural Networks and Deep Learning")</f>
        <v>Neural Networks and Deep Learning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IFERROR(__xludf.DUMMYFUNCTION("""COMPUTED_VALUE"""),"CS3558")</f>
        <v>CS3558</v>
      </c>
      <c r="E105" s="2" t="str">
        <f>IFERROR(__xludf.DUMMYFUNCTION("""COMPUTED_VALUE"""),"19AI558")</f>
        <v>19AI558</v>
      </c>
      <c r="F105" s="7" t="str">
        <f>IFERROR(__xludf.DUMMYFUNCTION("""COMPUTED_VALUE"""),"Text and Speech Analysis")</f>
        <v>Text and Speech Analysis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IFERROR(__xludf.DUMMYFUNCTION("""COMPUTED_VALUE"""),"CS3559")</f>
        <v>CS3559</v>
      </c>
      <c r="E106" s="2" t="str">
        <f>IFERROR(__xludf.DUMMYFUNCTION("""COMPUTED_VALUE"""),"19AI559")</f>
        <v>19AI559</v>
      </c>
      <c r="F106" s="7" t="str">
        <f>IFERROR(__xludf.DUMMYFUNCTION("""COMPUTED_VALUE"""),"Image and Video Analytics")</f>
        <v>Image and Video Analytics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IFERROR(__xludf.DUMMYFUNCTION("""COMPUTED_VALUE"""),"CS3560")</f>
        <v>CS3560</v>
      </c>
      <c r="E107" s="2" t="str">
        <f>IFERROR(__xludf.DUMMYFUNCTION("""COMPUTED_VALUE"""),"19AI560")</f>
        <v>19AI560</v>
      </c>
      <c r="F107" s="3" t="str">
        <f>IFERROR(__xludf.DUMMYFUNCTION("""COMPUTED_VALUE"""),"Augmented Reality and ARCore")</f>
        <v>Augmented Reality and ARCore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IFERROR(__xludf.DUMMYFUNCTION("""COMPUTED_VALUE"""),"CS3561")</f>
        <v>CS3561</v>
      </c>
      <c r="E108" s="2" t="str">
        <f>IFERROR(__xludf.DUMMYFUNCTION("""COMPUTED_VALUE"""),"19AI561")</f>
        <v>19AI561</v>
      </c>
      <c r="F108" s="3" t="str">
        <f>IFERROR(__xludf.DUMMYFUNCTION("""COMPUTED_VALUE"""),"Extended Reality")</f>
        <v>Extended Reality</v>
      </c>
      <c r="G108" s="2" t="str">
        <f>IFERROR(__xludf.DUMMYFUNCTION("""COMPUTED_VALUE"""),"CS3307")</f>
        <v>CS3307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IFERROR(__xludf.DUMMYFUNCTION("""COMPUTED_VALUE"""),"CS4401")</f>
        <v>CS4401</v>
      </c>
      <c r="E109" s="2" t="str">
        <f>IFERROR(__xludf.DUMMYFUNCTION("""COMPUTED_VALUE"""),"19AM401")</f>
        <v>19AM401</v>
      </c>
      <c r="F109" s="3" t="str">
        <f>IFERROR(__xludf.DUMMYFUNCTION("""COMPUTED_VALUE"""),"Time Series Analysis and Forecasting")</f>
        <v>Time Series Analysis and Forecasting</v>
      </c>
      <c r="G109" s="2" t="str">
        <f>IFERROR(__xludf.DUMMYFUNCTION("""COMPUTED_VALUE"""),"-")</f>
        <v>-</v>
      </c>
      <c r="H109" s="2">
        <f>IFERROR(__xludf.DUMMYFUNCTION("""COMPUTED_VALUE"""),3)</f>
        <v>3</v>
      </c>
      <c r="I109" s="2">
        <f>IFERROR(__xludf.DUMMYFUNCTION("""COMPUTED_VALUE"""),1)</f>
        <v>1</v>
      </c>
      <c r="J109" s="2">
        <f>IFERROR(__xludf.DUMMYFUNCTION("""COMPUTED_VALUE"""),4)</f>
        <v>4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IFERROR(__xludf.DUMMYFUNCTION("""COMPUTED_VALUE"""),"CS4406")</f>
        <v>CS4406</v>
      </c>
      <c r="E110" s="2" t="str">
        <f>IFERROR(__xludf.DUMMYFUNCTION("""COMPUTED_VALUE"""),"19AM406")</f>
        <v>19AM406</v>
      </c>
      <c r="F110" s="3" t="str">
        <f>IFERROR(__xludf.DUMMYFUNCTION("""COMPUTED_VALUE"""),"Blockchain and Cryptocurrency")</f>
        <v>Blockchain and Cryptocurrency</v>
      </c>
      <c r="G110" s="2" t="str">
        <f>IFERROR(__xludf.DUMMYFUNCTION("""COMPUTED_VALUE"""),"-")</f>
        <v>-</v>
      </c>
      <c r="H110" s="2">
        <f>IFERROR(__xludf.DUMMYFUNCTION("""COMPUTED_VALUE"""),3)</f>
        <v>3</v>
      </c>
      <c r="I110" s="2">
        <f>IFERROR(__xludf.DUMMYFUNCTION("""COMPUTED_VALUE"""),0)</f>
        <v>0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IFERROR(__xludf.DUMMYFUNCTION("""COMPUTED_VALUE"""),"Theory")</f>
        <v>Theory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IFERROR(__xludf.DUMMYFUNCTION("""COMPUTED_VALUE"""),"CS4407")</f>
        <v>CS4407</v>
      </c>
      <c r="E111" s="2" t="str">
        <f>IFERROR(__xludf.DUMMYFUNCTION("""COMPUTED_VALUE"""),"19AM407")</f>
        <v>19AM407</v>
      </c>
      <c r="F111" s="3" t="str">
        <f>IFERROR(__xludf.DUMMYFUNCTION("""COMPUTED_VALUE"""),"Cyber Forensics")</f>
        <v>Cyber Forensics</v>
      </c>
      <c r="G111" s="2" t="str">
        <f>IFERROR(__xludf.DUMMYFUNCTION("""COMPUTED_VALUE"""),"-")</f>
        <v>-</v>
      </c>
      <c r="H111" s="2">
        <f>IFERROR(__xludf.DUMMYFUNCTION("""COMPUTED_VALUE"""),3)</f>
        <v>3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IFERROR(__xludf.DUMMYFUNCTION("""COMPUTED_VALUE"""),"Theory")</f>
        <v>Theory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IFERROR(__xludf.DUMMYFUNCTION("""COMPUTED_VALUE"""),"CS4501")</f>
        <v>CS4501</v>
      </c>
      <c r="E112" s="2" t="str">
        <f>IFERROR(__xludf.DUMMYFUNCTION("""COMPUTED_VALUE"""),"19AM501")</f>
        <v>19AM501</v>
      </c>
      <c r="F112" s="3" t="str">
        <f>IFERROR(__xludf.DUMMYFUNCTION("""COMPUTED_VALUE"""),"Machine Learning for Bioinformatics")</f>
        <v>Machine Learning for Bioinformatics</v>
      </c>
      <c r="G112" s="2" t="str">
        <f>IFERROR(__xludf.DUMMYFUNCTION("""COMPUTED_VALUE"""),"-")</f>
        <v>-</v>
      </c>
      <c r="H112" s="2">
        <f>IFERROR(__xludf.DUMMYFUNCTION("""COMPUTED_VALUE"""),3)</f>
        <v>3</v>
      </c>
      <c r="I112" s="2">
        <f>IFERROR(__xludf.DUMMYFUNCTION("""COMPUTED_VALUE"""),0)</f>
        <v>0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IFERROR(__xludf.DUMMYFUNCTION("""COMPUTED_VALUE"""),"Theory")</f>
        <v>Theory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IFERROR(__xludf.DUMMYFUNCTION("""COMPUTED_VALUE"""),"CS4502")</f>
        <v>CS4502</v>
      </c>
      <c r="E113" s="2" t="str">
        <f>IFERROR(__xludf.DUMMYFUNCTION("""COMPUTED_VALUE"""),"19AM502")</f>
        <v>19AM502</v>
      </c>
      <c r="F113" s="7" t="str">
        <f>IFERROR(__xludf.DUMMYFUNCTION("""COMPUTED_VALUE"""),"Genetic Algorithms")</f>
        <v>Genetic Algorithms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IFERROR(__xludf.DUMMYFUNCTION("""COMPUTED_VALUE"""),"CS4503")</f>
        <v>CS4503</v>
      </c>
      <c r="E114" s="2" t="str">
        <f>IFERROR(__xludf.DUMMYFUNCTION("""COMPUTED_VALUE"""),"19AM503")</f>
        <v>19AM503</v>
      </c>
      <c r="F114" s="3" t="str">
        <f>IFERROR(__xludf.DUMMYFUNCTION("""COMPUTED_VALUE"""),"Data Modeling")</f>
        <v>Data Modeling</v>
      </c>
      <c r="G114" s="2" t="str">
        <f>IFERROR(__xludf.DUMMYFUNCTION("""COMPUTED_VALUE"""),"-")</f>
        <v>-</v>
      </c>
      <c r="H114" s="2">
        <f>IFERROR(__xludf.DUMMYFUNCTION("""COMPUTED_VALUE"""),3)</f>
        <v>3</v>
      </c>
      <c r="I114" s="2">
        <f>IFERROR(__xludf.DUMMYFUNCTION("""COMPUTED_VALUE"""),0)</f>
        <v>0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IFERROR(__xludf.DUMMYFUNCTION("""COMPUTED_VALUE"""),"Theory")</f>
        <v>Theory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IFERROR(__xludf.DUMMYFUNCTION("""COMPUTED_VALUE"""),"CS4504")</f>
        <v>CS4504</v>
      </c>
      <c r="E115" s="2" t="str">
        <f>IFERROR(__xludf.DUMMYFUNCTION("""COMPUTED_VALUE"""),"19AM504")</f>
        <v>19AM504</v>
      </c>
      <c r="F115" s="7" t="str">
        <f>IFERROR(__xludf.DUMMYFUNCTION("""COMPUTED_VALUE"""),"Brain Computer Interaction")</f>
        <v>Brain Computer Interaction</v>
      </c>
      <c r="G115" s="2" t="str">
        <f>IFERROR(__xludf.DUMMYFUNCTION("""COMPUTED_VALUE"""),"-")</f>
        <v>-</v>
      </c>
      <c r="H115" s="2">
        <f>IFERROR(__xludf.DUMMYFUNCTION("""COMPUTED_VALUE"""),3)</f>
        <v>3</v>
      </c>
      <c r="I115" s="2">
        <f>IFERROR(__xludf.DUMMYFUNCTION("""COMPUTED_VALUE"""),0)</f>
        <v>0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IFERROR(__xludf.DUMMYFUNCTION("""COMPUTED_VALUE"""),"Theory")</f>
        <v>Theory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IFERROR(__xludf.DUMMYFUNCTION("""COMPUTED_VALUE"""),"PE")</f>
        <v>PE</v>
      </c>
      <c r="D116" s="2" t="str">
        <f>IFERROR(__xludf.DUMMYFUNCTION("""COMPUTED_VALUE"""),"CS4505")</f>
        <v>CS4505</v>
      </c>
      <c r="E116" s="2" t="str">
        <f>IFERROR(__xludf.DUMMYFUNCTION("""COMPUTED_VALUE"""),"19AM505")</f>
        <v>19AM505</v>
      </c>
      <c r="F116" s="7" t="str">
        <f>IFERROR(__xludf.DUMMYFUNCTION("""COMPUTED_VALUE"""),"Statistical Learning Theory")</f>
        <v>Statistical Learning Theory</v>
      </c>
      <c r="G116" s="2" t="str">
        <f>IFERROR(__xludf.DUMMYFUNCTION("""COMPUTED_VALUE"""),"-")</f>
        <v>-</v>
      </c>
      <c r="H116" s="2">
        <f>IFERROR(__xludf.DUMMYFUNCTION("""COMPUTED_VALUE"""),2)</f>
        <v>2</v>
      </c>
      <c r="I116" s="2">
        <f>IFERROR(__xludf.DUMMYFUNCTION("""COMPUTED_VALUE"""),1)</f>
        <v>1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IFERROR(__xludf.DUMMYFUNCTION("""COMPUTED_VALUE"""),"TIP (6 Expts)")</f>
        <v>TIP (6 Expts)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IFERROR(__xludf.DUMMYFUNCTION("""COMPUTED_VALUE"""),"CS4506")</f>
        <v>CS4506</v>
      </c>
      <c r="E117" s="2" t="str">
        <f>IFERROR(__xludf.DUMMYFUNCTION("""COMPUTED_VALUE"""),"19AM506")</f>
        <v>19AM506</v>
      </c>
      <c r="F117" s="7" t="str">
        <f>IFERROR(__xludf.DUMMYFUNCTION("""COMPUTED_VALUE"""),"Sensors and Actuators for IoT")</f>
        <v>Sensors and Actuators for IoT</v>
      </c>
      <c r="G117" s="2" t="str">
        <f>IFERROR(__xludf.DUMMYFUNCTION("""COMPUTED_VALUE"""),"-")</f>
        <v>-</v>
      </c>
      <c r="H117" s="2">
        <f>IFERROR(__xludf.DUMMYFUNCTION("""COMPUTED_VALUE"""),2)</f>
        <v>2</v>
      </c>
      <c r="I117" s="2">
        <f>IFERROR(__xludf.DUMMYFUNCTION("""COMPUTED_VALUE"""),1)</f>
        <v>1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IFERROR(__xludf.DUMMYFUNCTION("""COMPUTED_VALUE"""),"TIP (6 Expts)")</f>
        <v>TIP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IFERROR(__xludf.DUMMYFUNCTION("""COMPUTED_VALUE"""),"PE")</f>
        <v>PE</v>
      </c>
      <c r="D118" s="2" t="str">
        <f>IFERROR(__xludf.DUMMYFUNCTION("""COMPUTED_VALUE"""),"CS4507")</f>
        <v>CS4507</v>
      </c>
      <c r="E118" s="2" t="str">
        <f>IFERROR(__xludf.DUMMYFUNCTION("""COMPUTED_VALUE"""),"19AM507")</f>
        <v>19AM507</v>
      </c>
      <c r="F118" s="7" t="str">
        <f>IFERROR(__xludf.DUMMYFUNCTION("""COMPUTED_VALUE"""),"Security and Trust in IoT")</f>
        <v>Security and Trust in IoT</v>
      </c>
      <c r="G118" s="2" t="str">
        <f>IFERROR(__xludf.DUMMYFUNCTION("""COMPUTED_VALUE"""),"-")</f>
        <v>-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IFERROR(__xludf.DUMMYFUNCTION("""COMPUTED_VALUE"""),"PE")</f>
        <v>PE</v>
      </c>
      <c r="D119" s="2" t="str">
        <f>IFERROR(__xludf.DUMMYFUNCTION("""COMPUTED_VALUE"""),"CS4509")</f>
        <v>CS4509</v>
      </c>
      <c r="E119" s="2" t="str">
        <f>IFERROR(__xludf.DUMMYFUNCTION("""COMPUTED_VALUE"""),"19AM509")</f>
        <v>19AM509</v>
      </c>
      <c r="F119" s="7" t="str">
        <f>IFERROR(__xludf.DUMMYFUNCTION("""COMPUTED_VALUE"""),"Industrial Internet of Things")</f>
        <v>Industrial Internet of Things</v>
      </c>
      <c r="G119" s="2" t="str">
        <f>IFERROR(__xludf.DUMMYFUNCTION("""COMPUTED_VALUE"""),"-")</f>
        <v>-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IFERROR(__xludf.DUMMYFUNCTION("""COMPUTED_VALUE"""),"CS4510")</f>
        <v>CS4510</v>
      </c>
      <c r="E120" s="2" t="str">
        <f>IFERROR(__xludf.DUMMYFUNCTION("""COMPUTED_VALUE"""),"19AM510")</f>
        <v>19AM510</v>
      </c>
      <c r="F120" s="7" t="str">
        <f>IFERROR(__xludf.DUMMYFUNCTION("""COMPUTED_VALUE"""),"Software for Embedded Systems")</f>
        <v>Software for Embedded Systems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IFERROR(__xludf.DUMMYFUNCTION("""COMPUTED_VALUE"""),"CS4511")</f>
        <v>CS4511</v>
      </c>
      <c r="E121" s="2" t="str">
        <f>IFERROR(__xludf.DUMMYFUNCTION("""COMPUTED_VALUE"""),"19AM511")</f>
        <v>19AM511</v>
      </c>
      <c r="F121" s="7" t="str">
        <f>IFERROR(__xludf.DUMMYFUNCTION("""COMPUTED_VALUE"""),"IoT Architecture and Protocols")</f>
        <v>IoT Architecture and Protocols</v>
      </c>
      <c r="G121" s="2" t="str">
        <f>IFERROR(__xludf.DUMMYFUNCTION("""COMPUTED_VALUE"""),"-")</f>
        <v>-</v>
      </c>
      <c r="H121" s="2">
        <f>IFERROR(__xludf.DUMMYFUNCTION("""COMPUTED_VALUE"""),3)</f>
        <v>3</v>
      </c>
      <c r="I121" s="2">
        <f>IFERROR(__xludf.DUMMYFUNCTION("""COMPUTED_VALUE"""),0)</f>
        <v>0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IFERROR(__xludf.DUMMYFUNCTION("""COMPUTED_VALUE"""),"Theory")</f>
        <v>Theory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IFERROR(__xludf.DUMMYFUNCTION("""COMPUTED_VALUE"""),"CS4512")</f>
        <v>CS4512</v>
      </c>
      <c r="E122" s="2" t="str">
        <f>IFERROR(__xludf.DUMMYFUNCTION("""COMPUTED_VALUE"""),"19AM512")</f>
        <v>19AM512</v>
      </c>
      <c r="F122" s="7" t="str">
        <f>IFERROR(__xludf.DUMMYFUNCTION("""COMPUTED_VALUE"""),"Arduino for IoT")</f>
        <v>Arduino for IoT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IFERROR(__xludf.DUMMYFUNCTION("""COMPUTED_VALUE"""),"CS4513")</f>
        <v>CS4513</v>
      </c>
      <c r="E123" s="26" t="str">
        <f>IFERROR(__xludf.DUMMYFUNCTION("""COMPUTED_VALUE"""),"19AM513")</f>
        <v>19AM513</v>
      </c>
      <c r="F123" s="27" t="str">
        <f>IFERROR(__xludf.DUMMYFUNCTION("""COMPUTED_VALUE"""),"Raspberry Pi for IoT")</f>
        <v>Raspberry Pi for IoT</v>
      </c>
      <c r="G123" s="26" t="str">
        <f>IFERROR(__xludf.DUMMYFUNCTION("""COMPUTED_VALUE"""),"-")</f>
        <v>-</v>
      </c>
      <c r="H123" s="26">
        <f>IFERROR(__xludf.DUMMYFUNCTION("""COMPUTED_VALUE"""),2)</f>
        <v>2</v>
      </c>
      <c r="I123" s="26">
        <f>IFERROR(__xludf.DUMMYFUNCTION("""COMPUTED_VALUE"""),1)</f>
        <v>1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IFERROR(__xludf.DUMMYFUNCTION("""COMPUTED_VALUE"""),"CS4514")</f>
        <v>CS4514</v>
      </c>
      <c r="E124" s="26" t="str">
        <f>IFERROR(__xludf.DUMMYFUNCTION("""COMPUTED_VALUE"""),"19AM514")</f>
        <v>19AM514</v>
      </c>
      <c r="F124" s="27" t="str">
        <f>IFERROR(__xludf.DUMMYFUNCTION("""COMPUTED_VALUE"""),"Motion Planning Techniques")</f>
        <v>Motion Planning Techniques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IFERROR(__xludf.DUMMYFUNCTION("""COMPUTED_VALUE"""),"CS4515")</f>
        <v>CS4515</v>
      </c>
      <c r="E125" s="26" t="str">
        <f>IFERROR(__xludf.DUMMYFUNCTION("""COMPUTED_VALUE"""),"19AM515")</f>
        <v>19AM515</v>
      </c>
      <c r="F125" s="27" t="str">
        <f>IFERROR(__xludf.DUMMYFUNCTION("""COMPUTED_VALUE"""),"Advanced Java Programming")</f>
        <v>Advanced Java Programming</v>
      </c>
      <c r="G125" s="26" t="str">
        <f>IFERROR(__xludf.DUMMYFUNCTION("""COMPUTED_VALUE"""),"-")</f>
        <v>-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IFERROR(__xludf.DUMMYFUNCTION("""COMPUTED_VALUE"""),"CS4516")</f>
        <v>CS4516</v>
      </c>
      <c r="E126" s="26" t="str">
        <f>IFERROR(__xludf.DUMMYFUNCTION("""COMPUTED_VALUE"""),"19AM516")</f>
        <v>19AM516</v>
      </c>
      <c r="F126" s="27" t="str">
        <f>IFERROR(__xludf.DUMMYFUNCTION("""COMPUTED_VALUE"""),"Python Programming for IoT")</f>
        <v>Python Programming for IoT</v>
      </c>
      <c r="G126" s="26" t="str">
        <f>IFERROR(__xludf.DUMMYFUNCTION("""COMPUTED_VALUE"""),"-")</f>
        <v>-</v>
      </c>
      <c r="H126" s="26">
        <f>IFERROR(__xludf.DUMMYFUNCTION("""COMPUTED_VALUE"""),3)</f>
        <v>3</v>
      </c>
      <c r="I126" s="26">
        <f>IFERROR(__xludf.DUMMYFUNCTION("""COMPUTED_VALUE"""),0)</f>
        <v>0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IFERROR(__xludf.DUMMYFUNCTION("""COMPUTED_VALUE"""),"Theory")</f>
        <v>Theory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IFERROR(__xludf.DUMMYFUNCTION("""COMPUTED_VALUE"""),"CS4517")</f>
        <v>CS4517</v>
      </c>
      <c r="E127" s="26" t="str">
        <f>IFERROR(__xludf.DUMMYFUNCTION("""COMPUTED_VALUE"""),"19AM517")</f>
        <v>19AM517</v>
      </c>
      <c r="F127" s="27" t="str">
        <f>IFERROR(__xludf.DUMMYFUNCTION("""COMPUTED_VALUE"""),"Applications of IoT in Robotics")</f>
        <v>Applications of IoT in Robotics</v>
      </c>
      <c r="G127" s="26" t="str">
        <f>IFERROR(__xludf.DUMMYFUNCTION("""COMPUTED_VALUE"""),"-")</f>
        <v>-</v>
      </c>
      <c r="H127" s="26">
        <f>IFERROR(__xludf.DUMMYFUNCTION("""COMPUTED_VALUE"""),3)</f>
        <v>3</v>
      </c>
      <c r="I127" s="26">
        <f>IFERROR(__xludf.DUMMYFUNCTION("""COMPUTED_VALUE"""),0)</f>
        <v>0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IFERROR(__xludf.DUMMYFUNCTION("""COMPUTED_VALUE"""),"Theory")</f>
        <v>Theory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IFERROR(__xludf.DUMMYFUNCTION("""COMPUTED_VALUE"""),"CS4518")</f>
        <v>CS4518</v>
      </c>
      <c r="E128" s="26" t="str">
        <f>IFERROR(__xludf.DUMMYFUNCTION("""COMPUTED_VALUE"""),"19AM518")</f>
        <v>19AM518</v>
      </c>
      <c r="F128" s="27" t="str">
        <f>IFERROR(__xludf.DUMMYFUNCTION("""COMPUTED_VALUE"""),"Programming for IoT Boards")</f>
        <v>Programming for IoT Boards</v>
      </c>
      <c r="G128" s="26" t="str">
        <f>IFERROR(__xludf.DUMMYFUNCTION("""COMPUTED_VALUE"""),"-")</f>
        <v>-</v>
      </c>
      <c r="H128" s="26">
        <f>IFERROR(__xludf.DUMMYFUNCTION("""COMPUTED_VALUE"""),3)</f>
        <v>3</v>
      </c>
      <c r="I128" s="26">
        <f>IFERROR(__xludf.DUMMYFUNCTION("""COMPUTED_VALUE"""),0)</f>
        <v>0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IFERROR(__xludf.DUMMYFUNCTION("""COMPUTED_VALUE"""),"Theory")</f>
        <v>Theory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IFERROR(__xludf.DUMMYFUNCTION("""COMPUTED_VALUE"""),"CS4519")</f>
        <v>CS4519</v>
      </c>
      <c r="E129" s="26" t="str">
        <f>IFERROR(__xludf.DUMMYFUNCTION("""COMPUTED_VALUE"""),"19AM519")</f>
        <v>19AM519</v>
      </c>
      <c r="F129" s="27" t="str">
        <f>IFERROR(__xludf.DUMMYFUNCTION("""COMPUTED_VALUE"""),"Design of Smart Cities")</f>
        <v>Design of Smart Cities</v>
      </c>
      <c r="G129" s="26" t="str">
        <f>IFERROR(__xludf.DUMMYFUNCTION("""COMPUTED_VALUE"""),"-")</f>
        <v>-</v>
      </c>
      <c r="H129" s="26">
        <f>IFERROR(__xludf.DUMMYFUNCTION("""COMPUTED_VALUE"""),3)</f>
        <v>3</v>
      </c>
      <c r="I129" s="26">
        <f>IFERROR(__xludf.DUMMYFUNCTION("""COMPUTED_VALUE"""),0)</f>
        <v>0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IFERROR(__xludf.DUMMYFUNCTION("""COMPUTED_VALUE"""),"Theory")</f>
        <v>Theory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IFERROR(__xludf.DUMMYFUNCTION("""COMPUTED_VALUE"""),"CS4520")</f>
        <v>CS4520</v>
      </c>
      <c r="E130" s="26" t="str">
        <f>IFERROR(__xludf.DUMMYFUNCTION("""COMPUTED_VALUE"""),"19AM520")</f>
        <v>19AM520</v>
      </c>
      <c r="F130" s="27" t="str">
        <f>IFERROR(__xludf.DUMMYFUNCTION("""COMPUTED_VALUE"""),"IoT and Multimedia Technology")</f>
        <v>IoT and Multimedia Technology</v>
      </c>
      <c r="G130" s="26" t="str">
        <f>IFERROR(__xludf.DUMMYFUNCTION("""COMPUTED_VALUE"""),"-")</f>
        <v>-</v>
      </c>
      <c r="H130" s="26">
        <f>IFERROR(__xludf.DUMMYFUNCTION("""COMPUTED_VALUE"""),3)</f>
        <v>3</v>
      </c>
      <c r="I130" s="26">
        <f>IFERROR(__xludf.DUMMYFUNCTION("""COMPUTED_VALUE"""),0)</f>
        <v>0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IFERROR(__xludf.DUMMYFUNCTION("""COMPUTED_VALUE"""),"Theory")</f>
        <v>Theory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IFERROR(__xludf.DUMMYFUNCTION("""COMPUTED_VALUE"""),"CS4521")</f>
        <v>CS4521</v>
      </c>
      <c r="E131" s="26" t="str">
        <f>IFERROR(__xludf.DUMMYFUNCTION("""COMPUTED_VALUE"""),"19AM521")</f>
        <v>19AM521</v>
      </c>
      <c r="F131" s="27" t="str">
        <f>IFERROR(__xludf.DUMMYFUNCTION("""COMPUTED_VALUE"""),"Mobile Application Development for IoT")</f>
        <v>Mobile Application Development for IoT</v>
      </c>
      <c r="G131" s="26" t="str">
        <f>IFERROR(__xludf.DUMMYFUNCTION("""COMPUTED_VALUE"""),"-")</f>
        <v>-</v>
      </c>
      <c r="H131" s="26">
        <f>IFERROR(__xludf.DUMMYFUNCTION("""COMPUTED_VALUE"""),3)</f>
        <v>3</v>
      </c>
      <c r="I131" s="26">
        <f>IFERROR(__xludf.DUMMYFUNCTION("""COMPUTED_VALUE"""),0)</f>
        <v>0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IFERROR(__xludf.DUMMYFUNCTION("""COMPUTED_VALUE"""),"Theory")</f>
        <v>Theory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IFERROR(__xludf.DUMMYFUNCTION("""COMPUTED_VALUE"""),"CS4522")</f>
        <v>CS4522</v>
      </c>
      <c r="E132" s="26" t="str">
        <f>IFERROR(__xludf.DUMMYFUNCTION("""COMPUTED_VALUE"""),"19AM522")</f>
        <v>19AM522</v>
      </c>
      <c r="F132" s="27" t="str">
        <f>IFERROR(__xludf.DUMMYFUNCTION("""COMPUTED_VALUE"""),"Open Source Programming for IoT")</f>
        <v>Open Source Programming for IoT</v>
      </c>
      <c r="G132" s="26" t="str">
        <f>IFERROR(__xludf.DUMMYFUNCTION("""COMPUTED_VALUE"""),"-")</f>
        <v>-</v>
      </c>
      <c r="H132" s="26">
        <f>IFERROR(__xludf.DUMMYFUNCTION("""COMPUTED_VALUE"""),3)</f>
        <v>3</v>
      </c>
      <c r="I132" s="26">
        <f>IFERROR(__xludf.DUMMYFUNCTION("""COMPUTED_VALUE"""),0)</f>
        <v>0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IFERROR(__xludf.DUMMYFUNCTION("""COMPUTED_VALUE"""),"CS1409")</f>
        <v>CS1409</v>
      </c>
      <c r="E133" s="26" t="str">
        <f>IFERROR(__xludf.DUMMYFUNCTION("""COMPUTED_VALUE"""),"19CS409")</f>
        <v>19CS409</v>
      </c>
      <c r="F133" s="27" t="str">
        <f>IFERROR(__xludf.DUMMYFUNCTION("""COMPUTED_VALUE"""),"Compiler Design")</f>
        <v>Compiler Design</v>
      </c>
      <c r="G133" s="26" t="str">
        <f>IFERROR(__xludf.DUMMYFUNCTION("""COMPUTED_VALUE"""),"-")</f>
        <v>-</v>
      </c>
      <c r="H133" s="26">
        <f>IFERROR(__xludf.DUMMYFUNCTION("""COMPUTED_VALUE"""),3)</f>
        <v>3</v>
      </c>
      <c r="I133" s="26">
        <f>IFERROR(__xludf.DUMMYFUNCTION("""COMPUTED_VALUE"""),1)</f>
        <v>1</v>
      </c>
      <c r="J133" s="26">
        <f>IFERROR(__xludf.DUMMYFUNCTION("""COMPUTED_VALUE"""),4)</f>
        <v>4</v>
      </c>
      <c r="K133" s="26" t="str">
        <f>IFERROR(__xludf.DUMMYFUNCTION("""COMPUTED_VALUE"""),"CGPA")</f>
        <v>CGPA</v>
      </c>
      <c r="L133" s="26" t="str">
        <f>IFERROR(__xludf.DUMMYFUNCTION("""COMPUTED_VALUE"""),"TIP (6 Expts)")</f>
        <v>TIP (6 Expts)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IFERROR(__xludf.DUMMYFUNCTION("""COMPUTED_VALUE"""),"CS1416")</f>
        <v>CS1416</v>
      </c>
      <c r="E134" s="26" t="str">
        <f>IFERROR(__xludf.DUMMYFUNCTION("""COMPUTED_VALUE"""),"19CS416")</f>
        <v>19CS416</v>
      </c>
      <c r="F134" s="27" t="str">
        <f>IFERROR(__xludf.DUMMYFUNCTION("""COMPUTED_VALUE"""),"Cloud Security")</f>
        <v>Cloud Security</v>
      </c>
      <c r="G134" s="26" t="str">
        <f>IFERROR(__xludf.DUMMYFUNCTION("""COMPUTED_VALUE"""),"-")</f>
        <v>-</v>
      </c>
      <c r="H134" s="26">
        <f>IFERROR(__xludf.DUMMYFUNCTION("""COMPUTED_VALUE"""),2)</f>
        <v>2</v>
      </c>
      <c r="I134" s="26">
        <f>IFERROR(__xludf.DUMMYFUNCTION("""COMPUTED_VALUE"""),1)</f>
        <v>1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IFERROR(__xludf.DUMMYFUNCTION("""COMPUTED_VALUE"""),"CS1417")</f>
        <v>CS1417</v>
      </c>
      <c r="E135" s="26" t="str">
        <f>IFERROR(__xludf.DUMMYFUNCTION("""COMPUTED_VALUE"""),"19CS417")</f>
        <v>19CS417</v>
      </c>
      <c r="F135" s="27" t="str">
        <f>IFERROR(__xludf.DUMMYFUNCTION("""COMPUTED_VALUE"""),"Ethical Hacking Techniques")</f>
        <v>Ethical Hacking Techniques</v>
      </c>
      <c r="G135" s="26" t="str">
        <f>IFERROR(__xludf.DUMMYFUNCTION("""COMPUTED_VALUE"""),"-")</f>
        <v>-</v>
      </c>
      <c r="H135" s="26">
        <f>IFERROR(__xludf.DUMMYFUNCTION("""COMPUTED_VALUE"""),2)</f>
        <v>2</v>
      </c>
      <c r="I135" s="26">
        <f>IFERROR(__xludf.DUMMYFUNCTION("""COMPUTED_VALUE"""),1)</f>
        <v>1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IFERROR(__xludf.DUMMYFUNCTION("""COMPUTED_VALUE"""),"CS1418")</f>
        <v>CS1418</v>
      </c>
      <c r="E136" s="26" t="str">
        <f>IFERROR(__xludf.DUMMYFUNCTION("""COMPUTED_VALUE"""),"19CS418")</f>
        <v>19CS418</v>
      </c>
      <c r="F136" s="27" t="str">
        <f>IFERROR(__xludf.DUMMYFUNCTION("""COMPUTED_VALUE"""),"Cyber Law and Compliance")</f>
        <v>Cyber Law and Compliance</v>
      </c>
      <c r="G136" s="26" t="str">
        <f>IFERROR(__xludf.DUMMYFUNCTION("""COMPUTED_VALUE"""),"-")</f>
        <v>-</v>
      </c>
      <c r="H136" s="26">
        <f>IFERROR(__xludf.DUMMYFUNCTION("""COMPUTED_VALUE"""),3)</f>
        <v>3</v>
      </c>
      <c r="I136" s="26">
        <f>IFERROR(__xludf.DUMMYFUNCTION("""COMPUTED_VALUE"""),0)</f>
        <v>0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IFERROR(__xludf.DUMMYFUNCTION("""COMPUTED_VALUE"""),"Theory")</f>
        <v>Theory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IFERROR(__xludf.DUMMYFUNCTION("""COMPUTED_VALUE"""),"CS1419")</f>
        <v>CS1419</v>
      </c>
      <c r="E137" s="26" t="str">
        <f>IFERROR(__xludf.DUMMYFUNCTION("""COMPUTED_VALUE"""),"19CS419")</f>
        <v>19CS419</v>
      </c>
      <c r="F137" s="27" t="str">
        <f>IFERROR(__xludf.DUMMYFUNCTION("""COMPUTED_VALUE"""),"Digital Forensics and Digital Investigations")</f>
        <v>Digital Forensics and Digital Investigations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IFERROR(__xludf.DUMMYFUNCTION("""COMPUTED_VALUE"""),"CS1420")</f>
        <v>CS1420</v>
      </c>
      <c r="E138" s="26" t="str">
        <f>IFERROR(__xludf.DUMMYFUNCTION("""COMPUTED_VALUE"""),"19CS420")</f>
        <v>19CS420</v>
      </c>
      <c r="F138" s="27" t="str">
        <f>IFERROR(__xludf.DUMMYFUNCTION("""COMPUTED_VALUE"""),"Prototyping of IoT Systems")</f>
        <v>Prototyping of IoT Systems</v>
      </c>
      <c r="G138" s="26" t="str">
        <f>IFERROR(__xludf.DUMMYFUNCTION("""COMPUTED_VALUE"""),"-")</f>
        <v>-</v>
      </c>
      <c r="H138" s="26">
        <f>IFERROR(__xludf.DUMMYFUNCTION("""COMPUTED_VALUE"""),2)</f>
        <v>2</v>
      </c>
      <c r="I138" s="26">
        <f>IFERROR(__xludf.DUMMYFUNCTION("""COMPUTED_VALUE"""),1)</f>
        <v>1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IFERROR(__xludf.DUMMYFUNCTION("""COMPUTED_VALUE"""),"TIP (6 Expts)")</f>
        <v>TIP (6 Expts)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IFERROR(__xludf.DUMMYFUNCTION("""COMPUTED_VALUE"""),"CS1421")</f>
        <v>CS1421</v>
      </c>
      <c r="E139" s="26" t="str">
        <f>IFERROR(__xludf.DUMMYFUNCTION("""COMPUTED_VALUE"""),"19CS421")</f>
        <v>19CS421</v>
      </c>
      <c r="F139" s="27" t="str">
        <f>IFERROR(__xludf.DUMMYFUNCTION("""COMPUTED_VALUE"""),"Edge Computing")</f>
        <v>Edge Computing</v>
      </c>
      <c r="G139" s="26" t="str">
        <f>IFERROR(__xludf.DUMMYFUNCTION("""COMPUTED_VALUE"""),"-")</f>
        <v>-</v>
      </c>
      <c r="H139" s="26">
        <f>IFERROR(__xludf.DUMMYFUNCTION("""COMPUTED_VALUE"""),2)</f>
        <v>2</v>
      </c>
      <c r="I139" s="26">
        <f>IFERROR(__xludf.DUMMYFUNCTION("""COMPUTED_VALUE"""),1)</f>
        <v>1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IFERROR(__xludf.DUMMYFUNCTION("""COMPUTED_VALUE"""),"TIP (6 Expts)")</f>
        <v>TIP (6 Expts)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IFERROR(__xludf.DUMMYFUNCTION("""COMPUTED_VALUE"""),"CS1422")</f>
        <v>CS1422</v>
      </c>
      <c r="E140" s="26" t="str">
        <f>IFERROR(__xludf.DUMMYFUNCTION("""COMPUTED_VALUE"""),"19CS422")</f>
        <v>19CS422</v>
      </c>
      <c r="F140" s="27" t="str">
        <f>IFERROR(__xludf.DUMMYFUNCTION("""COMPUTED_VALUE"""),"Security for IoT Systems")</f>
        <v>Security for IoT Systems</v>
      </c>
      <c r="G140" s="26" t="str">
        <f>IFERROR(__xludf.DUMMYFUNCTION("""COMPUTED_VALUE"""),"-")</f>
        <v>-</v>
      </c>
      <c r="H140" s="26">
        <f>IFERROR(__xludf.DUMMYFUNCTION("""COMPUTED_VALUE"""),3)</f>
        <v>3</v>
      </c>
      <c r="I140" s="26">
        <f>IFERROR(__xludf.DUMMYFUNCTION("""COMPUTED_VALUE"""),0)</f>
        <v>0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IFERROR(__xludf.DUMMYFUNCTION("""COMPUTED_VALUE"""),"Theory")</f>
        <v>Theory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IFERROR(__xludf.DUMMYFUNCTION("""COMPUTED_VALUE"""),"CS1502")</f>
        <v>CS1502</v>
      </c>
      <c r="E141" s="26" t="str">
        <f>IFERROR(__xludf.DUMMYFUNCTION("""COMPUTED_VALUE"""),"19CS502")</f>
        <v>19CS502</v>
      </c>
      <c r="F141" s="27" t="str">
        <f>IFERROR(__xludf.DUMMYFUNCTION("""COMPUTED_VALUE"""),"Computer Graphics and Multimedia")</f>
        <v>Computer Graphics and Multimedia</v>
      </c>
      <c r="G141" s="26" t="str">
        <f>IFERROR(__xludf.DUMMYFUNCTION("""COMPUTED_VALUE"""),"19CS401")</f>
        <v>19CS401</v>
      </c>
      <c r="H141" s="26">
        <f>IFERROR(__xludf.DUMMYFUNCTION("""COMPUTED_VALUE"""),3)</f>
        <v>3</v>
      </c>
      <c r="I141" s="26">
        <f>IFERROR(__xludf.DUMMYFUNCTION("""COMPUTED_VALUE"""),0)</f>
        <v>0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IFERROR(__xludf.DUMMYFUNCTION("""COMPUTED_VALUE"""),"Theory")</f>
        <v>Theory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IFERROR(__xludf.DUMMYFUNCTION("""COMPUTED_VALUE"""),"CS1503")</f>
        <v>CS1503</v>
      </c>
      <c r="E142" s="26" t="str">
        <f>IFERROR(__xludf.DUMMYFUNCTION("""COMPUTED_VALUE"""),"19CS503")</f>
        <v>19CS503</v>
      </c>
      <c r="F142" s="27" t="str">
        <f>IFERROR(__xludf.DUMMYFUNCTION("""COMPUTED_VALUE"""),"Developing Web Application in .Net")</f>
        <v>Developing Web Application in .Net</v>
      </c>
      <c r="G142" s="26" t="str">
        <f>IFERROR(__xludf.DUMMYFUNCTION("""COMPUTED_VALUE"""),"19CS404/19CS410")</f>
        <v>19CS404/19CS410</v>
      </c>
      <c r="H142" s="26">
        <f>IFERROR(__xludf.DUMMYFUNCTION("""COMPUTED_VALUE"""),3)</f>
        <v>3</v>
      </c>
      <c r="I142" s="26">
        <f>IFERROR(__xludf.DUMMYFUNCTION("""COMPUTED_VALUE"""),0)</f>
        <v>0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IFERROR(__xludf.DUMMYFUNCTION("""COMPUTED_VALUE"""),"Theory")</f>
        <v>Theory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IFERROR(__xludf.DUMMYFUNCTION("""COMPUTED_VALUE"""),"CS1504")</f>
        <v>CS1504</v>
      </c>
      <c r="E143" s="26" t="str">
        <f>IFERROR(__xludf.DUMMYFUNCTION("""COMPUTED_VALUE"""),"19CS504")</f>
        <v>19CS504</v>
      </c>
      <c r="F143" s="27" t="str">
        <f>IFERROR(__xludf.DUMMYFUNCTION("""COMPUTED_VALUE"""),"Software Project Management")</f>
        <v>Software Project Management</v>
      </c>
      <c r="G143" s="26" t="str">
        <f>IFERROR(__xludf.DUMMYFUNCTION("""COMPUTED_VALUE"""),"19CS408")</f>
        <v>19CS408</v>
      </c>
      <c r="H143" s="26">
        <f>IFERROR(__xludf.DUMMYFUNCTION("""COMPUTED_VALUE"""),3)</f>
        <v>3</v>
      </c>
      <c r="I143" s="26">
        <f>IFERROR(__xludf.DUMMYFUNCTION("""COMPUTED_VALUE"""),0)</f>
        <v>0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IFERROR(__xludf.DUMMYFUNCTION("""COMPUTED_VALUE"""),"Theory")</f>
        <v>Theory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IFERROR(__xludf.DUMMYFUNCTION("""COMPUTED_VALUE"""),"CS1505")</f>
        <v>CS1505</v>
      </c>
      <c r="E144" s="26" t="str">
        <f>IFERROR(__xludf.DUMMYFUNCTION("""COMPUTED_VALUE"""),"19CS505")</f>
        <v>19CS505</v>
      </c>
      <c r="F144" s="27" t="str">
        <f>IFERROR(__xludf.DUMMYFUNCTION("""COMPUTED_VALUE"""),"Service Oriented Architecture")</f>
        <v>Service Oriented Architecture</v>
      </c>
      <c r="G144" s="26" t="str">
        <f>IFERROR(__xludf.DUMMYFUNCTION("""COMPUTED_VALUE"""),"-")</f>
        <v>-</v>
      </c>
      <c r="H144" s="26">
        <f>IFERROR(__xludf.DUMMYFUNCTION("""COMPUTED_VALUE"""),3)</f>
        <v>3</v>
      </c>
      <c r="I144" s="26">
        <f>IFERROR(__xludf.DUMMYFUNCTION("""COMPUTED_VALUE"""),0)</f>
        <v>0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IFERROR(__xludf.DUMMYFUNCTION("""COMPUTED_VALUE"""),"CS1506")</f>
        <v>CS1506</v>
      </c>
      <c r="E145" s="26" t="str">
        <f>IFERROR(__xludf.DUMMYFUNCTION("""COMPUTED_VALUE"""),"19CS506")</f>
        <v>19CS506</v>
      </c>
      <c r="F145" s="27" t="str">
        <f>IFERROR(__xludf.DUMMYFUNCTION("""COMPUTED_VALUE"""),"Multicore Architecture")</f>
        <v>Multicore Architecture</v>
      </c>
      <c r="G145" s="26" t="str">
        <f>IFERROR(__xludf.DUMMYFUNCTION("""COMPUTED_VALUE"""),"19CS305")</f>
        <v>19CS305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IFERROR(__xludf.DUMMYFUNCTION("""COMPUTED_VALUE"""),"CS1507")</f>
        <v>CS1507</v>
      </c>
      <c r="E146" s="26" t="str">
        <f>IFERROR(__xludf.DUMMYFUNCTION("""COMPUTED_VALUE"""),"19CS507")</f>
        <v>19CS507</v>
      </c>
      <c r="F146" s="27" t="str">
        <f>IFERROR(__xludf.DUMMYFUNCTION("""COMPUTED_VALUE"""),"Human Computer Interaction")</f>
        <v>Human Computer Interaction</v>
      </c>
      <c r="G146" s="26" t="str">
        <f>IFERROR(__xludf.DUMMYFUNCTION("""COMPUTED_VALUE"""),"19CS502/19CS408")</f>
        <v>19CS502/19CS408</v>
      </c>
      <c r="H146" s="26">
        <f>IFERROR(__xludf.DUMMYFUNCTION("""COMPUTED_VALUE"""),3)</f>
        <v>3</v>
      </c>
      <c r="I146" s="26">
        <f>IFERROR(__xludf.DUMMYFUNCTION("""COMPUTED_VALUE"""),0)</f>
        <v>0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IFERROR(__xludf.DUMMYFUNCTION("""COMPUTED_VALUE"""),"CS1508")</f>
        <v>CS1508</v>
      </c>
      <c r="E147" s="26" t="str">
        <f>IFERROR(__xludf.DUMMYFUNCTION("""COMPUTED_VALUE"""),"19CS508")</f>
        <v>19CS508</v>
      </c>
      <c r="F147" s="27" t="str">
        <f>IFERROR(__xludf.DUMMYFUNCTION("""COMPUTED_VALUE"""),"Parallel and Distributed Systems")</f>
        <v>Parallel and Distributed Systems</v>
      </c>
      <c r="G147" s="26" t="str">
        <f>IFERROR(__xludf.DUMMYFUNCTION("""COMPUTED_VALUE"""),"19CS305/19CS401")</f>
        <v>19CS305/19CS401</v>
      </c>
      <c r="H147" s="26">
        <f>IFERROR(__xludf.DUMMYFUNCTION("""COMPUTED_VALUE"""),3)</f>
        <v>3</v>
      </c>
      <c r="I147" s="26">
        <f>IFERROR(__xludf.DUMMYFUNCTION("""COMPUTED_VALUE"""),0)</f>
        <v>0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IFERROR(__xludf.DUMMYFUNCTION("""COMPUTED_VALUE"""),"Theory")</f>
        <v>Theory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IFERROR(__xludf.DUMMYFUNCTION("""COMPUTED_VALUE"""),"CS1509")</f>
        <v>CS1509</v>
      </c>
      <c r="E148" s="26" t="str">
        <f>IFERROR(__xludf.DUMMYFUNCTION("""COMPUTED_VALUE"""),"19CS509")</f>
        <v>19CS509</v>
      </c>
      <c r="F148" s="27" t="str">
        <f>IFERROR(__xludf.DUMMYFUNCTION("""COMPUTED_VALUE"""),"Graph Theory and Applications")</f>
        <v>Graph Theory and Applications</v>
      </c>
      <c r="G148" s="26" t="str">
        <f>IFERROR(__xludf.DUMMYFUNCTION("""COMPUTED_VALUE"""),"19MA206")</f>
        <v>19MA206</v>
      </c>
      <c r="H148" s="26">
        <f>IFERROR(__xludf.DUMMYFUNCTION("""COMPUTED_VALUE"""),3)</f>
        <v>3</v>
      </c>
      <c r="I148" s="26">
        <f>IFERROR(__xludf.DUMMYFUNCTION("""COMPUTED_VALUE"""),0)</f>
        <v>0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IFERROR(__xludf.DUMMYFUNCTION("""COMPUTED_VALUE"""),"Theory")</f>
        <v>Theory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IFERROR(__xludf.DUMMYFUNCTION("""COMPUTED_VALUE"""),"CS1510")</f>
        <v>CS1510</v>
      </c>
      <c r="E149" s="26" t="str">
        <f>IFERROR(__xludf.DUMMYFUNCTION("""COMPUTED_VALUE"""),"19CS510")</f>
        <v>19CS510</v>
      </c>
      <c r="F149" s="27" t="str">
        <f>IFERROR(__xludf.DUMMYFUNCTION("""COMPUTED_VALUE"""),"Social Network Analysis")</f>
        <v>Social Network Analysis</v>
      </c>
      <c r="G149" s="26" t="str">
        <f>IFERROR(__xludf.DUMMYFUNCTION("""COMPUTED_VALUE"""),"19CS501/19CS413")</f>
        <v>19CS501/19CS413</v>
      </c>
      <c r="H149" s="26">
        <f>IFERROR(__xludf.DUMMYFUNCTION("""COMPUTED_VALUE"""),3)</f>
        <v>3</v>
      </c>
      <c r="I149" s="26">
        <f>IFERROR(__xludf.DUMMYFUNCTION("""COMPUTED_VALUE"""),0)</f>
        <v>0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IFERROR(__xludf.DUMMYFUNCTION("""COMPUTED_VALUE"""),"CS1511")</f>
        <v>CS1511</v>
      </c>
      <c r="E150" s="26" t="str">
        <f>IFERROR(__xludf.DUMMYFUNCTION("""COMPUTED_VALUE"""),"19CS511")</f>
        <v>19CS511</v>
      </c>
      <c r="F150" s="27" t="str">
        <f>IFERROR(__xludf.DUMMYFUNCTION("""COMPUTED_VALUE"""),"Natural Language Processing")</f>
        <v>Natural Language Processing</v>
      </c>
      <c r="G150" s="26" t="str">
        <f>IFERROR(__xludf.DUMMYFUNCTION("""COMPUTED_VALUE"""),"19MA201")</f>
        <v>19MA201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IFERROR(__xludf.DUMMYFUNCTION("""COMPUTED_VALUE"""),"CS1512")</f>
        <v>CS1512</v>
      </c>
      <c r="E151" s="26" t="str">
        <f>IFERROR(__xludf.DUMMYFUNCTION("""COMPUTED_VALUE"""),"19CS512")</f>
        <v>19CS512</v>
      </c>
      <c r="F151" s="27" t="str">
        <f>IFERROR(__xludf.DUMMYFUNCTION("""COMPUTED_VALUE"""),"Soft Computing")</f>
        <v>Soft Computing</v>
      </c>
      <c r="G151" s="26" t="str">
        <f>IFERROR(__xludf.DUMMYFUNCTION("""COMPUTED_VALUE"""),"19CS501/19AI410")</f>
        <v>19CS501/19AI410</v>
      </c>
      <c r="H151" s="26">
        <f>IFERROR(__xludf.DUMMYFUNCTION("""COMPUTED_VALUE"""),3)</f>
        <v>3</v>
      </c>
      <c r="I151" s="26">
        <f>IFERROR(__xludf.DUMMYFUNCTION("""COMPUTED_VALUE"""),0)</f>
        <v>0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IFERROR(__xludf.DUMMYFUNCTION("""COMPUTED_VALUE"""),"Theory")</f>
        <v>Theory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IFERROR(__xludf.DUMMYFUNCTION("""COMPUTED_VALUE"""),"CS1513")</f>
        <v>CS1513</v>
      </c>
      <c r="E152" s="26" t="str">
        <f>IFERROR(__xludf.DUMMYFUNCTION("""COMPUTED_VALUE"""),"19CS513")</f>
        <v>19CS513</v>
      </c>
      <c r="F152" s="27" t="str">
        <f>IFERROR(__xludf.DUMMYFUNCTION("""COMPUTED_VALUE"""),"Green Computing")</f>
        <v>Green Computing</v>
      </c>
      <c r="G152" s="26" t="str">
        <f>IFERROR(__xludf.DUMMYFUNCTION("""COMPUTED_VALUE"""),"-")</f>
        <v>-</v>
      </c>
      <c r="H152" s="26">
        <f>IFERROR(__xludf.DUMMYFUNCTION("""COMPUTED_VALUE"""),3)</f>
        <v>3</v>
      </c>
      <c r="I152" s="26">
        <f>IFERROR(__xludf.DUMMYFUNCTION("""COMPUTED_VALUE"""),0)</f>
        <v>0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IFERROR(__xludf.DUMMYFUNCTION("""COMPUTED_VALUE"""),"Theory")</f>
        <v>Theory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IFERROR(__xludf.DUMMYFUNCTION("""COMPUTED_VALUE"""),"CS1514")</f>
        <v>CS1514</v>
      </c>
      <c r="E153" s="26" t="str">
        <f>IFERROR(__xludf.DUMMYFUNCTION("""COMPUTED_VALUE"""),"19CS514")</f>
        <v>19CS514</v>
      </c>
      <c r="F153" s="27" t="str">
        <f>IFERROR(__xludf.DUMMYFUNCTION("""COMPUTED_VALUE"""),"Network Management Systems")</f>
        <v>Network Management Systems</v>
      </c>
      <c r="G153" s="26" t="str">
        <f>IFERROR(__xludf.DUMMYFUNCTION("""COMPUTED_VALUE"""),"19CS406")</f>
        <v>19CS406</v>
      </c>
      <c r="H153" s="26">
        <f>IFERROR(__xludf.DUMMYFUNCTION("""COMPUTED_VALUE"""),3)</f>
        <v>3</v>
      </c>
      <c r="I153" s="26">
        <f>IFERROR(__xludf.DUMMYFUNCTION("""COMPUTED_VALUE"""),0)</f>
        <v>0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IFERROR(__xludf.DUMMYFUNCTION("""COMPUTED_VALUE"""),"Theory")</f>
        <v>Theory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IFERROR(__xludf.DUMMYFUNCTION("""COMPUTED_VALUE"""),"CS1515")</f>
        <v>CS1515</v>
      </c>
      <c r="E154" s="26" t="str">
        <f>IFERROR(__xludf.DUMMYFUNCTION("""COMPUTED_VALUE"""),"19CS515")</f>
        <v>19CS515</v>
      </c>
      <c r="F154" s="27" t="str">
        <f>IFERROR(__xludf.DUMMYFUNCTION("""COMPUTED_VALUE"""),"Block Chain Architecture and its Use Cases")</f>
        <v>Block Chain Architecture and its Use Cases</v>
      </c>
      <c r="G154" s="26" t="str">
        <f>IFERROR(__xludf.DUMMYFUNCTION("""COMPUTED_VALUE"""),"19CS412")</f>
        <v>19CS412</v>
      </c>
      <c r="H154" s="26">
        <f>IFERROR(__xludf.DUMMYFUNCTION("""COMPUTED_VALUE"""),3)</f>
        <v>3</v>
      </c>
      <c r="I154" s="26">
        <f>IFERROR(__xludf.DUMMYFUNCTION("""COMPUTED_VALUE"""),0)</f>
        <v>0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IFERROR(__xludf.DUMMYFUNCTION("""COMPUTED_VALUE"""),"Theory")</f>
        <v>Theory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IFERROR(__xludf.DUMMYFUNCTION("""COMPUTED_VALUE"""),"CS1516")</f>
        <v>CS1516</v>
      </c>
      <c r="E155" s="26" t="str">
        <f>IFERROR(__xludf.DUMMYFUNCTION("""COMPUTED_VALUE"""),"19CS516")</f>
        <v>19CS516</v>
      </c>
      <c r="F155" s="27" t="str">
        <f>IFERROR(__xludf.DUMMYFUNCTION("""COMPUTED_VALUE"""),"Software Testing and Quality Assurance")</f>
        <v>Software Testing and Quality Assurance</v>
      </c>
      <c r="G155" s="26" t="str">
        <f>IFERROR(__xludf.DUMMYFUNCTION("""COMPUTED_VALUE"""),"-")</f>
        <v>-</v>
      </c>
      <c r="H155" s="26">
        <f>IFERROR(__xludf.DUMMYFUNCTION("""COMPUTED_VALUE"""),3)</f>
        <v>3</v>
      </c>
      <c r="I155" s="26">
        <f>IFERROR(__xludf.DUMMYFUNCTION("""COMPUTED_VALUE"""),0)</f>
        <v>0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IFERROR(__xludf.DUMMYFUNCTION("""COMPUTED_VALUE"""),"CS1517")</f>
        <v>CS1517</v>
      </c>
      <c r="E156" s="26" t="str">
        <f>IFERROR(__xludf.DUMMYFUNCTION("""COMPUTED_VALUE"""),"19CS517")</f>
        <v>19CS517</v>
      </c>
      <c r="F156" s="27" t="str">
        <f>IFERROR(__xludf.DUMMYFUNCTION("""COMPUTED_VALUE"""),"Mobile Computing")</f>
        <v>Mobile Computing</v>
      </c>
      <c r="G156" s="26" t="str">
        <f>IFERROR(__xludf.DUMMYFUNCTION("""COMPUTED_VALUE"""),"19CS406")</f>
        <v>19CS406</v>
      </c>
      <c r="H156" s="26">
        <f>IFERROR(__xludf.DUMMYFUNCTION("""COMPUTED_VALUE"""),3)</f>
        <v>3</v>
      </c>
      <c r="I156" s="26">
        <f>IFERROR(__xludf.DUMMYFUNCTION("""COMPUTED_VALUE"""),0)</f>
        <v>0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IFERROR(__xludf.DUMMYFUNCTION("""COMPUTED_VALUE"""),"CS1518")</f>
        <v>CS1518</v>
      </c>
      <c r="E157" s="26" t="str">
        <f>IFERROR(__xludf.DUMMYFUNCTION("""COMPUTED_VALUE"""),"19CS518")</f>
        <v>19CS518</v>
      </c>
      <c r="F157" s="27" t="str">
        <f>IFERROR(__xludf.DUMMYFUNCTION("""COMPUTED_VALUE"""),"Game Design and Development")</f>
        <v>Game Design and Development</v>
      </c>
      <c r="G157" s="26" t="str">
        <f>IFERROR(__xludf.DUMMYFUNCTION("""COMPUTED_VALUE"""),"19CS502")</f>
        <v>19CS502</v>
      </c>
      <c r="H157" s="26">
        <f>IFERROR(__xludf.DUMMYFUNCTION("""COMPUTED_VALUE"""),3)</f>
        <v>3</v>
      </c>
      <c r="I157" s="26">
        <f>IFERROR(__xludf.DUMMYFUNCTION("""COMPUTED_VALUE"""),0)</f>
        <v>0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IFERROR(__xludf.DUMMYFUNCTION("""COMPUTED_VALUE"""),"Theory")</f>
        <v>Theory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IFERROR(__xludf.DUMMYFUNCTION("""COMPUTED_VALUE"""),"CS1519")</f>
        <v>CS1519</v>
      </c>
      <c r="E158" s="26" t="str">
        <f>IFERROR(__xludf.DUMMYFUNCTION("""COMPUTED_VALUE"""),"19CS519")</f>
        <v>19CS519</v>
      </c>
      <c r="F158" s="27" t="str">
        <f>IFERROR(__xludf.DUMMYFUNCTION("""COMPUTED_VALUE"""),"Data Science")</f>
        <v>Data Science</v>
      </c>
      <c r="G158" s="26" t="str">
        <f>IFERROR(__xludf.DUMMYFUNCTION("""COMPUTED_VALUE"""),"19CS301/19CS501")</f>
        <v>19CS301/19CS501</v>
      </c>
      <c r="H158" s="26">
        <f>IFERROR(__xludf.DUMMYFUNCTION("""COMPUTED_VALUE"""),3)</f>
        <v>3</v>
      </c>
      <c r="I158" s="26">
        <f>IFERROR(__xludf.DUMMYFUNCTION("""COMPUTED_VALUE"""),0)</f>
        <v>0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IFERROR(__xludf.DUMMYFUNCTION("""COMPUTED_VALUE"""),"CS1520")</f>
        <v>CS1520</v>
      </c>
      <c r="E159" s="26" t="str">
        <f>IFERROR(__xludf.DUMMYFUNCTION("""COMPUTED_VALUE"""),"19CS520")</f>
        <v>19CS520</v>
      </c>
      <c r="F159" s="27" t="str">
        <f>IFERROR(__xludf.DUMMYFUNCTION("""COMPUTED_VALUE"""),"Big Data Analytics")</f>
        <v>Big Data Analytics</v>
      </c>
      <c r="G159" s="26" t="str">
        <f>IFERROR(__xludf.DUMMYFUNCTION("""COMPUTED_VALUE"""),"19CS411/19CS519")</f>
        <v>19CS411/19CS519</v>
      </c>
      <c r="H159" s="26">
        <f>IFERROR(__xludf.DUMMYFUNCTION("""COMPUTED_VALUE"""),3)</f>
        <v>3</v>
      </c>
      <c r="I159" s="26">
        <f>IFERROR(__xludf.DUMMYFUNCTION("""COMPUTED_VALUE"""),0)</f>
        <v>0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IFERROR(__xludf.DUMMYFUNCTION("""COMPUTED_VALUE"""),"Theory")</f>
        <v>Theory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IFERROR(__xludf.DUMMYFUNCTION("""COMPUTED_VALUE"""),"CS1521")</f>
        <v>CS1521</v>
      </c>
      <c r="E160" s="26" t="str">
        <f>IFERROR(__xludf.DUMMYFUNCTION("""COMPUTED_VALUE"""),"19CS521")</f>
        <v>19CS521</v>
      </c>
      <c r="F160" s="27" t="str">
        <f>IFERROR(__xludf.DUMMYFUNCTION("""COMPUTED_VALUE"""),"Data Warehousing and Data Mining")</f>
        <v>Data Warehousing and Data Mining</v>
      </c>
      <c r="G160" s="26" t="str">
        <f>IFERROR(__xludf.DUMMYFUNCTION("""COMPUTED_VALUE"""),"19CS404")</f>
        <v>19CS404</v>
      </c>
      <c r="H160" s="26">
        <f>IFERROR(__xludf.DUMMYFUNCTION("""COMPUTED_VALUE"""),3)</f>
        <v>3</v>
      </c>
      <c r="I160" s="26">
        <f>IFERROR(__xludf.DUMMYFUNCTION("""COMPUTED_VALUE"""),0)</f>
        <v>0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IFERROR(__xludf.DUMMYFUNCTION("""COMPUTED_VALUE"""),"Theory")</f>
        <v>Theory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IFERROR(__xludf.DUMMYFUNCTION("""COMPUTED_VALUE"""),"CS1522")</f>
        <v>CS1522</v>
      </c>
      <c r="E161" s="26" t="str">
        <f>IFERROR(__xludf.DUMMYFUNCTION("""COMPUTED_VALUE"""),"19CS522")</f>
        <v>19CS522</v>
      </c>
      <c r="F161" s="27" t="str">
        <f>IFERROR(__xludf.DUMMYFUNCTION("""COMPUTED_VALUE"""),"Advanced Database Management System")</f>
        <v>Advanced Database Management System</v>
      </c>
      <c r="G161" s="26" t="str">
        <f>IFERROR(__xludf.DUMMYFUNCTION("""COMPUTED_VALUE"""),"19CS404")</f>
        <v>19CS404</v>
      </c>
      <c r="H161" s="26">
        <f>IFERROR(__xludf.DUMMYFUNCTION("""COMPUTED_VALUE"""),3)</f>
        <v>3</v>
      </c>
      <c r="I161" s="26">
        <f>IFERROR(__xludf.DUMMYFUNCTION("""COMPUTED_VALUE"""),1)</f>
        <v>1</v>
      </c>
      <c r="J161" s="26">
        <f>IFERROR(__xludf.DUMMYFUNCTION("""COMPUTED_VALUE"""),4)</f>
        <v>4</v>
      </c>
      <c r="K161" s="26" t="str">
        <f>IFERROR(__xludf.DUMMYFUNCTION("""COMPUTED_VALUE"""),"CGPA")</f>
        <v>CGPA</v>
      </c>
      <c r="L161" s="26" t="str">
        <f>IFERROR(__xludf.DUMMYFUNCTION("""COMPUTED_VALUE"""),"TIP (6 Expts)")</f>
        <v>TIP (6 Expts)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IFERROR(__xludf.DUMMYFUNCTION("""COMPUTED_VALUE"""),"CS1523")</f>
        <v>CS1523</v>
      </c>
      <c r="E162" s="26" t="str">
        <f>IFERROR(__xludf.DUMMYFUNCTION("""COMPUTED_VALUE"""),"19CS523")</f>
        <v>19CS523</v>
      </c>
      <c r="F162" s="27" t="str">
        <f>IFERROR(__xludf.DUMMYFUNCTION("""COMPUTED_VALUE"""),"Information Retrieval")</f>
        <v>Information Retrieval</v>
      </c>
      <c r="G162" s="26" t="str">
        <f>IFERROR(__xludf.DUMMYFUNCTION("""COMPUTED_VALUE"""),"19AI410/ 19CS501/19CS413")</f>
        <v>19AI410/ 19CS501/19CS413</v>
      </c>
      <c r="H162" s="26">
        <f>IFERROR(__xludf.DUMMYFUNCTION("""COMPUTED_VALUE"""),3)</f>
        <v>3</v>
      </c>
      <c r="I162" s="26">
        <f>IFERROR(__xludf.DUMMYFUNCTION("""COMPUTED_VALUE"""),0)</f>
        <v>0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IFERROR(__xludf.DUMMYFUNCTION("""COMPUTED_VALUE"""),"Theory")</f>
        <v>Theory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IFERROR(__xludf.DUMMYFUNCTION("""COMPUTED_VALUE"""),"CS1524")</f>
        <v>CS1524</v>
      </c>
      <c r="E163" s="26" t="str">
        <f>IFERROR(__xludf.DUMMYFUNCTION("""COMPUTED_VALUE"""),"19CS524")</f>
        <v>19CS524</v>
      </c>
      <c r="F163" s="27" t="str">
        <f>IFERROR(__xludf.DUMMYFUNCTION("""COMPUTED_VALUE"""),"Deep Learning")</f>
        <v>Deep Learning</v>
      </c>
      <c r="G163" s="26" t="str">
        <f>IFERROR(__xludf.DUMMYFUNCTION("""COMPUTED_VALUE"""),"19CS501")</f>
        <v>19CS501</v>
      </c>
      <c r="H163" s="26">
        <f>IFERROR(__xludf.DUMMYFUNCTION("""COMPUTED_VALUE"""),3)</f>
        <v>3</v>
      </c>
      <c r="I163" s="26">
        <f>IFERROR(__xludf.DUMMYFUNCTION("""COMPUTED_VALUE"""),0)</f>
        <v>0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IFERROR(__xludf.DUMMYFUNCTION("""COMPUTED_VALUE"""),"Theory")</f>
        <v>Theory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IFERROR(__xludf.DUMMYFUNCTION("""COMPUTED_VALUE"""),"CS1526")</f>
        <v>CS1526</v>
      </c>
      <c r="E164" s="26" t="str">
        <f>IFERROR(__xludf.DUMMYFUNCTION("""COMPUTED_VALUE"""),"19CS526")</f>
        <v>19CS526</v>
      </c>
      <c r="F164" s="26" t="str">
        <f>IFERROR(__xludf.DUMMYFUNCTION("""COMPUTED_VALUE"""),"R Programming")</f>
        <v>R Programming</v>
      </c>
      <c r="G164" s="26" t="str">
        <f>IFERROR(__xludf.DUMMYFUNCTION("""COMPUTED_VALUE"""),"19CS301/19CS303")</f>
        <v>19CS301/19CS303</v>
      </c>
      <c r="H164" s="26">
        <f>IFERROR(__xludf.DUMMYFUNCTION("""COMPUTED_VALUE"""),2)</f>
        <v>2</v>
      </c>
      <c r="I164" s="26">
        <f>IFERROR(__xludf.DUMMYFUNCTION("""COMPUTED_VALUE"""),1)</f>
        <v>1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IFERROR(__xludf.DUMMYFUNCTION("""COMPUTED_VALUE"""),"TIP (6 Expts)")</f>
        <v>TIP (6 Expts)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IFERROR(__xludf.DUMMYFUNCTION("""COMPUTED_VALUE"""),"CS1528")</f>
        <v>CS1528</v>
      </c>
      <c r="E165" s="26" t="str">
        <f>IFERROR(__xludf.DUMMYFUNCTION("""COMPUTED_VALUE"""),"19CS528")</f>
        <v>19CS528</v>
      </c>
      <c r="F165" s="27" t="str">
        <f>IFERROR(__xludf.DUMMYFUNCTION("""COMPUTED_VALUE"""),"Robotics and its Applications")</f>
        <v>Robotics and its Applications</v>
      </c>
      <c r="G165" s="26" t="str">
        <f>IFERROR(__xludf.DUMMYFUNCTION("""COMPUTED_VALUE"""),"19CS302/19EC408")</f>
        <v>19CS302/19EC408</v>
      </c>
      <c r="H165" s="26">
        <f>IFERROR(__xludf.DUMMYFUNCTION("""COMPUTED_VALUE"""),3)</f>
        <v>3</v>
      </c>
      <c r="I165" s="26">
        <f>IFERROR(__xludf.DUMMYFUNCTION("""COMPUTED_VALUE"""),0)</f>
        <v>0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IFERROR(__xludf.DUMMYFUNCTION("""COMPUTED_VALUE"""),"Theory")</f>
        <v>Theory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IFERROR(__xludf.DUMMYFUNCTION("""COMPUTED_VALUE"""),"CS1529")</f>
        <v>CS1529</v>
      </c>
      <c r="E166" s="26" t="str">
        <f>IFERROR(__xludf.DUMMYFUNCTION("""COMPUTED_VALUE"""),"19CS529")</f>
        <v>19CS529</v>
      </c>
      <c r="F166" s="27" t="str">
        <f>IFERROR(__xludf.DUMMYFUNCTION("""COMPUTED_VALUE"""),"Quantum Computing")</f>
        <v>Quantum Computing</v>
      </c>
      <c r="G166" s="26" t="str">
        <f>IFERROR(__xludf.DUMMYFUNCTION("""COMPUTED_VALUE"""),"19CS301/19CS303")</f>
        <v>19CS301/19CS303</v>
      </c>
      <c r="H166" s="26">
        <f>IFERROR(__xludf.DUMMYFUNCTION("""COMPUTED_VALUE"""),3)</f>
        <v>3</v>
      </c>
      <c r="I166" s="26">
        <f>IFERROR(__xludf.DUMMYFUNCTION("""COMPUTED_VALUE"""),0)</f>
        <v>0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IFERROR(__xludf.DUMMYFUNCTION("""COMPUTED_VALUE"""),"Theory")</f>
        <v>Theory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IFERROR(__xludf.DUMMYFUNCTION("""COMPUTED_VALUE"""),"CS1530")</f>
        <v>CS1530</v>
      </c>
      <c r="E167" s="26" t="str">
        <f>IFERROR(__xludf.DUMMYFUNCTION("""COMPUTED_VALUE"""),"19CS530")</f>
        <v>19CS530</v>
      </c>
      <c r="F167" s="27" t="str">
        <f>IFERROR(__xludf.DUMMYFUNCTION("""COMPUTED_VALUE"""),"Cyber Security")</f>
        <v>Cyber Security</v>
      </c>
      <c r="G167" s="26" t="str">
        <f>IFERROR(__xludf.DUMMYFUNCTION("""COMPUTED_VALUE"""),"19CS412")</f>
        <v>19CS412</v>
      </c>
      <c r="H167" s="26">
        <f>IFERROR(__xludf.DUMMYFUNCTION("""COMPUTED_VALUE"""),3)</f>
        <v>3</v>
      </c>
      <c r="I167" s="26">
        <f>IFERROR(__xludf.DUMMYFUNCTION("""COMPUTED_VALUE"""),0)</f>
        <v>0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IFERROR(__xludf.DUMMYFUNCTION("""COMPUTED_VALUE"""),"Theory")</f>
        <v>Theory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IFERROR(__xludf.DUMMYFUNCTION("""COMPUTED_VALUE"""),"CS1531")</f>
        <v>CS1531</v>
      </c>
      <c r="E168" s="26" t="str">
        <f>IFERROR(__xludf.DUMMYFUNCTION("""COMPUTED_VALUE"""),"19CS531")</f>
        <v>19CS531</v>
      </c>
      <c r="F168" s="27" t="str">
        <f>IFERROR(__xludf.DUMMYFUNCTION("""COMPUTED_VALUE"""),"Virtual Reality")</f>
        <v>Virtual Reality</v>
      </c>
      <c r="G168" s="26" t="str">
        <f>IFERROR(__xludf.DUMMYFUNCTION("""COMPUTED_VALUE"""),"19CS401/19CS301")</f>
        <v>19CS401/19CS301</v>
      </c>
      <c r="H168" s="26">
        <f>IFERROR(__xludf.DUMMYFUNCTION("""COMPUTED_VALUE"""),3)</f>
        <v>3</v>
      </c>
      <c r="I168" s="26">
        <f>IFERROR(__xludf.DUMMYFUNCTION("""COMPUTED_VALUE"""),0)</f>
        <v>0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IFERROR(__xludf.DUMMYFUNCTION("""COMPUTED_VALUE"""),"Theory")</f>
        <v>Theory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IFERROR(__xludf.DUMMYFUNCTION("""COMPUTED_VALUE"""),"CS1532")</f>
        <v>CS1532</v>
      </c>
      <c r="E169" s="26" t="str">
        <f>IFERROR(__xludf.DUMMYFUNCTION("""COMPUTED_VALUE"""),"19CS532")</f>
        <v>19CS532</v>
      </c>
      <c r="F169" s="27" t="str">
        <f>IFERROR(__xludf.DUMMYFUNCTION("""COMPUTED_VALUE"""),"Professional Readiness for Innovation, Employability and Entrepreneurship")</f>
        <v>Professional Readiness for Innovation, Employability and Entrepreneurship</v>
      </c>
      <c r="G169" s="26" t="str">
        <f>IFERROR(__xludf.DUMMYFUNCTION("""COMPUTED_VALUE"""),"-")</f>
        <v>-</v>
      </c>
      <c r="H169" s="26">
        <f>IFERROR(__xludf.DUMMYFUNCTION("""COMPUTED_VALUE"""),0)</f>
        <v>0</v>
      </c>
      <c r="I169" s="26">
        <f>IFERROR(__xludf.DUMMYFUNCTION("""COMPUTED_VALUE"""),3)</f>
        <v>3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IFERROR(__xludf.DUMMYFUNCTION("""COMPUTED_VALUE"""),"Practical (10 Expts)")</f>
        <v>Practical (10 Expts)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IFERROR(__xludf.DUMMYFUNCTION("""COMPUTED_VALUE"""),"CS1533")</f>
        <v>CS1533</v>
      </c>
      <c r="E170" s="26" t="str">
        <f>IFERROR(__xludf.DUMMYFUNCTION("""COMPUTED_VALUE"""),"19CS533")</f>
        <v>19CS533</v>
      </c>
      <c r="F170" s="27" t="str">
        <f>IFERROR(__xludf.DUMMYFUNCTION("""COMPUTED_VALUE"""),"Information Security Intelligence and Analytics using Big Data")</f>
        <v>Information Security Intelligence and Analytics using Big Data</v>
      </c>
      <c r="G170" s="26" t="str">
        <f>IFERROR(__xludf.DUMMYFUNCTION("""COMPUTED_VALUE"""),"-")</f>
        <v>-</v>
      </c>
      <c r="H170" s="26">
        <f>IFERROR(__xludf.DUMMYFUNCTION("""COMPUTED_VALUE"""),2)</f>
        <v>2</v>
      </c>
      <c r="I170" s="26">
        <f>IFERROR(__xludf.DUMMYFUNCTION("""COMPUTED_VALUE"""),1)</f>
        <v>1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IFERROR(__xludf.DUMMYFUNCTION("""COMPUTED_VALUE"""),"TIP (6 Expts)")</f>
        <v>TIP (6 Expts)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IFERROR(__xludf.DUMMYFUNCTION("""COMPUTED_VALUE"""),"CS1534")</f>
        <v>CS1534</v>
      </c>
      <c r="E171" s="26" t="str">
        <f>IFERROR(__xludf.DUMMYFUNCTION("""COMPUTED_VALUE"""),"19CS534")</f>
        <v>19CS534</v>
      </c>
      <c r="F171" s="27" t="str">
        <f>IFERROR(__xludf.DUMMYFUNCTION("""COMPUTED_VALUE"""),"Prevention Methodology for Cybersecurity")</f>
        <v>Prevention Methodology for Cybersecurity</v>
      </c>
      <c r="G171" s="26" t="str">
        <f>IFERROR(__xludf.DUMMYFUNCTION("""COMPUTED_VALUE"""),"-")</f>
        <v>-</v>
      </c>
      <c r="H171" s="26">
        <f>IFERROR(__xludf.DUMMYFUNCTION("""COMPUTED_VALUE"""),2)</f>
        <v>2</v>
      </c>
      <c r="I171" s="26">
        <f>IFERROR(__xludf.DUMMYFUNCTION("""COMPUTED_VALUE"""),1)</f>
        <v>1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IFERROR(__xludf.DUMMYFUNCTION("""COMPUTED_VALUE"""),"TIP (6 Expts)")</f>
        <v>TIP (6 Expts)</v>
      </c>
      <c r="M171" s="26"/>
      <c r="N171" s="26"/>
      <c r="O171" s="26"/>
      <c r="P171" s="26"/>
      <c r="Q171" s="26"/>
      <c r="R171" s="26"/>
    </row>
    <row r="172" ht="13.2" spans="1:18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IFERROR(__xludf.DUMMYFUNCTION("""COMPUTED_VALUE"""),"CS1535")</f>
        <v>CS1535</v>
      </c>
      <c r="E172" s="26" t="str">
        <f>IFERROR(__xludf.DUMMYFUNCTION("""COMPUTED_VALUE"""),"19CS535")</f>
        <v>19CS535</v>
      </c>
      <c r="F172" s="27" t="str">
        <f>IFERROR(__xludf.DUMMYFUNCTION("""COMPUTED_VALUE"""),"Trusted Network Systems")</f>
        <v>Trusted Network Systems</v>
      </c>
      <c r="G172" s="26" t="str">
        <f>IFERROR(__xludf.DUMMYFUNCTION("""COMPUTED_VALUE"""),"-")</f>
        <v>-</v>
      </c>
      <c r="H172" s="26">
        <f>IFERROR(__xludf.DUMMYFUNCTION("""COMPUTED_VALUE"""),3)</f>
        <v>3</v>
      </c>
      <c r="I172" s="26">
        <f>IFERROR(__xludf.DUMMYFUNCTION("""COMPUTED_VALUE"""),0)</f>
        <v>0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IFERROR(__xludf.DUMMYFUNCTION("""COMPUTED_VALUE"""),"Theory")</f>
        <v>Theory</v>
      </c>
      <c r="M172" s="26"/>
      <c r="N172" s="26"/>
      <c r="O172" s="26"/>
      <c r="P172" s="26"/>
      <c r="Q172" s="26"/>
      <c r="R172" s="26"/>
    </row>
    <row r="173" ht="13.2" spans="1:18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IFERROR(__xludf.DUMMYFUNCTION("""COMPUTED_VALUE"""),"CS1536")</f>
        <v>CS1536</v>
      </c>
      <c r="E173" s="26" t="str">
        <f>IFERROR(__xludf.DUMMYFUNCTION("""COMPUTED_VALUE"""),"19CS536")</f>
        <v>19CS536</v>
      </c>
      <c r="F173" s="27" t="str">
        <f>IFERROR(__xludf.DUMMYFUNCTION("""COMPUTED_VALUE"""),"Firewalls and Intrusion Detection System")</f>
        <v>Firewalls and Intrusion Detection System</v>
      </c>
      <c r="G173" s="26" t="str">
        <f>IFERROR(__xludf.DUMMYFUNCTION("""COMPUTED_VALUE"""),"-")</f>
        <v>-</v>
      </c>
      <c r="H173" s="26">
        <f>IFERROR(__xludf.DUMMYFUNCTION("""COMPUTED_VALUE"""),2)</f>
        <v>2</v>
      </c>
      <c r="I173" s="26">
        <f>IFERROR(__xludf.DUMMYFUNCTION("""COMPUTED_VALUE"""),1)</f>
        <v>1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IFERROR(__xludf.DUMMYFUNCTION("""COMPUTED_VALUE"""),"TIP (6 Expts)")</f>
        <v>TIP (6 Expts)</v>
      </c>
      <c r="M173" s="26"/>
      <c r="N173" s="26"/>
      <c r="O173" s="26"/>
      <c r="P173" s="26"/>
      <c r="Q173" s="26"/>
      <c r="R173" s="26"/>
    </row>
    <row r="174" ht="13.2" spans="1:18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IFERROR(__xludf.DUMMYFUNCTION("""COMPUTED_VALUE"""),"CS1537")</f>
        <v>CS1537</v>
      </c>
      <c r="E174" s="26" t="str">
        <f>IFERROR(__xludf.DUMMYFUNCTION("""COMPUTED_VALUE"""),"19CS537")</f>
        <v>19CS537</v>
      </c>
      <c r="F174" s="27" t="str">
        <f>IFERROR(__xludf.DUMMYFUNCTION("""COMPUTED_VALUE"""),"Secure Software Engineering")</f>
        <v>Secure Software Engineering</v>
      </c>
      <c r="G174" s="26" t="str">
        <f>IFERROR(__xludf.DUMMYFUNCTION("""COMPUTED_VALUE"""),"-")</f>
        <v>-</v>
      </c>
      <c r="H174" s="26">
        <f>IFERROR(__xludf.DUMMYFUNCTION("""COMPUTED_VALUE"""),2)</f>
        <v>2</v>
      </c>
      <c r="I174" s="26">
        <f>IFERROR(__xludf.DUMMYFUNCTION("""COMPUTED_VALUE"""),1)</f>
        <v>1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IFERROR(__xludf.DUMMYFUNCTION("""COMPUTED_VALUE"""),"TIP (6 Expts)")</f>
        <v>TIP (6 Expts)</v>
      </c>
      <c r="M174" s="26"/>
      <c r="N174" s="26"/>
      <c r="O174" s="26"/>
      <c r="P174" s="26"/>
      <c r="Q174" s="26"/>
      <c r="R174" s="26"/>
    </row>
    <row r="175" ht="13.2" spans="1:18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IFERROR(__xludf.DUMMYFUNCTION("""COMPUTED_VALUE"""),"CS1538")</f>
        <v>CS1538</v>
      </c>
      <c r="E175" s="26" t="str">
        <f>IFERROR(__xludf.DUMMYFUNCTION("""COMPUTED_VALUE"""),"19CS538")</f>
        <v>19CS538</v>
      </c>
      <c r="F175" s="27" t="str">
        <f>IFERROR(__xludf.DUMMYFUNCTION("""COMPUTED_VALUE"""),"System Security")</f>
        <v>System Security</v>
      </c>
      <c r="G175" s="26" t="str">
        <f>IFERROR(__xludf.DUMMYFUNCTION("""COMPUTED_VALUE"""),"-")</f>
        <v>-</v>
      </c>
      <c r="H175" s="26">
        <f>IFERROR(__xludf.DUMMYFUNCTION("""COMPUTED_VALUE"""),3)</f>
        <v>3</v>
      </c>
      <c r="I175" s="26">
        <f>IFERROR(__xludf.DUMMYFUNCTION("""COMPUTED_VALUE"""),0)</f>
        <v>0</v>
      </c>
      <c r="J175" s="26">
        <f>IFERROR(__xludf.DUMMYFUNCTION("""COMPUTED_VALUE"""),3)</f>
        <v>3</v>
      </c>
      <c r="K175" s="26" t="str">
        <f>IFERROR(__xludf.DUMMYFUNCTION("""COMPUTED_VALUE"""),"CGPA")</f>
        <v>CGPA</v>
      </c>
      <c r="L175" s="26" t="str">
        <f>IFERROR(__xludf.DUMMYFUNCTION("""COMPUTED_VALUE"""),"Theory")</f>
        <v>Theory</v>
      </c>
      <c r="M175" s="26"/>
      <c r="N175" s="26"/>
      <c r="O175" s="26"/>
      <c r="P175" s="26"/>
      <c r="Q175" s="26"/>
      <c r="R175" s="26"/>
    </row>
    <row r="176" ht="13.2" spans="1:18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IFERROR(__xludf.DUMMYFUNCTION("""COMPUTED_VALUE"""),"CS1539")</f>
        <v>CS1539</v>
      </c>
      <c r="E176" s="26" t="str">
        <f>IFERROR(__xludf.DUMMYFUNCTION("""COMPUTED_VALUE"""),"19CS539")</f>
        <v>19CS539</v>
      </c>
      <c r="F176" s="27" t="str">
        <f>IFERROR(__xludf.DUMMYFUNCTION("""COMPUTED_VALUE"""),"Hardware Security")</f>
        <v>Hardware Security</v>
      </c>
      <c r="G176" s="26" t="str">
        <f>IFERROR(__xludf.DUMMYFUNCTION("""COMPUTED_VALUE"""),"-")</f>
        <v>-</v>
      </c>
      <c r="H176" s="26">
        <f>IFERROR(__xludf.DUMMYFUNCTION("""COMPUTED_VALUE"""),3)</f>
        <v>3</v>
      </c>
      <c r="I176" s="26">
        <f>IFERROR(__xludf.DUMMYFUNCTION("""COMPUTED_VALUE"""),0)</f>
        <v>0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IFERROR(__xludf.DUMMYFUNCTION("""COMPUTED_VALUE"""),"Theory")</f>
        <v>Theory</v>
      </c>
      <c r="M176" s="26"/>
      <c r="N176" s="26"/>
      <c r="O176" s="26"/>
      <c r="P176" s="26"/>
      <c r="Q176" s="26"/>
      <c r="R176" s="26"/>
    </row>
    <row r="177" ht="13.2" spans="1:18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IFERROR(__xludf.DUMMYFUNCTION("""COMPUTED_VALUE"""),"CS1540")</f>
        <v>CS1540</v>
      </c>
      <c r="E177" s="26" t="str">
        <f>IFERROR(__xludf.DUMMYFUNCTION("""COMPUTED_VALUE"""),"19CS540")</f>
        <v>19CS540</v>
      </c>
      <c r="F177" s="27" t="str">
        <f>IFERROR(__xludf.DUMMYFUNCTION("""COMPUTED_VALUE"""),"Fog Computing")</f>
        <v>Fog Computing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  <c r="P177" s="26"/>
      <c r="Q177" s="26"/>
      <c r="R177" s="26"/>
    </row>
    <row r="178" ht="13.2" spans="1:18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IFERROR(__xludf.DUMMYFUNCTION("""COMPUTED_VALUE"""),"#N/A")</f>
        <v>#N/A</v>
      </c>
      <c r="E178" s="26" t="str">
        <f>IFERROR(__xludf.DUMMYFUNCTION("""COMPUTED_VALUE"""),"#N/A")</f>
        <v>#N/A</v>
      </c>
      <c r="F178" s="26" t="str">
        <f>IFERROR(__xludf.DUMMYFUNCTION("""COMPUTED_VALUE"""),"#N/A")</f>
        <v>#N/A</v>
      </c>
      <c r="G178" s="26" t="str">
        <f>IFERROR(__xludf.DUMMYFUNCTION("""COMPUTED_VALUE"""),"#N/A")</f>
        <v>#N/A</v>
      </c>
      <c r="H178" s="26" t="str">
        <f>IFERROR(__xludf.DUMMYFUNCTION("""COMPUTED_VALUE"""),"#N/A")</f>
        <v>#N/A</v>
      </c>
      <c r="I178" s="26" t="str">
        <f>IFERROR(__xludf.DUMMYFUNCTION("""COMPUTED_VALUE"""),"#N/A")</f>
        <v>#N/A</v>
      </c>
      <c r="J178" s="26" t="str">
        <f>IFERROR(__xludf.DUMMYFUNCTION("""COMPUTED_VALUE"""),"#N/A")</f>
        <v>#N/A</v>
      </c>
      <c r="K178" s="26" t="str">
        <f>IFERROR(__xludf.DUMMYFUNCTION("""COMPUTED_VALUE"""),"#N/A")</f>
        <v>#N/A</v>
      </c>
      <c r="L178" s="26" t="str">
        <f>IFERROR(__xludf.DUMMYFUNCTION("""COMPUTED_VALUE"""),"#N/A")</f>
        <v>#N/A</v>
      </c>
      <c r="M178" s="26"/>
      <c r="N178" s="26"/>
      <c r="O178" s="26"/>
      <c r="P178" s="26"/>
      <c r="Q178" s="26"/>
      <c r="R178" s="26"/>
    </row>
    <row r="179" ht="13.2" spans="1:18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IFERROR(__xludf.DUMMYFUNCTION("""COMPUTED_VALUE"""),"CS1542")</f>
        <v>CS1542</v>
      </c>
      <c r="E179" s="26" t="str">
        <f>IFERROR(__xludf.DUMMYFUNCTION("""COMPUTED_VALUE"""),"19CS542")</f>
        <v>19CS542</v>
      </c>
      <c r="F179" s="27" t="str">
        <f>IFERROR(__xludf.DUMMYFUNCTION("""COMPUTED_VALUE"""),"Embedded Board Design")</f>
        <v>Embedded Board Design</v>
      </c>
      <c r="G179" s="26" t="str">
        <f>IFERROR(__xludf.DUMMYFUNCTION("""COMPUTED_VALUE"""),"-")</f>
        <v>-</v>
      </c>
      <c r="H179" s="26">
        <f>IFERROR(__xludf.DUMMYFUNCTION("""COMPUTED_VALUE"""),2)</f>
        <v>2</v>
      </c>
      <c r="I179" s="26">
        <f>IFERROR(__xludf.DUMMYFUNCTION("""COMPUTED_VALUE"""),1)</f>
        <v>1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IFERROR(__xludf.DUMMYFUNCTION("""COMPUTED_VALUE"""),"TIP (6 Expts)")</f>
        <v>TIP (6 Expts)</v>
      </c>
      <c r="M179" s="26"/>
      <c r="N179" s="26"/>
      <c r="O179" s="26"/>
      <c r="P179" s="26"/>
      <c r="Q179" s="26"/>
      <c r="R179" s="26"/>
    </row>
    <row r="180" ht="13.2" spans="1:18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IFERROR(__xludf.DUMMYFUNCTION("""COMPUTED_VALUE"""),"CS1543")</f>
        <v>CS1543</v>
      </c>
      <c r="E180" s="26" t="str">
        <f>IFERROR(__xludf.DUMMYFUNCTION("""COMPUTED_VALUE"""),"19CS543")</f>
        <v>19CS543</v>
      </c>
      <c r="F180" s="27" t="str">
        <f>IFERROR(__xludf.DUMMYFUNCTION("""COMPUTED_VALUE"""),"Embedded Board Manufacturing")</f>
        <v>Embedded Board Manufacturing</v>
      </c>
      <c r="G180" s="26" t="str">
        <f>IFERROR(__xludf.DUMMYFUNCTION("""COMPUTED_VALUE"""),"-")</f>
        <v>-</v>
      </c>
      <c r="H180" s="26">
        <f>IFERROR(__xludf.DUMMYFUNCTION("""COMPUTED_VALUE"""),2)</f>
        <v>2</v>
      </c>
      <c r="I180" s="26">
        <f>IFERROR(__xludf.DUMMYFUNCTION("""COMPUTED_VALUE"""),1)</f>
        <v>1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IFERROR(__xludf.DUMMYFUNCTION("""COMPUTED_VALUE"""),"TIP (6 Expts)")</f>
        <v>TIP (6 Expts)</v>
      </c>
      <c r="M180" s="26"/>
      <c r="N180" s="26"/>
      <c r="O180" s="26"/>
      <c r="P180" s="26"/>
      <c r="Q180" s="26"/>
      <c r="R180" s="26"/>
    </row>
    <row r="181" ht="13.2" spans="1:18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IFERROR(__xludf.DUMMYFUNCTION("""COMPUTED_VALUE"""),"CS1544")</f>
        <v>CS1544</v>
      </c>
      <c r="E181" s="26" t="str">
        <f>IFERROR(__xludf.DUMMYFUNCTION("""COMPUTED_VALUE"""),"19CS544")</f>
        <v>19CS544</v>
      </c>
      <c r="F181" s="27" t="str">
        <f>IFERROR(__xludf.DUMMYFUNCTION("""COMPUTED_VALUE"""),"Realtime Operating System")</f>
        <v>Realtime Operating System</v>
      </c>
      <c r="G181" s="26" t="str">
        <f>IFERROR(__xludf.DUMMYFUNCTION("""COMPUTED_VALUE"""),"-")</f>
        <v>-</v>
      </c>
      <c r="H181" s="26">
        <f>IFERROR(__xludf.DUMMYFUNCTION("""COMPUTED_VALUE"""),2)</f>
        <v>2</v>
      </c>
      <c r="I181" s="26">
        <f>IFERROR(__xludf.DUMMYFUNCTION("""COMPUTED_VALUE"""),1)</f>
        <v>1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IFERROR(__xludf.DUMMYFUNCTION("""COMPUTED_VALUE"""),"TIP (6 Expts)")</f>
        <v>TIP (6 Expts)</v>
      </c>
      <c r="M181" s="26"/>
      <c r="N181" s="26"/>
      <c r="O181" s="26"/>
      <c r="P181" s="26"/>
      <c r="Q181" s="26"/>
      <c r="R181" s="26"/>
    </row>
    <row r="182" ht="13.2" spans="1:18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IFERROR(__xludf.DUMMYFUNCTION("""COMPUTED_VALUE"""),"CS1545")</f>
        <v>CS1545</v>
      </c>
      <c r="E182" s="26" t="str">
        <f>IFERROR(__xludf.DUMMYFUNCTION("""COMPUTED_VALUE"""),"19CS545")</f>
        <v>19CS545</v>
      </c>
      <c r="F182" s="27" t="str">
        <f>IFERROR(__xludf.DUMMYFUNCTION("""COMPUTED_VALUE"""),"Open Source Operating System")</f>
        <v>Open Source Operating System</v>
      </c>
      <c r="G182" s="26" t="str">
        <f>IFERROR(__xludf.DUMMYFUNCTION("""COMPUTED_VALUE"""),"-")</f>
        <v>-</v>
      </c>
      <c r="H182" s="26">
        <f>IFERROR(__xludf.DUMMYFUNCTION("""COMPUTED_VALUE"""),2)</f>
        <v>2</v>
      </c>
      <c r="I182" s="26">
        <f>IFERROR(__xludf.DUMMYFUNCTION("""COMPUTED_VALUE"""),1)</f>
        <v>1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IFERROR(__xludf.DUMMYFUNCTION("""COMPUTED_VALUE"""),"TIP (6 Expts)")</f>
        <v>TIP (6 Expts)</v>
      </c>
      <c r="M182" s="26"/>
      <c r="N182" s="26"/>
      <c r="O182" s="26"/>
      <c r="P182" s="26"/>
      <c r="Q182" s="26"/>
      <c r="R182" s="26"/>
    </row>
    <row r="183" ht="13.2" spans="1:18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IFERROR(__xludf.DUMMYFUNCTION("""COMPUTED_VALUE"""),"CS1546")</f>
        <v>CS1546</v>
      </c>
      <c r="E183" s="26" t="str">
        <f>IFERROR(__xludf.DUMMYFUNCTION("""COMPUTED_VALUE"""),"19CS546")</f>
        <v>19CS546</v>
      </c>
      <c r="F183" s="27" t="str">
        <f>IFERROR(__xludf.DUMMYFUNCTION("""COMPUTED_VALUE"""),"Kernel Programming")</f>
        <v>Kernel Programming</v>
      </c>
      <c r="G183" s="26" t="str">
        <f>IFERROR(__xludf.DUMMYFUNCTION("""COMPUTED_VALUE"""),"-")</f>
        <v>-</v>
      </c>
      <c r="H183" s="26">
        <f>IFERROR(__xludf.DUMMYFUNCTION("""COMPUTED_VALUE"""),2)</f>
        <v>2</v>
      </c>
      <c r="I183" s="26">
        <f>IFERROR(__xludf.DUMMYFUNCTION("""COMPUTED_VALUE"""),1)</f>
        <v>1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IFERROR(__xludf.DUMMYFUNCTION("""COMPUTED_VALUE"""),"TIP (6 Expts)")</f>
        <v>TIP (6 Expts)</v>
      </c>
      <c r="M183" s="26"/>
      <c r="N183" s="26"/>
      <c r="O183" s="26"/>
      <c r="P183" s="26"/>
      <c r="Q183" s="26"/>
      <c r="R183" s="26"/>
    </row>
    <row r="184" ht="13.2" spans="1:18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IFERROR(__xludf.DUMMYFUNCTION("""COMPUTED_VALUE"""),"CS1547")</f>
        <v>CS1547</v>
      </c>
      <c r="E184" s="26" t="str">
        <f>IFERROR(__xludf.DUMMYFUNCTION("""COMPUTED_VALUE"""),"19CS547")</f>
        <v>19CS547</v>
      </c>
      <c r="F184" s="27" t="str">
        <f>IFERROR(__xludf.DUMMYFUNCTION("""COMPUTED_VALUE"""),"Fundamentals of Cryptocurrency")</f>
        <v>Fundamentals of Cryptocurrency</v>
      </c>
      <c r="G184" s="26" t="str">
        <f>IFERROR(__xludf.DUMMYFUNCTION("""COMPUTED_VALUE"""),"-")</f>
        <v>-</v>
      </c>
      <c r="H184" s="26">
        <f>IFERROR(__xludf.DUMMYFUNCTION("""COMPUTED_VALUE"""),3)</f>
        <v>3</v>
      </c>
      <c r="I184" s="26">
        <f>IFERROR(__xludf.DUMMYFUNCTION("""COMPUTED_VALUE"""),0)</f>
        <v>0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IFERROR(__xludf.DUMMYFUNCTION("""COMPUTED_VALUE"""),"Theory")</f>
        <v>Theory</v>
      </c>
      <c r="M184" s="26"/>
      <c r="N184" s="26"/>
      <c r="O184" s="26"/>
      <c r="P184" s="26"/>
      <c r="Q184" s="26"/>
      <c r="R184" s="26"/>
    </row>
    <row r="185" ht="13.2" spans="1:18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IFERROR(__xludf.DUMMYFUNCTION("""COMPUTED_VALUE"""),"CS1548")</f>
        <v>CS1548</v>
      </c>
      <c r="E185" s="26" t="str">
        <f>IFERROR(__xludf.DUMMYFUNCTION("""COMPUTED_VALUE"""),"19CS548")</f>
        <v>19CS548</v>
      </c>
      <c r="F185" s="27" t="str">
        <f>IFERROR(__xludf.DUMMYFUNCTION("""COMPUTED_VALUE"""),"Cloud Services Management")</f>
        <v>Cloud Services Management</v>
      </c>
      <c r="G185" s="26" t="str">
        <f>IFERROR(__xludf.DUMMYFUNCTION("""COMPUTED_VALUE"""),"-")</f>
        <v>-</v>
      </c>
      <c r="H185" s="26">
        <f>IFERROR(__xludf.DUMMYFUNCTION("""COMPUTED_VALUE"""),2)</f>
        <v>2</v>
      </c>
      <c r="I185" s="26">
        <f>IFERROR(__xludf.DUMMYFUNCTION("""COMPUTED_VALUE"""),1)</f>
        <v>1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IFERROR(__xludf.DUMMYFUNCTION("""COMPUTED_VALUE"""),"TIP (6 Expts)")</f>
        <v>TIP (6 Expts)</v>
      </c>
      <c r="M185" s="26"/>
      <c r="N185" s="26"/>
      <c r="O185" s="26"/>
      <c r="P185" s="26"/>
      <c r="Q185" s="26"/>
      <c r="R185" s="26"/>
    </row>
    <row r="186" ht="13.2" spans="1:18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IFERROR(__xludf.DUMMYFUNCTION("""COMPUTED_VALUE"""),"CS1549")</f>
        <v>CS1549</v>
      </c>
      <c r="E186" s="26" t="str">
        <f>IFERROR(__xludf.DUMMYFUNCTION("""COMPUTED_VALUE"""),"19CS549")</f>
        <v>19CS549</v>
      </c>
      <c r="F186" s="27" t="str">
        <f>IFERROR(__xludf.DUMMYFUNCTION("""COMPUTED_VALUE"""),"UI and UX Design")</f>
        <v>UI and UX Design</v>
      </c>
      <c r="G186" s="26" t="str">
        <f>IFERROR(__xludf.DUMMYFUNCTION("""COMPUTED_VALUE"""),"-")</f>
        <v>-</v>
      </c>
      <c r="H186" s="26">
        <f>IFERROR(__xludf.DUMMYFUNCTION("""COMPUTED_VALUE"""),2)</f>
        <v>2</v>
      </c>
      <c r="I186" s="26">
        <f>IFERROR(__xludf.DUMMYFUNCTION("""COMPUTED_VALUE"""),1)</f>
        <v>1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IFERROR(__xludf.DUMMYFUNCTION("""COMPUTED_VALUE"""),"TIP (6 Expts)")</f>
        <v>TIP (6 Expts)</v>
      </c>
      <c r="M186" s="26"/>
      <c r="N186" s="26"/>
      <c r="O186" s="26"/>
      <c r="P186" s="26"/>
      <c r="Q186" s="26"/>
      <c r="R186" s="26"/>
    </row>
    <row r="187" ht="13.2" spans="1:18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IFERROR(__xludf.DUMMYFUNCTION("""COMPUTED_VALUE"""),"CS1550")</f>
        <v>CS1550</v>
      </c>
      <c r="E187" s="26" t="str">
        <f>IFERROR(__xludf.DUMMYFUNCTION("""COMPUTED_VALUE"""),"19CS550")</f>
        <v>19CS550</v>
      </c>
      <c r="F187" s="26" t="str">
        <f>IFERROR(__xludf.DUMMYFUNCTION("""COMPUTED_VALUE"""),"AI and Ethics")</f>
        <v>AI and Ethics</v>
      </c>
      <c r="G187" s="26" t="str">
        <f>IFERROR(__xludf.DUMMYFUNCTION("""COMPUTED_VALUE"""),"-")</f>
        <v>-</v>
      </c>
      <c r="H187" s="26">
        <f>IFERROR(__xludf.DUMMYFUNCTION("""COMPUTED_VALUE"""),3)</f>
        <v>3</v>
      </c>
      <c r="I187" s="26">
        <f>IFERROR(__xludf.DUMMYFUNCTION("""COMPUTED_VALUE"""),0)</f>
        <v>0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IFERROR(__xludf.DUMMYFUNCTION("""COMPUTED_VALUE"""),"Theory")</f>
        <v>Theory</v>
      </c>
      <c r="M187" s="26"/>
      <c r="N187" s="26"/>
      <c r="O187" s="26"/>
      <c r="P187" s="26"/>
      <c r="Q187" s="26"/>
      <c r="R187" s="26"/>
    </row>
    <row r="188" ht="13.2" spans="1:18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IFERROR(__xludf.DUMMYFUNCTION("""COMPUTED_VALUE"""),"CS1551")</f>
        <v>CS1551</v>
      </c>
      <c r="E188" s="26" t="str">
        <f>IFERROR(__xludf.DUMMYFUNCTION("""COMPUTED_VALUE"""),"19CS551")</f>
        <v>19CS551</v>
      </c>
      <c r="F188" s="27" t="str">
        <f>IFERROR(__xludf.DUMMYFUNCTION("""COMPUTED_VALUE"""),"Software Testing and Automation")</f>
        <v>Software Testing and Automation</v>
      </c>
      <c r="G188" s="26" t="str">
        <f>IFERROR(__xludf.DUMMYFUNCTION("""COMPUTED_VALUE"""),"-")</f>
        <v>-</v>
      </c>
      <c r="H188" s="26">
        <f>IFERROR(__xludf.DUMMYFUNCTION("""COMPUTED_VALUE"""),2)</f>
        <v>2</v>
      </c>
      <c r="I188" s="26">
        <f>IFERROR(__xludf.DUMMYFUNCTION("""COMPUTED_VALUE"""),1)</f>
        <v>1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  <c r="P188" s="26"/>
      <c r="Q188" s="26"/>
      <c r="R188" s="26"/>
    </row>
    <row r="189" ht="13.2" spans="1:18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IFERROR(__xludf.DUMMYFUNCTION("""COMPUTED_VALUE"""),"CS1552")</f>
        <v>CS1552</v>
      </c>
      <c r="E189" s="26" t="str">
        <f>IFERROR(__xludf.DUMMYFUNCTION("""COMPUTED_VALUE"""),"19CS552")</f>
        <v>19CS552</v>
      </c>
      <c r="F189" s="27" t="str">
        <f>IFERROR(__xludf.DUMMYFUNCTION("""COMPUTED_VALUE"""),"DevOps")</f>
        <v>DevOps</v>
      </c>
      <c r="G189" s="26" t="str">
        <f>IFERROR(__xludf.DUMMYFUNCTION("""COMPUTED_VALUE"""),"-")</f>
        <v>-</v>
      </c>
      <c r="H189" s="26">
        <f>IFERROR(__xludf.DUMMYFUNCTION("""COMPUTED_VALUE"""),2)</f>
        <v>2</v>
      </c>
      <c r="I189" s="26">
        <f>IFERROR(__xludf.DUMMYFUNCTION("""COMPUTED_VALUE"""),1)</f>
        <v>1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IFERROR(__xludf.DUMMYFUNCTION("""COMPUTED_VALUE"""),"TIP (6 Expts)")</f>
        <v>TIP (6 Expts)</v>
      </c>
      <c r="M189" s="26"/>
      <c r="N189" s="26"/>
      <c r="O189" s="26"/>
      <c r="P189" s="26"/>
      <c r="Q189" s="26"/>
      <c r="R189" s="26"/>
    </row>
    <row r="190" ht="13.2" spans="1:18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IFERROR(__xludf.DUMMYFUNCTION("""COMPUTED_VALUE"""),"CS1553")</f>
        <v>CS1553</v>
      </c>
      <c r="E190" s="26" t="str">
        <f>IFERROR(__xludf.DUMMYFUNCTION("""COMPUTED_VALUE"""),"19CS553")</f>
        <v>19CS553</v>
      </c>
      <c r="F190" s="27" t="str">
        <f>IFERROR(__xludf.DUMMYFUNCTION("""COMPUTED_VALUE"""),"Web Application Security")</f>
        <v>Web Application Security</v>
      </c>
      <c r="G190" s="26" t="str">
        <f>IFERROR(__xludf.DUMMYFUNCTION("""COMPUTED_VALUE"""),"-")</f>
        <v>-</v>
      </c>
      <c r="H190" s="26">
        <f>IFERROR(__xludf.DUMMYFUNCTION("""COMPUTED_VALUE"""),2)</f>
        <v>2</v>
      </c>
      <c r="I190" s="26">
        <f>IFERROR(__xludf.DUMMYFUNCTION("""COMPUTED_VALUE"""),1)</f>
        <v>1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IFERROR(__xludf.DUMMYFUNCTION("""COMPUTED_VALUE"""),"TIP (6 Expts)")</f>
        <v>TIP (6 Expts)</v>
      </c>
      <c r="M190" s="26"/>
      <c r="N190" s="26"/>
      <c r="O190" s="26"/>
      <c r="P190" s="26"/>
      <c r="Q190" s="26"/>
      <c r="R190" s="26"/>
    </row>
    <row r="191" ht="13.2" spans="1:18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IFERROR(__xludf.DUMMYFUNCTION("""COMPUTED_VALUE"""),"CS1554")</f>
        <v>CS1554</v>
      </c>
      <c r="E191" s="26" t="str">
        <f>IFERROR(__xludf.DUMMYFUNCTION("""COMPUTED_VALUE"""),"19CS554")</f>
        <v>19CS554</v>
      </c>
      <c r="F191" s="26" t="str">
        <f>IFERROR(__xludf.DUMMYFUNCTION("""COMPUTED_VALUE"""),"Stream Processing")</f>
        <v>Stream Processing</v>
      </c>
      <c r="G191" s="26" t="str">
        <f>IFERROR(__xludf.DUMMYFUNCTION("""COMPUTED_VALUE"""),"-")</f>
        <v>-</v>
      </c>
      <c r="H191" s="26">
        <f>IFERROR(__xludf.DUMMYFUNCTION("""COMPUTED_VALUE"""),2)</f>
        <v>2</v>
      </c>
      <c r="I191" s="26">
        <f>IFERROR(__xludf.DUMMYFUNCTION("""COMPUTED_VALUE"""),1)</f>
        <v>1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IFERROR(__xludf.DUMMYFUNCTION("""COMPUTED_VALUE"""),"TIP (6 Expts)")</f>
        <v>TIP (6 Expts)</v>
      </c>
      <c r="M191" s="26"/>
      <c r="N191" s="26"/>
      <c r="O191" s="26"/>
      <c r="P191" s="26"/>
      <c r="Q191" s="26"/>
      <c r="R191" s="26"/>
    </row>
    <row r="192" ht="13.2" spans="1:18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IFERROR(__xludf.DUMMYFUNCTION("""COMPUTED_VALUE"""),"CS1557")</f>
        <v>CS1557</v>
      </c>
      <c r="E192" s="26" t="str">
        <f>IFERROR(__xludf.DUMMYFUNCTION("""COMPUTED_VALUE"""),"19CS557")</f>
        <v>19CS557</v>
      </c>
      <c r="F192" s="26" t="str">
        <f>IFERROR(__xludf.DUMMYFUNCTION("""COMPUTED_VALUE"""),"Software Defined Networks")</f>
        <v>Software Defined Networks</v>
      </c>
      <c r="G192" s="26" t="str">
        <f>IFERROR(__xludf.DUMMYFUNCTION("""COMPUTED_VALUE"""),"-")</f>
        <v>-</v>
      </c>
      <c r="H192" s="26">
        <f>IFERROR(__xludf.DUMMYFUNCTION("""COMPUTED_VALUE"""),2)</f>
        <v>2</v>
      </c>
      <c r="I192" s="26">
        <f>IFERROR(__xludf.DUMMYFUNCTION("""COMPUTED_VALUE"""),1)</f>
        <v>1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IFERROR(__xludf.DUMMYFUNCTION("""COMPUTED_VALUE"""),"TIP (6 Expts)")</f>
        <v>TIP (6 Expts)</v>
      </c>
      <c r="M192" s="26"/>
      <c r="N192" s="26"/>
      <c r="O192" s="26"/>
      <c r="P192" s="26"/>
      <c r="Q192" s="26"/>
      <c r="R192" s="26"/>
    </row>
    <row r="193" ht="13.2" spans="1:18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IFERROR(__xludf.DUMMYFUNCTION("""COMPUTED_VALUE"""),"CS1556")</f>
        <v>CS1556</v>
      </c>
      <c r="E193" s="26" t="str">
        <f>IFERROR(__xludf.DUMMYFUNCTION("""COMPUTED_VALUE"""),"19CS556")</f>
        <v>19CS556</v>
      </c>
      <c r="F193" s="27" t="str">
        <f>IFERROR(__xludf.DUMMYFUNCTION("""COMPUTED_VALUE"""),"Core Computing Concepts")</f>
        <v>Core Computing Concepts</v>
      </c>
      <c r="G193" s="26" t="str">
        <f>IFERROR(__xludf.DUMMYFUNCTION("""COMPUTED_VALUE"""),"-")</f>
        <v>-</v>
      </c>
      <c r="H193" s="26">
        <f>IFERROR(__xludf.DUMMYFUNCTION("""COMPUTED_VALUE"""),2)</f>
        <v>2</v>
      </c>
      <c r="I193" s="26">
        <f>IFERROR(__xludf.DUMMYFUNCTION("""COMPUTED_VALUE"""),1)</f>
        <v>1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  <c r="P193" s="26"/>
      <c r="Q193" s="26"/>
      <c r="R193" s="26"/>
    </row>
    <row r="194" ht="13.2" spans="1:18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IFERROR(__xludf.DUMMYFUNCTION("""COMPUTED_VALUE"""),"CS1558")</f>
        <v>CS1558</v>
      </c>
      <c r="E194" s="26" t="str">
        <f>IFERROR(__xludf.DUMMYFUNCTION("""COMPUTED_VALUE"""),"19CS558")</f>
        <v>19CS558</v>
      </c>
      <c r="F194" s="26" t="str">
        <f>IFERROR(__xludf.DUMMYFUNCTION("""COMPUTED_VALUE"""),"Data Privacy and Protection")</f>
        <v>Data Privacy and Protection</v>
      </c>
      <c r="G194" s="26" t="str">
        <f>IFERROR(__xludf.DUMMYFUNCTION("""COMPUTED_VALUE"""),"-")</f>
        <v>-</v>
      </c>
      <c r="H194" s="26">
        <f>IFERROR(__xludf.DUMMYFUNCTION("""COMPUTED_VALUE"""),2)</f>
        <v>2</v>
      </c>
      <c r="I194" s="26">
        <f>IFERROR(__xludf.DUMMYFUNCTION("""COMPUTED_VALUE"""),1)</f>
        <v>1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  <c r="P194" s="26"/>
      <c r="Q194" s="26"/>
      <c r="R194" s="26"/>
    </row>
    <row r="195" ht="13.2" spans="1:18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IFERROR(__xludf.DUMMYFUNCTION("""COMPUTED_VALUE"""),"CS1559")</f>
        <v>CS1559</v>
      </c>
      <c r="E195" s="26" t="str">
        <f>IFERROR(__xludf.DUMMYFUNCTION("""COMPUTED_VALUE"""),"19CS559")</f>
        <v>19CS559</v>
      </c>
      <c r="F195" s="26" t="str">
        <f>IFERROR(__xludf.DUMMYFUNCTION("""COMPUTED_VALUE"""),"Blockchain Platforms and Its Use Cases")</f>
        <v>Blockchain Platforms and Its Use Cases</v>
      </c>
      <c r="G195" s="26" t="str">
        <f>IFERROR(__xludf.DUMMYFUNCTION("""COMPUTED_VALUE"""),"-")</f>
        <v>-</v>
      </c>
      <c r="H195" s="26">
        <f>IFERROR(__xludf.DUMMYFUNCTION("""COMPUTED_VALUE"""),2)</f>
        <v>2</v>
      </c>
      <c r="I195" s="26">
        <f>IFERROR(__xludf.DUMMYFUNCTION("""COMPUTED_VALUE"""),1)</f>
        <v>1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IFERROR(__xludf.DUMMYFUNCTION("""COMPUTED_VALUE"""),"TIP (6 Expts)")</f>
        <v>TIP (6 Expts)</v>
      </c>
      <c r="M195" s="26"/>
      <c r="N195" s="26"/>
      <c r="O195" s="26"/>
      <c r="P195" s="26"/>
      <c r="Q195" s="26"/>
      <c r="R195" s="26"/>
    </row>
    <row r="196" ht="13.2" spans="1:18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IFERROR(__xludf.DUMMYFUNCTION("""COMPUTED_VALUE"""),"CS1560")</f>
        <v>CS1560</v>
      </c>
      <c r="E196" s="26" t="str">
        <f>IFERROR(__xludf.DUMMYFUNCTION("""COMPUTED_VALUE"""),"19CS560")</f>
        <v>19CS560</v>
      </c>
      <c r="F196" s="26" t="str">
        <f>IFERROR(__xludf.DUMMYFUNCTION("""COMPUTED_VALUE"""),"Smart Contract and Solidity")</f>
        <v>Smart Contract and Solidity</v>
      </c>
      <c r="G196" s="26" t="str">
        <f>IFERROR(__xludf.DUMMYFUNCTION("""COMPUTED_VALUE"""),"-")</f>
        <v>-</v>
      </c>
      <c r="H196" s="26">
        <f>IFERROR(__xludf.DUMMYFUNCTION("""COMPUTED_VALUE"""),2)</f>
        <v>2</v>
      </c>
      <c r="I196" s="26">
        <f>IFERROR(__xludf.DUMMYFUNCTION("""COMPUTED_VALUE"""),1)</f>
        <v>1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IFERROR(__xludf.DUMMYFUNCTION("""COMPUTED_VALUE"""),"TIP (6 Expts)")</f>
        <v>TIP (6 Expts)</v>
      </c>
      <c r="M196" s="26"/>
      <c r="N196" s="26"/>
      <c r="O196" s="26"/>
      <c r="P196" s="26"/>
      <c r="Q196" s="26"/>
      <c r="R196" s="26"/>
    </row>
    <row r="197" ht="13.2" spans="1:18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IFERROR(__xludf.DUMMYFUNCTION("""COMPUTED_VALUE"""),"CS1561")</f>
        <v>CS1561</v>
      </c>
      <c r="E197" s="26" t="str">
        <f>IFERROR(__xludf.DUMMYFUNCTION("""COMPUTED_VALUE"""),"19CS561")</f>
        <v>19CS561</v>
      </c>
      <c r="F197" s="26" t="str">
        <f>IFERROR(__xludf.DUMMYFUNCTION("""COMPUTED_VALUE"""),"Blockchain and Fintech")</f>
        <v>Blockchain and Fintech</v>
      </c>
      <c r="G197" s="26" t="str">
        <f>IFERROR(__xludf.DUMMYFUNCTION("""COMPUTED_VALUE"""),"-")</f>
        <v>-</v>
      </c>
      <c r="H197" s="26">
        <f>IFERROR(__xludf.DUMMYFUNCTION("""COMPUTED_VALUE"""),2)</f>
        <v>2</v>
      </c>
      <c r="I197" s="26">
        <f>IFERROR(__xludf.DUMMYFUNCTION("""COMPUTED_VALUE"""),1)</f>
        <v>1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IFERROR(__xludf.DUMMYFUNCTION("""COMPUTED_VALUE"""),"TIP (6 Expts)")</f>
        <v>TIP (6 Expts)</v>
      </c>
      <c r="M197" s="26"/>
      <c r="N197" s="26"/>
      <c r="O197" s="26"/>
      <c r="P197" s="26"/>
      <c r="Q197" s="26"/>
      <c r="R197" s="26"/>
    </row>
    <row r="198" ht="13.2" spans="1:18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IFERROR(__xludf.DUMMYFUNCTION("""COMPUTED_VALUE"""),"CS1562")</f>
        <v>CS1562</v>
      </c>
      <c r="E198" s="26" t="str">
        <f>IFERROR(__xludf.DUMMYFUNCTION("""COMPUTED_VALUE"""),"19CS562")</f>
        <v>19CS562</v>
      </c>
      <c r="F198" s="26" t="str">
        <f>IFERROR(__xludf.DUMMYFUNCTION("""COMPUTED_VALUE"""),"Public Key Infrastructure and Trust Management")</f>
        <v>Public Key Infrastructure and Trust Management</v>
      </c>
      <c r="G198" s="26" t="str">
        <f>IFERROR(__xludf.DUMMYFUNCTION("""COMPUTED_VALUE"""),"-")</f>
        <v>-</v>
      </c>
      <c r="H198" s="26">
        <f>IFERROR(__xludf.DUMMYFUNCTION("""COMPUTED_VALUE"""),2)</f>
        <v>2</v>
      </c>
      <c r="I198" s="26">
        <f>IFERROR(__xludf.DUMMYFUNCTION("""COMPUTED_VALUE"""),1)</f>
        <v>1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IFERROR(__xludf.DUMMYFUNCTION("""COMPUTED_VALUE"""),"TIP (6 Expts)")</f>
        <v>TIP (6 Expts)</v>
      </c>
      <c r="M198" s="26"/>
      <c r="N198" s="26"/>
      <c r="O198" s="26"/>
      <c r="P198" s="26"/>
      <c r="Q198" s="26"/>
      <c r="R198" s="26"/>
    </row>
    <row r="199" ht="13.2" spans="1:18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IFERROR(__xludf.DUMMYFUNCTION("""COMPUTED_VALUE"""),"CS1563")</f>
        <v>CS1563</v>
      </c>
      <c r="E199" s="26" t="str">
        <f>IFERROR(__xludf.DUMMYFUNCTION("""COMPUTED_VALUE"""),"19CS563")</f>
        <v>19CS563</v>
      </c>
      <c r="F199" s="26" t="str">
        <f>IFERROR(__xludf.DUMMYFUNCTION("""COMPUTED_VALUE"""),"Bitcoin Mining")</f>
        <v>Bitcoin Mining</v>
      </c>
      <c r="G199" s="26" t="str">
        <f>IFERROR(__xludf.DUMMYFUNCTION("""COMPUTED_VALUE"""),"-")</f>
        <v>-</v>
      </c>
      <c r="H199" s="26">
        <f>IFERROR(__xludf.DUMMYFUNCTION("""COMPUTED_VALUE"""),2)</f>
        <v>2</v>
      </c>
      <c r="I199" s="26">
        <f>IFERROR(__xludf.DUMMYFUNCTION("""COMPUTED_VALUE"""),1)</f>
        <v>1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IFERROR(__xludf.DUMMYFUNCTION("""COMPUTED_VALUE"""),"TIP (6 Expts)")</f>
        <v>TIP (6 Expts)</v>
      </c>
      <c r="M199" s="26"/>
      <c r="N199" s="26"/>
      <c r="O199" s="26"/>
      <c r="P199" s="26"/>
      <c r="Q199" s="26"/>
      <c r="R199" s="26"/>
    </row>
    <row r="200" ht="13.2" spans="1:18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IFERROR(__xludf.DUMMYFUNCTION("""COMPUTED_VALUE"""),"CS1565")</f>
        <v>CS1565</v>
      </c>
      <c r="E200" s="26" t="str">
        <f>IFERROR(__xludf.DUMMYFUNCTION("""COMPUTED_VALUE"""),"19CS565")</f>
        <v>19CS565</v>
      </c>
      <c r="F200" s="27" t="str">
        <f>IFERROR(__xludf.DUMMYFUNCTION("""COMPUTED_VALUE"""),"Robotic Process Automation")</f>
        <v>Robotic Process Automation</v>
      </c>
      <c r="G200" s="26" t="str">
        <f>IFERROR(__xludf.DUMMYFUNCTION("""COMPUTED_VALUE"""),"-")</f>
        <v>-</v>
      </c>
      <c r="H200" s="26">
        <f>IFERROR(__xludf.DUMMYFUNCTION("""COMPUTED_VALUE"""),2)</f>
        <v>2</v>
      </c>
      <c r="I200" s="26">
        <f>IFERROR(__xludf.DUMMYFUNCTION("""COMPUTED_VALUE"""),1)</f>
        <v>1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IFERROR(__xludf.DUMMYFUNCTION("""COMPUTED_VALUE"""),"TIP (6 Expts)")</f>
        <v>TIP (6 Expts)</v>
      </c>
      <c r="M200" s="26"/>
      <c r="N200" s="26"/>
      <c r="O200" s="26"/>
      <c r="P200" s="26"/>
      <c r="Q200" s="26"/>
      <c r="R200" s="26"/>
    </row>
    <row r="201" ht="13.2" spans="1:18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IFERROR(__xludf.DUMMYFUNCTION("""COMPUTED_VALUE"""),"CS1566")</f>
        <v>CS1566</v>
      </c>
      <c r="E201" s="26" t="str">
        <f>IFERROR(__xludf.DUMMYFUNCTION("""COMPUTED_VALUE"""),"19CS566")</f>
        <v>19CS566</v>
      </c>
      <c r="F201" s="27" t="str">
        <f>IFERROR(__xludf.DUMMYFUNCTION("""COMPUTED_VALUE"""),"Software Project Management and Version Control")</f>
        <v>Software Project Management and Version Control</v>
      </c>
      <c r="G201" s="26" t="str">
        <f>IFERROR(__xludf.DUMMYFUNCTION("""COMPUTED_VALUE"""),"-")</f>
        <v>-</v>
      </c>
      <c r="H201" s="26">
        <f>IFERROR(__xludf.DUMMYFUNCTION("""COMPUTED_VALUE"""),3)</f>
        <v>3</v>
      </c>
      <c r="I201" s="26">
        <f>IFERROR(__xludf.DUMMYFUNCTION("""COMPUTED_VALUE"""),0)</f>
        <v>0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IFERROR(__xludf.DUMMYFUNCTION("""COMPUTED_VALUE"""),"Theory")</f>
        <v>Theory</v>
      </c>
      <c r="M201" s="26"/>
      <c r="N201" s="26"/>
      <c r="O201" s="26"/>
      <c r="P201" s="26"/>
      <c r="Q201" s="26"/>
      <c r="R201" s="26"/>
    </row>
    <row r="202" ht="13.2" spans="1:18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IFERROR(__xludf.DUMMYFUNCTION("""COMPUTED_VALUE"""),"CS1579")</f>
        <v>CS1579</v>
      </c>
      <c r="E202" s="26" t="str">
        <f>IFERROR(__xludf.DUMMYFUNCTION("""COMPUTED_VALUE"""),"19CS579")</f>
        <v>19CS579</v>
      </c>
      <c r="F202" s="27" t="str">
        <f>IFERROR(__xludf.DUMMYFUNCTION("""COMPUTED_VALUE"""),"Generative AI Application Development")</f>
        <v>Generative AI Application Development</v>
      </c>
      <c r="G202" s="26" t="str">
        <f>IFERROR(__xludf.DUMMYFUNCTION("""COMPUTED_VALUE"""),"-")</f>
        <v>-</v>
      </c>
      <c r="H202" s="26">
        <f>IFERROR(__xludf.DUMMYFUNCTION("""COMPUTED_VALUE"""),2)</f>
        <v>2</v>
      </c>
      <c r="I202" s="26">
        <f>IFERROR(__xludf.DUMMYFUNCTION("""COMPUTED_VALUE"""),1)</f>
        <v>1</v>
      </c>
      <c r="J202" s="26">
        <f>IFERROR(__xludf.DUMMYFUNCTION("""COMPUTED_VALUE"""),3)</f>
        <v>3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  <c r="P202" s="26"/>
      <c r="Q202" s="26"/>
      <c r="R202" s="26"/>
    </row>
    <row r="203" ht="13.2" spans="1:18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IFERROR(__xludf.DUMMYFUNCTION("""COMPUTED_VALUE"""),"CS1568")</f>
        <v>CS1568</v>
      </c>
      <c r="E203" s="26" t="str">
        <f>IFERROR(__xludf.DUMMYFUNCTION("""COMPUTED_VALUE"""),"19CS568")</f>
        <v>19CS568</v>
      </c>
      <c r="F203" s="27" t="str">
        <f>IFERROR(__xludf.DUMMYFUNCTION("""COMPUTED_VALUE"""),"Fine Tuning Large Language Models")</f>
        <v>Fine Tuning Large Language Models</v>
      </c>
      <c r="G203" s="26" t="str">
        <f>IFERROR(__xludf.DUMMYFUNCTION("""COMPUTED_VALUE"""),"-")</f>
        <v>-</v>
      </c>
      <c r="H203" s="26">
        <f>IFERROR(__xludf.DUMMYFUNCTION("""COMPUTED_VALUE"""),3)</f>
        <v>3</v>
      </c>
      <c r="I203" s="26">
        <f>IFERROR(__xludf.DUMMYFUNCTION("""COMPUTED_VALUE"""),0)</f>
        <v>0</v>
      </c>
      <c r="J203" s="26">
        <f>IFERROR(__xludf.DUMMYFUNCTION("""COMPUTED_VALUE"""),3)</f>
        <v>3</v>
      </c>
      <c r="K203" s="26" t="str">
        <f>IFERROR(__xludf.DUMMYFUNCTION("""COMPUTED_VALUE"""),"CGPA")</f>
        <v>CGPA</v>
      </c>
      <c r="L203" s="26" t="str">
        <f>IFERROR(__xludf.DUMMYFUNCTION("""COMPUTED_VALUE"""),"Theory")</f>
        <v>Theory</v>
      </c>
      <c r="M203" s="26"/>
      <c r="N203" s="26"/>
      <c r="O203" s="26"/>
      <c r="P203" s="26"/>
      <c r="Q203" s="26"/>
      <c r="R203" s="26"/>
    </row>
    <row r="204" ht="13.2" spans="1:18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IFERROR(__xludf.DUMMYFUNCTION("""COMPUTED_VALUE"""),"CS1569")</f>
        <v>CS1569</v>
      </c>
      <c r="E204" s="26" t="str">
        <f>IFERROR(__xludf.DUMMYFUNCTION("""COMPUTED_VALUE"""),"19CS569")</f>
        <v>19CS569</v>
      </c>
      <c r="F204" s="27" t="str">
        <f>IFERROR(__xludf.DUMMYFUNCTION("""COMPUTED_VALUE"""),"Applied Data Science")</f>
        <v>Applied Data Science</v>
      </c>
      <c r="G204" s="26" t="str">
        <f>IFERROR(__xludf.DUMMYFUNCTION("""COMPUTED_VALUE"""),"-")</f>
        <v>-</v>
      </c>
      <c r="H204" s="26">
        <f>IFERROR(__xludf.DUMMYFUNCTION("""COMPUTED_VALUE"""),2)</f>
        <v>2</v>
      </c>
      <c r="I204" s="26">
        <f>IFERROR(__xludf.DUMMYFUNCTION("""COMPUTED_VALUE"""),1)</f>
        <v>1</v>
      </c>
      <c r="J204" s="26">
        <f>IFERROR(__xludf.DUMMYFUNCTION("""COMPUTED_VALUE"""),3)</f>
        <v>3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  <c r="P204" s="26"/>
      <c r="Q204" s="26"/>
      <c r="R204" s="26"/>
    </row>
    <row r="205" ht="13.2" spans="1:18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IFERROR(__xludf.DUMMYFUNCTION("""COMPUTED_VALUE"""),"CS1570")</f>
        <v>CS1570</v>
      </c>
      <c r="E205" s="26" t="str">
        <f>IFERROR(__xludf.DUMMYFUNCTION("""COMPUTED_VALUE"""),"19CS570")</f>
        <v>19CS570</v>
      </c>
      <c r="F205" s="27" t="str">
        <f>IFERROR(__xludf.DUMMYFUNCTION("""COMPUTED_VALUE"""),"Entrepreneurship and Small Business Development")</f>
        <v>Entrepreneurship and Small Business Development</v>
      </c>
      <c r="G205" s="26" t="str">
        <f>IFERROR(__xludf.DUMMYFUNCTION("""COMPUTED_VALUE"""),"-")</f>
        <v>-</v>
      </c>
      <c r="H205" s="26">
        <f>IFERROR(__xludf.DUMMYFUNCTION("""COMPUTED_VALUE"""),2)</f>
        <v>2</v>
      </c>
      <c r="I205" s="26">
        <f>IFERROR(__xludf.DUMMYFUNCTION("""COMPUTED_VALUE"""),1)</f>
        <v>1</v>
      </c>
      <c r="J205" s="26">
        <f>IFERROR(__xludf.DUMMYFUNCTION("""COMPUTED_VALUE"""),3)</f>
        <v>3</v>
      </c>
      <c r="K205" s="26" t="str">
        <f>IFERROR(__xludf.DUMMYFUNCTION("""COMPUTED_VALUE"""),"CGPA")</f>
        <v>CGPA</v>
      </c>
      <c r="L205" s="26" t="str">
        <f>IFERROR(__xludf.DUMMYFUNCTION("""COMPUTED_VALUE"""),"TIP (6 Expts)")</f>
        <v>TIP (6 Expts)</v>
      </c>
      <c r="M205" s="26"/>
      <c r="N205" s="26"/>
      <c r="O205" s="26"/>
      <c r="P205" s="26"/>
      <c r="Q205" s="26"/>
      <c r="R205" s="26"/>
    </row>
    <row r="206" ht="13.2" spans="1:18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IFERROR(__xludf.DUMMYFUNCTION("""COMPUTED_VALUE"""),"CS1571")</f>
        <v>CS1571</v>
      </c>
      <c r="E206" s="26" t="str">
        <f>IFERROR(__xludf.DUMMYFUNCTION("""COMPUTED_VALUE"""),"19CS571")</f>
        <v>19CS571</v>
      </c>
      <c r="F206" s="27" t="str">
        <f>IFERROR(__xludf.DUMMYFUNCTION("""COMPUTED_VALUE"""),"Software Development and Operations")</f>
        <v>Software Development and Operations</v>
      </c>
      <c r="G206" s="26" t="str">
        <f>IFERROR(__xludf.DUMMYFUNCTION("""COMPUTED_VALUE"""),"-")</f>
        <v>-</v>
      </c>
      <c r="H206" s="26">
        <f>IFERROR(__xludf.DUMMYFUNCTION("""COMPUTED_VALUE"""),3)</f>
        <v>3</v>
      </c>
      <c r="I206" s="26">
        <f>IFERROR(__xludf.DUMMYFUNCTION("""COMPUTED_VALUE"""),0)</f>
        <v>0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IFERROR(__xludf.DUMMYFUNCTION("""COMPUTED_VALUE"""),"Theory")</f>
        <v>Theory</v>
      </c>
      <c r="M206" s="26"/>
      <c r="N206" s="26"/>
      <c r="O206" s="26"/>
      <c r="P206" s="26"/>
      <c r="Q206" s="26"/>
      <c r="R206" s="26"/>
    </row>
    <row r="207" ht="13.2" spans="1:18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IFERROR(__xludf.DUMMYFUNCTION("""COMPUTED_VALUE"""),"CS1572")</f>
        <v>CS1572</v>
      </c>
      <c r="E207" s="26" t="str">
        <f>IFERROR(__xludf.DUMMYFUNCTION("""COMPUTED_VALUE"""),"19CS572")</f>
        <v>19CS572</v>
      </c>
      <c r="F207" s="27" t="str">
        <f>IFERROR(__xludf.DUMMYFUNCTION("""COMPUTED_VALUE"""),"Serverless App Development")</f>
        <v>Serverless App Development</v>
      </c>
      <c r="G207" s="26" t="str">
        <f>IFERROR(__xludf.DUMMYFUNCTION("""COMPUTED_VALUE"""),"-")</f>
        <v>-</v>
      </c>
      <c r="H207" s="26">
        <f>IFERROR(__xludf.DUMMYFUNCTION("""COMPUTED_VALUE"""),3)</f>
        <v>3</v>
      </c>
      <c r="I207" s="26">
        <f>IFERROR(__xludf.DUMMYFUNCTION("""COMPUTED_VALUE"""),0)</f>
        <v>0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IFERROR(__xludf.DUMMYFUNCTION("""COMPUTED_VALUE"""),"Theory")</f>
        <v>Theory</v>
      </c>
      <c r="M207" s="26"/>
      <c r="N207" s="26"/>
      <c r="O207" s="26"/>
      <c r="P207" s="26"/>
      <c r="Q207" s="26"/>
      <c r="R207" s="26"/>
    </row>
    <row r="208" ht="13.2" spans="1:18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IFERROR(__xludf.DUMMYFUNCTION("""COMPUTED_VALUE"""),"CS1573")</f>
        <v>CS1573</v>
      </c>
      <c r="E208" s="26" t="str">
        <f>IFERROR(__xludf.DUMMYFUNCTION("""COMPUTED_VALUE"""),"19CS573")</f>
        <v>19CS573</v>
      </c>
      <c r="F208" s="27" t="str">
        <f>IFERROR(__xludf.DUMMYFUNCTION("""COMPUTED_VALUE"""),"Enterprise Cloud Architecture")</f>
        <v>Enterprise Cloud Architecture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IFERROR(__xludf.DUMMYFUNCTION("""COMPUTED_VALUE"""),0)</f>
        <v>0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  <c r="P208" s="26"/>
      <c r="Q208" s="26"/>
      <c r="R208" s="26"/>
    </row>
    <row r="209" ht="13.2" spans="1:18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IFERROR(__xludf.DUMMYFUNCTION("""COMPUTED_VALUE"""),"CS1574")</f>
        <v>CS1574</v>
      </c>
      <c r="E209" s="26" t="str">
        <f>IFERROR(__xludf.DUMMYFUNCTION("""COMPUTED_VALUE"""),"19CS574")</f>
        <v>19CS574</v>
      </c>
      <c r="F209" s="27" t="str">
        <f>IFERROR(__xludf.DUMMYFUNCTION("""COMPUTED_VALUE"""),"Advanced Class Design and Object-Oriented Techniques")</f>
        <v>Advanced Class Design and Object-Oriented Techniques</v>
      </c>
      <c r="G209" s="26" t="str">
        <f>IFERROR(__xludf.DUMMYFUNCTION("""COMPUTED_VALUE"""),"-")</f>
        <v>-</v>
      </c>
      <c r="H209" s="26">
        <f>IFERROR(__xludf.DUMMYFUNCTION("""COMPUTED_VALUE"""),3)</f>
        <v>3</v>
      </c>
      <c r="I209" s="26">
        <f>IFERROR(__xludf.DUMMYFUNCTION("""COMPUTED_VALUE"""),0)</f>
        <v>0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IFERROR(__xludf.DUMMYFUNCTION("""COMPUTED_VALUE"""),"Theory")</f>
        <v>Theory</v>
      </c>
      <c r="M209" s="26"/>
      <c r="N209" s="26"/>
      <c r="O209" s="26"/>
      <c r="P209" s="26"/>
      <c r="Q209" s="26"/>
      <c r="R209" s="26"/>
    </row>
    <row r="210" ht="13.2" spans="1:18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IFERROR(__xludf.DUMMYFUNCTION("""COMPUTED_VALUE"""),"CS1575")</f>
        <v>CS1575</v>
      </c>
      <c r="E210" s="26" t="str">
        <f>IFERROR(__xludf.DUMMYFUNCTION("""COMPUTED_VALUE"""),"19CS575")</f>
        <v>19CS575</v>
      </c>
      <c r="F210" s="27" t="str">
        <f>IFERROR(__xludf.DUMMYFUNCTION("""COMPUTED_VALUE"""),"Low-Code App Development")</f>
        <v>Low-Code App Development</v>
      </c>
      <c r="G210" s="26" t="str">
        <f>IFERROR(__xludf.DUMMYFUNCTION("""COMPUTED_VALUE"""),"-")</f>
        <v>-</v>
      </c>
      <c r="H210" s="26">
        <f>IFERROR(__xludf.DUMMYFUNCTION("""COMPUTED_VALUE"""),3)</f>
        <v>3</v>
      </c>
      <c r="I210" s="26">
        <f>IFERROR(__xludf.DUMMYFUNCTION("""COMPUTED_VALUE"""),0)</f>
        <v>0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IFERROR(__xludf.DUMMYFUNCTION("""COMPUTED_VALUE"""),"Theory")</f>
        <v>Theory</v>
      </c>
      <c r="M210" s="26"/>
      <c r="N210" s="26"/>
      <c r="O210" s="26"/>
      <c r="P210" s="26"/>
      <c r="Q210" s="26"/>
      <c r="R210" s="26"/>
    </row>
    <row r="211" ht="13.2" spans="1:18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IFERROR(__xludf.DUMMYFUNCTION("""COMPUTED_VALUE"""),"CS1577")</f>
        <v>CS1577</v>
      </c>
      <c r="E211" s="26" t="str">
        <f>IFERROR(__xludf.DUMMYFUNCTION("""COMPUTED_VALUE"""),"19CS577")</f>
        <v>19CS577</v>
      </c>
      <c r="F211" s="27" t="str">
        <f>IFERROR(__xludf.DUMMYFUNCTION("""COMPUTED_VALUE"""),"Cloud System Administration")</f>
        <v>Cloud System Administration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IFERROR(__xludf.DUMMYFUNCTION("""COMPUTED_VALUE"""),0)</f>
        <v>0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  <c r="P211" s="26"/>
      <c r="Q211" s="26"/>
      <c r="R211" s="26"/>
    </row>
    <row r="212" ht="13.2" spans="1:18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IFERROR(__xludf.DUMMYFUNCTION("""COMPUTED_VALUE"""),"CS1578")</f>
        <v>CS1578</v>
      </c>
      <c r="E212" s="26" t="str">
        <f>IFERROR(__xludf.DUMMYFUNCTION("""COMPUTED_VALUE"""),"19CS578")</f>
        <v>19CS578</v>
      </c>
      <c r="F212" s="27" t="str">
        <f>IFERROR(__xludf.DUMMYFUNCTION("""COMPUTED_VALUE"""),"Machine Learning Operations")</f>
        <v>Machine Learning Operations</v>
      </c>
      <c r="G212" s="26" t="str">
        <f>IFERROR(__xludf.DUMMYFUNCTION("""COMPUTED_VALUE"""),"-")</f>
        <v>-</v>
      </c>
      <c r="H212" s="26">
        <f>IFERROR(__xludf.DUMMYFUNCTION("""COMPUTED_VALUE"""),3)</f>
        <v>3</v>
      </c>
      <c r="I212" s="26">
        <f>IFERROR(__xludf.DUMMYFUNCTION("""COMPUTED_VALUE"""),0)</f>
        <v>0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IFERROR(__xludf.DUMMYFUNCTION("""COMPUTED_VALUE"""),"Theory")</f>
        <v>Theory</v>
      </c>
      <c r="M212" s="26"/>
      <c r="N212" s="26"/>
      <c r="O212" s="26"/>
      <c r="P212" s="26"/>
      <c r="Q212" s="26"/>
      <c r="R212" s="26"/>
    </row>
    <row r="213" ht="13.2" spans="1:18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IFERROR(__xludf.DUMMYFUNCTION("""COMPUTED_VALUE"""),"CS2406")</f>
        <v>CS2406</v>
      </c>
      <c r="E213" s="26" t="str">
        <f>IFERROR(__xludf.DUMMYFUNCTION("""COMPUTED_VALUE"""),"19IT406")</f>
        <v>19IT406</v>
      </c>
      <c r="F213" s="27" t="str">
        <f>IFERROR(__xludf.DUMMYFUNCTION("""COMPUTED_VALUE"""),"Grid and Cloud Computing")</f>
        <v>Grid and Cloud Computing</v>
      </c>
      <c r="G213" s="26" t="str">
        <f>IFERROR(__xludf.DUMMYFUNCTION("""COMPUTED_VALUE"""),"-")</f>
        <v>-</v>
      </c>
      <c r="H213" s="26">
        <f>IFERROR(__xludf.DUMMYFUNCTION("""COMPUTED_VALUE"""),3)</f>
        <v>3</v>
      </c>
      <c r="I213" s="26">
        <f>IFERROR(__xludf.DUMMYFUNCTION("""COMPUTED_VALUE"""),1)</f>
        <v>1</v>
      </c>
      <c r="J213" s="26">
        <f>IFERROR(__xludf.DUMMYFUNCTION("""COMPUTED_VALUE"""),4)</f>
        <v>4</v>
      </c>
      <c r="K213" s="26" t="str">
        <f>IFERROR(__xludf.DUMMYFUNCTION("""COMPUTED_VALUE"""),"CGPA")</f>
        <v>CGPA</v>
      </c>
      <c r="L213" s="26" t="str">
        <f>IFERROR(__xludf.DUMMYFUNCTION("""COMPUTED_VALUE"""),"TIP (6 Expts)")</f>
        <v>TIP (6 Expts)</v>
      </c>
      <c r="M213" s="26"/>
      <c r="N213" s="26"/>
      <c r="O213" s="26"/>
      <c r="P213" s="26"/>
      <c r="Q213" s="26"/>
      <c r="R213" s="26"/>
    </row>
    <row r="214" ht="13.2" spans="1:18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IFERROR(__xludf.DUMMYFUNCTION("""COMPUTED_VALUE"""),"CS2408")</f>
        <v>CS2408</v>
      </c>
      <c r="E214" s="26" t="str">
        <f>IFERROR(__xludf.DUMMYFUNCTION("""COMPUTED_VALUE"""),"19IT408")</f>
        <v>19IT408</v>
      </c>
      <c r="F214" s="27" t="str">
        <f>IFERROR(__xludf.DUMMYFUNCTION("""COMPUTED_VALUE"""),"Distributed Computing")</f>
        <v>Distributed Computing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IFERROR(__xludf.DUMMYFUNCTION("""COMPUTED_VALUE"""),0)</f>
        <v>0</v>
      </c>
      <c r="J214" s="26">
        <f>IFERROR(__xludf.DUMMYFUNCTION("""COMPUTED_VALUE"""),3)</f>
        <v>3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  <c r="P214" s="26"/>
      <c r="Q214" s="26"/>
      <c r="R214" s="26"/>
    </row>
    <row r="215" ht="13.2" spans="1:18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IFERROR(__xludf.DUMMYFUNCTION("""COMPUTED_VALUE"""),"CS2501")</f>
        <v>CS2501</v>
      </c>
      <c r="E215" s="26" t="str">
        <f>IFERROR(__xludf.DUMMYFUNCTION("""COMPUTED_VALUE"""),"19IT501")</f>
        <v>19IT501</v>
      </c>
      <c r="F215" s="27" t="str">
        <f>IFERROR(__xludf.DUMMYFUNCTION("""COMPUTED_VALUE"""),"Information Theory and Coding Techniques")</f>
        <v>Information Theory and Coding Techniques</v>
      </c>
      <c r="G215" s="26" t="str">
        <f>IFERROR(__xludf.DUMMYFUNCTION("""COMPUTED_VALUE"""),"-")</f>
        <v>-</v>
      </c>
      <c r="H215" s="26">
        <f>IFERROR(__xludf.DUMMYFUNCTION("""COMPUTED_VALUE"""),3)</f>
        <v>3</v>
      </c>
      <c r="I215" s="26">
        <f>IFERROR(__xludf.DUMMYFUNCTION("""COMPUTED_VALUE"""),0)</f>
        <v>0</v>
      </c>
      <c r="J215" s="26">
        <f>IFERROR(__xludf.DUMMYFUNCTION("""COMPUTED_VALUE"""),3)</f>
        <v>3</v>
      </c>
      <c r="K215" s="26" t="str">
        <f>IFERROR(__xludf.DUMMYFUNCTION("""COMPUTED_VALUE"""),"CGPA")</f>
        <v>CGPA</v>
      </c>
      <c r="L215" s="26" t="str">
        <f>IFERROR(__xludf.DUMMYFUNCTION("""COMPUTED_VALUE"""),"Theory")</f>
        <v>Theory</v>
      </c>
      <c r="M215" s="26"/>
      <c r="N215" s="26"/>
      <c r="O215" s="26"/>
      <c r="P215" s="26"/>
      <c r="Q215" s="26"/>
      <c r="R215" s="26"/>
    </row>
    <row r="216" ht="13.2" spans="1:18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IFERROR(__xludf.DUMMYFUNCTION("""COMPUTED_VALUE"""),"CS2502")</f>
        <v>CS2502</v>
      </c>
      <c r="E216" s="26" t="str">
        <f>IFERROR(__xludf.DUMMYFUNCTION("""COMPUTED_VALUE"""),"19IT502")</f>
        <v>19IT502</v>
      </c>
      <c r="F216" s="27" t="str">
        <f>IFERROR(__xludf.DUMMYFUNCTION("""COMPUTED_VALUE"""),"Enterprise Resource Planning")</f>
        <v>Enterprise Resource Planning</v>
      </c>
      <c r="G216" s="26" t="str">
        <f>IFERROR(__xludf.DUMMYFUNCTION("""COMPUTED_VALUE"""),"-")</f>
        <v>-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  <c r="P216" s="26"/>
      <c r="Q216" s="26"/>
      <c r="R216" s="26"/>
    </row>
    <row r="217" ht="13.2" spans="1:18">
      <c r="A217" s="26">
        <f>IFERROR(__xludf.DUMMYFUNCTION("""COMPUTED_VALUE"""),215)</f>
        <v>215</v>
      </c>
      <c r="B217" s="26"/>
      <c r="C217" s="26" t="str">
        <f>IFERROR(__xludf.DUMMYFUNCTION("""COMPUTED_VALUE"""),"PE")</f>
        <v>PE</v>
      </c>
      <c r="D217" s="26" t="str">
        <f>IFERROR(__xludf.DUMMYFUNCTION("""COMPUTED_VALUE"""),"CS2503")</f>
        <v>CS2503</v>
      </c>
      <c r="E217" s="26" t="str">
        <f>IFERROR(__xludf.DUMMYFUNCTION("""COMPUTED_VALUE"""),"19IT503")</f>
        <v>19IT503</v>
      </c>
      <c r="F217" s="27" t="str">
        <f>IFERROR(__xludf.DUMMYFUNCTION("""COMPUTED_VALUE"""),"User Interface Design")</f>
        <v>User Interface Design</v>
      </c>
      <c r="G217" s="26" t="str">
        <f>IFERROR(__xludf.DUMMYFUNCTION("""COMPUTED_VALUE"""),"-")</f>
        <v>-</v>
      </c>
      <c r="H217" s="26">
        <f>IFERROR(__xludf.DUMMYFUNCTION("""COMPUTED_VALUE"""),3)</f>
        <v>3</v>
      </c>
      <c r="I217" s="26">
        <f>IFERROR(__xludf.DUMMYFUNCTION("""COMPUTED_VALUE"""),0)</f>
        <v>0</v>
      </c>
      <c r="J217" s="26">
        <f>IFERROR(__xludf.DUMMYFUNCTION("""COMPUTED_VALUE"""),3)</f>
        <v>3</v>
      </c>
      <c r="K217" s="26" t="str">
        <f>IFERROR(__xludf.DUMMYFUNCTION("""COMPUTED_VALUE"""),"CGPA")</f>
        <v>CGPA</v>
      </c>
      <c r="L217" s="26" t="str">
        <f>IFERROR(__xludf.DUMMYFUNCTION("""COMPUTED_VALUE"""),"Theory")</f>
        <v>Theory</v>
      </c>
      <c r="M217" s="26"/>
      <c r="N217" s="26"/>
      <c r="O217" s="26"/>
      <c r="P217" s="26"/>
      <c r="Q217" s="26"/>
      <c r="R217" s="26"/>
    </row>
    <row r="218" ht="13.2" spans="1:18">
      <c r="A218" s="26">
        <f>IFERROR(__xludf.DUMMYFUNCTION("""COMPUTED_VALUE"""),216)</f>
        <v>216</v>
      </c>
      <c r="B218" s="26"/>
      <c r="C218" s="26" t="str">
        <f>IFERROR(__xludf.DUMMYFUNCTION("""COMPUTED_VALUE"""),"PE")</f>
        <v>PE</v>
      </c>
      <c r="D218" s="26" t="str">
        <f>IFERROR(__xludf.DUMMYFUNCTION("""COMPUTED_VALUE"""),"CS2504")</f>
        <v>CS2504</v>
      </c>
      <c r="E218" s="26" t="str">
        <f>IFERROR(__xludf.DUMMYFUNCTION("""COMPUTED_VALUE"""),"19IT504")</f>
        <v>19IT504</v>
      </c>
      <c r="F218" s="27" t="str">
        <f>IFERROR(__xludf.DUMMYFUNCTION("""COMPUTED_VALUE"""),"Information Storage Management")</f>
        <v>Information Storage Management</v>
      </c>
      <c r="G218" s="26" t="str">
        <f>IFERROR(__xludf.DUMMYFUNCTION("""COMPUTED_VALUE"""),"-")</f>
        <v>-</v>
      </c>
      <c r="H218" s="26">
        <f>IFERROR(__xludf.DUMMYFUNCTION("""COMPUTED_VALUE"""),3)</f>
        <v>3</v>
      </c>
      <c r="I218" s="26">
        <f>IFERROR(__xludf.DUMMYFUNCTION("""COMPUTED_VALUE"""),0)</f>
        <v>0</v>
      </c>
      <c r="J218" s="26">
        <f>IFERROR(__xludf.DUMMYFUNCTION("""COMPUTED_VALUE"""),3)</f>
        <v>3</v>
      </c>
      <c r="K218" s="26" t="str">
        <f>IFERROR(__xludf.DUMMYFUNCTION("""COMPUTED_VALUE"""),"CGPA")</f>
        <v>CGPA</v>
      </c>
      <c r="L218" s="26" t="str">
        <f>IFERROR(__xludf.DUMMYFUNCTION("""COMPUTED_VALUE"""),"Theory")</f>
        <v>Theory</v>
      </c>
      <c r="M218" s="26"/>
      <c r="N218" s="26"/>
      <c r="O218" s="26"/>
      <c r="P218" s="26"/>
      <c r="Q218" s="26"/>
      <c r="R218" s="26"/>
    </row>
    <row r="219" ht="13.2" spans="1:18">
      <c r="A219" s="26">
        <f>IFERROR(__xludf.DUMMYFUNCTION("""COMPUTED_VALUE"""),217)</f>
        <v>217</v>
      </c>
      <c r="B219" s="26"/>
      <c r="C219" s="26" t="str">
        <f>IFERROR(__xludf.DUMMYFUNCTION("""COMPUTED_VALUE"""),"PE")</f>
        <v>PE</v>
      </c>
      <c r="D219" s="26" t="str">
        <f>IFERROR(__xludf.DUMMYFUNCTION("""COMPUTED_VALUE"""),"CS2505")</f>
        <v>CS2505</v>
      </c>
      <c r="E219" s="26" t="str">
        <f>IFERROR(__xludf.DUMMYFUNCTION("""COMPUTED_VALUE"""),"19IT505")</f>
        <v>19IT505</v>
      </c>
      <c r="F219" s="27" t="str">
        <f>IFERROR(__xludf.DUMMYFUNCTION("""COMPUTED_VALUE"""),"Software Design Patterns")</f>
        <v>Software Design Patterns</v>
      </c>
      <c r="G219" s="26" t="str">
        <f>IFERROR(__xludf.DUMMYFUNCTION("""COMPUTED_VALUE"""),"-")</f>
        <v>-</v>
      </c>
      <c r="H219" s="26">
        <f>IFERROR(__xludf.DUMMYFUNCTION("""COMPUTED_VALUE"""),3)</f>
        <v>3</v>
      </c>
      <c r="I219" s="26">
        <f>IFERROR(__xludf.DUMMYFUNCTION("""COMPUTED_VALUE"""),0)</f>
        <v>0</v>
      </c>
      <c r="J219" s="26">
        <f>IFERROR(__xludf.DUMMYFUNCTION("""COMPUTED_VALUE"""),3)</f>
        <v>3</v>
      </c>
      <c r="K219" s="26" t="str">
        <f>IFERROR(__xludf.DUMMYFUNCTION("""COMPUTED_VALUE"""),"CGPA")</f>
        <v>CGPA</v>
      </c>
      <c r="L219" s="26" t="str">
        <f>IFERROR(__xludf.DUMMYFUNCTION("""COMPUTED_VALUE"""),"Theory")</f>
        <v>Theory</v>
      </c>
      <c r="M219" s="26"/>
      <c r="N219" s="26"/>
      <c r="O219" s="26"/>
      <c r="P219" s="26"/>
      <c r="Q219" s="26"/>
      <c r="R219" s="26"/>
    </row>
    <row r="220" ht="13.2" spans="1:18">
      <c r="A220" s="26">
        <f>IFERROR(__xludf.DUMMYFUNCTION("""COMPUTED_VALUE"""),218)</f>
        <v>218</v>
      </c>
      <c r="B220" s="26"/>
      <c r="C220" s="26" t="str">
        <f>IFERROR(__xludf.DUMMYFUNCTION("""COMPUTED_VALUE"""),"PE")</f>
        <v>PE</v>
      </c>
      <c r="D220" s="26" t="str">
        <f>IFERROR(__xludf.DUMMYFUNCTION("""COMPUTED_VALUE"""),"CS2506")</f>
        <v>CS2506</v>
      </c>
      <c r="E220" s="26" t="str">
        <f>IFERROR(__xludf.DUMMYFUNCTION("""COMPUTED_VALUE"""),"19IT506")</f>
        <v>19IT506</v>
      </c>
      <c r="F220" s="27" t="str">
        <f>IFERROR(__xludf.DUMMYFUNCTION("""COMPUTED_VALUE"""),"E-Learning Techniques")</f>
        <v>E-Learning Techniques</v>
      </c>
      <c r="G220" s="26" t="str">
        <f>IFERROR(__xludf.DUMMYFUNCTION("""COMPUTED_VALUE"""),"-")</f>
        <v>-</v>
      </c>
      <c r="H220" s="26">
        <f>IFERROR(__xludf.DUMMYFUNCTION("""COMPUTED_VALUE"""),3)</f>
        <v>3</v>
      </c>
      <c r="I220" s="26">
        <f>IFERROR(__xludf.DUMMYFUNCTION("""COMPUTED_VALUE"""),0)</f>
        <v>0</v>
      </c>
      <c r="J220" s="26">
        <f>IFERROR(__xludf.DUMMYFUNCTION("""COMPUTED_VALUE"""),3)</f>
        <v>3</v>
      </c>
      <c r="K220" s="26" t="str">
        <f>IFERROR(__xludf.DUMMYFUNCTION("""COMPUTED_VALUE"""),"CGPA")</f>
        <v>CGPA</v>
      </c>
      <c r="L220" s="26" t="str">
        <f>IFERROR(__xludf.DUMMYFUNCTION("""COMPUTED_VALUE"""),"Theory")</f>
        <v>Theory</v>
      </c>
      <c r="M220" s="26"/>
      <c r="N220" s="26"/>
      <c r="O220" s="26"/>
      <c r="P220" s="26"/>
      <c r="Q220" s="26"/>
      <c r="R220" s="26"/>
    </row>
    <row r="221" ht="13.2" spans="1:18">
      <c r="A221" s="26">
        <f>IFERROR(__xludf.DUMMYFUNCTION("""COMPUTED_VALUE"""),219)</f>
        <v>219</v>
      </c>
      <c r="B221" s="26"/>
      <c r="C221" s="26" t="str">
        <f>IFERROR(__xludf.DUMMYFUNCTION("""COMPUTED_VALUE"""),"PE")</f>
        <v>PE</v>
      </c>
      <c r="D221" s="26" t="str">
        <f>IFERROR(__xludf.DUMMYFUNCTION("""COMPUTED_VALUE"""),"CS2508")</f>
        <v>CS2508</v>
      </c>
      <c r="E221" s="26" t="str">
        <f>IFERROR(__xludf.DUMMYFUNCTION("""COMPUTED_VALUE"""),"19IT508")</f>
        <v>19IT508</v>
      </c>
      <c r="F221" s="27" t="str">
        <f>IFERROR(__xludf.DUMMYFUNCTION("""COMPUTED_VALUE"""),"TCP/IP Design and Implementation")</f>
        <v>TCP/IP Design and Implementation</v>
      </c>
      <c r="G221" s="26" t="str">
        <f>IFERROR(__xludf.DUMMYFUNCTION("""COMPUTED_VALUE"""),"-")</f>
        <v>-</v>
      </c>
      <c r="H221" s="26">
        <f>IFERROR(__xludf.DUMMYFUNCTION("""COMPUTED_VALUE"""),3)</f>
        <v>3</v>
      </c>
      <c r="I221" s="26">
        <f>IFERROR(__xludf.DUMMYFUNCTION("""COMPUTED_VALUE"""),0)</f>
        <v>0</v>
      </c>
      <c r="J221" s="26">
        <f>IFERROR(__xludf.DUMMYFUNCTION("""COMPUTED_VALUE"""),3)</f>
        <v>3</v>
      </c>
      <c r="K221" s="26" t="str">
        <f>IFERROR(__xludf.DUMMYFUNCTION("""COMPUTED_VALUE"""),"CGPA")</f>
        <v>CGPA</v>
      </c>
      <c r="L221" s="26" t="str">
        <f>IFERROR(__xludf.DUMMYFUNCTION("""COMPUTED_VALUE"""),"Theory")</f>
        <v>Theory</v>
      </c>
      <c r="M221" s="26"/>
      <c r="N221" s="26"/>
      <c r="O221" s="26"/>
      <c r="P221" s="26"/>
      <c r="Q221" s="26"/>
      <c r="R221" s="26"/>
    </row>
    <row r="222" ht="13.2" spans="1:18">
      <c r="A222" s="26">
        <f>IFERROR(__xludf.DUMMYFUNCTION("""COMPUTED_VALUE"""),220)</f>
        <v>220</v>
      </c>
      <c r="B222" s="26"/>
      <c r="C222" s="26" t="str">
        <f>IFERROR(__xludf.DUMMYFUNCTION("""COMPUTED_VALUE"""),"PE")</f>
        <v>PE</v>
      </c>
      <c r="D222" s="26" t="str">
        <f>IFERROR(__xludf.DUMMYFUNCTION("""COMPUTED_VALUE"""),"CS2509")</f>
        <v>CS2509</v>
      </c>
      <c r="E222" s="26" t="str">
        <f>IFERROR(__xludf.DUMMYFUNCTION("""COMPUTED_VALUE"""),"19IT509")</f>
        <v>19IT509</v>
      </c>
      <c r="F222" s="27" t="str">
        <f>IFERROR(__xludf.DUMMYFUNCTION("""COMPUTED_VALUE"""),"Advanced Algorithms")</f>
        <v>Advanced Algorithms</v>
      </c>
      <c r="G222" s="26" t="str">
        <f>IFERROR(__xludf.DUMMYFUNCTION("""COMPUTED_VALUE"""),"-")</f>
        <v>-</v>
      </c>
      <c r="H222" s="26">
        <f>IFERROR(__xludf.DUMMYFUNCTION("""COMPUTED_VALUE"""),3)</f>
        <v>3</v>
      </c>
      <c r="I222" s="26">
        <f>IFERROR(__xludf.DUMMYFUNCTION("""COMPUTED_VALUE"""),0)</f>
        <v>0</v>
      </c>
      <c r="J222" s="26">
        <f>IFERROR(__xludf.DUMMYFUNCTION("""COMPUTED_VALUE"""),3)</f>
        <v>3</v>
      </c>
      <c r="K222" s="26" t="str">
        <f>IFERROR(__xludf.DUMMYFUNCTION("""COMPUTED_VALUE"""),"CGPA")</f>
        <v>CGPA</v>
      </c>
      <c r="L222" s="26" t="str">
        <f>IFERROR(__xludf.DUMMYFUNCTION("""COMPUTED_VALUE"""),"Theory")</f>
        <v>Theory</v>
      </c>
      <c r="M222" s="26"/>
      <c r="N222" s="26"/>
      <c r="O222" s="26"/>
      <c r="P222" s="26"/>
      <c r="Q222" s="26"/>
      <c r="R222" s="26"/>
    </row>
    <row r="223" ht="13.2" spans="1:18">
      <c r="A223" s="26">
        <f>IFERROR(__xludf.DUMMYFUNCTION("""COMPUTED_VALUE"""),221)</f>
        <v>221</v>
      </c>
      <c r="B223" s="26"/>
      <c r="C223" s="26" t="str">
        <f>IFERROR(__xludf.DUMMYFUNCTION("""COMPUTED_VALUE"""),"PE")</f>
        <v>PE</v>
      </c>
      <c r="D223" s="26" t="str">
        <f>IFERROR(__xludf.DUMMYFUNCTION("""COMPUTED_VALUE"""),"CS2510")</f>
        <v>CS2510</v>
      </c>
      <c r="E223" s="26" t="str">
        <f>IFERROR(__xludf.DUMMYFUNCTION("""COMPUTED_VALUE"""),"19IT510")</f>
        <v>19IT510</v>
      </c>
      <c r="F223" s="27" t="str">
        <f>IFERROR(__xludf.DUMMYFUNCTION("""COMPUTED_VALUE"""),"Ethical Hacking")</f>
        <v>Ethical Hacking</v>
      </c>
      <c r="G223" s="26" t="str">
        <f>IFERROR(__xludf.DUMMYFUNCTION("""COMPUTED_VALUE"""),"-")</f>
        <v>-</v>
      </c>
      <c r="H223" s="26">
        <f>IFERROR(__xludf.DUMMYFUNCTION("""COMPUTED_VALUE"""),3)</f>
        <v>3</v>
      </c>
      <c r="I223" s="26">
        <f>IFERROR(__xludf.DUMMYFUNCTION("""COMPUTED_VALUE"""),0)</f>
        <v>0</v>
      </c>
      <c r="J223" s="26">
        <f>IFERROR(__xludf.DUMMYFUNCTION("""COMPUTED_VALUE"""),3)</f>
        <v>3</v>
      </c>
      <c r="K223" s="26" t="str">
        <f>IFERROR(__xludf.DUMMYFUNCTION("""COMPUTED_VALUE"""),"CGPA")</f>
        <v>CGPA</v>
      </c>
      <c r="L223" s="26" t="str">
        <f>IFERROR(__xludf.DUMMYFUNCTION("""COMPUTED_VALUE"""),"Theory")</f>
        <v>Theory</v>
      </c>
      <c r="M223" s="26"/>
      <c r="N223" s="26"/>
      <c r="O223" s="26"/>
      <c r="P223" s="26"/>
      <c r="Q223" s="26"/>
      <c r="R223" s="26"/>
    </row>
    <row r="224" ht="13.2" spans="1:18">
      <c r="A224" s="26">
        <f>IFERROR(__xludf.DUMMYFUNCTION("""COMPUTED_VALUE"""),222)</f>
        <v>222</v>
      </c>
      <c r="B224" s="26"/>
      <c r="C224" s="26" t="str">
        <f>IFERROR(__xludf.DUMMYFUNCTION("""COMPUTED_VALUE"""),"PE")</f>
        <v>PE</v>
      </c>
      <c r="D224" s="26" t="str">
        <f>IFERROR(__xludf.DUMMYFUNCTION("""COMPUTED_VALUE"""),"CS2511")</f>
        <v>CS2511</v>
      </c>
      <c r="E224" s="26" t="str">
        <f>IFERROR(__xludf.DUMMYFUNCTION("""COMPUTED_VALUE"""),"19IT511")</f>
        <v>19IT511</v>
      </c>
      <c r="F224" s="27" t="str">
        <f>IFERROR(__xludf.DUMMYFUNCTION("""COMPUTED_VALUE"""),"DHTML and XML")</f>
        <v>DHTML and XML</v>
      </c>
      <c r="G224" s="26" t="str">
        <f>IFERROR(__xludf.DUMMYFUNCTION("""COMPUTED_VALUE"""),"-")</f>
        <v>-</v>
      </c>
      <c r="H224" s="26">
        <f>IFERROR(__xludf.DUMMYFUNCTION("""COMPUTED_VALUE"""),3)</f>
        <v>3</v>
      </c>
      <c r="I224" s="26">
        <f>IFERROR(__xludf.DUMMYFUNCTION("""COMPUTED_VALUE"""),0)</f>
        <v>0</v>
      </c>
      <c r="J224" s="26">
        <f>IFERROR(__xludf.DUMMYFUNCTION("""COMPUTED_VALUE"""),3)</f>
        <v>3</v>
      </c>
      <c r="K224" s="26" t="str">
        <f>IFERROR(__xludf.DUMMYFUNCTION("""COMPUTED_VALUE"""),"CGPA")</f>
        <v>CGPA</v>
      </c>
      <c r="L224" s="26" t="str">
        <f>IFERROR(__xludf.DUMMYFUNCTION("""COMPUTED_VALUE"""),"Theory")</f>
        <v>Theory</v>
      </c>
      <c r="M224" s="26"/>
      <c r="N224" s="26"/>
      <c r="O224" s="26"/>
      <c r="P224" s="26"/>
      <c r="Q224" s="26"/>
      <c r="R224" s="26"/>
    </row>
    <row r="225" ht="13.2" spans="1:18">
      <c r="A225" s="26">
        <f>IFERROR(__xludf.DUMMYFUNCTION("""COMPUTED_VALUE"""),223)</f>
        <v>223</v>
      </c>
      <c r="B225" s="26"/>
      <c r="C225" s="26" t="str">
        <f>IFERROR(__xludf.DUMMYFUNCTION("""COMPUTED_VALUE"""),"PE")</f>
        <v>PE</v>
      </c>
      <c r="D225" s="26" t="str">
        <f>IFERROR(__xludf.DUMMYFUNCTION("""COMPUTED_VALUE"""),"CS2512")</f>
        <v>CS2512</v>
      </c>
      <c r="E225" s="26" t="str">
        <f>IFERROR(__xludf.DUMMYFUNCTION("""COMPUTED_VALUE"""),"19IT512")</f>
        <v>19IT512</v>
      </c>
      <c r="F225" s="27" t="str">
        <f>IFERROR(__xludf.DUMMYFUNCTION("""COMPUTED_VALUE"""),"E-Commerce")</f>
        <v>E-Commerce</v>
      </c>
      <c r="G225" s="26" t="str">
        <f>IFERROR(__xludf.DUMMYFUNCTION("""COMPUTED_VALUE"""),"-")</f>
        <v>-</v>
      </c>
      <c r="H225" s="26">
        <f>IFERROR(__xludf.DUMMYFUNCTION("""COMPUTED_VALUE"""),3)</f>
        <v>3</v>
      </c>
      <c r="I225" s="26">
        <f>IFERROR(__xludf.DUMMYFUNCTION("""COMPUTED_VALUE"""),0)</f>
        <v>0</v>
      </c>
      <c r="J225" s="26">
        <f>IFERROR(__xludf.DUMMYFUNCTION("""COMPUTED_VALUE"""),3)</f>
        <v>3</v>
      </c>
      <c r="K225" s="26" t="str">
        <f>IFERROR(__xludf.DUMMYFUNCTION("""COMPUTED_VALUE"""),"CGPA")</f>
        <v>CGPA</v>
      </c>
      <c r="L225" s="26" t="str">
        <f>IFERROR(__xludf.DUMMYFUNCTION("""COMPUTED_VALUE"""),"Theory")</f>
        <v>Theory</v>
      </c>
      <c r="M225" s="26"/>
      <c r="N225" s="26"/>
      <c r="O225" s="26"/>
      <c r="P225" s="26"/>
      <c r="Q225" s="26"/>
      <c r="R225" s="26"/>
    </row>
    <row r="226" ht="13.2" spans="1:18">
      <c r="A226" s="26">
        <f>IFERROR(__xludf.DUMMYFUNCTION("""COMPUTED_VALUE"""),224)</f>
        <v>224</v>
      </c>
      <c r="B226" s="26"/>
      <c r="C226" s="26" t="str">
        <f>IFERROR(__xludf.DUMMYFUNCTION("""COMPUTED_VALUE"""),"PE")</f>
        <v>PE</v>
      </c>
      <c r="D226" s="26" t="str">
        <f>IFERROR(__xludf.DUMMYFUNCTION("""COMPUTED_VALUE"""),"CS2513")</f>
        <v>CS2513</v>
      </c>
      <c r="E226" s="26" t="str">
        <f>IFERROR(__xludf.DUMMYFUNCTION("""COMPUTED_VALUE"""),"19IT513")</f>
        <v>19IT513</v>
      </c>
      <c r="F226" s="27" t="str">
        <f>IFERROR(__xludf.DUMMYFUNCTION("""COMPUTED_VALUE"""),"Free Open Source Software")</f>
        <v>Free Open Source Software</v>
      </c>
      <c r="G226" s="26" t="str">
        <f>IFERROR(__xludf.DUMMYFUNCTION("""COMPUTED_VALUE"""),"-")</f>
        <v>-</v>
      </c>
      <c r="H226" s="26">
        <f>IFERROR(__xludf.DUMMYFUNCTION("""COMPUTED_VALUE"""),3)</f>
        <v>3</v>
      </c>
      <c r="I226" s="26">
        <f>IFERROR(__xludf.DUMMYFUNCTION("""COMPUTED_VALUE"""),0)</f>
        <v>0</v>
      </c>
      <c r="J226" s="26">
        <f>IFERROR(__xludf.DUMMYFUNCTION("""COMPUTED_VALUE"""),3)</f>
        <v>3</v>
      </c>
      <c r="K226" s="26" t="str">
        <f>IFERROR(__xludf.DUMMYFUNCTION("""COMPUTED_VALUE"""),"CGPA")</f>
        <v>CGPA</v>
      </c>
      <c r="L226" s="26" t="str">
        <f>IFERROR(__xludf.DUMMYFUNCTION("""COMPUTED_VALUE"""),"Theory")</f>
        <v>Theory</v>
      </c>
      <c r="M226" s="26"/>
      <c r="N226" s="26"/>
      <c r="O226" s="26"/>
      <c r="P226" s="26"/>
      <c r="Q226" s="26"/>
      <c r="R226" s="26"/>
    </row>
    <row r="227" ht="13.2" spans="1:18">
      <c r="A227" s="26">
        <f>IFERROR(__xludf.DUMMYFUNCTION("""COMPUTED_VALUE"""),225)</f>
        <v>225</v>
      </c>
      <c r="B227" s="26"/>
      <c r="C227" s="26" t="str">
        <f>IFERROR(__xludf.DUMMYFUNCTION("""COMPUTED_VALUE"""),"PE")</f>
        <v>PE</v>
      </c>
      <c r="D227" s="26" t="str">
        <f>IFERROR(__xludf.DUMMYFUNCTION("""COMPUTED_VALUE"""),"CS2514")</f>
        <v>CS2514</v>
      </c>
      <c r="E227" s="26" t="str">
        <f>IFERROR(__xludf.DUMMYFUNCTION("""COMPUTED_VALUE"""),"19IT514")</f>
        <v>19IT514</v>
      </c>
      <c r="F227" s="27" t="str">
        <f>IFERROR(__xludf.DUMMYFUNCTION("""COMPUTED_VALUE"""),"Real Time Operating Systems")</f>
        <v>Real Time Operating Systems</v>
      </c>
      <c r="G227" s="26" t="str">
        <f>IFERROR(__xludf.DUMMYFUNCTION("""COMPUTED_VALUE"""),"-")</f>
        <v>-</v>
      </c>
      <c r="H227" s="26">
        <f>IFERROR(__xludf.DUMMYFUNCTION("""COMPUTED_VALUE"""),3)</f>
        <v>3</v>
      </c>
      <c r="I227" s="26">
        <f>IFERROR(__xludf.DUMMYFUNCTION("""COMPUTED_VALUE"""),0)</f>
        <v>0</v>
      </c>
      <c r="J227" s="26">
        <f>IFERROR(__xludf.DUMMYFUNCTION("""COMPUTED_VALUE"""),3)</f>
        <v>3</v>
      </c>
      <c r="K227" s="26" t="str">
        <f>IFERROR(__xludf.DUMMYFUNCTION("""COMPUTED_VALUE"""),"CGPA")</f>
        <v>CGPA</v>
      </c>
      <c r="L227" s="26" t="str">
        <f>IFERROR(__xludf.DUMMYFUNCTION("""COMPUTED_VALUE"""),"Theory")</f>
        <v>Theory</v>
      </c>
      <c r="M227" s="26"/>
      <c r="N227" s="26"/>
      <c r="O227" s="26"/>
      <c r="P227" s="26"/>
      <c r="Q227" s="26"/>
      <c r="R227" s="26"/>
    </row>
    <row r="228" ht="13.2" spans="1:18">
      <c r="A228" s="26">
        <f>IFERROR(__xludf.DUMMYFUNCTION("""COMPUTED_VALUE"""),226)</f>
        <v>226</v>
      </c>
      <c r="B228" s="26"/>
      <c r="C228" s="26" t="str">
        <f>IFERROR(__xludf.DUMMYFUNCTION("""COMPUTED_VALUE"""),"PE")</f>
        <v>PE</v>
      </c>
      <c r="D228" s="26" t="str">
        <f>IFERROR(__xludf.DUMMYFUNCTION("""COMPUTED_VALUE"""),"CS2515")</f>
        <v>CS2515</v>
      </c>
      <c r="E228" s="26" t="str">
        <f>IFERROR(__xludf.DUMMYFUNCTION("""COMPUTED_VALUE"""),"19IT515")</f>
        <v>19IT515</v>
      </c>
      <c r="F228" s="27" t="str">
        <f>IFERROR(__xludf.DUMMYFUNCTION("""COMPUTED_VALUE"""),"Software Agents")</f>
        <v>Software Agents</v>
      </c>
      <c r="G228" s="26" t="str">
        <f>IFERROR(__xludf.DUMMYFUNCTION("""COMPUTED_VALUE"""),"-")</f>
        <v>-</v>
      </c>
      <c r="H228" s="26">
        <f>IFERROR(__xludf.DUMMYFUNCTION("""COMPUTED_VALUE"""),3)</f>
        <v>3</v>
      </c>
      <c r="I228" s="26">
        <f>IFERROR(__xludf.DUMMYFUNCTION("""COMPUTED_VALUE"""),0)</f>
        <v>0</v>
      </c>
      <c r="J228" s="26">
        <f>IFERROR(__xludf.DUMMYFUNCTION("""COMPUTED_VALUE"""),3)</f>
        <v>3</v>
      </c>
      <c r="K228" s="26" t="str">
        <f>IFERROR(__xludf.DUMMYFUNCTION("""COMPUTED_VALUE"""),"CGPA")</f>
        <v>CGPA</v>
      </c>
      <c r="L228" s="26" t="str">
        <f>IFERROR(__xludf.DUMMYFUNCTION("""COMPUTED_VALUE"""),"Theory")</f>
        <v>Theory</v>
      </c>
      <c r="M228" s="26"/>
      <c r="N228" s="26"/>
      <c r="O228" s="26"/>
      <c r="P228" s="26"/>
      <c r="Q228" s="26"/>
      <c r="R228" s="26"/>
    </row>
    <row r="229" ht="13.2" spans="1:18">
      <c r="A229" s="26">
        <f>IFERROR(__xludf.DUMMYFUNCTION("""COMPUTED_VALUE"""),227)</f>
        <v>227</v>
      </c>
      <c r="B229" s="26"/>
      <c r="C229" s="26" t="str">
        <f>IFERROR(__xludf.DUMMYFUNCTION("""COMPUTED_VALUE"""),"PE")</f>
        <v>PE</v>
      </c>
      <c r="D229" s="26" t="str">
        <f>IFERROR(__xludf.DUMMYFUNCTION("""COMPUTED_VALUE"""),"CS2516")</f>
        <v>CS2516</v>
      </c>
      <c r="E229" s="26" t="str">
        <f>IFERROR(__xludf.DUMMYFUNCTION("""COMPUTED_VALUE"""),"19IT516")</f>
        <v>19IT516</v>
      </c>
      <c r="F229" s="27" t="str">
        <f>IFERROR(__xludf.DUMMYFUNCTION("""COMPUTED_VALUE"""),"Business Intelligence and Analytics")</f>
        <v>Business Intelligence and Analytics</v>
      </c>
      <c r="G229" s="26" t="str">
        <f>IFERROR(__xludf.DUMMYFUNCTION("""COMPUTED_VALUE"""),"-")</f>
        <v>-</v>
      </c>
      <c r="H229" s="26">
        <f>IFERROR(__xludf.DUMMYFUNCTION("""COMPUTED_VALUE"""),3)</f>
        <v>3</v>
      </c>
      <c r="I229" s="26">
        <f>IFERROR(__xludf.DUMMYFUNCTION("""COMPUTED_VALUE"""),0)</f>
        <v>0</v>
      </c>
      <c r="J229" s="26">
        <f>IFERROR(__xludf.DUMMYFUNCTION("""COMPUTED_VALUE"""),3)</f>
        <v>3</v>
      </c>
      <c r="K229" s="26" t="str">
        <f>IFERROR(__xludf.DUMMYFUNCTION("""COMPUTED_VALUE"""),"CGPA")</f>
        <v>CGPA</v>
      </c>
      <c r="L229" s="26" t="str">
        <f>IFERROR(__xludf.DUMMYFUNCTION("""COMPUTED_VALUE"""),"Theory")</f>
        <v>Theory</v>
      </c>
      <c r="M229" s="26"/>
      <c r="N229" s="26"/>
      <c r="O229" s="26"/>
      <c r="P229" s="26"/>
      <c r="Q229" s="26"/>
      <c r="R229" s="26"/>
    </row>
    <row r="230" ht="13.2" spans="1:18">
      <c r="A230" s="26">
        <f>IFERROR(__xludf.DUMMYFUNCTION("""COMPUTED_VALUE"""),228)</f>
        <v>228</v>
      </c>
      <c r="B230" s="26"/>
      <c r="C230" s="26" t="str">
        <f>IFERROR(__xludf.DUMMYFUNCTION("""COMPUTED_VALUE"""),"PE")</f>
        <v>PE</v>
      </c>
      <c r="D230" s="26" t="str">
        <f>IFERROR(__xludf.DUMMYFUNCTION("""COMPUTED_VALUE"""),"SH2220")</f>
        <v>SH2220</v>
      </c>
      <c r="E230" s="26" t="str">
        <f>IFERROR(__xludf.DUMMYFUNCTION("""COMPUTED_VALUE"""),"19MA220")</f>
        <v>19MA220</v>
      </c>
      <c r="F230" s="27" t="str">
        <f>IFERROR(__xludf.DUMMYFUNCTION("""COMPUTED_VALUE"""),"Mathematics for Artificial Intelligence")</f>
        <v>Mathematics for Artificial Intelligence</v>
      </c>
      <c r="G230" s="26" t="str">
        <f>IFERROR(__xludf.DUMMYFUNCTION("""COMPUTED_VALUE"""),"-")</f>
        <v>-</v>
      </c>
      <c r="H230" s="26">
        <f>IFERROR(__xludf.DUMMYFUNCTION("""COMPUTED_VALUE"""),4)</f>
        <v>4</v>
      </c>
      <c r="I230" s="26">
        <f>IFERROR(__xludf.DUMMYFUNCTION("""COMPUTED_VALUE"""),0)</f>
        <v>0</v>
      </c>
      <c r="J230" s="26">
        <f>IFERROR(__xludf.DUMMYFUNCTION("""COMPUTED_VALUE"""),4)</f>
        <v>4</v>
      </c>
      <c r="K230" s="26" t="str">
        <f>IFERROR(__xludf.DUMMYFUNCTION("""COMPUTED_VALUE"""),"CGPA")</f>
        <v>CGPA</v>
      </c>
      <c r="L230" s="26" t="str">
        <f>IFERROR(__xludf.DUMMYFUNCTION("""COMPUTED_VALUE"""),"Theory")</f>
        <v>Theory</v>
      </c>
      <c r="M230" s="26"/>
      <c r="N230" s="26"/>
      <c r="O230" s="26"/>
      <c r="P230" s="26"/>
      <c r="Q230" s="26"/>
      <c r="R230" s="26"/>
    </row>
    <row r="231" ht="13.2" spans="1:18">
      <c r="A231" s="26">
        <f>IFERROR(__xludf.DUMMYFUNCTION("""COMPUTED_VALUE"""),229)</f>
        <v>229</v>
      </c>
      <c r="B231" s="26"/>
      <c r="C231" s="26" t="str">
        <f>IFERROR(__xludf.DUMMYFUNCTION("""COMPUTED_VALUE"""),"PE")</f>
        <v>PE</v>
      </c>
      <c r="D231" s="26" t="str">
        <f>IFERROR(__xludf.DUMMYFUNCTION("""COMPUTED_VALUE"""),"SH2211")</f>
        <v>SH2211</v>
      </c>
      <c r="E231" s="26" t="str">
        <f>IFERROR(__xludf.DUMMYFUNCTION("""COMPUTED_VALUE"""),"19MA211")</f>
        <v>19MA211</v>
      </c>
      <c r="F231" s="27" t="str">
        <f>IFERROR(__xludf.DUMMYFUNCTION("""COMPUTED_VALUE"""),"Statistics and Numerical Methods")</f>
        <v>Statistics and Numerical Methods</v>
      </c>
      <c r="G231" s="26" t="str">
        <f>IFERROR(__xludf.DUMMYFUNCTION("""COMPUTED_VALUE"""),"-")</f>
        <v>-</v>
      </c>
      <c r="H231" s="26">
        <f>IFERROR(__xludf.DUMMYFUNCTION("""COMPUTED_VALUE"""),3)</f>
        <v>3</v>
      </c>
      <c r="I231" s="26">
        <f>IFERROR(__xludf.DUMMYFUNCTION("""COMPUTED_VALUE"""),1)</f>
        <v>1</v>
      </c>
      <c r="J231" s="26">
        <f>IFERROR(__xludf.DUMMYFUNCTION("""COMPUTED_VALUE"""),4)</f>
        <v>4</v>
      </c>
      <c r="K231" s="26" t="str">
        <f>IFERROR(__xludf.DUMMYFUNCTION("""COMPUTED_VALUE"""),"CGPA")</f>
        <v>CGPA</v>
      </c>
      <c r="L231" s="26" t="str">
        <f>IFERROR(__xludf.DUMMYFUNCTION("""COMPUTED_VALUE"""),"TIP (6 Expts)")</f>
        <v>TIP (6 Expts)</v>
      </c>
      <c r="M231" s="26"/>
      <c r="N231" s="26"/>
      <c r="O231" s="26"/>
      <c r="P231" s="26"/>
      <c r="Q231" s="26"/>
      <c r="R231" s="26"/>
    </row>
    <row r="232" ht="13.2" spans="1:18">
      <c r="A232" s="26">
        <f>IFERROR(__xludf.DUMMYFUNCTION("""COMPUTED_VALUE"""),230)</f>
        <v>230</v>
      </c>
      <c r="B232" s="26"/>
      <c r="C232" s="26" t="str">
        <f>IFERROR(__xludf.DUMMYFUNCTION("""COMPUTED_VALUE"""),"PE")</f>
        <v>PE</v>
      </c>
      <c r="D232" s="26" t="str">
        <f>IFERROR(__xludf.DUMMYFUNCTION("""COMPUTED_VALUE"""),"EC2309")</f>
        <v>EC2309</v>
      </c>
      <c r="E232" s="26" t="str">
        <f>IFERROR(__xludf.DUMMYFUNCTION("""COMPUTED_VALUE"""),"19EE309")</f>
        <v>19EE309</v>
      </c>
      <c r="F232" s="27" t="str">
        <f>IFERROR(__xludf.DUMMYFUNCTION("""COMPUTED_VALUE"""),"Programming Microcontrollers")</f>
        <v>Programming Microcontrollers</v>
      </c>
      <c r="G232" s="26" t="str">
        <f>IFERROR(__xludf.DUMMYFUNCTION("""COMPUTED_VALUE"""),"-")</f>
        <v>-</v>
      </c>
      <c r="H232" s="26">
        <f>IFERROR(__xludf.DUMMYFUNCTION("""COMPUTED_VALUE"""),2)</f>
        <v>2</v>
      </c>
      <c r="I232" s="26">
        <f>IFERROR(__xludf.DUMMYFUNCTION("""COMPUTED_VALUE"""),1)</f>
        <v>1</v>
      </c>
      <c r="J232" s="26">
        <f>IFERROR(__xludf.DUMMYFUNCTION("""COMPUTED_VALUE"""),3)</f>
        <v>3</v>
      </c>
      <c r="K232" s="26" t="str">
        <f>IFERROR(__xludf.DUMMYFUNCTION("""COMPUTED_VALUE"""),"CGPA")</f>
        <v>CGPA</v>
      </c>
      <c r="L232" s="26" t="str">
        <f>IFERROR(__xludf.DUMMYFUNCTION("""COMPUTED_VALUE"""),"TIP (6 Expts)")</f>
        <v>TIP (6 Expts)</v>
      </c>
      <c r="M232" s="26"/>
      <c r="N232" s="26"/>
      <c r="O232" s="26"/>
      <c r="P232" s="26"/>
      <c r="Q232" s="26"/>
      <c r="R232" s="26"/>
    </row>
    <row r="233" ht="13.2" spans="1:18">
      <c r="A233" s="26">
        <f>IFERROR(__xludf.DUMMYFUNCTION("""COMPUTED_VALUE"""),231)</f>
        <v>231</v>
      </c>
      <c r="B233" s="26"/>
      <c r="C233" s="26" t="str">
        <f>IFERROR(__xludf.DUMMYFUNCTION("""COMPUTED_VALUE"""),"EEC")</f>
        <v>EEC</v>
      </c>
      <c r="D233" s="26" t="str">
        <f>IFERROR(__xludf.DUMMYFUNCTION("""COMPUTED_VALUE"""),"CS2701")</f>
        <v>CS2701</v>
      </c>
      <c r="E233" s="26" t="str">
        <f>IFERROR(__xludf.DUMMYFUNCTION("""COMPUTED_VALUE"""),"19IT701")</f>
        <v>19IT701</v>
      </c>
      <c r="F233" s="27" t="str">
        <f>IFERROR(__xludf.DUMMYFUNCTION("""COMPUTED_VALUE"""),"Mini Project")</f>
        <v>Mini Project</v>
      </c>
      <c r="G233" s="26" t="str">
        <f>IFERROR(__xludf.DUMMYFUNCTION("""COMPUTED_VALUE"""),"-")</f>
        <v>-</v>
      </c>
      <c r="H233" s="26">
        <f>IFERROR(__xludf.DUMMYFUNCTION("""COMPUTED_VALUE"""),0)</f>
        <v>0</v>
      </c>
      <c r="I233" s="26">
        <f>IFERROR(__xludf.DUMMYFUNCTION("""COMPUTED_VALUE"""),2)</f>
        <v>2</v>
      </c>
      <c r="J233" s="26">
        <f>IFERROR(__xludf.DUMMYFUNCTION("""COMPUTED_VALUE"""),2)</f>
        <v>2</v>
      </c>
      <c r="K233" s="26" t="str">
        <f>IFERROR(__xludf.DUMMYFUNCTION("""COMPUTED_VALUE"""),"CGPA")</f>
        <v>CGPA</v>
      </c>
      <c r="L233" s="26" t="str">
        <f>IFERROR(__xludf.DUMMYFUNCTION("""COMPUTED_VALUE"""),"Project (Int Only)")</f>
        <v>Project (Int Only)</v>
      </c>
      <c r="M233" s="26"/>
      <c r="N233" s="26"/>
      <c r="O233" s="26"/>
      <c r="P233" s="26"/>
      <c r="Q233" s="26"/>
      <c r="R233" s="26"/>
    </row>
    <row r="234" ht="13.2" spans="1:18">
      <c r="A234" s="26">
        <f>IFERROR(__xludf.DUMMYFUNCTION("""COMPUTED_VALUE"""),232)</f>
        <v>232</v>
      </c>
      <c r="B234" s="26"/>
      <c r="C234" s="26" t="str">
        <f>IFERROR(__xludf.DUMMYFUNCTION("""COMPUTED_VALUE"""),"EEC")</f>
        <v>EEC</v>
      </c>
      <c r="D234" s="26" t="str">
        <f>IFERROR(__xludf.DUMMYFUNCTION("""COMPUTED_VALUE"""),"CS2702")</f>
        <v>CS2702</v>
      </c>
      <c r="E234" s="26" t="str">
        <f>IFERROR(__xludf.DUMMYFUNCTION("""COMPUTED_VALUE"""),"19IT702")</f>
        <v>19IT702</v>
      </c>
      <c r="F234" s="27" t="str">
        <f>IFERROR(__xludf.DUMMYFUNCTION("""COMPUTED_VALUE"""),"Project Work Phase I")</f>
        <v>Project Work Phase I</v>
      </c>
      <c r="G234" s="26" t="str">
        <f>IFERROR(__xludf.DUMMYFUNCTION("""COMPUTED_VALUE"""),"-")</f>
        <v>-</v>
      </c>
      <c r="H234" s="26">
        <f>IFERROR(__xludf.DUMMYFUNCTION("""COMPUTED_VALUE"""),0)</f>
        <v>0</v>
      </c>
      <c r="I234" s="26">
        <f>IFERROR(__xludf.DUMMYFUNCTION("""COMPUTED_VALUE"""),2)</f>
        <v>2</v>
      </c>
      <c r="J234" s="26">
        <f>IFERROR(__xludf.DUMMYFUNCTION("""COMPUTED_VALUE"""),2)</f>
        <v>2</v>
      </c>
      <c r="K234" s="26" t="str">
        <f>IFERROR(__xludf.DUMMYFUNCTION("""COMPUTED_VALUE"""),"CGPA")</f>
        <v>CGPA</v>
      </c>
      <c r="L234" s="26" t="str">
        <f>IFERROR(__xludf.DUMMYFUNCTION("""COMPUTED_VALUE"""),"Project (Int Only)")</f>
        <v>Project (Int Only)</v>
      </c>
      <c r="M234" s="26"/>
      <c r="N234" s="26"/>
      <c r="O234" s="26"/>
      <c r="P234" s="26"/>
      <c r="Q234" s="26"/>
      <c r="R234" s="26"/>
    </row>
    <row r="235" ht="13.2" spans="1:18">
      <c r="A235" s="26">
        <f>IFERROR(__xludf.DUMMYFUNCTION("""COMPUTED_VALUE"""),233)</f>
        <v>233</v>
      </c>
      <c r="B235" s="26"/>
      <c r="C235" s="26" t="str">
        <f>IFERROR(__xludf.DUMMYFUNCTION("""COMPUTED_VALUE"""),"EEC")</f>
        <v>EEC</v>
      </c>
      <c r="D235" s="26" t="str">
        <f>IFERROR(__xludf.DUMMYFUNCTION("""COMPUTED_VALUE"""),"CS2703")</f>
        <v>CS2703</v>
      </c>
      <c r="E235" s="26" t="str">
        <f>IFERROR(__xludf.DUMMYFUNCTION("""COMPUTED_VALUE"""),"19IT703")</f>
        <v>19IT703</v>
      </c>
      <c r="F235" s="27" t="str">
        <f>IFERROR(__xludf.DUMMYFUNCTION("""COMPUTED_VALUE"""),"Project Work Phase II")</f>
        <v>Project Work Phase II</v>
      </c>
      <c r="G235" s="26" t="str">
        <f>IFERROR(__xludf.DUMMYFUNCTION("""COMPUTED_VALUE"""),"19CS702")</f>
        <v>19CS702</v>
      </c>
      <c r="H235" s="26">
        <f>IFERROR(__xludf.DUMMYFUNCTION("""COMPUTED_VALUE"""),0)</f>
        <v>0</v>
      </c>
      <c r="I235" s="26">
        <f>IFERROR(__xludf.DUMMYFUNCTION("""COMPUTED_VALUE"""),6)</f>
        <v>6</v>
      </c>
      <c r="J235" s="26">
        <f>IFERROR(__xludf.DUMMYFUNCTION("""COMPUTED_VALUE"""),6)</f>
        <v>6</v>
      </c>
      <c r="K235" s="26" t="str">
        <f>IFERROR(__xludf.DUMMYFUNCTION("""COMPUTED_VALUE"""),"CGPA")</f>
        <v>CGPA</v>
      </c>
      <c r="L235" s="26" t="str">
        <f>IFERROR(__xludf.DUMMYFUNCTION("""COMPUTED_VALUE"""),"Project")</f>
        <v>Project</v>
      </c>
      <c r="M235" s="26"/>
      <c r="N235" s="26"/>
      <c r="O235" s="26"/>
      <c r="P235" s="26"/>
      <c r="Q235" s="26"/>
      <c r="R235" s="26"/>
    </row>
    <row r="236" ht="13.2" spans="1:18">
      <c r="A236" s="26">
        <f>IFERROR(__xludf.DUMMYFUNCTION("""COMPUTED_VALUE"""),234)</f>
        <v>234</v>
      </c>
      <c r="B236" s="26" t="str">
        <f>IFERROR(__xludf.DUMMYFUNCTION("""COMPUTED_VALUE"""),"Any 1")</f>
        <v>Any 1</v>
      </c>
      <c r="C236" s="26" t="str">
        <f>IFERROR(__xludf.DUMMYFUNCTION("""COMPUTED_VALUE"""),"EEC")</f>
        <v>EEC</v>
      </c>
      <c r="D236" s="26" t="str">
        <f>IFERROR(__xludf.DUMMYFUNCTION("""COMPUTED_VALUE"""),"NA")</f>
        <v>NA</v>
      </c>
      <c r="E236" s="26" t="str">
        <f>IFERROR(__xludf.DUMMYFUNCTION("""COMPUTED_VALUE"""),"19EY701")</f>
        <v>19EY701</v>
      </c>
      <c r="F236" s="27" t="str">
        <f>IFERROR(__xludf.DUMMYFUNCTION("""COMPUTED_VALUE"""),"Softskills")</f>
        <v>Softskills</v>
      </c>
      <c r="G236" s="26" t="str">
        <f>IFERROR(__xludf.DUMMYFUNCTION("""COMPUTED_VALUE"""),"-")</f>
        <v>-</v>
      </c>
      <c r="H236" s="26">
        <f>IFERROR(__xludf.DUMMYFUNCTION("""COMPUTED_VALUE"""),0)</f>
        <v>0</v>
      </c>
      <c r="I236" s="26">
        <f>IFERROR(__xludf.DUMMYFUNCTION("""COMPUTED_VALUE"""),1)</f>
        <v>1</v>
      </c>
      <c r="J236" s="26">
        <f>IFERROR(__xludf.DUMMYFUNCTION("""COMPUTED_VALUE"""),1)</f>
        <v>1</v>
      </c>
      <c r="K236" s="26" t="str">
        <f>IFERROR(__xludf.DUMMYFUNCTION("""COMPUTED_VALUE"""),"CGPA")</f>
        <v>CGPA</v>
      </c>
      <c r="L236" s="26" t="str">
        <f>IFERROR(__xludf.DUMMYFUNCTION("""COMPUTED_VALUE"""),"Practical (6 Expts)")</f>
        <v>Practical (6 Expts)</v>
      </c>
      <c r="M236" s="26"/>
      <c r="N236" s="26"/>
      <c r="O236" s="26"/>
      <c r="P236" s="26"/>
      <c r="Q236" s="26"/>
      <c r="R236" s="26"/>
    </row>
    <row r="237" ht="13.2" spans="1:18">
      <c r="A237" s="26">
        <f>IFERROR(__xludf.DUMMYFUNCTION("""COMPUTED_VALUE"""),235)</f>
        <v>235</v>
      </c>
      <c r="B237" s="26" t="str">
        <f>IFERROR(__xludf.DUMMYFUNCTION("""COMPUTED_VALUE"""),"Any 1")</f>
        <v>Any 1</v>
      </c>
      <c r="C237" s="26" t="str">
        <f>IFERROR(__xludf.DUMMYFUNCTION("""COMPUTED_VALUE"""),"EEC")</f>
        <v>EEC</v>
      </c>
      <c r="D237" s="26" t="str">
        <f>IFERROR(__xludf.DUMMYFUNCTION("""COMPUTED_VALUE"""),"SH6708")</f>
        <v>SH6708</v>
      </c>
      <c r="E237" s="26" t="str">
        <f>IFERROR(__xludf.DUMMYFUNCTION("""COMPUTED_VALUE"""),"19EY708")</f>
        <v>19EY708</v>
      </c>
      <c r="F237" s="27" t="str">
        <f>IFERROR(__xludf.DUMMYFUNCTION("""COMPUTED_VALUE"""),"Career Development Skills")</f>
        <v>Career Development Skills</v>
      </c>
      <c r="G237" s="26" t="str">
        <f>IFERROR(__xludf.DUMMYFUNCTION("""COMPUTED_VALUE"""),"NIL")</f>
        <v>NIL</v>
      </c>
      <c r="H237" s="26">
        <f>IFERROR(__xludf.DUMMYFUNCTION("""COMPUTED_VALUE"""),1)</f>
        <v>1</v>
      </c>
      <c r="I237" s="26">
        <f>IFERROR(__xludf.DUMMYFUNCTION("""COMPUTED_VALUE"""),0)</f>
        <v>0</v>
      </c>
      <c r="J237" s="26">
        <f>IFERROR(__xludf.DUMMYFUNCTION("""COMPUTED_VALUE"""),1)</f>
        <v>1</v>
      </c>
      <c r="K237" s="26" t="str">
        <f>IFERROR(__xludf.DUMMYFUNCTION("""COMPUTED_VALUE"""),"CGPA")</f>
        <v>CGPA</v>
      </c>
      <c r="L237" s="26" t="str">
        <f>IFERROR(__xludf.DUMMYFUNCTION("""COMPUTED_VALUE"""),"Theory (Int Only)")</f>
        <v>Theory (Int Only)</v>
      </c>
      <c r="M237" s="26"/>
      <c r="N237" s="26"/>
      <c r="O237" s="26"/>
      <c r="P237" s="26"/>
      <c r="Q237" s="26"/>
      <c r="R237" s="26"/>
    </row>
    <row r="238" ht="13.2" spans="1:18">
      <c r="A238" s="26">
        <f>IFERROR(__xludf.DUMMYFUNCTION("""COMPUTED_VALUE"""),236)</f>
        <v>236</v>
      </c>
      <c r="B238" s="26" t="str">
        <f>IFERROR(__xludf.DUMMYFUNCTION("""COMPUTED_VALUE"""),"Any 1")</f>
        <v>Any 1</v>
      </c>
      <c r="C238" s="26" t="str">
        <f>IFERROR(__xludf.DUMMYFUNCTION("""COMPUTED_VALUE"""),"EEC")</f>
        <v>EEC</v>
      </c>
      <c r="D238" s="26" t="str">
        <f>IFERROR(__xludf.DUMMYFUNCTION("""COMPUTED_VALUE"""),"NA")</f>
        <v>NA</v>
      </c>
      <c r="E238" s="26" t="str">
        <f>IFERROR(__xludf.DUMMYFUNCTION("""COMPUTED_VALUE"""),"19EY702")</f>
        <v>19EY702</v>
      </c>
      <c r="F238" s="27" t="str">
        <f>IFERROR(__xludf.DUMMYFUNCTION("""COMPUTED_VALUE"""),"Creative Skills for Communication")</f>
        <v>Creative Skills for Communication</v>
      </c>
      <c r="G238" s="26" t="str">
        <f>IFERROR(__xludf.DUMMYFUNCTION("""COMPUTED_VALUE"""),"-")</f>
        <v>-</v>
      </c>
      <c r="H238" s="26">
        <f>IFERROR(__xludf.DUMMYFUNCTION("""COMPUTED_VALUE"""),0)</f>
        <v>0</v>
      </c>
      <c r="I238" s="26">
        <f>IFERROR(__xludf.DUMMYFUNCTION("""COMPUTED_VALUE"""),1)</f>
        <v>1</v>
      </c>
      <c r="J238" s="26">
        <f>IFERROR(__xludf.DUMMYFUNCTION("""COMPUTED_VALUE"""),1)</f>
        <v>1</v>
      </c>
      <c r="K238" s="26" t="str">
        <f>IFERROR(__xludf.DUMMYFUNCTION("""COMPUTED_VALUE"""),"CGPA")</f>
        <v>CGPA</v>
      </c>
      <c r="L238" s="26" t="str">
        <f>IFERROR(__xludf.DUMMYFUNCTION("""COMPUTED_VALUE"""),"Practical (6 Expts)")</f>
        <v>Practical (6 Expts)</v>
      </c>
      <c r="M238" s="26"/>
      <c r="N238" s="26"/>
      <c r="O238" s="26"/>
      <c r="P238" s="26"/>
      <c r="Q238" s="26"/>
      <c r="R238" s="26"/>
    </row>
    <row r="239" ht="13.2" spans="1:18">
      <c r="A239" s="26">
        <f>IFERROR(__xludf.DUMMYFUNCTION("""COMPUTED_VALUE"""),237)</f>
        <v>237</v>
      </c>
      <c r="B239" s="26" t="str">
        <f>IFERROR(__xludf.DUMMYFUNCTION("""COMPUTED_VALUE"""),"Any 1")</f>
        <v>Any 1</v>
      </c>
      <c r="C239" s="26" t="str">
        <f>IFERROR(__xludf.DUMMYFUNCTION("""COMPUTED_VALUE"""),"EEC")</f>
        <v>EEC</v>
      </c>
      <c r="D239" s="26" t="str">
        <f>IFERROR(__xludf.DUMMYFUNCTION("""COMPUTED_VALUE"""),"SH6709")</f>
        <v>SH6709</v>
      </c>
      <c r="E239" s="26" t="str">
        <f>IFERROR(__xludf.DUMMYFUNCTION("""COMPUTED_VALUE"""),"19EY709")</f>
        <v>19EY709</v>
      </c>
      <c r="F239" s="27" t="str">
        <f>IFERROR(__xludf.DUMMYFUNCTION("""COMPUTED_VALUE"""),"Reasoning Ability")</f>
        <v>Reasoning Ability</v>
      </c>
      <c r="G239" s="26" t="str">
        <f>IFERROR(__xludf.DUMMYFUNCTION("""COMPUTED_VALUE"""),"NIL")</f>
        <v>NIL</v>
      </c>
      <c r="H239" s="26">
        <f>IFERROR(__xludf.DUMMYFUNCTION("""COMPUTED_VALUE"""),1)</f>
        <v>1</v>
      </c>
      <c r="I239" s="26">
        <f>IFERROR(__xludf.DUMMYFUNCTION("""COMPUTED_VALUE"""),0)</f>
        <v>0</v>
      </c>
      <c r="J239" s="26">
        <f>IFERROR(__xludf.DUMMYFUNCTION("""COMPUTED_VALUE"""),1)</f>
        <v>1</v>
      </c>
      <c r="K239" s="26" t="str">
        <f>IFERROR(__xludf.DUMMYFUNCTION("""COMPUTED_VALUE"""),"CGPA")</f>
        <v>CGPA</v>
      </c>
      <c r="L239" s="26" t="str">
        <f>IFERROR(__xludf.DUMMYFUNCTION("""COMPUTED_VALUE"""),"Theory (Int Only)")</f>
        <v>Theory (Int Only)</v>
      </c>
      <c r="M239" s="26"/>
      <c r="N239" s="26"/>
      <c r="O239" s="26"/>
      <c r="P239" s="26"/>
      <c r="Q239" s="26"/>
      <c r="R239" s="26"/>
    </row>
    <row r="240" ht="13.2" spans="1:18">
      <c r="A240" s="26">
        <f>IFERROR(__xludf.DUMMYFUNCTION("""COMPUTED_VALUE"""),238)</f>
        <v>238</v>
      </c>
      <c r="B240" s="26" t="str">
        <f>IFERROR(__xludf.DUMMYFUNCTION("""COMPUTED_VALUE"""),"Option 1")</f>
        <v>Option 1</v>
      </c>
      <c r="C240" s="26" t="str">
        <f>IFERROR(__xludf.DUMMYFUNCTION("""COMPUTED_VALUE"""),"EEC")</f>
        <v>EEC</v>
      </c>
      <c r="D240" s="26" t="str">
        <f>IFERROR(__xludf.DUMMYFUNCTION("""COMPUTED_VALUE"""),"NA")</f>
        <v>NA</v>
      </c>
      <c r="E240" s="26" t="str">
        <f>IFERROR(__xludf.DUMMYFUNCTION("""COMPUTED_VALUE"""),"19EY703")</f>
        <v>19EY703</v>
      </c>
      <c r="F240" s="27" t="str">
        <f>IFERROR(__xludf.DUMMYFUNCTION("""COMPUTED_VALUE"""),"System of Numerical and Logical Terminologies")</f>
        <v>System of Numerical and Logical Terminologies</v>
      </c>
      <c r="G240" s="26" t="str">
        <f>IFERROR(__xludf.DUMMYFUNCTION("""COMPUTED_VALUE"""),"-")</f>
        <v>-</v>
      </c>
      <c r="H240" s="26">
        <f>IFERROR(__xludf.DUMMYFUNCTION("""COMPUTED_VALUE"""),0)</f>
        <v>0</v>
      </c>
      <c r="I240" s="26">
        <f>IFERROR(__xludf.DUMMYFUNCTION("""COMPUTED_VALUE"""),1)</f>
        <v>1</v>
      </c>
      <c r="J240" s="26">
        <f>IFERROR(__xludf.DUMMYFUNCTION("""COMPUTED_VALUE"""),1)</f>
        <v>1</v>
      </c>
      <c r="K240" s="26" t="str">
        <f>IFERROR(__xludf.DUMMYFUNCTION("""COMPUTED_VALUE"""),"CGPA")</f>
        <v>CGPA</v>
      </c>
      <c r="L240" s="26" t="str">
        <f>IFERROR(__xludf.DUMMYFUNCTION("""COMPUTED_VALUE"""),"Practical (6 Expts)")</f>
        <v>Practical (6 Expts)</v>
      </c>
      <c r="M240" s="26"/>
      <c r="N240" s="26"/>
      <c r="O240" s="26"/>
      <c r="P240" s="26"/>
      <c r="Q240" s="26"/>
      <c r="R240" s="26"/>
    </row>
    <row r="241" ht="13.2" spans="1:18">
      <c r="A241" s="26">
        <f>IFERROR(__xludf.DUMMYFUNCTION("""COMPUTED_VALUE"""),239)</f>
        <v>239</v>
      </c>
      <c r="B241" s="26" t="str">
        <f>IFERROR(__xludf.DUMMYFUNCTION("""COMPUTED_VALUE"""),"Option 1")</f>
        <v>Option 1</v>
      </c>
      <c r="C241" s="26" t="str">
        <f>IFERROR(__xludf.DUMMYFUNCTION("""COMPUTED_VALUE"""),"EEC")</f>
        <v>EEC</v>
      </c>
      <c r="D241" s="26" t="str">
        <f>IFERROR(__xludf.DUMMYFUNCTION("""COMPUTED_VALUE"""),"NA")</f>
        <v>NA</v>
      </c>
      <c r="E241" s="26" t="str">
        <f>IFERROR(__xludf.DUMMYFUNCTION("""COMPUTED_VALUE"""),"19EY704")</f>
        <v>19EY704</v>
      </c>
      <c r="F241" s="27" t="str">
        <f>IFERROR(__xludf.DUMMYFUNCTION("""COMPUTED_VALUE"""),"Advanced Quantitative and Logical Reasoning")</f>
        <v>Advanced Quantitative and Logical Reasoning</v>
      </c>
      <c r="G241" s="26" t="str">
        <f>IFERROR(__xludf.DUMMYFUNCTION("""COMPUTED_VALUE"""),"-")</f>
        <v>-</v>
      </c>
      <c r="H241" s="26">
        <f>IFERROR(__xludf.DUMMYFUNCTION("""COMPUTED_VALUE"""),0)</f>
        <v>0</v>
      </c>
      <c r="I241" s="26">
        <f>IFERROR(__xludf.DUMMYFUNCTION("""COMPUTED_VALUE"""),1)</f>
        <v>1</v>
      </c>
      <c r="J241" s="26">
        <f>IFERROR(__xludf.DUMMYFUNCTION("""COMPUTED_VALUE"""),1)</f>
        <v>1</v>
      </c>
      <c r="K241" s="26" t="str">
        <f>IFERROR(__xludf.DUMMYFUNCTION("""COMPUTED_VALUE"""),"CGPA")</f>
        <v>CGPA</v>
      </c>
      <c r="L241" s="26" t="str">
        <f>IFERROR(__xludf.DUMMYFUNCTION("""COMPUTED_VALUE"""),"Practical (6 Expts)")</f>
        <v>Practical (6 Expts)</v>
      </c>
      <c r="M241" s="26"/>
      <c r="N241" s="26"/>
      <c r="O241" s="26"/>
      <c r="P241" s="26"/>
      <c r="Q241" s="26"/>
      <c r="R241" s="26"/>
    </row>
    <row r="242" ht="13.2" spans="1:18">
      <c r="A242" s="26">
        <f>IFERROR(__xludf.DUMMYFUNCTION("""COMPUTED_VALUE"""),240)</f>
        <v>240</v>
      </c>
      <c r="B242" s="26" t="str">
        <f>IFERROR(__xludf.DUMMYFUNCTION("""COMPUTED_VALUE"""),"Option 2")</f>
        <v>Option 2</v>
      </c>
      <c r="C242" s="26" t="str">
        <f>IFERROR(__xludf.DUMMYFUNCTION("""COMPUTED_VALUE"""),"EEC")</f>
        <v>EEC</v>
      </c>
      <c r="D242" s="26" t="str">
        <f>IFERROR(__xludf.DUMMYFUNCTION("""COMPUTED_VALUE"""),"SH6710")</f>
        <v>SH6710</v>
      </c>
      <c r="E242" s="26" t="str">
        <f>IFERROR(__xludf.DUMMYFUNCTION("""COMPUTED_VALUE"""),"19EY710")</f>
        <v>19EY710</v>
      </c>
      <c r="F242" s="27" t="str">
        <f>IFERROR(__xludf.DUMMYFUNCTION("""COMPUTED_VALUE"""),"Quantitative Ability I")</f>
        <v>Quantitative Ability I</v>
      </c>
      <c r="G242" s="26" t="str">
        <f>IFERROR(__xludf.DUMMYFUNCTION("""COMPUTED_VALUE"""),"NIL")</f>
        <v>NIL</v>
      </c>
      <c r="H242" s="26">
        <f>IFERROR(__xludf.DUMMYFUNCTION("""COMPUTED_VALUE"""),1)</f>
        <v>1</v>
      </c>
      <c r="I242" s="26">
        <f>IFERROR(__xludf.DUMMYFUNCTION("""COMPUTED_VALUE"""),0)</f>
        <v>0</v>
      </c>
      <c r="J242" s="26">
        <f>IFERROR(__xludf.DUMMYFUNCTION("""COMPUTED_VALUE"""),1)</f>
        <v>1</v>
      </c>
      <c r="K242" s="26" t="str">
        <f>IFERROR(__xludf.DUMMYFUNCTION("""COMPUTED_VALUE"""),"CGPA")</f>
        <v>CGPA</v>
      </c>
      <c r="L242" s="26" t="str">
        <f>IFERROR(__xludf.DUMMYFUNCTION("""COMPUTED_VALUE"""),"Theory (Int Only)")</f>
        <v>Theory (Int Only)</v>
      </c>
      <c r="M242" s="26"/>
      <c r="N242" s="26"/>
      <c r="O242" s="26"/>
      <c r="P242" s="26"/>
      <c r="Q242" s="26"/>
      <c r="R242" s="26"/>
    </row>
    <row r="243" ht="13.2" spans="1:18">
      <c r="A243" s="26">
        <f>IFERROR(__xludf.DUMMYFUNCTION("""COMPUTED_VALUE"""),241)</f>
        <v>241</v>
      </c>
      <c r="B243" s="26" t="str">
        <f>IFERROR(__xludf.DUMMYFUNCTION("""COMPUTED_VALUE"""),"Option 2")</f>
        <v>Option 2</v>
      </c>
      <c r="C243" s="26" t="str">
        <f>IFERROR(__xludf.DUMMYFUNCTION("""COMPUTED_VALUE"""),"EEC")</f>
        <v>EEC</v>
      </c>
      <c r="D243" s="26" t="str">
        <f>IFERROR(__xludf.DUMMYFUNCTION("""COMPUTED_VALUE"""),"SH6711")</f>
        <v>SH6711</v>
      </c>
      <c r="E243" s="26" t="str">
        <f>IFERROR(__xludf.DUMMYFUNCTION("""COMPUTED_VALUE"""),"19EY711")</f>
        <v>19EY711</v>
      </c>
      <c r="F243" s="27" t="str">
        <f>IFERROR(__xludf.DUMMYFUNCTION("""COMPUTED_VALUE"""),"Quantitative Ability II")</f>
        <v>Quantitative Ability II</v>
      </c>
      <c r="G243" s="26" t="str">
        <f>IFERROR(__xludf.DUMMYFUNCTION("""COMPUTED_VALUE"""),"SH6710 /19EY710")</f>
        <v>SH6710 /19EY710</v>
      </c>
      <c r="H243" s="26">
        <f>IFERROR(__xludf.DUMMYFUNCTION("""COMPUTED_VALUE"""),1)</f>
        <v>1</v>
      </c>
      <c r="I243" s="26">
        <f>IFERROR(__xludf.DUMMYFUNCTION("""COMPUTED_VALUE"""),0)</f>
        <v>0</v>
      </c>
      <c r="J243" s="26">
        <f>IFERROR(__xludf.DUMMYFUNCTION("""COMPUTED_VALUE"""),1)</f>
        <v>1</v>
      </c>
      <c r="K243" s="26" t="str">
        <f>IFERROR(__xludf.DUMMYFUNCTION("""COMPUTED_VALUE"""),"CGPA")</f>
        <v>CGPA</v>
      </c>
      <c r="L243" s="26" t="str">
        <f>IFERROR(__xludf.DUMMYFUNCTION("""COMPUTED_VALUE"""),"Theory (Int Only)")</f>
        <v>Theory (Int Only)</v>
      </c>
      <c r="M243" s="26"/>
      <c r="N243" s="26"/>
      <c r="O243" s="26"/>
      <c r="P243" s="26"/>
      <c r="Q243" s="26"/>
      <c r="R243" s="26"/>
    </row>
    <row r="244" ht="13.2" spans="1:18">
      <c r="A244" s="26">
        <f>IFERROR(__xludf.DUMMYFUNCTION("""COMPUTED_VALUE"""),242)</f>
        <v>242</v>
      </c>
      <c r="B244" s="26" t="str">
        <f>IFERROR(__xludf.DUMMYFUNCTION("""COMPUTED_VALUE"""),"Any 1")</f>
        <v>Any 1</v>
      </c>
      <c r="C244" s="26" t="str">
        <f>IFERROR(__xludf.DUMMYFUNCTION("""COMPUTED_VALUE"""),"EEC")</f>
        <v>EEC</v>
      </c>
      <c r="D244" s="26" t="str">
        <f>IFERROR(__xludf.DUMMYFUNCTION("""COMPUTED_VALUE"""),"NA")</f>
        <v>NA</v>
      </c>
      <c r="E244" s="26" t="str">
        <f>IFERROR(__xludf.DUMMYFUNCTION("""COMPUTED_VALUE"""),"19EY705")</f>
        <v>19EY705</v>
      </c>
      <c r="F244" s="27" t="str">
        <f>IFERROR(__xludf.DUMMYFUNCTION("""COMPUTED_VALUE"""),"Employment Enhancement Skills")</f>
        <v>Employment Enhancement Skills</v>
      </c>
      <c r="G244" s="26" t="str">
        <f>IFERROR(__xludf.DUMMYFUNCTION("""COMPUTED_VALUE"""),"-")</f>
        <v>-</v>
      </c>
      <c r="H244" s="26">
        <f>IFERROR(__xludf.DUMMYFUNCTION("""COMPUTED_VALUE"""),0)</f>
        <v>0</v>
      </c>
      <c r="I244" s="26">
        <f>IFERROR(__xludf.DUMMYFUNCTION("""COMPUTED_VALUE"""),1)</f>
        <v>1</v>
      </c>
      <c r="J244" s="26">
        <f>IFERROR(__xludf.DUMMYFUNCTION("""COMPUTED_VALUE"""),1)</f>
        <v>1</v>
      </c>
      <c r="K244" s="26" t="str">
        <f>IFERROR(__xludf.DUMMYFUNCTION("""COMPUTED_VALUE"""),"CGPA")</f>
        <v>CGPA</v>
      </c>
      <c r="L244" s="26" t="str">
        <f>IFERROR(__xludf.DUMMYFUNCTION("""COMPUTED_VALUE"""),"Practical (6 Expts)")</f>
        <v>Practical (6 Expts)</v>
      </c>
      <c r="M244" s="26"/>
      <c r="N244" s="26"/>
      <c r="O244" s="26"/>
      <c r="P244" s="26"/>
      <c r="Q244" s="26"/>
      <c r="R244" s="26"/>
    </row>
    <row r="245" ht="13.2" spans="1:18">
      <c r="A245" s="26">
        <f>IFERROR(__xludf.DUMMYFUNCTION("""COMPUTED_VALUE"""),243)</f>
        <v>243</v>
      </c>
      <c r="B245" s="26" t="str">
        <f>IFERROR(__xludf.DUMMYFUNCTION("""COMPUTED_VALUE"""),"Any 1")</f>
        <v>Any 1</v>
      </c>
      <c r="C245" s="26" t="str">
        <f>IFERROR(__xludf.DUMMYFUNCTION("""COMPUTED_VALUE"""),"EEC")</f>
        <v>EEC</v>
      </c>
      <c r="D245" s="26" t="str">
        <f>IFERROR(__xludf.DUMMYFUNCTION("""COMPUTED_VALUE"""),"SH6712")</f>
        <v>SH6712</v>
      </c>
      <c r="E245" s="26" t="str">
        <f>IFERROR(__xludf.DUMMYFUNCTION("""COMPUTED_VALUE"""),"19EY712")</f>
        <v>19EY712</v>
      </c>
      <c r="F245" s="27" t="str">
        <f>IFERROR(__xludf.DUMMYFUNCTION("""COMPUTED_VALUE"""),"Employment Enrichment Skills")</f>
        <v>Employment Enrichment Skills</v>
      </c>
      <c r="G245" s="26" t="str">
        <f>IFERROR(__xludf.DUMMYFUNCTION("""COMPUTED_VALUE"""),"19EY702 / 19EY709 / SH6709")</f>
        <v>19EY702 / 19EY709 / SH6709</v>
      </c>
      <c r="H245" s="26">
        <f>IFERROR(__xludf.DUMMYFUNCTION("""COMPUTED_VALUE"""),1)</f>
        <v>1</v>
      </c>
      <c r="I245" s="26">
        <f>IFERROR(__xludf.DUMMYFUNCTION("""COMPUTED_VALUE"""),0)</f>
        <v>0</v>
      </c>
      <c r="J245" s="26">
        <f>IFERROR(__xludf.DUMMYFUNCTION("""COMPUTED_VALUE"""),1)</f>
        <v>1</v>
      </c>
      <c r="K245" s="26" t="str">
        <f>IFERROR(__xludf.DUMMYFUNCTION("""COMPUTED_VALUE"""),"CGPA")</f>
        <v>CGPA</v>
      </c>
      <c r="L245" s="26" t="str">
        <f>IFERROR(__xludf.DUMMYFUNCTION("""COMPUTED_VALUE"""),"Theory (Int Only)")</f>
        <v>Theory (Int Only)</v>
      </c>
      <c r="M245" s="26"/>
      <c r="N245" s="26"/>
      <c r="O245" s="26"/>
      <c r="P245" s="26"/>
      <c r="Q245" s="26"/>
      <c r="R245" s="26"/>
    </row>
    <row r="246" ht="13.2" spans="1:18">
      <c r="A246" s="26">
        <f>IFERROR(__xludf.DUMMYFUNCTION("""COMPUTED_VALUE"""),244)</f>
        <v>244</v>
      </c>
      <c r="B246" s="26" t="str">
        <f>IFERROR(__xludf.DUMMYFUNCTION("""COMPUTED_VALUE"""),"Any 1")</f>
        <v>Any 1</v>
      </c>
      <c r="C246" s="26" t="str">
        <f>IFERROR(__xludf.DUMMYFUNCTION("""COMPUTED_VALUE"""),"EEC")</f>
        <v>EEC</v>
      </c>
      <c r="D246" s="26" t="str">
        <f>IFERROR(__xludf.DUMMYFUNCTION("""COMPUTED_VALUE"""),"NA")</f>
        <v>NA</v>
      </c>
      <c r="E246" s="26" t="str">
        <f>IFERROR(__xludf.DUMMYFUNCTION("""COMPUTED_VALUE"""),"19EY706")</f>
        <v>19EY706</v>
      </c>
      <c r="F246" s="27" t="str">
        <f>IFERROR(__xludf.DUMMYFUNCTION("""COMPUTED_VALUE"""),"Company Specific Assessments For Employability")</f>
        <v>Company Specific Assessments For Employability</v>
      </c>
      <c r="G246" s="26" t="str">
        <f>IFERROR(__xludf.DUMMYFUNCTION("""COMPUTED_VALUE"""),"-")</f>
        <v>-</v>
      </c>
      <c r="H246" s="26">
        <f>IFERROR(__xludf.DUMMYFUNCTION("""COMPUTED_VALUE"""),0)</f>
        <v>0</v>
      </c>
      <c r="I246" s="26">
        <f>IFERROR(__xludf.DUMMYFUNCTION("""COMPUTED_VALUE"""),1)</f>
        <v>1</v>
      </c>
      <c r="J246" s="26">
        <f>IFERROR(__xludf.DUMMYFUNCTION("""COMPUTED_VALUE"""),1)</f>
        <v>1</v>
      </c>
      <c r="K246" s="26" t="str">
        <f>IFERROR(__xludf.DUMMYFUNCTION("""COMPUTED_VALUE"""),"CGPA")</f>
        <v>CGPA</v>
      </c>
      <c r="L246" s="26" t="str">
        <f>IFERROR(__xludf.DUMMYFUNCTION("""COMPUTED_VALUE"""),"Practical (6 Expts)")</f>
        <v>Practical (6 Expts)</v>
      </c>
      <c r="M246" s="26"/>
      <c r="N246" s="26"/>
      <c r="O246" s="26"/>
      <c r="P246" s="26"/>
      <c r="Q246" s="26"/>
      <c r="R246" s="26"/>
    </row>
    <row r="247" ht="13.2" spans="1:18">
      <c r="A247" s="26">
        <f>IFERROR(__xludf.DUMMYFUNCTION("""COMPUTED_VALUE"""),245)</f>
        <v>245</v>
      </c>
      <c r="B247" s="26" t="str">
        <f>IFERROR(__xludf.DUMMYFUNCTION("""COMPUTED_VALUE"""),"Any 1")</f>
        <v>Any 1</v>
      </c>
      <c r="C247" s="26"/>
      <c r="D247" s="26" t="str">
        <f>IFERROR(__xludf.DUMMYFUNCTION("""COMPUTED_VALUE"""),"SH6713")</f>
        <v>SH6713</v>
      </c>
      <c r="E247" s="26" t="str">
        <f>IFERROR(__xludf.DUMMYFUNCTION("""COMPUTED_VALUE"""),"19EY713")</f>
        <v>19EY713</v>
      </c>
      <c r="F247" s="27" t="str">
        <f>IFERROR(__xludf.DUMMYFUNCTION("""COMPUTED_VALUE"""),"Placement Readiness Assessment")</f>
        <v>Placement Readiness Assessment</v>
      </c>
      <c r="G247" s="26" t="str">
        <f>IFERROR(__xludf.DUMMYFUNCTION("""COMPUTED_VALUE"""),"19EY704 / 19EY711/SH6711")</f>
        <v>19EY704 / 19EY711/SH6711</v>
      </c>
      <c r="H247" s="26">
        <f>IFERROR(__xludf.DUMMYFUNCTION("""COMPUTED_VALUE"""),1)</f>
        <v>1</v>
      </c>
      <c r="I247" s="26">
        <f>IFERROR(__xludf.DUMMYFUNCTION("""COMPUTED_VALUE"""),0)</f>
        <v>0</v>
      </c>
      <c r="J247" s="26">
        <f>IFERROR(__xludf.DUMMYFUNCTION("""COMPUTED_VALUE"""),1)</f>
        <v>1</v>
      </c>
      <c r="K247" s="26" t="str">
        <f>IFERROR(__xludf.DUMMYFUNCTION("""COMPUTED_VALUE"""),"CGPA")</f>
        <v>CGPA</v>
      </c>
      <c r="L247" s="26" t="str">
        <f>IFERROR(__xludf.DUMMYFUNCTION("""COMPUTED_VALUE"""),"Theory (Int Only)")</f>
        <v>Theory (Int Only)</v>
      </c>
      <c r="M247" s="26"/>
      <c r="N247" s="26"/>
      <c r="O247" s="26"/>
      <c r="P247" s="26"/>
      <c r="Q247" s="26"/>
      <c r="R247" s="26"/>
    </row>
    <row r="248" ht="13.2" spans="1:18">
      <c r="A248" s="26">
        <f>IFERROR(__xludf.DUMMYFUNCTION("""COMPUTED_VALUE"""),246)</f>
        <v>246</v>
      </c>
      <c r="B248" s="26"/>
      <c r="C248" s="26" t="str">
        <f>IFERROR(__xludf.DUMMYFUNCTION("""COMPUTED_VALUE"""),"EEC")</f>
        <v>EEC</v>
      </c>
      <c r="D248" s="26" t="str">
        <f>IFERROR(__xludf.DUMMYFUNCTION("""COMPUTED_VALUE"""),"SH6707")</f>
        <v>SH6707</v>
      </c>
      <c r="E248" s="26" t="str">
        <f>IFERROR(__xludf.DUMMYFUNCTION("""COMPUTED_VALUE"""),"19EY707")</f>
        <v>19EY707</v>
      </c>
      <c r="F248" s="27" t="str">
        <f>IFERROR(__xludf.DUMMYFUNCTION("""COMPUTED_VALUE"""),"Paper Publication")</f>
        <v>Paper Publication</v>
      </c>
      <c r="G248" s="26" t="str">
        <f>IFERROR(__xludf.DUMMYFUNCTION("""COMPUTED_VALUE"""),"-")</f>
        <v>-</v>
      </c>
      <c r="H248" s="26">
        <f>IFERROR(__xludf.DUMMYFUNCTION("""COMPUTED_VALUE"""),0)</f>
        <v>0</v>
      </c>
      <c r="I248" s="26">
        <f>IFERROR(__xludf.DUMMYFUNCTION("""COMPUTED_VALUE"""),0)</f>
        <v>0</v>
      </c>
      <c r="J248" s="26">
        <f>IFERROR(__xludf.DUMMYFUNCTION("""COMPUTED_VALUE"""),1)</f>
        <v>1</v>
      </c>
      <c r="K248" s="26" t="str">
        <f>IFERROR(__xludf.DUMMYFUNCTION("""COMPUTED_VALUE"""),"NON-CGPA")</f>
        <v>NON-CGPA</v>
      </c>
      <c r="L248" s="26" t="str">
        <f>IFERROR(__xludf.DUMMYFUNCTION("""COMPUTED_VALUE"""),"Experiential Learning (Int Only)")</f>
        <v>Experiential Learning (Int Only)</v>
      </c>
      <c r="M248" s="26"/>
      <c r="N248" s="26"/>
      <c r="O248" s="26"/>
      <c r="P248" s="26"/>
      <c r="Q248" s="26"/>
      <c r="R248" s="26"/>
    </row>
    <row r="249" ht="13.2" spans="1:18">
      <c r="A249" s="26">
        <f>IFERROR(__xludf.DUMMYFUNCTION("""COMPUTED_VALUE"""),247)</f>
        <v>247</v>
      </c>
      <c r="B249" s="26"/>
      <c r="C249" s="26" t="str">
        <f>IFERROR(__xludf.DUMMYFUNCTION("""COMPUTED_VALUE"""),"MC")</f>
        <v>MC</v>
      </c>
      <c r="D249" s="26" t="str">
        <f>IFERROR(__xludf.DUMMYFUNCTION("""COMPUTED_VALUE"""),"NA")</f>
        <v>NA</v>
      </c>
      <c r="E249" s="26" t="str">
        <f>IFERROR(__xludf.DUMMYFUNCTION("""COMPUTED_VALUE"""),"19MC803")</f>
        <v>19MC803</v>
      </c>
      <c r="F249" s="27" t="str">
        <f>IFERROR(__xludf.DUMMYFUNCTION("""COMPUTED_VALUE"""),"Constitution of India")</f>
        <v>Constitution of India</v>
      </c>
      <c r="G249" s="26" t="str">
        <f>IFERROR(__xludf.DUMMYFUNCTION("""COMPUTED_VALUE"""),"-")</f>
        <v>-</v>
      </c>
      <c r="H249" s="26">
        <f>IFERROR(__xludf.DUMMYFUNCTION("""COMPUTED_VALUE"""),0)</f>
        <v>0</v>
      </c>
      <c r="I249" s="26">
        <f>IFERROR(__xludf.DUMMYFUNCTION("""COMPUTED_VALUE"""),0)</f>
        <v>0</v>
      </c>
      <c r="J249" s="26">
        <f>IFERROR(__xludf.DUMMYFUNCTION("""COMPUTED_VALUE"""),0)</f>
        <v>0</v>
      </c>
      <c r="K249" s="26" t="str">
        <f>IFERROR(__xludf.DUMMYFUNCTION("""COMPUTED_VALUE"""),"CGPA")</f>
        <v>CGPA</v>
      </c>
      <c r="L249" s="26" t="str">
        <f>IFERROR(__xludf.DUMMYFUNCTION("""COMPUTED_VALUE"""),"Theory (Int Only)")</f>
        <v>Theory (Int Only)</v>
      </c>
      <c r="M249" s="26"/>
      <c r="N249" s="26"/>
      <c r="O249" s="26"/>
      <c r="P249" s="26"/>
      <c r="Q249" s="26"/>
      <c r="R249" s="26"/>
    </row>
    <row r="250" ht="13.2" spans="1:18">
      <c r="A250" s="26">
        <f>IFERROR(__xludf.DUMMYFUNCTION("""COMPUTED_VALUE"""),248)</f>
        <v>248</v>
      </c>
      <c r="B250" s="26"/>
      <c r="C250" s="26" t="str">
        <f>IFERROR(__xludf.DUMMYFUNCTION("""COMPUTED_VALUE"""),"MC")</f>
        <v>MC</v>
      </c>
      <c r="D250" s="26" t="str">
        <f>IFERROR(__xludf.DUMMYFUNCTION("""COMPUTED_VALUE"""),"SH8802")</f>
        <v>SH8802</v>
      </c>
      <c r="E250" s="26" t="str">
        <f>IFERROR(__xludf.DUMMYFUNCTION("""COMPUTED_VALUE"""),"NA")</f>
        <v>NA</v>
      </c>
      <c r="F250" s="27" t="str">
        <f>IFERROR(__xludf.DUMMYFUNCTION("""COMPUTED_VALUE"""),"Internship")</f>
        <v>Internship</v>
      </c>
      <c r="G250" s="26" t="str">
        <f>IFERROR(__xludf.DUMMYFUNCTION("""COMPUTED_VALUE"""),"-")</f>
        <v>-</v>
      </c>
      <c r="H250" s="26">
        <f>IFERROR(__xludf.DUMMYFUNCTION("""COMPUTED_VALUE"""),0)</f>
        <v>0</v>
      </c>
      <c r="I250" s="26">
        <f>IFERROR(__xludf.DUMMYFUNCTION("""COMPUTED_VALUE"""),0)</f>
        <v>0</v>
      </c>
      <c r="J250" s="26">
        <f>IFERROR(__xludf.DUMMYFUNCTION("""COMPUTED_VALUE"""),2)</f>
        <v>2</v>
      </c>
      <c r="K250" s="26" t="str">
        <f>IFERROR(__xludf.DUMMYFUNCTION("""COMPUTED_VALUE"""),"NON-CGPA")</f>
        <v>NON-CGPA</v>
      </c>
      <c r="L250" s="26" t="str">
        <f>IFERROR(__xludf.DUMMYFUNCTION("""COMPUTED_VALUE"""),"Experiential Learning (Int Only)")</f>
        <v>Experiential Learning (Int Only)</v>
      </c>
      <c r="M250" s="26"/>
      <c r="N250" s="26"/>
      <c r="O250" s="26"/>
      <c r="P250" s="26"/>
      <c r="Q250" s="26"/>
      <c r="R250" s="26"/>
    </row>
    <row r="251" ht="13.2" spans="1:18">
      <c r="A251" s="26">
        <f>IFERROR(__xludf.DUMMYFUNCTION("""COMPUTED_VALUE"""),249)</f>
        <v>249</v>
      </c>
      <c r="B251" s="26" t="str">
        <f>IFERROR(__xludf.DUMMYFUNCTION("""COMPUTED_VALUE"""),"Any 1")</f>
        <v>Any 1</v>
      </c>
      <c r="C251" s="26" t="str">
        <f>IFERROR(__xludf.DUMMYFUNCTION("""COMPUTED_VALUE"""),"MC")</f>
        <v>MC</v>
      </c>
      <c r="D251" s="26" t="str">
        <f>IFERROR(__xludf.DUMMYFUNCTION("""COMPUTED_VALUE"""),"SH6803")</f>
        <v>SH6803</v>
      </c>
      <c r="E251" s="26" t="str">
        <f>IFERROR(__xludf.DUMMYFUNCTION("""COMPUTED_VALUE"""),"19MC807")</f>
        <v>19MC807</v>
      </c>
      <c r="F251" s="26" t="str">
        <f>IFERROR(__xludf.DUMMYFUNCTION("""COMPUTED_VALUE"""),"National Service Scheme")</f>
        <v>National Service Scheme</v>
      </c>
      <c r="G251" s="26" t="str">
        <f>IFERROR(__xludf.DUMMYFUNCTION("""COMPUTED_VALUE"""),"-")</f>
        <v>-</v>
      </c>
      <c r="H251" s="26">
        <f>IFERROR(__xludf.DUMMYFUNCTION("""COMPUTED_VALUE"""),0)</f>
        <v>0</v>
      </c>
      <c r="I251" s="26">
        <f>IFERROR(__xludf.DUMMYFUNCTION("""COMPUTED_VALUE"""),0)</f>
        <v>0</v>
      </c>
      <c r="J251" s="26">
        <f>IFERROR(__xludf.DUMMYFUNCTION("""COMPUTED_VALUE"""),0)</f>
        <v>0</v>
      </c>
      <c r="K251" s="26" t="str">
        <f>IFERROR(__xludf.DUMMYFUNCTION("""COMPUTED_VALUE"""),"NON-CGPA")</f>
        <v>NON-CGPA</v>
      </c>
      <c r="L251" s="26" t="str">
        <f>IFERROR(__xludf.DUMMYFUNCTION("""COMPUTED_VALUE"""),"Experiential Learning (Int Only)")</f>
        <v>Experiential Learning (Int Only)</v>
      </c>
      <c r="M251" s="26"/>
      <c r="N251" s="26"/>
      <c r="O251" s="26"/>
      <c r="P251" s="26"/>
      <c r="Q251" s="26"/>
      <c r="R251" s="26"/>
    </row>
    <row r="252" ht="13.2" spans="1:18">
      <c r="A252" s="26">
        <f>IFERROR(__xludf.DUMMYFUNCTION("""COMPUTED_VALUE"""),250)</f>
        <v>250</v>
      </c>
      <c r="B252" s="26" t="str">
        <f>IFERROR(__xludf.DUMMYFUNCTION("""COMPUTED_VALUE"""),"Any 1")</f>
        <v>Any 1</v>
      </c>
      <c r="C252" s="26" t="str">
        <f>IFERROR(__xludf.DUMMYFUNCTION("""COMPUTED_VALUE"""),"MC")</f>
        <v>MC</v>
      </c>
      <c r="D252" s="26" t="str">
        <f>IFERROR(__xludf.DUMMYFUNCTION("""COMPUTED_VALUE"""),"SH8807")</f>
        <v>SH8807</v>
      </c>
      <c r="E252" s="26" t="str">
        <f>IFERROR(__xludf.DUMMYFUNCTION("""COMPUTED_VALUE"""),"19MC808")</f>
        <v>19MC808</v>
      </c>
      <c r="F252" s="26" t="str">
        <f>IFERROR(__xludf.DUMMYFUNCTION("""COMPUTED_VALUE"""),"National Sports Organization ")</f>
        <v>National Sports Organization </v>
      </c>
      <c r="G252" s="26" t="str">
        <f>IFERROR(__xludf.DUMMYFUNCTION("""COMPUTED_VALUE"""),"-")</f>
        <v>-</v>
      </c>
      <c r="H252" s="26">
        <f>IFERROR(__xludf.DUMMYFUNCTION("""COMPUTED_VALUE"""),0)</f>
        <v>0</v>
      </c>
      <c r="I252" s="26">
        <f>IFERROR(__xludf.DUMMYFUNCTION("""COMPUTED_VALUE"""),0)</f>
        <v>0</v>
      </c>
      <c r="J252" s="26">
        <f>IFERROR(__xludf.DUMMYFUNCTION("""COMPUTED_VALUE"""),0)</f>
        <v>0</v>
      </c>
      <c r="K252" s="26" t="str">
        <f>IFERROR(__xludf.DUMMYFUNCTION("""COMPUTED_VALUE"""),"NON-CGPA")</f>
        <v>NON-CGPA</v>
      </c>
      <c r="L252" s="26" t="str">
        <f>IFERROR(__xludf.DUMMYFUNCTION("""COMPUTED_VALUE"""),"Experiential Learning (Int Only)")</f>
        <v>Experiential Learning (Int Only)</v>
      </c>
      <c r="M252" s="26"/>
      <c r="N252" s="26"/>
      <c r="O252" s="26"/>
      <c r="P252" s="26"/>
      <c r="Q252" s="26"/>
      <c r="R252" s="26"/>
    </row>
    <row r="253" ht="13.2" spans="1:18">
      <c r="A253" s="26">
        <f>IFERROR(__xludf.DUMMYFUNCTION("""COMPUTED_VALUE"""),251)</f>
        <v>251</v>
      </c>
      <c r="B253" s="26" t="str">
        <f>IFERROR(__xludf.DUMMYFUNCTION("""COMPUTED_VALUE"""),"Any 1")</f>
        <v>Any 1</v>
      </c>
      <c r="C253" s="26" t="str">
        <f>IFERROR(__xludf.DUMMYFUNCTION("""COMPUTED_VALUE"""),"MC")</f>
        <v>MC</v>
      </c>
      <c r="D253" s="26" t="str">
        <f>IFERROR(__xludf.DUMMYFUNCTION("""COMPUTED_VALUE"""),"SH8808")</f>
        <v>SH8808</v>
      </c>
      <c r="E253" s="26" t="str">
        <f>IFERROR(__xludf.DUMMYFUNCTION("""COMPUTED_VALUE"""),"19MC809")</f>
        <v>19MC809</v>
      </c>
      <c r="F253" s="26" t="str">
        <f>IFERROR(__xludf.DUMMYFUNCTION("""COMPUTED_VALUE"""),"Youth Red Cross")</f>
        <v>Youth Red Cross</v>
      </c>
      <c r="G253" s="26" t="str">
        <f>IFERROR(__xludf.DUMMYFUNCTION("""COMPUTED_VALUE"""),"-")</f>
        <v>-</v>
      </c>
      <c r="H253" s="26">
        <f>IFERROR(__xludf.DUMMYFUNCTION("""COMPUTED_VALUE"""),0)</f>
        <v>0</v>
      </c>
      <c r="I253" s="26">
        <f>IFERROR(__xludf.DUMMYFUNCTION("""COMPUTED_VALUE"""),0)</f>
        <v>0</v>
      </c>
      <c r="J253" s="26">
        <f>IFERROR(__xludf.DUMMYFUNCTION("""COMPUTED_VALUE"""),0)</f>
        <v>0</v>
      </c>
      <c r="K253" s="26" t="str">
        <f>IFERROR(__xludf.DUMMYFUNCTION("""COMPUTED_VALUE"""),"NON-CGPA")</f>
        <v>NON-CGPA</v>
      </c>
      <c r="L253" s="26" t="str">
        <f>IFERROR(__xludf.DUMMYFUNCTION("""COMPUTED_VALUE"""),"Experiential Learning (Int Only)")</f>
        <v>Experiential Learning (Int Only)</v>
      </c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  <row r="832" ht="13.2" spans="1:18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</row>
    <row r="833" ht="13.2" spans="1:18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</row>
    <row r="834" ht="13.2" spans="1:18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</row>
    <row r="835" ht="13.2" spans="1:18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</row>
    <row r="836" ht="13.2" spans="1:18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</row>
    <row r="837" ht="13.2" spans="1:18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</row>
    <row r="838" ht="13.2" spans="1:1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</row>
    <row r="839" ht="13.2" spans="1:18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</row>
    <row r="840" ht="13.2" spans="1:18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</row>
    <row r="841" ht="13.2" spans="1:18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</row>
    <row r="842" ht="13.2" spans="1:18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</row>
    <row r="843" ht="13.2" spans="1:18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</row>
    <row r="844" ht="13.2" spans="1:18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</row>
    <row r="845" ht="13.2" spans="1:18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</row>
    <row r="846" ht="13.2" spans="1:18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</row>
    <row r="847" ht="13.2" spans="1:18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</row>
    <row r="848" ht="13.2" spans="1:1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</row>
    <row r="849" ht="13.2" spans="1:18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</row>
    <row r="850" ht="13.2" spans="1:18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</row>
    <row r="851" ht="13.2" spans="1:18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</row>
    <row r="852" ht="13.2" spans="1:18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</row>
    <row r="853" ht="13.2" spans="1:18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</row>
    <row r="854" ht="13.2" spans="1:18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</row>
    <row r="855" ht="13.2" spans="1:18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</row>
    <row r="856" ht="13.2" spans="1:18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ht="13.2" spans="1:18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ht="13.2" spans="1:1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ht="13.2" spans="1:18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ht="13.2" spans="1:18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ht="13.2" spans="1:18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ht="13.2" spans="1:18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</row>
    <row r="863" ht="13.2" spans="1:18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</row>
    <row r="864" ht="13.2" spans="1:18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</row>
    <row r="865" ht="13.2" spans="1:18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</row>
    <row r="866" ht="13.2" spans="1:18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</row>
    <row r="867" ht="13.2" spans="1:18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</row>
    <row r="868" ht="13.2" spans="1:1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</row>
    <row r="869" ht="13.2" spans="1:18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ht="13.2" spans="1:18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</row>
    <row r="871" ht="13.2" spans="1:18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</row>
    <row r="872" ht="13.2" spans="1:18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</row>
    <row r="873" ht="13.2" spans="1:18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</row>
    <row r="874" ht="13.2" spans="1:18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</row>
    <row r="875" ht="13.2" spans="1:18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</row>
    <row r="876" ht="13.2" spans="1:18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</row>
    <row r="877" ht="13.2" spans="1:18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</row>
    <row r="878" ht="13.2" spans="1:1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ht="13.2" spans="1:18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</row>
    <row r="880" ht="13.2" spans="1:18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</row>
    <row r="881" ht="13.2" spans="1:18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</row>
    <row r="882" ht="13.2" spans="1:18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</row>
    <row r="883" ht="13.2" spans="1:18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</row>
    <row r="884" ht="13.2" spans="1:18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</row>
    <row r="885" ht="13.2" spans="1:18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</row>
    <row r="886" ht="13.2" spans="1:18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</row>
    <row r="887" ht="13.2" spans="1:18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</row>
    <row r="888" ht="13.2" spans="1:1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</row>
    <row r="889" ht="13.2" spans="1:18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</row>
    <row r="890" ht="13.2" spans="1:18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</row>
    <row r="891" ht="13.2" spans="1:18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</row>
    <row r="892" ht="13.2" spans="1:18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</row>
    <row r="893" ht="13.2" spans="1:18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</row>
    <row r="894" ht="13.2" spans="1:18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</row>
    <row r="895" ht="13.2" spans="1:18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</row>
    <row r="896" ht="13.2" spans="1:18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ht="13.2" spans="1:18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</row>
    <row r="898" ht="13.2" spans="1:1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</row>
    <row r="899" ht="13.2" spans="1:18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</row>
    <row r="900" ht="13.2" spans="1:18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</row>
    <row r="901" ht="13.2" spans="1:18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</row>
    <row r="902" ht="13.2" spans="1:18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</row>
    <row r="903" ht="13.2" spans="1:18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</row>
    <row r="904" ht="13.2" spans="1:18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</row>
    <row r="905" ht="13.2" spans="1:18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</row>
    <row r="906" ht="13.2" spans="1:18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</row>
    <row r="907" ht="13.2" spans="1:18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</row>
    <row r="908" ht="13.2" spans="1:1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</row>
    <row r="909" ht="13.2" spans="1:18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</row>
    <row r="910" ht="13.2" spans="1:18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</row>
    <row r="911" ht="13.2" spans="1:18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</row>
    <row r="912" ht="13.2" spans="1:18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</row>
    <row r="913" ht="13.2" spans="1:18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</row>
    <row r="914" ht="13.2" spans="1:18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</row>
    <row r="915" ht="13.2" spans="1:18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</row>
    <row r="916" ht="13.2" spans="1:18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</row>
    <row r="917" ht="13.2" spans="1:18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</row>
    <row r="918" ht="13.2" spans="1:18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</row>
    <row r="919" ht="13.2" spans="1:18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</row>
    <row r="920" ht="13.2" spans="1:18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</row>
    <row r="921" ht="13.2" spans="1:18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</row>
    <row r="922" ht="13.2" spans="1:18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</row>
    <row r="923" ht="13.2" spans="1:18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</row>
    <row r="924" ht="13.2" spans="1:18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</row>
    <row r="925" ht="13.2" spans="1:18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</row>
    <row r="926" ht="13.2" spans="1:18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</row>
    <row r="927" ht="13.2" spans="1:18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</row>
    <row r="928" ht="13.2" spans="1:18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</row>
    <row r="929" ht="13.2" spans="1:18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</row>
    <row r="930" ht="13.2" spans="1:18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</row>
    <row r="931" ht="13.2" spans="1:18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</row>
    <row r="932" ht="13.2" spans="1:18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</row>
    <row r="933" ht="13.2" spans="1:18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</row>
    <row r="934" ht="13.2" spans="1:18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</row>
    <row r="935" ht="13.2" spans="1:18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</row>
    <row r="936" ht="13.2" spans="1:18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</row>
    <row r="937" ht="13.2" spans="1:18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</row>
    <row r="938" ht="13.2" spans="1:18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</row>
    <row r="939" ht="13.2" spans="1:18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</row>
    <row r="940" ht="13.2" spans="1:18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</row>
    <row r="941" ht="13.2" spans="1:18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</row>
    <row r="942" ht="13.2" spans="1:18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</row>
    <row r="943" ht="13.2" spans="1:18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</row>
    <row r="944" ht="13.2" spans="1:18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</row>
    <row r="945" ht="13.2" spans="1:18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</row>
    <row r="946" ht="13.2" spans="1:18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</row>
    <row r="947" ht="13.2" spans="1:18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</row>
    <row r="948" ht="13.2" spans="1:18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</row>
    <row r="949" ht="13.2" spans="1:18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</row>
    <row r="950" ht="13.2" spans="1:18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</row>
    <row r="951" ht="13.2" spans="1:18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</row>
    <row r="952" ht="13.2" spans="1:18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</row>
    <row r="953" ht="13.2" spans="1:18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</row>
    <row r="954" ht="13.2" spans="1:18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</row>
    <row r="955" ht="13.2" spans="1:18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</row>
    <row r="956" ht="13.2" spans="1:18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</row>
    <row r="957" ht="13.2" spans="1:18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</row>
    <row r="958" ht="13.2" spans="1:18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</row>
    <row r="959" ht="13.2" spans="1:18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</row>
    <row r="960" ht="13.2" spans="1:18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</row>
    <row r="961" ht="13.2" spans="1:18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</row>
    <row r="962" ht="13.2" spans="1:18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</row>
    <row r="963" ht="13.2" spans="1:18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</row>
    <row r="964" ht="13.2" spans="1:18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</row>
    <row r="965" ht="13.2" spans="1:18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</row>
    <row r="966" ht="13.2" spans="1:18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</row>
    <row r="967" ht="13.2" spans="1:18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</row>
    <row r="968" ht="13.2" spans="1:18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</row>
    <row r="969" ht="13.2" spans="1:18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</row>
    <row r="970" ht="13.2" spans="1:18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</row>
    <row r="971" ht="13.2" spans="1:18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</row>
    <row r="972" ht="13.2" spans="1:18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</row>
    <row r="973" ht="13.2" spans="1:18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</row>
    <row r="974" ht="13.2" spans="1:18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</row>
    <row r="975" ht="13.2" spans="1:18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</row>
    <row r="976" ht="13.2" spans="1:18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</row>
    <row r="977" ht="13.2" spans="1:18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</row>
    <row r="978" ht="13.2" spans="1:18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</row>
    <row r="979" ht="13.2" spans="1:18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</row>
    <row r="980" ht="13.2" spans="1:18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</row>
    <row r="981" ht="13.2" spans="1:18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</row>
    <row r="982" ht="13.2" spans="1:18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</row>
    <row r="983" ht="13.2" spans="1:18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</row>
    <row r="984" ht="13.2" spans="1:18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</row>
    <row r="985" ht="13.2" spans="1:18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</row>
    <row r="986" ht="13.2" spans="1:18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</row>
    <row r="987" ht="13.2" spans="1:18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</row>
    <row r="988" ht="13.2" spans="1:18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</row>
    <row r="989" ht="13.2" spans="1:18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</row>
    <row r="990" ht="13.2" spans="1:18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</row>
    <row r="991" ht="13.2" spans="1:18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</row>
    <row r="992" ht="13.2" spans="1:18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</row>
    <row r="993" ht="13.2" spans="1:18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</row>
    <row r="994" ht="13.2" spans="1:18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</row>
    <row r="995" ht="13.2" spans="1:18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</row>
    <row r="996" ht="13.2" spans="1:18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</row>
    <row r="997" ht="13.2" spans="1:18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</row>
    <row r="998" ht="13.2" spans="1:18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</row>
    <row r="999" ht="13.2" spans="1:18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Calculus and Matrix Algebra&quot;)"/>
    <hyperlink ref="F12" r:id="rId11" display="=IFERROR(@__xludf.DUMMYFUNCTION(&quot;&quot;&quot;COMPUTED_VALUE&quot;&quot;&quot;),&quot;Logic and Combinatorics&quot;)"/>
    <hyperlink ref="F13" r:id="rId12" display="=IFERROR(@__xludf.DUMMYFUNCTION(&quot;&quot;&quot;COMPUTED_VALUE&quot;&quot;&quot;),&quot;Probability and Queueing Models&quot;)"/>
    <hyperlink ref="F14" r:id="rId13" display="=IFERROR(@__xludf.DUMMYFUNCTION(&quot;&quot;&quot;COMPUTED_VALUE&quot;&quot;&quot;),&quot;Algebra and Number Theory&quot;)"/>
    <hyperlink ref="F15" r:id="rId14" display="=IFERROR(@__xludf.DUMMYFUNCTION(&quot;&quot;&quot;COMPUTED_VALUE&quot;&quot;&quot;),&quot;Physics for Quantum Computing&quot;)"/>
    <hyperlink ref="F16" r:id="rId15" display="=IFERROR(@__xludf.DUMMYFUNCTION(&quot;&quot;&quot;COMPUTED_VALUE&quot;&quot;&quot;),&quot;Principles of Chemistry in Engineering&quot;)"/>
    <hyperlink ref="F17" r:id="rId16" display="=IFERROR(@__xludf.DUMMYFUNCTION(&quot;&quot;&quot;COMPUTED_VALUE&quot;&quot;&quot;),&quot;Python Programming&quot;)"/>
    <hyperlink ref="F18" r:id="rId17" display="=IFERROR(@__xludf.DUMMYFUNCTION(&quot;&quot;&quot;COMPUTED_VALUE&quot;&quot;&quot;),&quot;Engineering Design and Modelling&quot;)"/>
    <hyperlink ref="F19" r:id="rId18" display="=IFERROR(@__xludf.DUMMYFUNCTION(&quot;&quot;&quot;COMPUTED_VALUE&quot;&quot;&quot;),&quot;Digital Electronics&quot;)"/>
    <hyperlink ref="F20" r:id="rId19" display="=IFERROR(@__xludf.DUMMYFUNCTION(&quot;&quot;&quot;COMPUTED_VALUE&quot;&quot;&quot;),&quot;Basic Electrical, Electronics and Measurement Engineering&quot;)"/>
    <hyperlink ref="F21" r:id="rId20" display="=IFERROR(@__xludf.DUMMYFUNCTION(&quot;&quot;&quot;COMPUTED_VALUE&quot;&quot;&quot;),&quot;Object Oriented Programming using Java&quot;)"/>
    <hyperlink ref="F22" r:id="rId21" display="=IFERROR(@__xludf.DUMMYFUNCTION(&quot;&quot;&quot;COMPUTED_VALUE&quot;&quot;&quot;),&quot;Fundamentals of C Programming&quot;)"/>
    <hyperlink ref="F23" r:id="rId22" display="=IFERROR(@__xludf.DUMMYFUNCTION(&quot;&quot;&quot;COMPUTED_VALUE&quot;&quot;&quot;),&quot;Advanced C Programming&quot;)"/>
    <hyperlink ref="F24" r:id="rId23" display="=IFERROR(@__xludf.DUMMYFUNCTION(&quot;&quot;&quot;COMPUTED_VALUE&quot;&quot;&quot;),&quot;Computer Architecture&quot;)"/>
    <hyperlink ref="F25" r:id="rId24" display="=IFERROR(@__xludf.DUMMYFUNCTION(&quot;&quot;&quot;COMPUTED_VALUE&quot;&quot;&quot;),&quot;Analysis of Algorithms&quot;)"/>
    <hyperlink ref="F26" r:id="rId25" display="=IFERROR(@__xludf.DUMMYFUNCTION(&quot;&quot;&quot;COMPUTED_VALUE&quot;&quot;&quot;),&quot;Fundamentals of Artificial Intelligence&quot;)"/>
    <hyperlink ref="F27" r:id="rId26" display="=IFERROR(@__xludf.DUMMYFUNCTION(&quot;&quot;&quot;COMPUTED_VALUE&quot;&quot;&quot;),&quot;Data Structures&quot;)"/>
    <hyperlink ref="F28" r:id="rId27" display="=IFERROR(@__xludf.DUMMYFUNCTION(&quot;&quot;&quot;COMPUTED_VALUE&quot;&quot;&quot;),&quot;Introduction to Machine Learning&quot;)"/>
    <hyperlink ref="F29" r:id="rId28" display="=IFERROR(@__xludf.DUMMYFUNCTION(&quot;&quot;&quot;COMPUTED_VALUE&quot;&quot;&quot;),&quot;Fundamentals of Web Application Development&quot;)"/>
    <hyperlink ref="F30" r:id="rId29" display="=IFERROR(@__xludf.DUMMYFUNCTION(&quot;&quot;&quot;COMPUTED_VALUE&quot;&quot;&quot;),&quot;Mobile User Interface Development&quot;)"/>
    <hyperlink ref="F31" r:id="rId30" display="=IFERROR(@__xludf.DUMMYFUNCTION(&quot;&quot;&quot;COMPUTED_VALUE&quot;&quot;&quot;),&quot;Programming Mobile Devices&quot;)"/>
    <hyperlink ref="F32" r:id="rId31" display="=IFERROR(@__xludf.DUMMYFUNCTION(&quot;&quot;&quot;COMPUTED_VALUE&quot;&quot;&quot;),&quot;Cloud Computing&quot;)"/>
    <hyperlink ref="F33" r:id="rId32" display="=IFERROR(@__xludf.DUMMYFUNCTION(&quot;&quot;&quot;COMPUTED_VALUE&quot;&quot;&quot;),&quot;Web Server Programming&quot;)"/>
    <hyperlink ref="F34" r:id="rId33" display="=IFERROR(@__xludf.DUMMYFUNCTION(&quot;&quot;&quot;COMPUTED_VALUE&quot;&quot;&quot;),&quot;Advanced Java Web Applications&quot;)"/>
    <hyperlink ref="F35" r:id="rId34" display="=IFERROR(@__xludf.DUMMYFUNCTION(&quot;&quot;&quot;COMPUTED_VALUE&quot;&quot;&quot;),&quot;Cloud Native App Development&quot;)"/>
    <hyperlink ref="F36" r:id="rId35" display="=IFERROR(@__xludf.DUMMYFUNCTION(&quot;&quot;&quot;COMPUTED_VALUE&quot;&quot;&quot;),&quot;Modern Web Application Development&quot;)"/>
    <hyperlink ref="F37" r:id="rId36" display="=IFERROR(@__xludf.DUMMYFUNCTION(&quot;&quot;&quot;COMPUTED_VALUE&quot;&quot;&quot;),&quot;Introduction to IoT&quot;)"/>
    <hyperlink ref="F39" r:id="rId37" display="=IFERROR(@__xludf.DUMMYFUNCTION(&quot;&quot;&quot;COMPUTED_VALUE&quot;&quot;&quot;),&quot;Operating System&quot;)"/>
    <hyperlink ref="F40" r:id="rId38" display="=IFERROR(@__xludf.DUMMYFUNCTION(&quot;&quot;&quot;COMPUTED_VALUE&quot;&quot;&quot;),&quot;Computer Networks&quot;)"/>
    <hyperlink ref="F41" r:id="rId39" display="=IFERROR(@__xludf.DUMMYFUNCTION(&quot;&quot;&quot;COMPUTED_VALUE&quot;&quot;&quot;),&quot;Theory of Computation&quot;)"/>
    <hyperlink ref="F42" r:id="rId40" display="=IFERROR(@__xludf.DUMMYFUNCTION(&quot;&quot;&quot;COMPUTED_VALUE&quot;&quot;&quot;),&quot;Software Engineering&quot;)"/>
    <hyperlink ref="F43" r:id="rId41" display="=IFERROR(@__xludf.DUMMYFUNCTION(&quot;&quot;&quot;COMPUTED_VALUE&quot;&quot;&quot;),&quot;Cryptography&quot;)"/>
    <hyperlink ref="F44" r:id="rId42" display="=IFERROR(@__xludf.DUMMYFUNCTION(&quot;&quot;&quot;COMPUTED_VALUE&quot;&quot;&quot;),&quot;Engineering Mechanics and Product Development&quot;)"/>
    <hyperlink ref="F45" r:id="rId43" display="=IFERROR(@__xludf.DUMMYFUNCTION(&quot;&quot;&quot;COMPUTED_VALUE&quot;&quot;&quot;),&quot;Object Oriented Programming using C++&quot;)"/>
    <hyperlink ref="F46" r:id="rId44" display="=IFERROR(@__xludf.DUMMYFUNCTION(&quot;&quot;&quot;COMPUTED_VALUE&quot;&quot;&quot;),&quot;Object Oriented Programming using C#&quot;)"/>
    <hyperlink ref="F47" r:id="rId45" display="=IFERROR(@__xludf.DUMMYFUNCTION(&quot;&quot;&quot;COMPUTED_VALUE&quot;&quot;&quot;),&quot;Introduction to Data Science&quot;)"/>
    <hyperlink ref="F48" r:id="rId46" display="=IFERROR(@__xludf.DUMMYFUNCTION(&quot;&quot;&quot;COMPUTED_VALUE&quot;&quot;&quot;),&quot;Digital Image Processing Techniques&quot;)"/>
    <hyperlink ref="F49" r:id="rId47" display="=IFERROR(@__xludf.DUMMYFUNCTION(&quot;&quot;&quot;COMPUTED_VALUE&quot;&quot;&quot;),&quot;Parallel Computing Architecture&quot;)"/>
    <hyperlink ref="F50" r:id="rId48" display="=IFERROR(@__xludf.DUMMYFUNCTION(&quot;&quot;&quot;COMPUTED_VALUE&quot;&quot;&quot;),&quot;Applied Artificial Intelligence&quot;)"/>
    <hyperlink ref="F51" r:id="rId49" display="=IFERROR(@__xludf.DUMMYFUNCTION(&quot;&quot;&quot;COMPUTED_VALUE&quot;&quot;&quot;),&quot;Neural Networks&quot;)"/>
    <hyperlink ref="F52" r:id="rId50" display="=IFERROR(@__xludf.DUMMYFUNCTION(&quot;&quot;&quot;COMPUTED_VALUE&quot;&quot;&quot;),&quot;Web Data Mining&quot;)"/>
    <hyperlink ref="F53" r:id="rId51" display="=IFERROR(@__xludf.DUMMYFUNCTION(&quot;&quot;&quot;COMPUTED_VALUE&quot;&quot;&quot;),&quot;Deep Learning and its Applications&quot;)"/>
    <hyperlink ref="F55" r:id="rId52" display="=IFERROR(@__xludf.DUMMYFUNCTION(&quot;&quot;&quot;COMPUTED_VALUE&quot;&quot;&quot;),&quot;Applied Natural Language Processing&quot;)"/>
    <hyperlink ref="F56" r:id="rId53" display="=IFERROR(@__xludf.DUMMYFUNCTION(&quot;&quot;&quot;COMPUTED_VALUE&quot;&quot;&quot;),&quot;Computer Vision&quot;)"/>
    <hyperlink ref="F57" r:id="rId54" display="=IFERROR(@__xludf.DUMMYFUNCTION(&quot;&quot;&quot;COMPUTED_VALUE&quot;&quot;&quot;),&quot;Mobile Robotics&quot;)"/>
    <hyperlink ref="F60" r:id="rId55" display="=IFERROR(@__xludf.DUMMYFUNCTION(&quot;&quot;&quot;COMPUTED_VALUE&quot;&quot;&quot;),&quot;Special Topics in Artificial Intelligence&quot;)"/>
    <hyperlink ref="F62" r:id="rId56" display="=IFERROR(@__xludf.DUMMYFUNCTION(&quot;&quot;&quot;COMPUTED_VALUE&quot;&quot;&quot;),&quot;Concepts of Virtual And Augmented Reality&quot;)"/>
    <hyperlink ref="F63" r:id="rId57" display="=IFERROR(@__xludf.DUMMYFUNCTION(&quot;&quot;&quot;COMPUTED_VALUE&quot;&quot;&quot;),&quot;Mobile VR And AI In Unity&quot;)"/>
    <hyperlink ref="F64" r:id="rId58" display="=IFERROR(@__xludf.DUMMYFUNCTION(&quot;&quot;&quot;COMPUTED_VALUE&quot;&quot;&quot;),&quot;Scientific and Engineering Data Visualization&quot;)"/>
    <hyperlink ref="F65" r:id="rId59" display="=IFERROR(@__xludf.DUMMYFUNCTION(&quot;&quot;&quot;COMPUTED_VALUE&quot;&quot;&quot;),&quot;NoSQL Database Design&quot;)"/>
    <hyperlink ref="F66" r:id="rId60" display="=IFERROR(@__xludf.DUMMYFUNCTION(&quot;&quot;&quot;COMPUTED_VALUE&quot;&quot;&quot;),&quot;Game Programming&quot;)"/>
    <hyperlink ref="F67" r:id="rId61" display="=IFERROR(@__xludf.DUMMYFUNCTION(&quot;&quot;&quot;COMPUTED_VALUE&quot;&quot;&quot;),&quot;Self Driving Car&quot;)"/>
    <hyperlink ref="F68" r:id="rId62" display="=IFERROR(@__xludf.DUMMYFUNCTION(&quot;&quot;&quot;COMPUTED_VALUE&quot;&quot;&quot;),&quot;Smart Manufacturing Technology&quot;)"/>
    <hyperlink ref="F69" r:id="rId63" display="=IFERROR(@__xludf.DUMMYFUNCTION(&quot;&quot;&quot;COMPUTED_VALUE&quot;&quot;&quot;),&quot;Big Data Analytics&quot;)"/>
    <hyperlink ref="F70" r:id="rId64" display="=IFERROR(@__xludf.DUMMYFUNCTION(&quot;&quot;&quot;COMPUTED_VALUE&quot;&quot;&quot;),&quot;Business Analytics&quot;)"/>
    <hyperlink ref="F71" r:id="rId65" display="=IFERROR(@__xludf.DUMMYFUNCTION(&quot;&quot;&quot;COMPUTED_VALUE&quot;&quot;&quot;),&quot;Cognitive Systems&quot;)"/>
    <hyperlink ref="F72" r:id="rId66" display="=IFERROR(@__xludf.DUMMYFUNCTION(&quot;&quot;&quot;COMPUTED_VALUE&quot;&quot;&quot;),&quot;Distributed Database&quot;)"/>
    <hyperlink ref="F73" r:id="rId67" display="=IFERROR(@__xludf.DUMMYFUNCTION(&quot;&quot;&quot;COMPUTED_VALUE&quot;&quot;&quot;),&quot;Data Mining and Warehousing&quot;)"/>
    <hyperlink ref="F74" r:id="rId68" display="=IFERROR(@__xludf.DUMMYFUNCTION(&quot;&quot;&quot;COMPUTED_VALUE&quot;&quot;&quot;),&quot;Expert Systems&quot;)"/>
    <hyperlink ref="F75" r:id="rId69" display="=IFERROR(@__xludf.DUMMYFUNCTION(&quot;&quot;&quot;COMPUTED_VALUE&quot;&quot;&quot;),&quot;Knowledge Engineering&quot;)"/>
    <hyperlink ref="F76" r:id="rId70" display="=IFERROR(@__xludf.DUMMYFUNCTION(&quot;&quot;&quot;COMPUTED_VALUE&quot;&quot;&quot;),&quot;Mobile Database&quot;)"/>
    <hyperlink ref="F77" r:id="rId71" display="=IFERROR(@__xludf.DUMMYFUNCTION(&quot;&quot;&quot;COMPUTED_VALUE&quot;&quot;&quot;),&quot;Multimedia Database&quot;)"/>
    <hyperlink ref="F78" r:id="rId72" display="=IFERROR(@__xludf.DUMMYFUNCTION(&quot;&quot;&quot;COMPUTED_VALUE&quot;&quot;&quot;),&quot;Video Processing&quot;)"/>
    <hyperlink ref="F79" r:id="rId73" display="=IFERROR(@__xludf.DUMMYFUNCTION(&quot;&quot;&quot;COMPUTED_VALUE&quot;&quot;&quot;),&quot;Information Security and Access Control&quot;)"/>
    <hyperlink ref="F80" r:id="rId74" display="=IFERROR(@__xludf.DUMMYFUNCTION(&quot;&quot;&quot;COMPUTED_VALUE&quot;&quot;&quot;),&quot;Security Assessment and Risk Analysis&quot;)"/>
    <hyperlink ref="F81" r:id="rId75" display="=IFERROR(@__xludf.DUMMYFUNCTION(&quot;&quot;&quot;COMPUTED_VALUE&quot;&quot;&quot;),&quot;Advanced Graph Theory and Applications&quot;)"/>
    <hyperlink ref="F82" r:id="rId76" display="=IFERROR(@__xludf.DUMMYFUNCTION(&quot;&quot;&quot;COMPUTED_VALUE&quot;&quot;&quot;),&quot;Advanced Data Structures&quot;)"/>
    <hyperlink ref="F83" r:id="rId77" display="=IFERROR(@__xludf.DUMMYFUNCTION(&quot;&quot;&quot;COMPUTED_VALUE&quot;&quot;&quot;),&quot;Control of Robotic Systems&quot;)"/>
    <hyperlink ref="F84" r:id="rId78" display="=IFERROR(@__xludf.DUMMYFUNCTION(&quot;&quot;&quot;COMPUTED_VALUE&quot;&quot;&quot;),&quot;Cryptography and Security&quot;)"/>
    <hyperlink ref="F85" r:id="rId79" display="=IFERROR(@__xludf.DUMMYFUNCTION(&quot;&quot;&quot;COMPUTED_VALUE&quot;&quot;&quot;),&quot;Information Theory for Cyber Security&quot;)"/>
    <hyperlink ref="F86" r:id="rId80" display="=IFERROR(@__xludf.DUMMYFUNCTION(&quot;&quot;&quot;COMPUTED_VALUE&quot;&quot;&quot;),&quot;Introduction to Robotics&quot;)"/>
    <hyperlink ref="F87" r:id="rId81" display="=IFERROR(@__xludf.DUMMYFUNCTION(&quot;&quot;&quot;COMPUTED_VALUE&quot;&quot;&quot;),&quot;Kinematics and Dynamics of Robots&quot;)"/>
    <hyperlink ref="F88" r:id="rId82" display="=IFERROR(@__xludf.DUMMYFUNCTION(&quot;&quot;&quot;COMPUTED_VALUE&quot;&quot;&quot;),&quot;Robotic Sensors&quot;)"/>
    <hyperlink ref="F89" r:id="rId83" display="=IFERROR(@__xludf.DUMMYFUNCTION(&quot;&quot;&quot;COMPUTED_VALUE&quot;&quot;&quot;),&quot;Steganography and Digital Watermarking&quot;)"/>
    <hyperlink ref="F90" r:id="rId84" display="=IFERROR(@__xludf.DUMMYFUNCTION(&quot;&quot;&quot;COMPUTED_VALUE&quot;&quot;&quot;),&quot;Computer Graphics for Virtual Reality&quot;)"/>
    <hyperlink ref="F91" r:id="rId85" display="=IFERROR(@__xludf.DUMMYFUNCTION(&quot;&quot;&quot;COMPUTED_VALUE&quot;&quot;&quot;),&quot;Mathematical Modelling and Computer Aided Engineering&quot;)"/>
    <hyperlink ref="F92" r:id="rId86" display="=IFERROR(@__xludf.DUMMYFUNCTION(&quot;&quot;&quot;COMPUTED_VALUE&quot;&quot;&quot;),&quot;Agile Software Development&quot;)"/>
    <hyperlink ref="F93" r:id="rId87" display="=IFERROR(@__xludf.DUMMYFUNCTION(&quot;&quot;&quot;COMPUTED_VALUE&quot;&quot;&quot;),&quot;Software Testing&quot;)"/>
    <hyperlink ref="F94" r:id="rId88" display="=IFERROR(@__xludf.DUMMYFUNCTION(&quot;&quot;&quot;COMPUTED_VALUE&quot;&quot;&quot;),&quot;Virtualization and Containerization&quot;)"/>
    <hyperlink ref="F95" r:id="rId89" display="=IFERROR(@__xludf.DUMMYFUNCTION(&quot;&quot;&quot;COMPUTED_VALUE&quot;&quot;&quot;),&quot;Blockchain for Business&quot;)"/>
    <hyperlink ref="F96" r:id="rId90" display="=IFERROR(@__xludf.DUMMYFUNCTION(&quot;&quot;&quot;COMPUTED_VALUE&quot;&quot;&quot;),&quot;Robot Programming&quot;)"/>
    <hyperlink ref="F97" r:id="rId91" display="=IFERROR(@__xludf.DUMMYFUNCTION(&quot;&quot;&quot;COMPUTED_VALUE&quot;&quot;&quot;),&quot;Drone Assembly and Applications&quot;)"/>
    <hyperlink ref="F98" r:id="rId92" display="=IFERROR(@__xludf.DUMMYFUNCTION(&quot;&quot;&quot;COMPUTED_VALUE&quot;&quot;&quot;),&quot;Artificial Intelligence for Games&quot;)"/>
    <hyperlink ref="F99" r:id="rId93" display="=IFERROR(@__xludf.DUMMYFUNCTION(&quot;&quot;&quot;COMPUTED_VALUE&quot;&quot;&quot;),&quot;Drone Design and Control&quot;)"/>
    <hyperlink ref="F100" r:id="rId94" display="=IFERROR(@__xludf.DUMMYFUNCTION(&quot;&quot;&quot;COMPUTED_VALUE&quot;&quot;&quot;),&quot;Web Application User Interface Development&quot;)"/>
    <hyperlink ref="F101" r:id="rId95" display="=IFERROR(@__xludf.DUMMYFUNCTION(&quot;&quot;&quot;COMPUTED_VALUE&quot;&quot;&quot;),&quot;Fundamentals of Large Language Models&quot;)"/>
    <hyperlink ref="F102" r:id="rId96" display="=IFERROR(@__xludf.DUMMYFUNCTION(&quot;&quot;&quot;COMPUTED_VALUE&quot;&quot;&quot;),&quot;Exploratory Data Analysis&quot;)"/>
    <hyperlink ref="F103" r:id="rId97" display="=IFERROR(@__xludf.DUMMYFUNCTION(&quot;&quot;&quot;COMPUTED_VALUE&quot;&quot;&quot;),&quot;Recommender Systems&quot;)"/>
    <hyperlink ref="F104" r:id="rId98" display="=IFERROR(@__xludf.DUMMYFUNCTION(&quot;&quot;&quot;COMPUTED_VALUE&quot;&quot;&quot;),&quot;Neural Networks and Deep Learning&quot;)"/>
    <hyperlink ref="F105" r:id="rId99" display="=IFERROR(@__xludf.DUMMYFUNCTION(&quot;&quot;&quot;COMPUTED_VALUE&quot;&quot;&quot;),&quot;Text and Speech Analysis&quot;)"/>
    <hyperlink ref="F106" r:id="rId100" display="=IFERROR(@__xludf.DUMMYFUNCTION(&quot;&quot;&quot;COMPUTED_VALUE&quot;&quot;&quot;),&quot;Image and Video Analytics&quot;)"/>
    <hyperlink ref="F113" r:id="rId101" display="=IFERROR(@__xludf.DUMMYFUNCTION(&quot;&quot;&quot;COMPUTED_VALUE&quot;&quot;&quot;),&quot;Genetic Algorithms&quot;)"/>
    <hyperlink ref="F115" r:id="rId102" display="=IFERROR(@__xludf.DUMMYFUNCTION(&quot;&quot;&quot;COMPUTED_VALUE&quot;&quot;&quot;),&quot;Brain Computer Interaction&quot;)"/>
    <hyperlink ref="F116" r:id="rId103" display="=IFERROR(@__xludf.DUMMYFUNCTION(&quot;&quot;&quot;COMPUTED_VALUE&quot;&quot;&quot;),&quot;Statistical Learning Theory&quot;)"/>
    <hyperlink ref="F117" r:id="rId104" display="=IFERROR(@__xludf.DUMMYFUNCTION(&quot;&quot;&quot;COMPUTED_VALUE&quot;&quot;&quot;),&quot;Sensors and Actuators for IoT&quot;)"/>
    <hyperlink ref="F118" r:id="rId105" display="=IFERROR(@__xludf.DUMMYFUNCTION(&quot;&quot;&quot;COMPUTED_VALUE&quot;&quot;&quot;),&quot;Security and Trust in IoT&quot;)"/>
    <hyperlink ref="F119" r:id="rId106" display="=IFERROR(@__xludf.DUMMYFUNCTION(&quot;&quot;&quot;COMPUTED_VALUE&quot;&quot;&quot;),&quot;Industrial Internet of Things&quot;)"/>
    <hyperlink ref="F120" r:id="rId107" display="=IFERROR(@__xludf.DUMMYFUNCTION(&quot;&quot;&quot;COMPUTED_VALUE&quot;&quot;&quot;),&quot;Software for Embedded Systems&quot;)"/>
    <hyperlink ref="F121" r:id="rId108" display="=IFERROR(@__xludf.DUMMYFUNCTION(&quot;&quot;&quot;COMPUTED_VALUE&quot;&quot;&quot;),&quot;IoT Architecture and Protocols&quot;)"/>
    <hyperlink ref="F122" r:id="rId109" display="=IFERROR(@__xludf.DUMMYFUNCTION(&quot;&quot;&quot;COMPUTED_VALUE&quot;&quot;&quot;),&quot;Arduino for IoT&quot;)"/>
    <hyperlink ref="F123" r:id="rId110" display="=IFERROR(@__xludf.DUMMYFUNCTION(&quot;&quot;&quot;COMPUTED_VALUE&quot;&quot;&quot;),&quot;Raspberry Pi for IoT&quot;)"/>
    <hyperlink ref="F124" r:id="rId111" display="=IFERROR(@__xludf.DUMMYFUNCTION(&quot;&quot;&quot;COMPUTED_VALUE&quot;&quot;&quot;),&quot;Motion Planning Techniques&quot;)"/>
    <hyperlink ref="F125" r:id="rId112" display="=IFERROR(@__xludf.DUMMYFUNCTION(&quot;&quot;&quot;COMPUTED_VALUE&quot;&quot;&quot;),&quot;Advanced Java Programming&quot;)"/>
    <hyperlink ref="F126" r:id="rId113" display="=IFERROR(@__xludf.DUMMYFUNCTION(&quot;&quot;&quot;COMPUTED_VALUE&quot;&quot;&quot;),&quot;Python Programming for IoT&quot;)"/>
    <hyperlink ref="F127" r:id="rId114" display="=IFERROR(@__xludf.DUMMYFUNCTION(&quot;&quot;&quot;COMPUTED_VALUE&quot;&quot;&quot;),&quot;Applications of IoT in Robotics&quot;)"/>
    <hyperlink ref="F128" r:id="rId115" display="=IFERROR(@__xludf.DUMMYFUNCTION(&quot;&quot;&quot;COMPUTED_VALUE&quot;&quot;&quot;),&quot;Programming for IoT Boards&quot;)"/>
    <hyperlink ref="F129" r:id="rId116" display="=IFERROR(@__xludf.DUMMYFUNCTION(&quot;&quot;&quot;COMPUTED_VALUE&quot;&quot;&quot;),&quot;Design of Smart Cities&quot;)"/>
    <hyperlink ref="F130" r:id="rId117" display="=IFERROR(@__xludf.DUMMYFUNCTION(&quot;&quot;&quot;COMPUTED_VALUE&quot;&quot;&quot;),&quot;IoT and Multimedia Technology&quot;)"/>
    <hyperlink ref="F131" r:id="rId118" display="=IFERROR(@__xludf.DUMMYFUNCTION(&quot;&quot;&quot;COMPUTED_VALUE&quot;&quot;&quot;),&quot;Mobile Application Development for IoT&quot;)"/>
    <hyperlink ref="F132" r:id="rId118" display="=IFERROR(@__xludf.DUMMYFUNCTION(&quot;&quot;&quot;COMPUTED_VALUE&quot;&quot;&quot;),&quot;Open Source Programming for IoT&quot;)"/>
    <hyperlink ref="F133" r:id="rId119" display="=IFERROR(@__xludf.DUMMYFUNCTION(&quot;&quot;&quot;COMPUTED_VALUE&quot;&quot;&quot;),&quot;Compiler Design&quot;)"/>
    <hyperlink ref="F134" r:id="rId120" display="=IFERROR(@__xludf.DUMMYFUNCTION(&quot;&quot;&quot;COMPUTED_VALUE&quot;&quot;&quot;),&quot;Cloud Security&quot;)"/>
    <hyperlink ref="F135" r:id="rId121" display="=IFERROR(@__xludf.DUMMYFUNCTION(&quot;&quot;&quot;COMPUTED_VALUE&quot;&quot;&quot;),&quot;Ethical Hacking Techniques&quot;)"/>
    <hyperlink ref="F136" r:id="rId122" display="=IFERROR(@__xludf.DUMMYFUNCTION(&quot;&quot;&quot;COMPUTED_VALUE&quot;&quot;&quot;),&quot;Cyber Law and Compliance&quot;)"/>
    <hyperlink ref="F137" r:id="rId41" display="=IFERROR(@__xludf.DUMMYFUNCTION(&quot;&quot;&quot;COMPUTED_VALUE&quot;&quot;&quot;),&quot;Digital Forensics and Digital Investigations&quot;)"/>
    <hyperlink ref="F138" r:id="rId123" display="=IFERROR(@__xludf.DUMMYFUNCTION(&quot;&quot;&quot;COMPUTED_VALUE&quot;&quot;&quot;),&quot;Prototyping of IoT Systems&quot;)"/>
    <hyperlink ref="F139" r:id="rId124" display="=IFERROR(@__xludf.DUMMYFUNCTION(&quot;&quot;&quot;COMPUTED_VALUE&quot;&quot;&quot;),&quot;Edge Computing&quot;)"/>
    <hyperlink ref="F140" r:id="rId125" display="=IFERROR(@__xludf.DUMMYFUNCTION(&quot;&quot;&quot;COMPUTED_VALUE&quot;&quot;&quot;),&quot;Security for IoT Systems&quot;)"/>
    <hyperlink ref="F141" r:id="rId126" display="=IFERROR(@__xludf.DUMMYFUNCTION(&quot;&quot;&quot;COMPUTED_VALUE&quot;&quot;&quot;),&quot;Computer Graphics and Multimedia&quot;)"/>
    <hyperlink ref="F142" r:id="rId127" display="=IFERROR(@__xludf.DUMMYFUNCTION(&quot;&quot;&quot;COMPUTED_VALUE&quot;&quot;&quot;),&quot;Developing Web Application in .Net&quot;)"/>
    <hyperlink ref="F143" r:id="rId128" display="=IFERROR(@__xludf.DUMMYFUNCTION(&quot;&quot;&quot;COMPUTED_VALUE&quot;&quot;&quot;),&quot;Software Project Management&quot;)"/>
    <hyperlink ref="F144" r:id="rId129" display="=IFERROR(@__xludf.DUMMYFUNCTION(&quot;&quot;&quot;COMPUTED_VALUE&quot;&quot;&quot;),&quot;Service Oriented Architecture&quot;)"/>
    <hyperlink ref="F145" r:id="rId130" display="=IFERROR(@__xludf.DUMMYFUNCTION(&quot;&quot;&quot;COMPUTED_VALUE&quot;&quot;&quot;),&quot;Multicore Architecture&quot;)"/>
    <hyperlink ref="F146" r:id="rId131" display="=IFERROR(@__xludf.DUMMYFUNCTION(&quot;&quot;&quot;COMPUTED_VALUE&quot;&quot;&quot;),&quot;Human Computer Interaction&quot;)"/>
    <hyperlink ref="F147" r:id="rId132" display="=IFERROR(@__xludf.DUMMYFUNCTION(&quot;&quot;&quot;COMPUTED_VALUE&quot;&quot;&quot;),&quot;Parallel and Distributed Systems&quot;)"/>
    <hyperlink ref="F148" r:id="rId133" display="=IFERROR(@__xludf.DUMMYFUNCTION(&quot;&quot;&quot;COMPUTED_VALUE&quot;&quot;&quot;),&quot;Graph Theory and Applications&quot;)"/>
    <hyperlink ref="F149" r:id="rId134" display="=IFERROR(@__xludf.DUMMYFUNCTION(&quot;&quot;&quot;COMPUTED_VALUE&quot;&quot;&quot;),&quot;Social Network Analysis&quot;)"/>
    <hyperlink ref="F150" r:id="rId135" display="=IFERROR(@__xludf.DUMMYFUNCTION(&quot;&quot;&quot;COMPUTED_VALUE&quot;&quot;&quot;),&quot;Natural Language Processing&quot;)"/>
    <hyperlink ref="F151" r:id="rId136" display="=IFERROR(@__xludf.DUMMYFUNCTION(&quot;&quot;&quot;COMPUTED_VALUE&quot;&quot;&quot;),&quot;Soft Computing&quot;)"/>
    <hyperlink ref="F152" r:id="rId137" display="=IFERROR(@__xludf.DUMMYFUNCTION(&quot;&quot;&quot;COMPUTED_VALUE&quot;&quot;&quot;),&quot;Green Computing&quot;)"/>
    <hyperlink ref="F153" r:id="rId138" display="=IFERROR(@__xludf.DUMMYFUNCTION(&quot;&quot;&quot;COMPUTED_VALUE&quot;&quot;&quot;),&quot;Network Management Systems&quot;)"/>
    <hyperlink ref="F154" r:id="rId139" display="=IFERROR(@__xludf.DUMMYFUNCTION(&quot;&quot;&quot;COMPUTED_VALUE&quot;&quot;&quot;),&quot;Block Chain Architecture and its Use Cases&quot;)"/>
    <hyperlink ref="F155" r:id="rId140" display="=IFERROR(@__xludf.DUMMYFUNCTION(&quot;&quot;&quot;COMPUTED_VALUE&quot;&quot;&quot;),&quot;Software Testing and Quality Assurance&quot;)"/>
    <hyperlink ref="F156" r:id="rId141" display="=IFERROR(@__xludf.DUMMYFUNCTION(&quot;&quot;&quot;COMPUTED_VALUE&quot;&quot;&quot;),&quot;Mobile Computing&quot;)"/>
    <hyperlink ref="F157" r:id="rId142" display="=IFERROR(@__xludf.DUMMYFUNCTION(&quot;&quot;&quot;COMPUTED_VALUE&quot;&quot;&quot;),&quot;Game Design and Development&quot;)"/>
    <hyperlink ref="F158" r:id="rId143" display="=IFERROR(@__xludf.DUMMYFUNCTION(&quot;&quot;&quot;COMPUTED_VALUE&quot;&quot;&quot;),&quot;Data Science&quot;)"/>
    <hyperlink ref="F159" r:id="rId63" display="=IFERROR(@__xludf.DUMMYFUNCTION(&quot;&quot;&quot;COMPUTED_VALUE&quot;&quot;&quot;),&quot;Big Data Analytics&quot;)"/>
    <hyperlink ref="F160" r:id="rId144" display="=IFERROR(@__xludf.DUMMYFUNCTION(&quot;&quot;&quot;COMPUTED_VALUE&quot;&quot;&quot;),&quot;Data Warehousing and Data Mining&quot;)"/>
    <hyperlink ref="F161" r:id="rId145" display="=IFERROR(@__xludf.DUMMYFUNCTION(&quot;&quot;&quot;COMPUTED_VALUE&quot;&quot;&quot;),&quot;Advanced Database Management System&quot;)"/>
    <hyperlink ref="F162" r:id="rId146" display="=IFERROR(@__xludf.DUMMYFUNCTION(&quot;&quot;&quot;COMPUTED_VALUE&quot;&quot;&quot;),&quot;Information Retrieval&quot;)"/>
    <hyperlink ref="F163" r:id="rId147" display="=IFERROR(@__xludf.DUMMYFUNCTION(&quot;&quot;&quot;COMPUTED_VALUE&quot;&quot;&quot;),&quot;Deep Learning&quot;)"/>
    <hyperlink ref="F165" r:id="rId148" display="=IFERROR(@__xludf.DUMMYFUNCTION(&quot;&quot;&quot;COMPUTED_VALUE&quot;&quot;&quot;),&quot;Robotics and its Applications&quot;)"/>
    <hyperlink ref="F166" r:id="rId149" display="=IFERROR(@__xludf.DUMMYFUNCTION(&quot;&quot;&quot;COMPUTED_VALUE&quot;&quot;&quot;),&quot;Quantum Computing&quot;)"/>
    <hyperlink ref="F167" r:id="rId150" display="=IFERROR(@__xludf.DUMMYFUNCTION(&quot;&quot;&quot;COMPUTED_VALUE&quot;&quot;&quot;),&quot;Cyber Security&quot;)"/>
    <hyperlink ref="F168" r:id="rId151" display="=IFERROR(@__xludf.DUMMYFUNCTION(&quot;&quot;&quot;COMPUTED_VALUE&quot;&quot;&quot;),&quot;Virtual Reality&quot;)"/>
    <hyperlink ref="F169" r:id="rId152" display="=IFERROR(@__xludf.DUMMYFUNCTION(&quot;&quot;&quot;COMPUTED_VALUE&quot;&quot;&quot;),&quot;Professional Readiness for Innovation, Employability and Entrepreneurship&quot;)"/>
    <hyperlink ref="F170" r:id="rId153" display="=IFERROR(@__xludf.DUMMYFUNCTION(&quot;&quot;&quot;COMPUTED_VALUE&quot;&quot;&quot;),&quot;Information Security Intelligence and Analytics using Big Data&quot;)"/>
    <hyperlink ref="F171" r:id="rId154" display="=IFERROR(@__xludf.DUMMYFUNCTION(&quot;&quot;&quot;COMPUTED_VALUE&quot;&quot;&quot;),&quot;Prevention Methodology for Cybersecurity&quot;)"/>
    <hyperlink ref="F172" r:id="rId155" display="=IFERROR(@__xludf.DUMMYFUNCTION(&quot;&quot;&quot;COMPUTED_VALUE&quot;&quot;&quot;),&quot;Trusted Network Systems&quot;)"/>
    <hyperlink ref="F173" r:id="rId156" display="=IFERROR(@__xludf.DUMMYFUNCTION(&quot;&quot;&quot;COMPUTED_VALUE&quot;&quot;&quot;),&quot;Firewalls and Intrusion Detection System&quot;)"/>
    <hyperlink ref="F174" r:id="rId157" display="=IFERROR(@__xludf.DUMMYFUNCTION(&quot;&quot;&quot;COMPUTED_VALUE&quot;&quot;&quot;),&quot;Secure Software Engineering&quot;)"/>
    <hyperlink ref="F175" r:id="rId158" display="=IFERROR(@__xludf.DUMMYFUNCTION(&quot;&quot;&quot;COMPUTED_VALUE&quot;&quot;&quot;),&quot;System Security&quot;)"/>
    <hyperlink ref="F176" r:id="rId159" display="=IFERROR(@__xludf.DUMMYFUNCTION(&quot;&quot;&quot;COMPUTED_VALUE&quot;&quot;&quot;),&quot;Hardware Security&quot;)"/>
    <hyperlink ref="F177" r:id="rId160" display="=IFERROR(@__xludf.DUMMYFUNCTION(&quot;&quot;&quot;COMPUTED_VALUE&quot;&quot;&quot;),&quot;Fog Computing&quot;)"/>
    <hyperlink ref="F179" r:id="rId161" display="=IFERROR(@__xludf.DUMMYFUNCTION(&quot;&quot;&quot;COMPUTED_VALUE&quot;&quot;&quot;),&quot;Embedded Board Design&quot;)"/>
    <hyperlink ref="F180" r:id="rId154" display="=IFERROR(@__xludf.DUMMYFUNCTION(&quot;&quot;&quot;COMPUTED_VALUE&quot;&quot;&quot;),&quot;Embedded Board Manufacturing&quot;)"/>
    <hyperlink ref="F181" r:id="rId162" display="=IFERROR(@__xludf.DUMMYFUNCTION(&quot;&quot;&quot;COMPUTED_VALUE&quot;&quot;&quot;),&quot;Realtime Operating System&quot;)"/>
    <hyperlink ref="F182" r:id="rId163" display="=IFERROR(@__xludf.DUMMYFUNCTION(&quot;&quot;&quot;COMPUTED_VALUE&quot;&quot;&quot;),&quot;Open Source Operating System&quot;)"/>
    <hyperlink ref="F183" r:id="rId164" display="=IFERROR(@__xludf.DUMMYFUNCTION(&quot;&quot;&quot;COMPUTED_VALUE&quot;&quot;&quot;),&quot;Kernel Programming&quot;)"/>
    <hyperlink ref="F184" r:id="rId165" display="=IFERROR(@__xludf.DUMMYFUNCTION(&quot;&quot;&quot;COMPUTED_VALUE&quot;&quot;&quot;),&quot;Fundamentals of Cryptocurrency&quot;)"/>
    <hyperlink ref="F185" r:id="rId166" display="=IFERROR(@__xludf.DUMMYFUNCTION(&quot;&quot;&quot;COMPUTED_VALUE&quot;&quot;&quot;),&quot;Cloud Services Management&quot;)"/>
    <hyperlink ref="F186" r:id="rId167" display="=IFERROR(@__xludf.DUMMYFUNCTION(&quot;&quot;&quot;COMPUTED_VALUE&quot;&quot;&quot;),&quot;UI and UX Design&quot;)"/>
    <hyperlink ref="F188" r:id="rId168" display="=IFERROR(@__xludf.DUMMYFUNCTION(&quot;&quot;&quot;COMPUTED_VALUE&quot;&quot;&quot;),&quot;Software Testing and Automation&quot;)"/>
    <hyperlink ref="F189" r:id="rId169" display="=IFERROR(@__xludf.DUMMYFUNCTION(&quot;&quot;&quot;COMPUTED_VALUE&quot;&quot;&quot;),&quot;DevOps&quot;)"/>
    <hyperlink ref="F190" r:id="rId170" display="=IFERROR(@__xludf.DUMMYFUNCTION(&quot;&quot;&quot;COMPUTED_VALUE&quot;&quot;&quot;),&quot;Web Application Security&quot;)"/>
    <hyperlink ref="F193" r:id="rId171" display="=IFERROR(@__xludf.DUMMYFUNCTION(&quot;&quot;&quot;COMPUTED_VALUE&quot;&quot;&quot;),&quot;Core Computing Concepts&quot;)"/>
    <hyperlink ref="F200" r:id="rId172" display="=IFERROR(@__xludf.DUMMYFUNCTION(&quot;&quot;&quot;COMPUTED_VALUE&quot;&quot;&quot;),&quot;Robotic Process Automation&quot;)"/>
    <hyperlink ref="F201" r:id="rId173" display="=IFERROR(@__xludf.DUMMYFUNCTION(&quot;&quot;&quot;COMPUTED_VALUE&quot;&quot;&quot;),&quot;Software Project Management and Version Control&quot;)"/>
    <hyperlink ref="F202" r:id="rId174" display="=IFERROR(@__xludf.DUMMYFUNCTION(&quot;&quot;&quot;COMPUTED_VALUE&quot;&quot;&quot;),&quot;Generative AI Application Development&quot;)"/>
    <hyperlink ref="F203" r:id="rId175" display="=IFERROR(@__xludf.DUMMYFUNCTION(&quot;&quot;&quot;COMPUTED_VALUE&quot;&quot;&quot;),&quot;Fine Tuning Large Language Models&quot;)"/>
    <hyperlink ref="F204" r:id="rId176" display="=IFERROR(@__xludf.DUMMYFUNCTION(&quot;&quot;&quot;COMPUTED_VALUE&quot;&quot;&quot;),&quot;Applied Data Science&quot;)"/>
    <hyperlink ref="F205" r:id="rId177" display="=IFERROR(@__xludf.DUMMYFUNCTION(&quot;&quot;&quot;COMPUTED_VALUE&quot;&quot;&quot;),&quot;Entrepreneurship and Small Business Development&quot;)"/>
    <hyperlink ref="F206" r:id="rId178" display="=IFERROR(@__xludf.DUMMYFUNCTION(&quot;&quot;&quot;COMPUTED_VALUE&quot;&quot;&quot;),&quot;Software Development and Operations&quot;)"/>
    <hyperlink ref="F207" r:id="rId179" display="=IFERROR(@__xludf.DUMMYFUNCTION(&quot;&quot;&quot;COMPUTED_VALUE&quot;&quot;&quot;),&quot;Serverless App Development&quot;)"/>
    <hyperlink ref="F208" r:id="rId180" display="=IFERROR(@__xludf.DUMMYFUNCTION(&quot;&quot;&quot;COMPUTED_VALUE&quot;&quot;&quot;),&quot;Enterprise Cloud Architecture&quot;)"/>
    <hyperlink ref="F209" r:id="rId181" display="=IFERROR(@__xludf.DUMMYFUNCTION(&quot;&quot;&quot;COMPUTED_VALUE&quot;&quot;&quot;),&quot;Advanced Class Design and Object-Oriented Techniques&quot;)"/>
    <hyperlink ref="F210" r:id="rId182" display="=IFERROR(@__xludf.DUMMYFUNCTION(&quot;&quot;&quot;COMPUTED_VALUE&quot;&quot;&quot;),&quot;Low-Code App Development&quot;)"/>
    <hyperlink ref="F211" r:id="rId183" display="=IFERROR(@__xludf.DUMMYFUNCTION(&quot;&quot;&quot;COMPUTED_VALUE&quot;&quot;&quot;),&quot;Cloud System Administration&quot;)"/>
    <hyperlink ref="F212" r:id="rId184" display="=IFERROR(@__xludf.DUMMYFUNCTION(&quot;&quot;&quot;COMPUTED_VALUE&quot;&quot;&quot;),&quot;Machine Learning Operations&quot;)"/>
    <hyperlink ref="F213" r:id="rId185" display="=IFERROR(@__xludf.DUMMYFUNCTION(&quot;&quot;&quot;COMPUTED_VALUE&quot;&quot;&quot;),&quot;Grid and Cloud Computing&quot;)"/>
    <hyperlink ref="F214" r:id="rId186" display="=IFERROR(@__xludf.DUMMYFUNCTION(&quot;&quot;&quot;COMPUTED_VALUE&quot;&quot;&quot;),&quot;Distributed Computing&quot;)"/>
    <hyperlink ref="F215" r:id="rId187" display="=IFERROR(@__xludf.DUMMYFUNCTION(&quot;&quot;&quot;COMPUTED_VALUE&quot;&quot;&quot;),&quot;Information Theory and Coding Techniques&quot;)"/>
    <hyperlink ref="F216" r:id="rId188" display="=IFERROR(@__xludf.DUMMYFUNCTION(&quot;&quot;&quot;COMPUTED_VALUE&quot;&quot;&quot;),&quot;Enterprise Resource Planning&quot;)"/>
    <hyperlink ref="F217" r:id="rId189" display="=IFERROR(@__xludf.DUMMYFUNCTION(&quot;&quot;&quot;COMPUTED_VALUE&quot;&quot;&quot;),&quot;User Interface Design&quot;)"/>
    <hyperlink ref="F218" r:id="rId190" display="=IFERROR(@__xludf.DUMMYFUNCTION(&quot;&quot;&quot;COMPUTED_VALUE&quot;&quot;&quot;),&quot;Information Storage Management&quot;)"/>
    <hyperlink ref="F219" r:id="rId191" display="=IFERROR(@__xludf.DUMMYFUNCTION(&quot;&quot;&quot;COMPUTED_VALUE&quot;&quot;&quot;),&quot;Software Design Patterns&quot;)"/>
    <hyperlink ref="F220" r:id="rId192" display="=IFERROR(@__xludf.DUMMYFUNCTION(&quot;&quot;&quot;COMPUTED_VALUE&quot;&quot;&quot;),&quot;E-Learning Techniques&quot;)"/>
    <hyperlink ref="F221" r:id="rId193" display="=IFERROR(@__xludf.DUMMYFUNCTION(&quot;&quot;&quot;COMPUTED_VALUE&quot;&quot;&quot;),&quot;TCP/IP Design and Implementation&quot;)"/>
    <hyperlink ref="F222" r:id="rId194" display="=IFERROR(@__xludf.DUMMYFUNCTION(&quot;&quot;&quot;COMPUTED_VALUE&quot;&quot;&quot;),&quot;Advanced Algorithms&quot;)"/>
    <hyperlink ref="F223" r:id="rId195" display="=IFERROR(@__xludf.DUMMYFUNCTION(&quot;&quot;&quot;COMPUTED_VALUE&quot;&quot;&quot;),&quot;Ethical Hacking&quot;)"/>
    <hyperlink ref="F224" r:id="rId196" display="=IFERROR(@__xludf.DUMMYFUNCTION(&quot;&quot;&quot;COMPUTED_VALUE&quot;&quot;&quot;),&quot;DHTML and XML&quot;)"/>
    <hyperlink ref="F225" r:id="rId197" display="=IFERROR(@__xludf.DUMMYFUNCTION(&quot;&quot;&quot;COMPUTED_VALUE&quot;&quot;&quot;),&quot;E-Commerce&quot;)"/>
    <hyperlink ref="F226" r:id="rId198" display="=IFERROR(@__xludf.DUMMYFUNCTION(&quot;&quot;&quot;COMPUTED_VALUE&quot;&quot;&quot;),&quot;Free Open Source Software&quot;)"/>
    <hyperlink ref="F227" r:id="rId199" display="=IFERROR(@__xludf.DUMMYFUNCTION(&quot;&quot;&quot;COMPUTED_VALUE&quot;&quot;&quot;),&quot;Real Time Operating Systems&quot;)"/>
    <hyperlink ref="F228" r:id="rId200" display="=IFERROR(@__xludf.DUMMYFUNCTION(&quot;&quot;&quot;COMPUTED_VALUE&quot;&quot;&quot;),&quot;Software Agents&quot;)"/>
    <hyperlink ref="F229" r:id="rId201" display="=IFERROR(@__xludf.DUMMYFUNCTION(&quot;&quot;&quot;COMPUTED_VALUE&quot;&quot;&quot;),&quot;Business Intelligence and Analytics&quot;)"/>
    <hyperlink ref="F230" r:id="rId202" display="=IFERROR(@__xludf.DUMMYFUNCTION(&quot;&quot;&quot;COMPUTED_VALUE&quot;&quot;&quot;),&quot;Mathematics for Artificial Intelligence&quot;)"/>
    <hyperlink ref="F231" r:id="rId203" display="=IFERROR(@__xludf.DUMMYFUNCTION(&quot;&quot;&quot;COMPUTED_VALUE&quot;&quot;&quot;),&quot;Statistics and Numerical Methods&quot;)"/>
    <hyperlink ref="F232" r:id="rId204" display="=IFERROR(@__xludf.DUMMYFUNCTION(&quot;&quot;&quot;COMPUTED_VALUE&quot;&quot;&quot;),&quot;Programming Microcontrollers&quot;)"/>
    <hyperlink ref="F233" r:id="rId205" display="=IFERROR(@__xludf.DUMMYFUNCTION(&quot;&quot;&quot;COMPUTED_VALUE&quot;&quot;&quot;),&quot;Mini Project&quot;)"/>
    <hyperlink ref="F234" r:id="rId206" display="=IFERROR(@__xludf.DUMMYFUNCTION(&quot;&quot;&quot;COMPUTED_VALUE&quot;&quot;&quot;),&quot;Project Work Phase I&quot;)"/>
    <hyperlink ref="F235" r:id="rId207" display="=IFERROR(@__xludf.DUMMYFUNCTION(&quot;&quot;&quot;COMPUTED_VALUE&quot;&quot;&quot;),&quot;Project Work Phase II&quot;)"/>
    <hyperlink ref="F236" r:id="rId208" display="=IFERROR(@__xludf.DUMMYFUNCTION(&quot;&quot;&quot;COMPUTED_VALUE&quot;&quot;&quot;),&quot;Softskills&quot;)"/>
    <hyperlink ref="F237" r:id="rId209" display="=IFERROR(@__xludf.DUMMYFUNCTION(&quot;&quot;&quot;COMPUTED_VALUE&quot;&quot;&quot;),&quot;Career Development Skills&quot;)"/>
    <hyperlink ref="F238" r:id="rId210" display="=IFERROR(@__xludf.DUMMYFUNCTION(&quot;&quot;&quot;COMPUTED_VALUE&quot;&quot;&quot;),&quot;Creative Skills for Communication&quot;)"/>
    <hyperlink ref="F239" r:id="rId211" display="=IFERROR(@__xludf.DUMMYFUNCTION(&quot;&quot;&quot;COMPUTED_VALUE&quot;&quot;&quot;),&quot;Reasoning Ability&quot;)"/>
    <hyperlink ref="F240" r:id="rId212" display="=IFERROR(@__xludf.DUMMYFUNCTION(&quot;&quot;&quot;COMPUTED_VALUE&quot;&quot;&quot;),&quot;System of Numerical and Logical Terminologies&quot;)"/>
    <hyperlink ref="F241" r:id="rId213" display="=IFERROR(@__xludf.DUMMYFUNCTION(&quot;&quot;&quot;COMPUTED_VALUE&quot;&quot;&quot;),&quot;Advanced Quantitative and Logical Reasoning&quot;)"/>
    <hyperlink ref="F242" r:id="rId214" display="=IFERROR(@__xludf.DUMMYFUNCTION(&quot;&quot;&quot;COMPUTED_VALUE&quot;&quot;&quot;),&quot;Quantitative Ability I&quot;)"/>
    <hyperlink ref="F243" r:id="rId215" display="=IFERROR(@__xludf.DUMMYFUNCTION(&quot;&quot;&quot;COMPUTED_VALUE&quot;&quot;&quot;),&quot;Quantitative Ability II&quot;)"/>
    <hyperlink ref="F244" r:id="rId216" display="=IFERROR(@__xludf.DUMMYFUNCTION(&quot;&quot;&quot;COMPUTED_VALUE&quot;&quot;&quot;),&quot;Employment Enhancement Skills&quot;)"/>
    <hyperlink ref="F245" r:id="rId217" display="=IFERROR(@__xludf.DUMMYFUNCTION(&quot;&quot;&quot;COMPUTED_VALUE&quot;&quot;&quot;),&quot;Employment Enrichment Skills&quot;)"/>
    <hyperlink ref="F246" r:id="rId218" display="=IFERROR(@__xludf.DUMMYFUNCTION(&quot;&quot;&quot;COMPUTED_VALUE&quot;&quot;&quot;),&quot;Company Specific Assessments For Employability&quot;)"/>
    <hyperlink ref="F247" r:id="rId219" display="=IFERROR(@__xludf.DUMMYFUNCTION(&quot;&quot;&quot;COMPUTED_VALUE&quot;&quot;&quot;),&quot;Placement Readiness Assessment&quot;)"/>
    <hyperlink ref="F248" r:id="rId220" display="=IFERROR(@__xludf.DUMMYFUNCTION(&quot;&quot;&quot;COMPUTED_VALUE&quot;&quot;&quot;),&quot;Paper Publication&quot;)"/>
    <hyperlink ref="F249" r:id="rId221" display="=IFERROR(@__xludf.DUMMYFUNCTION(&quot;&quot;&quot;COMPUTED_VALUE&quot;&quot;&quot;),&quot;Constitution of India&quot;)"/>
    <hyperlink ref="F250" r:id="rId222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9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""R2024-IT!A:A""),
IMPORTRANGE(""https://docs.google.com/spreadsheets/d/1UvPg-G_Bj-UNhLC2uL8tntfYsnld_PABqE3impzOchM/edit"", ""R2024-I"&amp;"T!D:D""),
IMPORTRANGE(""https://docs.google.com/spreadsheets/d/1UvPg-G_Bj-UNhLC2uL8tntfYsnld_PABqE3impzOchM/edit"", ""R2024-IT!E:E""),
IMPORTRANGE(""https://docs.google.com/spreadsheets/d/1UvPg-G_Bj-UNhLC2uL8tntfYsnld_PABqE3impzOchM/edit"", ""R2024-IT!F:F"&amp;"""),
IMPORTRANGE(""https://docs.google.com/spreadsheets/d/1UvPg-G_Bj-UNhLC2uL8tntfYsnld_PABqE3impzOchM/edit"", ""R2024-IT!G:G""),
IMPORTRANGE(""https://docs.google.com/spreadsheets/d/1UvPg-G_Bj-UNhLC2uL8tntfYsnld_PABqE3impzOchM/edit"", ""R2024-IT!I:I""),
"&amp;"IMPORTRANGE(""https://docs.google.com/spreadsheets/d/1UvPg-G_Bj-UNhLC2uL8tntfYsnld_PABqE3impzOchM/edit"", ""R2024-IT!N:N""),
IMPORTRANGE(""https://docs.google.com/spreadsheets/d/1UvPg-G_Bj-UNhLC2uL8tntfYsnld_PABqE3impzOchM/edit"", ""R2024-IT!O:O""),
IMPOR"&amp;"TRANGE(""https://docs.google.com/spreadsheets/d/1UvPg-G_Bj-UNhLC2uL8tntfYsnld_PABqE3impzOchM/edit"", ""R2024-IT!P:P""),
IMPORTRANGE(""https://docs.google.com/spreadsheets/d/1UvPg-G_Bj-UNhLC2uL8tntfYsnld_PABqE3impzOchM/edit"", ""R2024-IT!Q:Q""),
IMPORTRANG"&amp;"E(""https://docs.google.com/spreadsheets/d/1UvPg-G_Bj-UNhLC2uL8tntfYsnld_PABqE3impzOchM/edit"", ""R2024-IT!R:R""),
IMPORTRANGE(""https://docs.google.com/spreadsheets/d/1UvPg-G_Bj-UNhLC2uL8tntfYsnld_PABqE3impzOchM/edit"", ""R2024-IT!S:S""),
IMPORTRANGE(""h"&amp;"ttps://docs.google.com/spreadsheets/d/1UvPg-G_Bj-UNhLC2uL8tntfYsnld_PABqE3impzOchM/edit"", ""R2024-IT!V:V""),
IMPORTRANGE(""https://docs.google.com/spreadsheets/d/1UvPg-G_Bj-UNhLC2uL8tntfYsnld_PABqE3impzOchM/edit"", ""R2024-IT!X:X""),
IMPORTRANGE(""https:"&amp;"//docs.google.com/spreadsheets/d/1UvPg-G_Bj-UNhLC2uL8tntfYsnld_PABqE3impzOchM/edit"", ""R2024-IT!Y:Y"")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IFERROR(__xludf.DUMMYFUNCTION("""COMPUTED_VALUE"""),13)</f>
        <v>13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IFERROR(__xludf.DUMMYFUNCTION("""COMPUTED_VALUE"""),10)</f>
        <v>10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IFERROR(__xludf.DUMMYFUNCTION("""COMPUTED_VALUE"""),25)</f>
        <v>25</v>
      </c>
      <c r="O5" s="20">
        <f>IFERROR(__xludf.DUMMYFUNCTION("""COMPUTED_VALUE"""),10)</f>
        <v>10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IFERROR(__xludf.DUMMYFUNCTION("""COMPUTED_VALUE"""),56)</f>
        <v>56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IFERROR(__xludf.DUMMYFUNCTION("""COMPUTED_VALUE"""),16)</f>
        <v>16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IFERROR(__xludf.DUMMYFUNCTION("""COMPUTED_VALUE"""),4)</f>
        <v>4</v>
      </c>
      <c r="O10" s="20">
        <f>IFERROR(__xludf.DUMMYFUNCTION("""COMPUTED_VALUE"""),4)</f>
        <v>4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IFERROR(__xludf.DUMMYFUNCTION("""COMPUTED_VALUE"""),"SH7801")</f>
        <v>SH7801</v>
      </c>
      <c r="E11" s="2" t="str">
        <f>IFERROR(__xludf.DUMMYFUNCTION("""COMPUTED_VALUE"""),"NA")</f>
        <v>NA</v>
      </c>
      <c r="F11" s="7" t="str">
        <f>IFERROR(__xludf.DUMMYFUNCTION("""COMPUTED_VALUE"""),"Human Values and Professional Ethics")</f>
        <v>Human Values and Professional Ethics</v>
      </c>
      <c r="G11" s="2" t="str">
        <f>IFERROR(__xludf.DUMMYFUNCTION("""COMPUTED_VALUE"""),"-")</f>
        <v>-</v>
      </c>
      <c r="H11" s="2">
        <f>IFERROR(__xludf.DUMMYFUNCTION("""COMPUTED_VALUE"""),2)</f>
        <v>2</v>
      </c>
      <c r="I11" s="2">
        <f>IFERROR(__xludf.DUMMYFUNCTION("""COMPUTED_VALUE"""),0)</f>
        <v>0</v>
      </c>
      <c r="J11" s="2">
        <f>IFERROR(__xludf.DUMMYFUNCTION("""COMPUTED_VALUE"""),2)</f>
        <v>2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IFERROR(__xludf.DUMMYFUNCTION("""COMPUTED_VALUE"""),167)</f>
        <v>167</v>
      </c>
      <c r="O11" s="23">
        <f>IFERROR(__xludf.DUMMYFUNCTION("""COMPUTED_VALUE"""),127)</f>
        <v>127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 t="str">
        <f>IFERROR(__xludf.DUMMYFUNCTION("""COMPUTED_VALUE"""),"Exempted for LE")</f>
        <v>Exempted for LE</v>
      </c>
      <c r="C12" s="2" t="str">
        <f>IFERROR(__xludf.DUMMYFUNCTION("""COMPUTED_VALUE"""),"BS")</f>
        <v>BS</v>
      </c>
      <c r="D12" s="2" t="str">
        <f>IFERROR(__xludf.DUMMYFUNCTION("""COMPUTED_VALUE"""),"SH2201")</f>
        <v>SH2201</v>
      </c>
      <c r="E12" s="2" t="str">
        <f>IFERROR(__xludf.DUMMYFUNCTION("""COMPUTED_VALUE"""),"19MA201")</f>
        <v>19MA201</v>
      </c>
      <c r="F12" s="7" t="str">
        <f>IFERROR(__xludf.DUMMYFUNCTION("""COMPUTED_VALUE"""),"Calculus and Matrix Algebra")</f>
        <v>Calculus and Matrix Algebra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 t="str">
        <f>IFERROR(__xludf.DUMMYFUNCTION("""COMPUTED_VALUE"""),"Exempted for LE")</f>
        <v>Exempted for LE</v>
      </c>
      <c r="C13" s="2" t="str">
        <f>IFERROR(__xludf.DUMMYFUNCTION("""COMPUTED_VALUE"""),"BS")</f>
        <v>BS</v>
      </c>
      <c r="D13" s="2" t="str">
        <f>IFERROR(__xludf.DUMMYFUNCTION("""COMPUTED_VALUE"""),"SH2206")</f>
        <v>SH2206</v>
      </c>
      <c r="E13" s="2" t="str">
        <f>IFERROR(__xludf.DUMMYFUNCTION("""COMPUTED_VALUE"""),"19MA206")</f>
        <v>19MA206</v>
      </c>
      <c r="F13" s="7" t="str">
        <f>IFERROR(__xludf.DUMMYFUNCTION("""COMPUTED_VALUE"""),"Logic and Combinatorics")</f>
        <v>Logic and Combinatorics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IFERROR(__xludf.DUMMYFUNCTION("""COMPUTED_VALUE"""),"SH2222")</f>
        <v>SH2222</v>
      </c>
      <c r="E14" s="2" t="str">
        <f>IFERROR(__xludf.DUMMYFUNCTION("""COMPUTED_VALUE"""),"19MA222")</f>
        <v>19MA222</v>
      </c>
      <c r="F14" s="7" t="str">
        <f>IFERROR(__xludf.DUMMYFUNCTION("""COMPUTED_VALUE"""),"Probability and Queueing Models")</f>
        <v>Probability and Queueing Models</v>
      </c>
      <c r="G14" s="2" t="str">
        <f>IFERROR(__xludf.DUMMYFUNCTION("""COMPUTED_VALUE"""),"-")</f>
        <v>-</v>
      </c>
      <c r="H14" s="2">
        <f>IFERROR(__xludf.DUMMYFUNCTION("""COMPUTED_VALUE"""),3)</f>
        <v>3</v>
      </c>
      <c r="I14" s="2">
        <f>IFERROR(__xludf.DUMMYFUNCTION("""COMPUTED_VALUE"""),1)</f>
        <v>1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IFERROR(__xludf.DUMMYFUNCTION("""COMPUTED_VALUE"""),"TIP (6 Expts)")</f>
        <v>TIP (6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IFERROR(__xludf.DUMMYFUNCTION("""COMPUTED_VALUE"""),"SH2212")</f>
        <v>SH2212</v>
      </c>
      <c r="E15" s="2" t="str">
        <f>IFERROR(__xludf.DUMMYFUNCTION("""COMPUTED_VALUE"""),"19MA212")</f>
        <v>19MA212</v>
      </c>
      <c r="F15" s="7" t="str">
        <f>IFERROR(__xludf.DUMMYFUNCTION("""COMPUTED_VALUE"""),"Algebra and Number Theory")</f>
        <v>Algebra and Number Theory</v>
      </c>
      <c r="G15" s="2" t="str">
        <f>IFERROR(__xludf.DUMMYFUNCTION("""COMPUTED_VALUE"""),"19MA201")</f>
        <v>19MA201</v>
      </c>
      <c r="H15" s="2">
        <f>IFERROR(__xludf.DUMMYFUNCTION("""COMPUTED_VALUE"""),4)</f>
        <v>4</v>
      </c>
      <c r="I15" s="2">
        <f>IFERROR(__xludf.DUMMYFUNCTION("""COMPUTED_VALUE"""),0)</f>
        <v>0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IFERROR(__xludf.DUMMYFUNCTION("""COMPUTED_VALUE"""),"SH3214")</f>
        <v>SH3214</v>
      </c>
      <c r="E16" s="2" t="str">
        <f>IFERROR(__xludf.DUMMYFUNCTION("""COMPUTED_VALUE"""),"NA")</f>
        <v>NA</v>
      </c>
      <c r="F16" s="7" t="str">
        <f>IFERROR(__xludf.DUMMYFUNCTION("""COMPUTED_VALUE"""),"Physics for Quantum Computing")</f>
        <v>Physics for Quantum Computing</v>
      </c>
      <c r="G16" s="2" t="str">
        <f>IFERROR(__xludf.DUMMYFUNCTION("""COMPUTED_VALUE"""),"-")</f>
        <v>-</v>
      </c>
      <c r="H16" s="2">
        <f>IFERROR(__xludf.DUMMYFUNCTION("""COMPUTED_VALUE"""),2)</f>
        <v>2</v>
      </c>
      <c r="I16" s="2">
        <f>IFERROR(__xludf.DUMMYFUNCTION("""COMPUTED_VALUE"""),1)</f>
        <v>1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IFERROR(__xludf.DUMMYFUNCTION("""COMPUTED_VALUE"""),"SH4205")</f>
        <v>SH4205</v>
      </c>
      <c r="E17" s="2" t="str">
        <f>IFERROR(__xludf.DUMMYFUNCTION("""COMPUTED_VALUE"""),"19CY205")</f>
        <v>19CY205</v>
      </c>
      <c r="F17" s="7" t="str">
        <f>IFERROR(__xludf.DUMMYFUNCTION("""COMPUTED_VALUE"""),"Principles of Chemistry in Engineering")</f>
        <v>Principles of Chemistry in Engineering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IFERROR(__xludf.DUMMYFUNCTION("""COMPUTED_VALUE"""),"BS")</f>
        <v>BS</v>
      </c>
      <c r="D18" s="2" t="str">
        <f>IFERROR(__xludf.DUMMYFUNCTION("""COMPUTED_VALUE"""),"SH4801")</f>
        <v>SH4801</v>
      </c>
      <c r="E18" s="2" t="str">
        <f>IFERROR(__xludf.DUMMYFUNCTION("""COMPUTED_VALUE"""),"NA")</f>
        <v>NA</v>
      </c>
      <c r="F18" s="7" t="str">
        <f>IFERROR(__xludf.DUMMYFUNCTION("""COMPUTED_VALUE"""),"Environmental Sciences and Sustainability")</f>
        <v>Environmental Sciences and Sustainability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IFERROR(__xludf.DUMMYFUNCTION("""COMPUTED_VALUE"""),0)</f>
        <v>0</v>
      </c>
      <c r="J18" s="2">
        <f>IFERROR(__xludf.DUMMYFUNCTION("""COMPUTED_VALUE"""),2)</f>
        <v>2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IFERROR(__xludf.DUMMYFUNCTION("""COMPUTED_VALUE"""),"CS3301")</f>
        <v>CS3301</v>
      </c>
      <c r="E19" s="2" t="str">
        <f>IFERROR(__xludf.DUMMYFUNCTION("""COMPUTED_VALUE"""),"19AI301")</f>
        <v>19AI301</v>
      </c>
      <c r="F19" s="7" t="str">
        <f>IFERROR(__xludf.DUMMYFUNCTION("""COMPUTED_VALUE"""),"Python Programming")</f>
        <v>Python Programming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IFERROR(__xludf.DUMMYFUNCTION("""COMPUTED_VALUE"""),"CS3302")</f>
        <v>CS3302</v>
      </c>
      <c r="E20" s="2" t="str">
        <f>IFERROR(__xludf.DUMMYFUNCTION("""COMPUTED_VALUE"""),"19AI302")</f>
        <v>19AI302</v>
      </c>
      <c r="F20" s="7" t="str">
        <f>IFERROR(__xludf.DUMMYFUNCTION("""COMPUTED_VALUE"""),"Engineering Design and Modelling")</f>
        <v>Engineering Design and Modelling</v>
      </c>
      <c r="G20" s="2" t="str">
        <f>IFERROR(__xludf.DUMMYFUNCTION("""COMPUTED_VALUE"""),"-")</f>
        <v>-</v>
      </c>
      <c r="H20" s="2">
        <f>IFERROR(__xludf.DUMMYFUNCTION("""COMPUTED_VALUE"""),0)</f>
        <v>0</v>
      </c>
      <c r="I20" s="2">
        <f>IFERROR(__xludf.DUMMYFUNCTION("""COMPUTED_VALUE"""),3)</f>
        <v>3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IFERROR(__xludf.DUMMYFUNCTION("""COMPUTED_VALUE"""),"Practical (10 Expts)")</f>
        <v>Practical (10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IFERROR(__xludf.DUMMYFUNCTION("""COMPUTED_VALUE"""),"EC2404")</f>
        <v>EC2404</v>
      </c>
      <c r="E21" s="2" t="str">
        <f>IFERROR(__xludf.DUMMYFUNCTION("""COMPUTED_VALUE"""),"19EE404")</f>
        <v>19EE404</v>
      </c>
      <c r="F21" s="7" t="str">
        <f>IFERROR(__xludf.DUMMYFUNCTION("""COMPUTED_VALUE"""),"Digital Electronics")</f>
        <v>Digital Electronics</v>
      </c>
      <c r="G21" s="2" t="str">
        <f>IFERROR(__xludf.DUMMYFUNCTION("""COMPUTED_VALUE"""),"-")</f>
        <v>-</v>
      </c>
      <c r="H21" s="2">
        <f>IFERROR(__xludf.DUMMYFUNCTION("""COMPUTED_VALUE"""),3)</f>
        <v>3</v>
      </c>
      <c r="I21" s="2">
        <f>IFERROR(__xludf.DUMMYFUNCTION("""COMPUTED_VALUE"""),1)</f>
        <v>1</v>
      </c>
      <c r="J21" s="2">
        <f>IFERROR(__xludf.DUMMYFUNCTION("""COMPUTED_VALUE"""),4)</f>
        <v>4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IFERROR(__xludf.DUMMYFUNCTION("""COMPUTED_VALUE"""),"EC2305")</f>
        <v>EC2305</v>
      </c>
      <c r="E22" s="2" t="str">
        <f>IFERROR(__xludf.DUMMYFUNCTION("""COMPUTED_VALUE"""),"19EE305")</f>
        <v>19EE305</v>
      </c>
      <c r="F22" s="7" t="str">
        <f>IFERROR(__xludf.DUMMYFUNCTION("""COMPUTED_VALUE"""),"Basic Electrical, Electronics and Measurement Engineering")</f>
        <v>Basic Electrical, Electronics and Measurement Engineering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IFERROR(__xludf.DUMMYFUNCTION("""COMPUTED_VALUE"""),"CS3307")</f>
        <v>CS3307</v>
      </c>
      <c r="E23" s="2" t="str">
        <f>IFERROR(__xludf.DUMMYFUNCTION("""COMPUTED_VALUE"""),"19AI307")</f>
        <v>19AI307</v>
      </c>
      <c r="F23" s="7" t="str">
        <f>IFERROR(__xludf.DUMMYFUNCTION("""COMPUTED_VALUE"""),"Object Oriented Programming using Java")</f>
        <v>Object Oriented Programming using Java</v>
      </c>
      <c r="G23" s="2" t="str">
        <f>IFERROR(__xludf.DUMMYFUNCTION("""COMPUTED_VALUE"""),"19AI304")</f>
        <v>19AI304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IFERROR(__xludf.DUMMYFUNCTION("""COMPUTED_VALUE"""),"CS3304")</f>
        <v>CS3304</v>
      </c>
      <c r="E24" s="2" t="str">
        <f>IFERROR(__xludf.DUMMYFUNCTION("""COMPUTED_VALUE"""),"19AI304")</f>
        <v>19AI304</v>
      </c>
      <c r="F24" s="7" t="str">
        <f>IFERROR(__xludf.DUMMYFUNCTION("""COMPUTED_VALUE"""),"Fundamentals of C Programming")</f>
        <v>Fundamentals of C Programming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IFERROR(__xludf.DUMMYFUNCTION("""COMPUTED_VALUE"""),"CS3305")</f>
        <v>CS3305</v>
      </c>
      <c r="E25" s="2" t="str">
        <f>IFERROR(__xludf.DUMMYFUNCTION("""COMPUTED_VALUE"""),"19AI305")</f>
        <v>19AI305</v>
      </c>
      <c r="F25" s="7" t="str">
        <f>IFERROR(__xludf.DUMMYFUNCTION("""COMPUTED_VALUE"""),"Advanced C Programming")</f>
        <v>Advanced C Programming</v>
      </c>
      <c r="G25" s="2" t="str">
        <f>IFERROR(__xludf.DUMMYFUNCTION("""COMPUTED_VALUE"""),"19AI304 / CS3304")</f>
        <v>19AI304 / CS3304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IFERROR(__xludf.DUMMYFUNCTION("""COMPUTED_VALUE"""),"CS1305")</f>
        <v>CS1305</v>
      </c>
      <c r="E26" s="2" t="str">
        <f>IFERROR(__xludf.DUMMYFUNCTION("""COMPUTED_VALUE"""),"19CS305")</f>
        <v>19CS305</v>
      </c>
      <c r="F26" s="7" t="str">
        <f>IFERROR(__xludf.DUMMYFUNCTION("""COMPUTED_VALUE"""),"Computer Architecture")</f>
        <v>Computer Architecture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IFERROR(__xludf.DUMMYFUNCTION("""COMPUTED_VALUE"""),0)</f>
        <v>0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IFERROR(__xludf.DUMMYFUNCTION("""COMPUTED_VALUE"""),"Theory")</f>
        <v>Theory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IFERROR(__xludf.DUMMYFUNCTION("""COMPUTED_VALUE"""),"PC")</f>
        <v>PC</v>
      </c>
      <c r="D27" s="2" t="str">
        <f>IFERROR(__xludf.DUMMYFUNCTION("""COMPUTED_VALUE"""),"CS3404")</f>
        <v>CS3404</v>
      </c>
      <c r="E27" s="2" t="str">
        <f>IFERROR(__xludf.DUMMYFUNCTION("""COMPUTED_VALUE"""),"19AI404")</f>
        <v>19AI404</v>
      </c>
      <c r="F27" s="7" t="str">
        <f>IFERROR(__xludf.DUMMYFUNCTION("""COMPUTED_VALUE"""),"Analysis of Algorithms")</f>
        <v>Analysis of Algorithms</v>
      </c>
      <c r="G27" s="2" t="str">
        <f>IFERROR(__xludf.DUMMYFUNCTION("""COMPUTED_VALUE"""),"19AI301")</f>
        <v>19AI301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IFERROR(__xludf.DUMMYFUNCTION("""COMPUTED_VALUE"""),"CS3405")</f>
        <v>CS3405</v>
      </c>
      <c r="E28" s="2" t="str">
        <f>IFERROR(__xludf.DUMMYFUNCTION("""COMPUTED_VALUE"""),"19AI405")</f>
        <v>19AI405</v>
      </c>
      <c r="F28" s="7" t="str">
        <f>IFERROR(__xludf.DUMMYFUNCTION("""COMPUTED_VALUE"""),"Fundamentals of Artificial Intelligence")</f>
        <v>Fundamentals of Artificial Intelligence</v>
      </c>
      <c r="G28" s="2" t="str">
        <f>IFERROR(__xludf.DUMMYFUNCTION("""COMPUTED_VALUE"""),"19CS301")</f>
        <v>19CS301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IFERROR(__xludf.DUMMYFUNCTION("""COMPUTED_VALUE"""),"CS3408")</f>
        <v>CS3408</v>
      </c>
      <c r="E29" s="2" t="str">
        <f>IFERROR(__xludf.DUMMYFUNCTION("""COMPUTED_VALUE"""),"19AI408")</f>
        <v>19AI408</v>
      </c>
      <c r="F29" s="7" t="str">
        <f>IFERROR(__xludf.DUMMYFUNCTION("""COMPUTED_VALUE"""),"Data Structures")</f>
        <v>Data Structures</v>
      </c>
      <c r="G29" s="2" t="str">
        <f>IFERROR(__xludf.DUMMYFUNCTION("""COMPUTED_VALUE"""),"19AI304 / CS3304")</f>
        <v>19AI304 / CS3304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IFERROR(__xludf.DUMMYFUNCTION("""COMPUTED_VALUE"""),"CS3410")</f>
        <v>CS3410</v>
      </c>
      <c r="E30" s="2" t="str">
        <f>IFERROR(__xludf.DUMMYFUNCTION("""COMPUTED_VALUE"""),"19AI410")</f>
        <v>19AI410</v>
      </c>
      <c r="F30" s="7" t="str">
        <f>IFERROR(__xludf.DUMMYFUNCTION("""COMPUTED_VALUE"""),"Introduction to Machine Learning")</f>
        <v>Introduction to Machine Learning</v>
      </c>
      <c r="G30" s="2" t="str">
        <f>IFERROR(__xludf.DUMMYFUNCTION("""COMPUTED_VALUE"""),"-")</f>
        <v>-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IFERROR(__xludf.DUMMYFUNCTION("""COMPUTED_VALUE"""),"CS3414")</f>
        <v>CS3414</v>
      </c>
      <c r="E31" s="2" t="str">
        <f>IFERROR(__xludf.DUMMYFUNCTION("""COMPUTED_VALUE"""),"19AI414")</f>
        <v>19AI414</v>
      </c>
      <c r="F31" s="7" t="str">
        <f>IFERROR(__xludf.DUMMYFUNCTION("""COMPUTED_VALUE"""),"Fundamentals of Web Application Development")</f>
        <v>Fundamentals of Web Application Development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IFERROR(__xludf.DUMMYFUNCTION("""COMPUTED_VALUE"""),2)</f>
        <v>2</v>
      </c>
      <c r="J31" s="2">
        <f>IFERROR(__xludf.DUMMYFUNCTION("""COMPUTED_VALUE"""),5)</f>
        <v>5</v>
      </c>
      <c r="K31" s="2" t="str">
        <f>IFERROR(__xludf.DUMMYFUNCTION("""COMPUTED_VALUE"""),"CGPA")</f>
        <v>CGPA</v>
      </c>
      <c r="L31" s="2" t="str">
        <f>IFERROR(__xludf.DUMMYFUNCTION("""COMPUTED_VALUE"""),"TIP (10 Expts)")</f>
        <v>TIP (10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IFERROR(__xludf.DUMMYFUNCTION("""COMPUTED_VALUE"""),"CS3539")</f>
        <v>CS3539</v>
      </c>
      <c r="E32" s="2" t="str">
        <f>IFERROR(__xludf.DUMMYFUNCTION("""COMPUTED_VALUE"""),"19AI539")</f>
        <v>19AI539</v>
      </c>
      <c r="F32" s="7" t="str">
        <f>IFERROR(__xludf.DUMMYFUNCTION("""COMPUTED_VALUE"""),"Mobile User Interface Development")</f>
        <v>Mobile User Interface Development</v>
      </c>
      <c r="G32" s="2" t="str">
        <f>IFERROR(__xludf.DUMMYFUNCTION("""COMPUTED_VALUE"""),"19CS401")</f>
        <v>19CS401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IFERROR(__xludf.DUMMYFUNCTION("""COMPUTED_VALUE"""),"CS3540")</f>
        <v>CS3540</v>
      </c>
      <c r="E33" s="2" t="str">
        <f>IFERROR(__xludf.DUMMYFUNCTION("""COMPUTED_VALUE"""),"19AI540")</f>
        <v>19AI540</v>
      </c>
      <c r="F33" s="7" t="str">
        <f>IFERROR(__xludf.DUMMYFUNCTION("""COMPUTED_VALUE"""),"Programming Mobile Devices")</f>
        <v>Programming Mobile Devices</v>
      </c>
      <c r="G33" s="2" t="str">
        <f>IFERROR(__xludf.DUMMYFUNCTION("""COMPUTED_VALUE"""),"19CS401")</f>
        <v>19CS401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IFERROR(__xludf.DUMMYFUNCTION("""COMPUTED_VALUE"""),"CS3541")</f>
        <v>CS3541</v>
      </c>
      <c r="E34" s="2" t="str">
        <f>IFERROR(__xludf.DUMMYFUNCTION("""COMPUTED_VALUE"""),"19AI541")</f>
        <v>19AI541</v>
      </c>
      <c r="F34" s="7" t="str">
        <f>IFERROR(__xludf.DUMMYFUNCTION("""COMPUTED_VALUE"""),"Cloud Computing")</f>
        <v>Cloud Computing</v>
      </c>
      <c r="G34" s="2" t="str">
        <f>IFERROR(__xludf.DUMMYFUNCTION("""COMPUTED_VALUE"""),"19CS406")</f>
        <v>19CS406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IFERROR(__xludf.DUMMYFUNCTION("""COMPUTED_VALUE"""),"CS3546")</f>
        <v>CS3546</v>
      </c>
      <c r="E35" s="2" t="str">
        <f>IFERROR(__xludf.DUMMYFUNCTION("""COMPUTED_VALUE"""),"19AI546")</f>
        <v>19AI546</v>
      </c>
      <c r="F35" s="7" t="str">
        <f>IFERROR(__xludf.DUMMYFUNCTION("""COMPUTED_VALUE"""),"Web Server Programming")</f>
        <v>Web Server Programming</v>
      </c>
      <c r="G35" s="2" t="str">
        <f>IFERROR(__xludf.DUMMYFUNCTION("""COMPUTED_VALUE"""),"19CS401")</f>
        <v>19CS401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 t="str">
        <f>IFERROR(__xludf.DUMMYFUNCTION("""COMPUTED_VALUE"""),"Any 1")</f>
        <v>Any 1</v>
      </c>
      <c r="C36" s="2" t="str">
        <f>IFERROR(__xludf.DUMMYFUNCTION("""COMPUTED_VALUE"""),"PC")</f>
        <v>PC</v>
      </c>
      <c r="D36" s="2" t="str">
        <f>IFERROR(__xludf.DUMMYFUNCTION("""COMPUTED_VALUE"""),"CS3553")</f>
        <v>CS3553</v>
      </c>
      <c r="E36" s="2" t="str">
        <f>IFERROR(__xludf.DUMMYFUNCTION("""COMPUTED_VALUE"""),"19AI553")</f>
        <v>19AI553</v>
      </c>
      <c r="F36" s="7" t="str">
        <f>IFERROR(__xludf.DUMMYFUNCTION("""COMPUTED_VALUE"""),"Advanced Java Web Applications")</f>
        <v>Advanced Java Web Applications</v>
      </c>
      <c r="G36" s="2" t="str">
        <f>IFERROR(__xludf.DUMMYFUNCTION("""COMPUTED_VALUE"""),"19AI307")</f>
        <v>19AI307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 t="str">
        <f>IFERROR(__xludf.DUMMYFUNCTION("""COMPUTED_VALUE"""),"Any 1")</f>
        <v>Any 1</v>
      </c>
      <c r="C37" s="2" t="str">
        <f>IFERROR(__xludf.DUMMYFUNCTION("""COMPUTED_VALUE"""),"PC")</f>
        <v>PC</v>
      </c>
      <c r="D37" s="2" t="str">
        <f>IFERROR(__xludf.DUMMYFUNCTION("""COMPUTED_VALUE"""),"CS1567")</f>
        <v>CS1567</v>
      </c>
      <c r="E37" s="2" t="str">
        <f>IFERROR(__xludf.DUMMYFUNCTION("""COMPUTED_VALUE"""),"19CS567")</f>
        <v>19CS567</v>
      </c>
      <c r="F37" s="7" t="str">
        <f>IFERROR(__xludf.DUMMYFUNCTION("""COMPUTED_VALUE"""),"Cloud Native App Development")</f>
        <v>Cloud Native App Development</v>
      </c>
      <c r="G37" s="2" t="str">
        <f>IFERROR(__xludf.DUMMYFUNCTION("""COMPUTED_VALUE"""),"-")</f>
        <v>-</v>
      </c>
      <c r="H37" s="2">
        <f>IFERROR(__xludf.DUMMYFUNCTION("""COMPUTED_VALUE"""),2)</f>
        <v>2</v>
      </c>
      <c r="I37" s="2">
        <f>IFERROR(__xludf.DUMMYFUNCTION("""COMPUTED_VALUE"""),1)</f>
        <v>1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 t="str">
        <f>IFERROR(__xludf.DUMMYFUNCTION("""COMPUTED_VALUE"""),"Any 1")</f>
        <v>Any 1</v>
      </c>
      <c r="C38" s="2" t="str">
        <f>IFERROR(__xludf.DUMMYFUNCTION("""COMPUTED_VALUE"""),"PC")</f>
        <v>PC</v>
      </c>
      <c r="D38" s="2" t="str">
        <f>IFERROR(__xludf.DUMMYFUNCTION("""COMPUTED_VALUE"""),"CS3545")</f>
        <v>CS3545</v>
      </c>
      <c r="E38" s="2" t="str">
        <f>IFERROR(__xludf.DUMMYFUNCTION("""COMPUTED_VALUE"""),"19AI545")</f>
        <v>19AI545</v>
      </c>
      <c r="F38" s="7" t="str">
        <f>IFERROR(__xludf.DUMMYFUNCTION("""COMPUTED_VALUE"""),"Modern Web Application Development")</f>
        <v>Modern Web Application Development</v>
      </c>
      <c r="G38" s="2" t="str">
        <f>IFERROR(__xludf.DUMMYFUNCTION("""COMPUTED_VALUE"""),"19CS410")</f>
        <v>19CS410</v>
      </c>
      <c r="H38" s="2">
        <f>IFERROR(__xludf.DUMMYFUNCTION("""COMPUTED_VALUE"""),2)</f>
        <v>2</v>
      </c>
      <c r="I38" s="2">
        <f>IFERROR(__xludf.DUMMYFUNCTION("""COMPUTED_VALUE"""),1)</f>
        <v>1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IFERROR(__xludf.DUMMYFUNCTION("""COMPUTED_VALUE"""),"CS4508")</f>
        <v>CS4508</v>
      </c>
      <c r="E39" s="2" t="str">
        <f>IFERROR(__xludf.DUMMYFUNCTION("""COMPUTED_VALUE"""),"19AM508")</f>
        <v>19AM508</v>
      </c>
      <c r="F39" s="7" t="str">
        <f>IFERROR(__xludf.DUMMYFUNCTION("""COMPUTED_VALUE"""),"Introduction to IoT")</f>
        <v>Introduction to IoT</v>
      </c>
      <c r="G39" s="2" t="str">
        <f>IFERROR(__xludf.DUMMYFUNCTION("""COMPUTED_VALUE"""),"-")</f>
        <v>-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IFERROR(__xludf.DUMMYFUNCTION("""COMPUTED_VALUE"""),"CS1404")</f>
        <v>CS1404</v>
      </c>
      <c r="E40" s="2" t="str">
        <f>IFERROR(__xludf.DUMMYFUNCTION("""COMPUTED_VALUE"""),"19CS404")</f>
        <v>19CS404</v>
      </c>
      <c r="F40" s="3" t="str">
        <f>IFERROR(__xludf.DUMMYFUNCTION("""COMPUTED_VALUE"""),"Database Management System and its Applications")</f>
        <v>Database Management System and its Applications</v>
      </c>
      <c r="G40" s="2" t="str">
        <f>IFERROR(__xludf.DUMMYFUNCTION("""COMPUTED_VALUE"""),"19AI301/19AI304/19CS301/19CS302/19CS303")</f>
        <v>19AI301/19AI304/19CS301/19CS302/19CS303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IFERROR(__xludf.DUMMYFUNCTION("""COMPUTED_VALUE"""),"CS1405")</f>
        <v>CS1405</v>
      </c>
      <c r="E41" s="2" t="str">
        <f>IFERROR(__xludf.DUMMYFUNCTION("""COMPUTED_VALUE"""),"19CS405")</f>
        <v>19CS405</v>
      </c>
      <c r="F41" s="7" t="str">
        <f>IFERROR(__xludf.DUMMYFUNCTION("""COMPUTED_VALUE"""),"Operating System")</f>
        <v>Operating System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IFERROR(__xludf.DUMMYFUNCTION("""COMPUTED_VALUE"""),1)</f>
        <v>1</v>
      </c>
      <c r="J41" s="2">
        <f>IFERROR(__xludf.DUMMYFUNCTION("""COMPUTED_VALUE"""),4)</f>
        <v>4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IFERROR(__xludf.DUMMYFUNCTION("""COMPUTED_VALUE"""),"CS1406")</f>
        <v>CS1406</v>
      </c>
      <c r="E42" s="2" t="str">
        <f>IFERROR(__xludf.DUMMYFUNCTION("""COMPUTED_VALUE"""),"19CS406")</f>
        <v>19CS406</v>
      </c>
      <c r="F42" s="7" t="str">
        <f>IFERROR(__xludf.DUMMYFUNCTION("""COMPUTED_VALUE"""),"Computer Networks")</f>
        <v>Computer Networks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IFERROR(__xludf.DUMMYFUNCTION("""COMPUTED_VALUE"""),"CS1407")</f>
        <v>CS1407</v>
      </c>
      <c r="E43" s="2" t="str">
        <f>IFERROR(__xludf.DUMMYFUNCTION("""COMPUTED_VALUE"""),"19CS407")</f>
        <v>19CS407</v>
      </c>
      <c r="F43" s="7" t="str">
        <f>IFERROR(__xludf.DUMMYFUNCTION("""COMPUTED_VALUE"""),"Theory of Computation")</f>
        <v>Theory of Computation</v>
      </c>
      <c r="G43" s="2" t="str">
        <f>IFERROR(__xludf.DUMMYFUNCTION("""COMPUTED_VALUE"""),"19MA206")</f>
        <v>19MA206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IFERROR(__xludf.DUMMYFUNCTION("""COMPUTED_VALUE"""),"CS1408")</f>
        <v>CS1408</v>
      </c>
      <c r="E44" s="2" t="str">
        <f>IFERROR(__xludf.DUMMYFUNCTION("""COMPUTED_VALUE"""),"19CS408")</f>
        <v>19CS408</v>
      </c>
      <c r="F44" s="7" t="str">
        <f>IFERROR(__xludf.DUMMYFUNCTION("""COMPUTED_VALUE"""),"Software Engineering")</f>
        <v>Software Engineering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IFERROR(__xludf.DUMMYFUNCTION("""COMPUTED_VALUE"""),1)</f>
        <v>1</v>
      </c>
      <c r="J44" s="2">
        <f>IFERROR(__xludf.DUMMYFUNCTION("""COMPUTED_VALUE"""),4)</f>
        <v>4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IFERROR(__xludf.DUMMYFUNCTION("""COMPUTED_VALUE"""),"CS1415")</f>
        <v>CS1415</v>
      </c>
      <c r="E45" s="2" t="str">
        <f>IFERROR(__xludf.DUMMYFUNCTION("""COMPUTED_VALUE"""),"19CS415")</f>
        <v>19CS415</v>
      </c>
      <c r="F45" s="7" t="str">
        <f>IFERROR(__xludf.DUMMYFUNCTION("""COMPUTED_VALUE"""),"Cryptography")</f>
        <v>Cryptography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IFERROR(__xludf.DUMMYFUNCTION("""COMPUTED_VALUE"""),"CS3303")</f>
        <v>CS3303</v>
      </c>
      <c r="E46" s="2" t="str">
        <f>IFERROR(__xludf.DUMMYFUNCTION("""COMPUTED_VALUE"""),"19AI303")</f>
        <v>19AI303</v>
      </c>
      <c r="F46" s="7" t="str">
        <f>IFERROR(__xludf.DUMMYFUNCTION("""COMPUTED_VALUE"""),"Engineering Mechanics and Product Development")</f>
        <v>Engineering Mechanics and Product Development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IFERROR(__xludf.DUMMYFUNCTION("""COMPUTED_VALUE"""),"CS3306")</f>
        <v>CS3306</v>
      </c>
      <c r="E47" s="2" t="str">
        <f>IFERROR(__xludf.DUMMYFUNCTION("""COMPUTED_VALUE"""),"19AI306")</f>
        <v>19AI306</v>
      </c>
      <c r="F47" s="7" t="str">
        <f>IFERROR(__xludf.DUMMYFUNCTION("""COMPUTED_VALUE"""),"Object Oriented Programming using C++")</f>
        <v>Object Oriented Programming using C++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IFERROR(__xludf.DUMMYFUNCTION("""COMPUTED_VALUE"""),"CS3308")</f>
        <v>CS3308</v>
      </c>
      <c r="E48" s="2" t="str">
        <f>IFERROR(__xludf.DUMMYFUNCTION("""COMPUTED_VALUE"""),"19AI308")</f>
        <v>19AI308</v>
      </c>
      <c r="F48" s="7" t="str">
        <f>IFERROR(__xludf.DUMMYFUNCTION("""COMPUTED_VALUE"""),"Object Oriented Programming using C#")</f>
        <v>Object Oriented Programming using C#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IFERROR(__xludf.DUMMYFUNCTION("""COMPUTED_VALUE"""),"CS3403")</f>
        <v>CS3403</v>
      </c>
      <c r="E49" s="2" t="str">
        <f>IFERROR(__xludf.DUMMYFUNCTION("""COMPUTED_VALUE"""),"19AI403")</f>
        <v>19AI403</v>
      </c>
      <c r="F49" s="7" t="str">
        <f>IFERROR(__xludf.DUMMYFUNCTION("""COMPUTED_VALUE"""),"Introduction to Data Science")</f>
        <v>Introduction to Data Science</v>
      </c>
      <c r="G49" s="2" t="str">
        <f>IFERROR(__xludf.DUMMYFUNCTION("""COMPUTED_VALUE"""),"19CS301")</f>
        <v>19CS301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IFERROR(__xludf.DUMMYFUNCTION("""COMPUTED_VALUE"""),"CS3406")</f>
        <v>CS3406</v>
      </c>
      <c r="E50" s="2" t="str">
        <f>IFERROR(__xludf.DUMMYFUNCTION("""COMPUTED_VALUE"""),"19AI406")</f>
        <v>19AI406</v>
      </c>
      <c r="F50" s="7" t="str">
        <f>IFERROR(__xludf.DUMMYFUNCTION("""COMPUTED_VALUE"""),"Digital Image Processing Techniques")</f>
        <v>Digital Image Processing Techniques</v>
      </c>
      <c r="G50" s="2" t="str">
        <f>IFERROR(__xludf.DUMMYFUNCTION("""COMPUTED_VALUE"""),"-")</f>
        <v>-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IFERROR(__xludf.DUMMYFUNCTION("""COMPUTED_VALUE"""),"CS3407")</f>
        <v>CS3407</v>
      </c>
      <c r="E51" s="2" t="str">
        <f>IFERROR(__xludf.DUMMYFUNCTION("""COMPUTED_VALUE"""),"19AI407")</f>
        <v>19AI407</v>
      </c>
      <c r="F51" s="7" t="str">
        <f>IFERROR(__xludf.DUMMYFUNCTION("""COMPUTED_VALUE"""),"Parallel Computing Architecture")</f>
        <v>Parallel Computing Architecture</v>
      </c>
      <c r="G51" s="2" t="str">
        <f>IFERROR(__xludf.DUMMYFUNCTION("""COMPUTED_VALUE"""),"-")</f>
        <v>-</v>
      </c>
      <c r="H51" s="2">
        <f>IFERROR(__xludf.DUMMYFUNCTION("""COMPUTED_VALUE"""),3)</f>
        <v>3</v>
      </c>
      <c r="I51" s="2">
        <f>IFERROR(__xludf.DUMMYFUNCTION("""COMPUTED_VALUE"""),1)</f>
        <v>1</v>
      </c>
      <c r="J51" s="2">
        <f>IFERROR(__xludf.DUMMYFUNCTION("""COMPUTED_VALUE"""),4)</f>
        <v>4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IFERROR(__xludf.DUMMYFUNCTION("""COMPUTED_VALUE"""),"CS3409")</f>
        <v>CS3409</v>
      </c>
      <c r="E52" s="2" t="str">
        <f>IFERROR(__xludf.DUMMYFUNCTION("""COMPUTED_VALUE"""),"19AI409")</f>
        <v>19AI409</v>
      </c>
      <c r="F52" s="7" t="str">
        <f>IFERROR(__xludf.DUMMYFUNCTION("""COMPUTED_VALUE"""),"Applied Artificial Intelligence")</f>
        <v>Applied Artificial Intelligence</v>
      </c>
      <c r="G52" s="2" t="str">
        <f>IFERROR(__xludf.DUMMYFUNCTION("""COMPUTED_VALUE"""),"19AI405/19CS301")</f>
        <v>19AI405/19CS301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IFERROR(__xludf.DUMMYFUNCTION("""COMPUTED_VALUE"""),"CS3411")</f>
        <v>CS3411</v>
      </c>
      <c r="E53" s="2" t="str">
        <f>IFERROR(__xludf.DUMMYFUNCTION("""COMPUTED_VALUE"""),"19AI411")</f>
        <v>19AI411</v>
      </c>
      <c r="F53" s="7" t="str">
        <f>IFERROR(__xludf.DUMMYFUNCTION("""COMPUTED_VALUE"""),"Neural Networks")</f>
        <v>Neural Networks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IFERROR(__xludf.DUMMYFUNCTION("""COMPUTED_VALUE"""),"CS3412")</f>
        <v>CS3412</v>
      </c>
      <c r="E54" s="2" t="str">
        <f>IFERROR(__xludf.DUMMYFUNCTION("""COMPUTED_VALUE"""),"19AI412")</f>
        <v>19AI412</v>
      </c>
      <c r="F54" s="7" t="str">
        <f>IFERROR(__xludf.DUMMYFUNCTION("""COMPUTED_VALUE"""),"Web Data Mining")</f>
        <v>Web Data Mining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IFERROR(__xludf.DUMMYFUNCTION("""COMPUTED_VALUE"""),1)</f>
        <v>1</v>
      </c>
      <c r="J54" s="2">
        <f>IFERROR(__xludf.DUMMYFUNCTION("""COMPUTED_VALUE"""),4)</f>
        <v>4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IFERROR(__xludf.DUMMYFUNCTION("""COMPUTED_VALUE"""),"CS3413")</f>
        <v>CS3413</v>
      </c>
      <c r="E55" s="2" t="str">
        <f>IFERROR(__xludf.DUMMYFUNCTION("""COMPUTED_VALUE"""),"19AI413")</f>
        <v>19AI413</v>
      </c>
      <c r="F55" s="7" t="str">
        <f>IFERROR(__xludf.DUMMYFUNCTION("""COMPUTED_VALUE"""),"Deep Learning and its Applications")</f>
        <v>Deep Learning and its Applications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IFERROR(__xludf.DUMMYFUNCTION("""COMPUTED_VALUE"""),"CS3501")</f>
        <v>CS3501</v>
      </c>
      <c r="E56" s="2" t="str">
        <f>IFERROR(__xludf.DUMMYFUNCTION("""COMPUTED_VALUE"""),"19AI501")</f>
        <v>19AI501</v>
      </c>
      <c r="F56" s="3" t="str">
        <f>IFERROR(__xludf.DUMMYFUNCTION("""COMPUTED_VALUE"""),"Applications of Artificial Intelligence")</f>
        <v>Applications of Artificial Intelligence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IFERROR(__xludf.DUMMYFUNCTION("""COMPUTED_VALUE"""),"CS3502")</f>
        <v>CS3502</v>
      </c>
      <c r="E57" s="2" t="str">
        <f>IFERROR(__xludf.DUMMYFUNCTION("""COMPUTED_VALUE"""),"19AI502")</f>
        <v>19AI502</v>
      </c>
      <c r="F57" s="7" t="str">
        <f>IFERROR(__xludf.DUMMYFUNCTION("""COMPUTED_VALUE"""),"Applied Natural Language Processing")</f>
        <v>Applied Natural Language Processing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IFERROR(__xludf.DUMMYFUNCTION("""COMPUTED_VALUE"""),"CS3503")</f>
        <v>CS3503</v>
      </c>
      <c r="E58" s="2" t="str">
        <f>IFERROR(__xludf.DUMMYFUNCTION("""COMPUTED_VALUE"""),"19AI503")</f>
        <v>19AI503</v>
      </c>
      <c r="F58" s="7" t="str">
        <f>IFERROR(__xludf.DUMMYFUNCTION("""COMPUTED_VALUE"""),"Computer Vision")</f>
        <v>Computer Vision</v>
      </c>
      <c r="G58" s="2" t="str">
        <f>IFERROR(__xludf.DUMMYFUNCTION("""COMPUTED_VALUE"""),"19CS301")</f>
        <v>19CS301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IFERROR(__xludf.DUMMYFUNCTION("""COMPUTED_VALUE"""),"CS3504")</f>
        <v>CS3504</v>
      </c>
      <c r="E59" s="2" t="str">
        <f>IFERROR(__xludf.DUMMYFUNCTION("""COMPUTED_VALUE"""),"19AI504")</f>
        <v>19AI504</v>
      </c>
      <c r="F59" s="7" t="str">
        <f>IFERROR(__xludf.DUMMYFUNCTION("""COMPUTED_VALUE"""),"Mobile Robotics")</f>
        <v>Mobile Robotics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IFERROR(__xludf.DUMMYFUNCTION("""COMPUTED_VALUE"""),"CS3505")</f>
        <v>CS3505</v>
      </c>
      <c r="E60" s="2" t="str">
        <f>IFERROR(__xludf.DUMMYFUNCTION("""COMPUTED_VALUE"""),"19AI505")</f>
        <v>19AI505</v>
      </c>
      <c r="F60" s="3" t="str">
        <f>IFERROR(__xludf.DUMMYFUNCTION("""COMPUTED_VALUE"""),"Reinforcement Learning")</f>
        <v>Reinforcement Learning</v>
      </c>
      <c r="G60" s="2" t="str">
        <f>IFERROR(__xludf.DUMMYFUNCTION("""COMPUTED_VALUE"""),"19CS301")</f>
        <v>19CS301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IFERROR(__xludf.DUMMYFUNCTION("""COMPUTED_VALUE"""),"CS3506")</f>
        <v>CS3506</v>
      </c>
      <c r="E61" s="2" t="str">
        <f>IFERROR(__xludf.DUMMYFUNCTION("""COMPUTED_VALUE"""),"19AI506")</f>
        <v>19AI506</v>
      </c>
      <c r="F61" s="3" t="str">
        <f>IFERROR(__xludf.DUMMYFUNCTION("""COMPUTED_VALUE"""),"Speech Analysis and Processing")</f>
        <v>Speech Analysis and Processing</v>
      </c>
      <c r="G61" s="2" t="str">
        <f>IFERROR(__xludf.DUMMYFUNCTION("""COMPUTED_VALUE"""),"-")</f>
        <v>-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IFERROR(__xludf.DUMMYFUNCTION("""COMPUTED_VALUE"""),"CS3507")</f>
        <v>CS3507</v>
      </c>
      <c r="E62" s="2" t="str">
        <f>IFERROR(__xludf.DUMMYFUNCTION("""COMPUTED_VALUE"""),"19AI507")</f>
        <v>19AI507</v>
      </c>
      <c r="F62" s="7" t="str">
        <f>IFERROR(__xludf.DUMMYFUNCTION("""COMPUTED_VALUE"""),"Special Topics in Artificial Intelligence")</f>
        <v>Special Topics in Artificial Intelligence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IFERROR(__xludf.DUMMYFUNCTION("""COMPUTED_VALUE"""),"CS3508")</f>
        <v>CS3508</v>
      </c>
      <c r="E63" s="2" t="str">
        <f>IFERROR(__xludf.DUMMYFUNCTION("""COMPUTED_VALUE"""),"19AI508")</f>
        <v>19AI508</v>
      </c>
      <c r="F63" s="3" t="str">
        <f>IFERROR(__xludf.DUMMYFUNCTION("""COMPUTED_VALUE"""),"Soft Computing Techniques")</f>
        <v>Soft Computing Techniques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IFERROR(__xludf.DUMMYFUNCTION("""COMPUTED_VALUE"""),"CS3509")</f>
        <v>CS3509</v>
      </c>
      <c r="E64" s="2" t="str">
        <f>IFERROR(__xludf.DUMMYFUNCTION("""COMPUTED_VALUE"""),"19AI509")</f>
        <v>19AI509</v>
      </c>
      <c r="F64" s="7" t="str">
        <f>IFERROR(__xludf.DUMMYFUNCTION("""COMPUTED_VALUE"""),"Concepts of Virtual And Augmented Reality")</f>
        <v>Concepts of Virtual And Augmented Reality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IFERROR(__xludf.DUMMYFUNCTION("""COMPUTED_VALUE"""),"CS3510")</f>
        <v>CS3510</v>
      </c>
      <c r="E65" s="2" t="str">
        <f>IFERROR(__xludf.DUMMYFUNCTION("""COMPUTED_VALUE"""),"19AI510")</f>
        <v>19AI510</v>
      </c>
      <c r="F65" s="7" t="str">
        <f>IFERROR(__xludf.DUMMYFUNCTION("""COMPUTED_VALUE"""),"Mobile VR And AI In Unity")</f>
        <v>Mobile VR And AI In Unity</v>
      </c>
      <c r="G65" s="2" t="str">
        <f>IFERROR(__xludf.DUMMYFUNCTION("""COMPUTED_VALUE"""),"19AI410/19CS302")</f>
        <v>19AI410/19CS302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IFERROR(__xludf.DUMMYFUNCTION("""COMPUTED_VALUE"""),"CS3511")</f>
        <v>CS3511</v>
      </c>
      <c r="E66" s="2" t="str">
        <f>IFERROR(__xludf.DUMMYFUNCTION("""COMPUTED_VALUE"""),"19AI511")</f>
        <v>19AI511</v>
      </c>
      <c r="F66" s="7" t="str">
        <f>IFERROR(__xludf.DUMMYFUNCTION("""COMPUTED_VALUE"""),"Scientific and Engineering Data Visualization")</f>
        <v>Scientific and Engineering Data Visualization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IFERROR(__xludf.DUMMYFUNCTION("""COMPUTED_VALUE"""),"CS3512")</f>
        <v>CS3512</v>
      </c>
      <c r="E67" s="2" t="str">
        <f>IFERROR(__xludf.DUMMYFUNCTION("""COMPUTED_VALUE"""),"19AI512")</f>
        <v>19AI512</v>
      </c>
      <c r="F67" s="7" t="str">
        <f>IFERROR(__xludf.DUMMYFUNCTION("""COMPUTED_VALUE"""),"NoSQL Database Design")</f>
        <v>NoSQL Database Design</v>
      </c>
      <c r="G67" s="2" t="str">
        <f>IFERROR(__xludf.DUMMYFUNCTION("""COMPUTED_VALUE"""),"19CS301")</f>
        <v>19CS301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IFERROR(__xludf.DUMMYFUNCTION("""COMPUTED_VALUE"""),"CS3513")</f>
        <v>CS3513</v>
      </c>
      <c r="E68" s="2" t="str">
        <f>IFERROR(__xludf.DUMMYFUNCTION("""COMPUTED_VALUE"""),"19AI513")</f>
        <v>19AI513</v>
      </c>
      <c r="F68" s="7" t="str">
        <f>IFERROR(__xludf.DUMMYFUNCTION("""COMPUTED_VALUE"""),"Game Programming")</f>
        <v>Game Programming</v>
      </c>
      <c r="G68" s="2" t="str">
        <f>IFERROR(__xludf.DUMMYFUNCTION("""COMPUTED_VALUE"""),"19CS401")</f>
        <v>19CS401</v>
      </c>
      <c r="H68" s="2">
        <f>IFERROR(__xludf.DUMMYFUNCTION("""COMPUTED_VALUE"""),2)</f>
        <v>2</v>
      </c>
      <c r="I68" s="2">
        <f>IFERROR(__xludf.DUMMYFUNCTION("""COMPUTED_VALUE"""),2)</f>
        <v>2</v>
      </c>
      <c r="J68" s="2">
        <f>IFERROR(__xludf.DUMMYFUNCTION("""COMPUTED_VALUE"""),4)</f>
        <v>4</v>
      </c>
      <c r="K68" s="2" t="str">
        <f>IFERROR(__xludf.DUMMYFUNCTION("""COMPUTED_VALUE"""),"CGPA")</f>
        <v>CGPA</v>
      </c>
      <c r="L68" s="2" t="str">
        <f>IFERROR(__xludf.DUMMYFUNCTION("""COMPUTED_VALUE"""),"TIP (10 Expts)")</f>
        <v>TIP (10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IFERROR(__xludf.DUMMYFUNCTION("""COMPUTED_VALUE"""),"CS3514")</f>
        <v>CS3514</v>
      </c>
      <c r="E69" s="2" t="str">
        <f>IFERROR(__xludf.DUMMYFUNCTION("""COMPUTED_VALUE"""),"19AI514")</f>
        <v>19AI514</v>
      </c>
      <c r="F69" s="7" t="str">
        <f>IFERROR(__xludf.DUMMYFUNCTION("""COMPUTED_VALUE"""),"Self Driving Car")</f>
        <v>Self Driving Car</v>
      </c>
      <c r="G69" s="2" t="str">
        <f>IFERROR(__xludf.DUMMYFUNCTION("""COMPUTED_VALUE"""),"19CS301/19AI410")</f>
        <v>19CS301/19AI410</v>
      </c>
      <c r="H69" s="2">
        <f>IFERROR(__xludf.DUMMYFUNCTION("""COMPUTED_VALUE"""),2)</f>
        <v>2</v>
      </c>
      <c r="I69" s="2">
        <f>IFERROR(__xludf.DUMMYFUNCTION("""COMPUTED_VALUE"""),2)</f>
        <v>2</v>
      </c>
      <c r="J69" s="2">
        <f>IFERROR(__xludf.DUMMYFUNCTION("""COMPUTED_VALUE"""),4)</f>
        <v>4</v>
      </c>
      <c r="K69" s="2" t="str">
        <f>IFERROR(__xludf.DUMMYFUNCTION("""COMPUTED_VALUE"""),"CGPA")</f>
        <v>CGPA</v>
      </c>
      <c r="L69" s="2" t="str">
        <f>IFERROR(__xludf.DUMMYFUNCTION("""COMPUTED_VALUE"""),"TIP (10 Expts)")</f>
        <v>TIP (10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IFERROR(__xludf.DUMMYFUNCTION("""COMPUTED_VALUE"""),"CS3515")</f>
        <v>CS3515</v>
      </c>
      <c r="E70" s="2" t="str">
        <f>IFERROR(__xludf.DUMMYFUNCTION("""COMPUTED_VALUE"""),"19AI515")</f>
        <v>19AI515</v>
      </c>
      <c r="F70" s="7" t="str">
        <f>IFERROR(__xludf.DUMMYFUNCTION("""COMPUTED_VALUE"""),"Smart Manufacturing Technology")</f>
        <v>Smart Manufacturing Technology</v>
      </c>
      <c r="G70" s="2" t="str">
        <f>IFERROR(__xludf.DUMMYFUNCTION("""COMPUTED_VALUE"""),"-")</f>
        <v>-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IFERROR(__xludf.DUMMYFUNCTION("""COMPUTED_VALUE"""),"CS1520")</f>
        <v>CS1520</v>
      </c>
      <c r="E71" s="2" t="str">
        <f>IFERROR(__xludf.DUMMYFUNCTION("""COMPUTED_VALUE"""),"19CS520")</f>
        <v>19CS520</v>
      </c>
      <c r="F71" s="7" t="str">
        <f>IFERROR(__xludf.DUMMYFUNCTION("""COMPUTED_VALUE"""),"Big Data Analytics")</f>
        <v>Big Data Analytics</v>
      </c>
      <c r="G71" s="2" t="str">
        <f>IFERROR(__xludf.DUMMYFUNCTION("""COMPUTED_VALUE"""),"19CS411/19CS519")</f>
        <v>19CS411/19CS519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IFERROR(__xludf.DUMMYFUNCTION("""COMPUTED_VALUE"""),"CS3517")</f>
        <v>CS3517</v>
      </c>
      <c r="E72" s="2" t="str">
        <f>IFERROR(__xludf.DUMMYFUNCTION("""COMPUTED_VALUE"""),"19AI517")</f>
        <v>19AI517</v>
      </c>
      <c r="F72" s="7" t="str">
        <f>IFERROR(__xludf.DUMMYFUNCTION("""COMPUTED_VALUE"""),"Business Analytics")</f>
        <v>Business Analytics</v>
      </c>
      <c r="G72" s="2" t="str">
        <f>IFERROR(__xludf.DUMMYFUNCTION("""COMPUTED_VALUE"""),"-")</f>
        <v>-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IFERROR(__xludf.DUMMYFUNCTION("""COMPUTED_VALUE"""),"CS3518")</f>
        <v>CS3518</v>
      </c>
      <c r="E73" s="2" t="str">
        <f>IFERROR(__xludf.DUMMYFUNCTION("""COMPUTED_VALUE"""),"19AI518")</f>
        <v>19AI518</v>
      </c>
      <c r="F73" s="7" t="str">
        <f>IFERROR(__xludf.DUMMYFUNCTION("""COMPUTED_VALUE"""),"Cognitive Systems")</f>
        <v>Cognitive Systems</v>
      </c>
      <c r="G73" s="2" t="str">
        <f>IFERROR(__xludf.DUMMYFUNCTION("""COMPUTED_VALUE"""),"-")</f>
        <v>-</v>
      </c>
      <c r="H73" s="2">
        <f>IFERROR(__xludf.DUMMYFUNCTION("""COMPUTED_VALUE"""),3)</f>
        <v>3</v>
      </c>
      <c r="I73" s="2">
        <f>IFERROR(__xludf.DUMMYFUNCTION("""COMPUTED_VALUE"""),0)</f>
        <v>0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IFERROR(__xludf.DUMMYFUNCTION("""COMPUTED_VALUE"""),"Theory")</f>
        <v>Theory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IFERROR(__xludf.DUMMYFUNCTION("""COMPUTED_VALUE"""),"CS3519")</f>
        <v>CS3519</v>
      </c>
      <c r="E74" s="2" t="str">
        <f>IFERROR(__xludf.DUMMYFUNCTION("""COMPUTED_VALUE"""),"19AI519")</f>
        <v>19AI519</v>
      </c>
      <c r="F74" s="7" t="str">
        <f>IFERROR(__xludf.DUMMYFUNCTION("""COMPUTED_VALUE"""),"Distributed Database")</f>
        <v>Distributed Database</v>
      </c>
      <c r="G74" s="2" t="str">
        <f>IFERROR(__xludf.DUMMYFUNCTION("""COMPUTED_VALUE"""),"19CS404")</f>
        <v>19CS404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IFERROR(__xludf.DUMMYFUNCTION("""COMPUTED_VALUE"""),"CS3520")</f>
        <v>CS3520</v>
      </c>
      <c r="E75" s="2" t="str">
        <f>IFERROR(__xludf.DUMMYFUNCTION("""COMPUTED_VALUE"""),"19AI520")</f>
        <v>19AI520</v>
      </c>
      <c r="F75" s="7" t="str">
        <f>IFERROR(__xludf.DUMMYFUNCTION("""COMPUTED_VALUE"""),"Data Mining and Warehousing")</f>
        <v>Data Mining and Warehousing</v>
      </c>
      <c r="G75" s="2" t="str">
        <f>IFERROR(__xludf.DUMMYFUNCTION("""COMPUTED_VALUE"""),"-")</f>
        <v>-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IFERROR(__xludf.DUMMYFUNCTION("""COMPUTED_VALUE"""),"CS3521")</f>
        <v>CS3521</v>
      </c>
      <c r="E76" s="2" t="str">
        <f>IFERROR(__xludf.DUMMYFUNCTION("""COMPUTED_VALUE"""),"19AI521")</f>
        <v>19AI521</v>
      </c>
      <c r="F76" s="7" t="str">
        <f>IFERROR(__xludf.DUMMYFUNCTION("""COMPUTED_VALUE"""),"Expert Systems")</f>
        <v>Expert Systems</v>
      </c>
      <c r="G76" s="2" t="str">
        <f>IFERROR(__xludf.DUMMYFUNCTION("""COMPUTED_VALUE"""),"-")</f>
        <v>-</v>
      </c>
      <c r="H76" s="2">
        <f>IFERROR(__xludf.DUMMYFUNCTION("""COMPUTED_VALUE"""),3)</f>
        <v>3</v>
      </c>
      <c r="I76" s="2">
        <f>IFERROR(__xludf.DUMMYFUNCTION("""COMPUTED_VALUE"""),0)</f>
        <v>0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IFERROR(__xludf.DUMMYFUNCTION("""COMPUTED_VALUE"""),"Theory")</f>
        <v>Theory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IFERROR(__xludf.DUMMYFUNCTION("""COMPUTED_VALUE"""),"CS3522")</f>
        <v>CS3522</v>
      </c>
      <c r="E77" s="2" t="str">
        <f>IFERROR(__xludf.DUMMYFUNCTION("""COMPUTED_VALUE"""),"19AI522")</f>
        <v>19AI522</v>
      </c>
      <c r="F77" s="7" t="str">
        <f>IFERROR(__xludf.DUMMYFUNCTION("""COMPUTED_VALUE"""),"Knowledge Engineering")</f>
        <v>Knowledge Engineering</v>
      </c>
      <c r="G77" s="2" t="str">
        <f>IFERROR(__xludf.DUMMYFUNCTION("""COMPUTED_VALUE"""),"19CS410")</f>
        <v>19CS410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IFERROR(__xludf.DUMMYFUNCTION("""COMPUTED_VALUE"""),"CS3523")</f>
        <v>CS3523</v>
      </c>
      <c r="E78" s="2" t="str">
        <f>IFERROR(__xludf.DUMMYFUNCTION("""COMPUTED_VALUE"""),"19AI523")</f>
        <v>19AI523</v>
      </c>
      <c r="F78" s="7" t="str">
        <f>IFERROR(__xludf.DUMMYFUNCTION("""COMPUTED_VALUE"""),"Mobile Database")</f>
        <v>Mobile Database</v>
      </c>
      <c r="G78" s="2" t="str">
        <f>IFERROR(__xludf.DUMMYFUNCTION("""COMPUTED_VALUE"""),"-")</f>
        <v>-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IFERROR(__xludf.DUMMYFUNCTION("""COMPUTED_VALUE"""),"CS3524")</f>
        <v>CS3524</v>
      </c>
      <c r="E79" s="2" t="str">
        <f>IFERROR(__xludf.DUMMYFUNCTION("""COMPUTED_VALUE"""),"19AI524")</f>
        <v>19AI524</v>
      </c>
      <c r="F79" s="7" t="str">
        <f>IFERROR(__xludf.DUMMYFUNCTION("""COMPUTED_VALUE"""),"Multimedia Database")</f>
        <v>Multimedia Database</v>
      </c>
      <c r="G79" s="2" t="str">
        <f>IFERROR(__xludf.DUMMYFUNCTION("""COMPUTED_VALUE"""),"19CS410")</f>
        <v>19CS410</v>
      </c>
      <c r="H79" s="2">
        <f>IFERROR(__xludf.DUMMYFUNCTION("""COMPUTED_VALUE"""),3)</f>
        <v>3</v>
      </c>
      <c r="I79" s="2">
        <f>IFERROR(__xludf.DUMMYFUNCTION("""COMPUTED_VALUE"""),0)</f>
        <v>0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IFERROR(__xludf.DUMMYFUNCTION("""COMPUTED_VALUE"""),"Theory")</f>
        <v>Theory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IFERROR(__xludf.DUMMYFUNCTION("""COMPUTED_VALUE"""),"CS3525")</f>
        <v>CS3525</v>
      </c>
      <c r="E80" s="2" t="str">
        <f>IFERROR(__xludf.DUMMYFUNCTION("""COMPUTED_VALUE"""),"19AI525")</f>
        <v>19AI525</v>
      </c>
      <c r="F80" s="7" t="str">
        <f>IFERROR(__xludf.DUMMYFUNCTION("""COMPUTED_VALUE"""),"Video Processing")</f>
        <v>Video Processing</v>
      </c>
      <c r="G80" s="2" t="str">
        <f>IFERROR(__xludf.DUMMYFUNCTION("""COMPUTED_VALUE"""),"19CS301")</f>
        <v>19CS301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IFERROR(__xludf.DUMMYFUNCTION("""COMPUTED_VALUE"""),"CS3526")</f>
        <v>CS3526</v>
      </c>
      <c r="E81" s="2" t="str">
        <f>IFERROR(__xludf.DUMMYFUNCTION("""COMPUTED_VALUE"""),"19AI526")</f>
        <v>19AI526</v>
      </c>
      <c r="F81" s="7" t="str">
        <f>IFERROR(__xludf.DUMMYFUNCTION("""COMPUTED_VALUE"""),"Information Security and Access Control")</f>
        <v>Information Security and Access Control</v>
      </c>
      <c r="G81" s="2" t="str">
        <f>IFERROR(__xludf.DUMMYFUNCTION("""COMPUTED_VALUE"""),"19AI527")</f>
        <v>19AI527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IFERROR(__xludf.DUMMYFUNCTION("""COMPUTED_VALUE"""),"CS3527")</f>
        <v>CS3527</v>
      </c>
      <c r="E82" s="2" t="str">
        <f>IFERROR(__xludf.DUMMYFUNCTION("""COMPUTED_VALUE"""),"19AI527")</f>
        <v>19AI527</v>
      </c>
      <c r="F82" s="7" t="str">
        <f>IFERROR(__xludf.DUMMYFUNCTION("""COMPUTED_VALUE"""),"Security Assessment and Risk Analysis")</f>
        <v>Security Assessment and Risk Analysis</v>
      </c>
      <c r="G82" s="2" t="str">
        <f>IFERROR(__xludf.DUMMYFUNCTION("""COMPUTED_VALUE"""),"-")</f>
        <v>-</v>
      </c>
      <c r="H82" s="2">
        <f>IFERROR(__xludf.DUMMYFUNCTION("""COMPUTED_VALUE"""),3)</f>
        <v>3</v>
      </c>
      <c r="I82" s="2">
        <f>IFERROR(__xludf.DUMMYFUNCTION("""COMPUTED_VALUE"""),1)</f>
        <v>1</v>
      </c>
      <c r="J82" s="2">
        <f>IFERROR(__xludf.DUMMYFUNCTION("""COMPUTED_VALUE"""),4)</f>
        <v>4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IFERROR(__xludf.DUMMYFUNCTION("""COMPUTED_VALUE"""),"CS3528")</f>
        <v>CS3528</v>
      </c>
      <c r="E83" s="2" t="str">
        <f>IFERROR(__xludf.DUMMYFUNCTION("""COMPUTED_VALUE"""),"19AI528")</f>
        <v>19AI528</v>
      </c>
      <c r="F83" s="7" t="str">
        <f>IFERROR(__xludf.DUMMYFUNCTION("""COMPUTED_VALUE"""),"Advanced Graph Theory and Applications")</f>
        <v>Advanced Graph Theory and Applications</v>
      </c>
      <c r="G83" s="2" t="str">
        <f>IFERROR(__xludf.DUMMYFUNCTION("""COMPUTED_VALUE"""),"19CS402")</f>
        <v>19CS402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IFERROR(__xludf.DUMMYFUNCTION("""COMPUTED_VALUE"""),"CS3529")</f>
        <v>CS3529</v>
      </c>
      <c r="E84" s="2" t="str">
        <f>IFERROR(__xludf.DUMMYFUNCTION("""COMPUTED_VALUE"""),"19AI529")</f>
        <v>19AI529</v>
      </c>
      <c r="F84" s="7" t="str">
        <f>IFERROR(__xludf.DUMMYFUNCTION("""COMPUTED_VALUE"""),"Advanced Data Structures")</f>
        <v>Advanced Data Structures</v>
      </c>
      <c r="G84" s="2" t="str">
        <f>IFERROR(__xludf.DUMMYFUNCTION("""COMPUTED_VALUE"""),"19CS401")</f>
        <v>19CS401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IFERROR(__xludf.DUMMYFUNCTION("""COMPUTED_VALUE"""),"CS3530")</f>
        <v>CS3530</v>
      </c>
      <c r="E85" s="2" t="str">
        <f>IFERROR(__xludf.DUMMYFUNCTION("""COMPUTED_VALUE"""),"19AI530")</f>
        <v>19AI530</v>
      </c>
      <c r="F85" s="7" t="str">
        <f>IFERROR(__xludf.DUMMYFUNCTION("""COMPUTED_VALUE"""),"Control of Robotic Systems")</f>
        <v>Control of Robotic Systems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IFERROR(__xludf.DUMMYFUNCTION("""COMPUTED_VALUE"""),"CS3531")</f>
        <v>CS3531</v>
      </c>
      <c r="E86" s="2" t="str">
        <f>IFERROR(__xludf.DUMMYFUNCTION("""COMPUTED_VALUE"""),"19AI531")</f>
        <v>19AI531</v>
      </c>
      <c r="F86" s="7" t="str">
        <f>IFERROR(__xludf.DUMMYFUNCTION("""COMPUTED_VALUE"""),"Cryptography and Security")</f>
        <v>Cryptography and Security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IFERROR(__xludf.DUMMYFUNCTION("""COMPUTED_VALUE"""),"CS3532")</f>
        <v>CS3532</v>
      </c>
      <c r="E87" s="2" t="str">
        <f>IFERROR(__xludf.DUMMYFUNCTION("""COMPUTED_VALUE"""),"19AI532")</f>
        <v>19AI532</v>
      </c>
      <c r="F87" s="7" t="str">
        <f>IFERROR(__xludf.DUMMYFUNCTION("""COMPUTED_VALUE"""),"Information Theory for Cyber Security")</f>
        <v>Information Theory for Cyber Security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IFERROR(__xludf.DUMMYFUNCTION("""COMPUTED_VALUE"""),"CS3533")</f>
        <v>CS3533</v>
      </c>
      <c r="E88" s="2" t="str">
        <f>IFERROR(__xludf.DUMMYFUNCTION("""COMPUTED_VALUE"""),"19AI533")</f>
        <v>19AI533</v>
      </c>
      <c r="F88" s="7" t="str">
        <f>IFERROR(__xludf.DUMMYFUNCTION("""COMPUTED_VALUE"""),"Introduction to Robotics")</f>
        <v>Introduction to Robotics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IFERROR(__xludf.DUMMYFUNCTION("""COMPUTED_VALUE"""),"CS3534")</f>
        <v>CS3534</v>
      </c>
      <c r="E89" s="2" t="str">
        <f>IFERROR(__xludf.DUMMYFUNCTION("""COMPUTED_VALUE"""),"19AI534")</f>
        <v>19AI534</v>
      </c>
      <c r="F89" s="7" t="str">
        <f>IFERROR(__xludf.DUMMYFUNCTION("""COMPUTED_VALUE"""),"Kinematics and Dynamics of Robots")</f>
        <v>Kinematics and Dynamics of Robots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IFERROR(__xludf.DUMMYFUNCTION("""COMPUTED_VALUE"""),"CS3535")</f>
        <v>CS3535</v>
      </c>
      <c r="E90" s="2" t="str">
        <f>IFERROR(__xludf.DUMMYFUNCTION("""COMPUTED_VALUE"""),"19AI535")</f>
        <v>19AI535</v>
      </c>
      <c r="F90" s="7" t="str">
        <f>IFERROR(__xludf.DUMMYFUNCTION("""COMPUTED_VALUE"""),"Robotic Sensors")</f>
        <v>Robotic Sensors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IFERROR(__xludf.DUMMYFUNCTION("""COMPUTED_VALUE"""),"CS3536")</f>
        <v>CS3536</v>
      </c>
      <c r="E91" s="2" t="str">
        <f>IFERROR(__xludf.DUMMYFUNCTION("""COMPUTED_VALUE"""),"19AI536")</f>
        <v>19AI536</v>
      </c>
      <c r="F91" s="7" t="str">
        <f>IFERROR(__xludf.DUMMYFUNCTION("""COMPUTED_VALUE"""),"Steganography and Digital Watermarking")</f>
        <v>Steganography and Digital Watermarking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IFERROR(__xludf.DUMMYFUNCTION("""COMPUTED_VALUE"""),"CS3537")</f>
        <v>CS3537</v>
      </c>
      <c r="E92" s="2" t="str">
        <f>IFERROR(__xludf.DUMMYFUNCTION("""COMPUTED_VALUE"""),"19AI537")</f>
        <v>19AI537</v>
      </c>
      <c r="F92" s="7" t="str">
        <f>IFERROR(__xludf.DUMMYFUNCTION("""COMPUTED_VALUE"""),"Computer Graphics for Virtual Reality")</f>
        <v>Computer Graphics for Virtual Reality</v>
      </c>
      <c r="G92" s="2" t="str">
        <f>IFERROR(__xludf.DUMMYFUNCTION("""COMPUTED_VALUE"""),"-")</f>
        <v>-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IFERROR(__xludf.DUMMYFUNCTION("""COMPUTED_VALUE"""),"CS3538")</f>
        <v>CS3538</v>
      </c>
      <c r="E93" s="2" t="str">
        <f>IFERROR(__xludf.DUMMYFUNCTION("""COMPUTED_VALUE"""),"19AI538")</f>
        <v>19AI538</v>
      </c>
      <c r="F93" s="7" t="str">
        <f>IFERROR(__xludf.DUMMYFUNCTION("""COMPUTED_VALUE"""),"Mathematical Modelling and Computer Aided Engineering")</f>
        <v>Mathematical Modelling and Computer Aided Engineering</v>
      </c>
      <c r="G93" s="2" t="str">
        <f>IFERROR(__xludf.DUMMYFUNCTION("""COMPUTED_VALUE"""),"-")</f>
        <v>-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IFERROR(__xludf.DUMMYFUNCTION("""COMPUTED_VALUE"""),"CS3542")</f>
        <v>CS3542</v>
      </c>
      <c r="E94" s="2" t="str">
        <f>IFERROR(__xludf.DUMMYFUNCTION("""COMPUTED_VALUE"""),"19AI542")</f>
        <v>19AI542</v>
      </c>
      <c r="F94" s="7" t="str">
        <f>IFERROR(__xludf.DUMMYFUNCTION("""COMPUTED_VALUE"""),"Agile Software Development")</f>
        <v>Agile Software Development</v>
      </c>
      <c r="G94" s="2" t="str">
        <f>IFERROR(__xludf.DUMMYFUNCTION("""COMPUTED_VALUE"""),"19CS301")</f>
        <v>19CS301</v>
      </c>
      <c r="H94" s="2">
        <f>IFERROR(__xludf.DUMMYFUNCTION("""COMPUTED_VALUE"""),3)</f>
        <v>3</v>
      </c>
      <c r="I94" s="2">
        <f>IFERROR(__xludf.DUMMYFUNCTION("""COMPUTED_VALUE"""),1)</f>
        <v>1</v>
      </c>
      <c r="J94" s="2">
        <f>IFERROR(__xludf.DUMMYFUNCTION("""COMPUTED_VALUE"""),4)</f>
        <v>4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IFERROR(__xludf.DUMMYFUNCTION("""COMPUTED_VALUE"""),"CS3543")</f>
        <v>CS3543</v>
      </c>
      <c r="E95" s="2" t="str">
        <f>IFERROR(__xludf.DUMMYFUNCTION("""COMPUTED_VALUE"""),"19AI543")</f>
        <v>19AI543</v>
      </c>
      <c r="F95" s="7" t="str">
        <f>IFERROR(__xludf.DUMMYFUNCTION("""COMPUTED_VALUE"""),"Software Testing")</f>
        <v>Software Testing</v>
      </c>
      <c r="G95" s="2" t="str">
        <f>IFERROR(__xludf.DUMMYFUNCTION("""COMPUTED_VALUE"""),"19CS301")</f>
        <v>19CS301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IFERROR(__xludf.DUMMYFUNCTION("""COMPUTED_VALUE"""),"CS3544")</f>
        <v>CS3544</v>
      </c>
      <c r="E96" s="2" t="str">
        <f>IFERROR(__xludf.DUMMYFUNCTION("""COMPUTED_VALUE"""),"19AI544")</f>
        <v>19AI544</v>
      </c>
      <c r="F96" s="7" t="str">
        <f>IFERROR(__xludf.DUMMYFUNCTION("""COMPUTED_VALUE"""),"Virtualization and Containerization")</f>
        <v>Virtualization and Containerization</v>
      </c>
      <c r="G96" s="2" t="str">
        <f>IFERROR(__xludf.DUMMYFUNCTION("""COMPUTED_VALUE"""),"19CS405/19CS406")</f>
        <v>19CS405/19CS406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IFERROR(__xludf.DUMMYFUNCTION("""COMPUTED_VALUE"""),"CS3547")</f>
        <v>CS3547</v>
      </c>
      <c r="E97" s="2" t="str">
        <f>IFERROR(__xludf.DUMMYFUNCTION("""COMPUTED_VALUE"""),"19AI547")</f>
        <v>19AI547</v>
      </c>
      <c r="F97" s="7" t="str">
        <f>IFERROR(__xludf.DUMMYFUNCTION("""COMPUTED_VALUE"""),"Blockchain for Business")</f>
        <v>Blockchain for Business</v>
      </c>
      <c r="G97" s="2" t="str">
        <f>IFERROR(__xludf.DUMMYFUNCTION("""COMPUTED_VALUE"""),"19CS301")</f>
        <v>19CS301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IFERROR(__xludf.DUMMYFUNCTION("""COMPUTED_VALUE"""),"PE")</f>
        <v>PE</v>
      </c>
      <c r="D98" s="2" t="str">
        <f>IFERROR(__xludf.DUMMYFUNCTION("""COMPUTED_VALUE"""),"CS3548")</f>
        <v>CS3548</v>
      </c>
      <c r="E98" s="2" t="str">
        <f>IFERROR(__xludf.DUMMYFUNCTION("""COMPUTED_VALUE"""),"19AI548")</f>
        <v>19AI548</v>
      </c>
      <c r="F98" s="7" t="str">
        <f>IFERROR(__xludf.DUMMYFUNCTION("""COMPUTED_VALUE"""),"Robot Programming")</f>
        <v>Robot Programming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IFERROR(__xludf.DUMMYFUNCTION("""COMPUTED_VALUE"""),"CS3549")</f>
        <v>CS3549</v>
      </c>
      <c r="E99" s="2" t="str">
        <f>IFERROR(__xludf.DUMMYFUNCTION("""COMPUTED_VALUE"""),"19AI549")</f>
        <v>19AI549</v>
      </c>
      <c r="F99" s="7" t="str">
        <f>IFERROR(__xludf.DUMMYFUNCTION("""COMPUTED_VALUE"""),"Drone Assembly and Applications")</f>
        <v>Drone Assembly and Applications</v>
      </c>
      <c r="G99" s="2" t="str">
        <f>IFERROR(__xludf.DUMMYFUNCTION("""COMPUTED_VALUE"""),"-")</f>
        <v>-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IFERROR(__xludf.DUMMYFUNCTION("""COMPUTED_VALUE"""),"PE")</f>
        <v>PE</v>
      </c>
      <c r="D100" s="2" t="str">
        <f>IFERROR(__xludf.DUMMYFUNCTION("""COMPUTED_VALUE"""),"CS3550")</f>
        <v>CS3550</v>
      </c>
      <c r="E100" s="2" t="str">
        <f>IFERROR(__xludf.DUMMYFUNCTION("""COMPUTED_VALUE"""),"19AI550")</f>
        <v>19AI550</v>
      </c>
      <c r="F100" s="7" t="str">
        <f>IFERROR(__xludf.DUMMYFUNCTION("""COMPUTED_VALUE"""),"Artificial Intelligence for Games")</f>
        <v>Artificial Intelligence for Games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IFERROR(__xludf.DUMMYFUNCTION("""COMPUTED_VALUE"""),"PE")</f>
        <v>PE</v>
      </c>
      <c r="D101" s="2" t="str">
        <f>IFERROR(__xludf.DUMMYFUNCTION("""COMPUTED_VALUE"""),"CS3551")</f>
        <v>CS3551</v>
      </c>
      <c r="E101" s="2" t="str">
        <f>IFERROR(__xludf.DUMMYFUNCTION("""COMPUTED_VALUE"""),"19AI551")</f>
        <v>19AI551</v>
      </c>
      <c r="F101" s="7" t="str">
        <f>IFERROR(__xludf.DUMMYFUNCTION("""COMPUTED_VALUE"""),"Drone Design and Control")</f>
        <v>Drone Design and Control</v>
      </c>
      <c r="G101" s="2" t="str">
        <f>IFERROR(__xludf.DUMMYFUNCTION("""COMPUTED_VALUE"""),"-")</f>
        <v>-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IFERROR(__xludf.DUMMYFUNCTION("""COMPUTED_VALUE"""),"CS3552")</f>
        <v>CS3552</v>
      </c>
      <c r="E102" s="2" t="str">
        <f>IFERROR(__xludf.DUMMYFUNCTION("""COMPUTED_VALUE"""),"19AI552")</f>
        <v>19AI552</v>
      </c>
      <c r="F102" s="7" t="str">
        <f>IFERROR(__xludf.DUMMYFUNCTION("""COMPUTED_VALUE"""),"Web Application User Interface Development")</f>
        <v>Web Application User Interface Development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IFERROR(__xludf.DUMMYFUNCTION("""COMPUTED_VALUE"""),"CS3554")</f>
        <v>CS3554</v>
      </c>
      <c r="E103" s="2" t="str">
        <f>IFERROR(__xludf.DUMMYFUNCTION("""COMPUTED_VALUE"""),"19AI554")</f>
        <v>19AI554</v>
      </c>
      <c r="F103" s="7" t="str">
        <f>IFERROR(__xludf.DUMMYFUNCTION("""COMPUTED_VALUE"""),"Fundamentals of Large Language Models")</f>
        <v>Fundamentals of Large Language Models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IFERROR(__xludf.DUMMYFUNCTION("""COMPUTED_VALUE"""),"CS3555")</f>
        <v>CS3555</v>
      </c>
      <c r="E104" s="2" t="str">
        <f>IFERROR(__xludf.DUMMYFUNCTION("""COMPUTED_VALUE"""),"19AI555")</f>
        <v>19AI555</v>
      </c>
      <c r="F104" s="7" t="str">
        <f>IFERROR(__xludf.DUMMYFUNCTION("""COMPUTED_VALUE"""),"Exploratory Data Analysis")</f>
        <v>Exploratory Data Analysis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IFERROR(__xludf.DUMMYFUNCTION("""COMPUTED_VALUE"""),"CS3556")</f>
        <v>CS3556</v>
      </c>
      <c r="E105" s="2" t="str">
        <f>IFERROR(__xludf.DUMMYFUNCTION("""COMPUTED_VALUE"""),"19AI556")</f>
        <v>19AI556</v>
      </c>
      <c r="F105" s="7" t="str">
        <f>IFERROR(__xludf.DUMMYFUNCTION("""COMPUTED_VALUE"""),"Recommender Systems")</f>
        <v>Recommender Systems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IFERROR(__xludf.DUMMYFUNCTION("""COMPUTED_VALUE"""),"CS3557")</f>
        <v>CS3557</v>
      </c>
      <c r="E106" s="2" t="str">
        <f>IFERROR(__xludf.DUMMYFUNCTION("""COMPUTED_VALUE"""),"19AI557")</f>
        <v>19AI557</v>
      </c>
      <c r="F106" s="7" t="str">
        <f>IFERROR(__xludf.DUMMYFUNCTION("""COMPUTED_VALUE"""),"Neural Networks and Deep Learning")</f>
        <v>Neural Networks and Deep Learning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IFERROR(__xludf.DUMMYFUNCTION("""COMPUTED_VALUE"""),"CS3558")</f>
        <v>CS3558</v>
      </c>
      <c r="E107" s="2" t="str">
        <f>IFERROR(__xludf.DUMMYFUNCTION("""COMPUTED_VALUE"""),"19AI558")</f>
        <v>19AI558</v>
      </c>
      <c r="F107" s="7" t="str">
        <f>IFERROR(__xludf.DUMMYFUNCTION("""COMPUTED_VALUE"""),"Text and Speech Analysis")</f>
        <v>Text and Speech Analysis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IFERROR(__xludf.DUMMYFUNCTION("""COMPUTED_VALUE"""),"CS3559")</f>
        <v>CS3559</v>
      </c>
      <c r="E108" s="2" t="str">
        <f>IFERROR(__xludf.DUMMYFUNCTION("""COMPUTED_VALUE"""),"19AI559")</f>
        <v>19AI559</v>
      </c>
      <c r="F108" s="7" t="str">
        <f>IFERROR(__xludf.DUMMYFUNCTION("""COMPUTED_VALUE"""),"Image and Video Analytics")</f>
        <v>Image and Video Analytics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IFERROR(__xludf.DUMMYFUNCTION("""COMPUTED_VALUE"""),"CS3560")</f>
        <v>CS3560</v>
      </c>
      <c r="E109" s="2" t="str">
        <f>IFERROR(__xludf.DUMMYFUNCTION("""COMPUTED_VALUE"""),"19AI560")</f>
        <v>19AI560</v>
      </c>
      <c r="F109" s="3" t="str">
        <f>IFERROR(__xludf.DUMMYFUNCTION("""COMPUTED_VALUE"""),"Augmented Reality and ARCore")</f>
        <v>Augmented Reality and ARCore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IFERROR(__xludf.DUMMYFUNCTION("""COMPUTED_VALUE"""),"CS3561")</f>
        <v>CS3561</v>
      </c>
      <c r="E110" s="2" t="str">
        <f>IFERROR(__xludf.DUMMYFUNCTION("""COMPUTED_VALUE"""),"19AI561")</f>
        <v>19AI561</v>
      </c>
      <c r="F110" s="3" t="str">
        <f>IFERROR(__xludf.DUMMYFUNCTION("""COMPUTED_VALUE"""),"Extended Reality")</f>
        <v>Extended Reality</v>
      </c>
      <c r="G110" s="2" t="str">
        <f>IFERROR(__xludf.DUMMYFUNCTION("""COMPUTED_VALUE"""),"CS3307")</f>
        <v>CS3307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IFERROR(__xludf.DUMMYFUNCTION("""COMPUTED_VALUE"""),"CS4401")</f>
        <v>CS4401</v>
      </c>
      <c r="E111" s="2" t="str">
        <f>IFERROR(__xludf.DUMMYFUNCTION("""COMPUTED_VALUE"""),"19AM401")</f>
        <v>19AM401</v>
      </c>
      <c r="F111" s="3" t="str">
        <f>IFERROR(__xludf.DUMMYFUNCTION("""COMPUTED_VALUE"""),"Time Series Analysis and Forecasting")</f>
        <v>Time Series Analysis and Forecasting</v>
      </c>
      <c r="G111" s="2" t="str">
        <f>IFERROR(__xludf.DUMMYFUNCTION("""COMPUTED_VALUE"""),"-")</f>
        <v>-</v>
      </c>
      <c r="H111" s="2">
        <f>IFERROR(__xludf.DUMMYFUNCTION("""COMPUTED_VALUE"""),3)</f>
        <v>3</v>
      </c>
      <c r="I111" s="2">
        <f>IFERROR(__xludf.DUMMYFUNCTION("""COMPUTED_VALUE"""),1)</f>
        <v>1</v>
      </c>
      <c r="J111" s="2">
        <f>IFERROR(__xludf.DUMMYFUNCTION("""COMPUTED_VALUE"""),4)</f>
        <v>4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IFERROR(__xludf.DUMMYFUNCTION("""COMPUTED_VALUE"""),"CS4406")</f>
        <v>CS4406</v>
      </c>
      <c r="E112" s="2" t="str">
        <f>IFERROR(__xludf.DUMMYFUNCTION("""COMPUTED_VALUE"""),"19AM406")</f>
        <v>19AM406</v>
      </c>
      <c r="F112" s="3" t="str">
        <f>IFERROR(__xludf.DUMMYFUNCTION("""COMPUTED_VALUE"""),"Blockchain and Cryptocurrency")</f>
        <v>Blockchain and Cryptocurrency</v>
      </c>
      <c r="G112" s="2" t="str">
        <f>IFERROR(__xludf.DUMMYFUNCTION("""COMPUTED_VALUE"""),"-")</f>
        <v>-</v>
      </c>
      <c r="H112" s="2">
        <f>IFERROR(__xludf.DUMMYFUNCTION("""COMPUTED_VALUE"""),3)</f>
        <v>3</v>
      </c>
      <c r="I112" s="2">
        <f>IFERROR(__xludf.DUMMYFUNCTION("""COMPUTED_VALUE"""),0)</f>
        <v>0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IFERROR(__xludf.DUMMYFUNCTION("""COMPUTED_VALUE"""),"Theory")</f>
        <v>Theory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IFERROR(__xludf.DUMMYFUNCTION("""COMPUTED_VALUE"""),"CS4407")</f>
        <v>CS4407</v>
      </c>
      <c r="E113" s="2" t="str">
        <f>IFERROR(__xludf.DUMMYFUNCTION("""COMPUTED_VALUE"""),"19AM407")</f>
        <v>19AM407</v>
      </c>
      <c r="F113" s="3" t="str">
        <f>IFERROR(__xludf.DUMMYFUNCTION("""COMPUTED_VALUE"""),"Cyber Forensics")</f>
        <v>Cyber Forensics</v>
      </c>
      <c r="G113" s="2" t="str">
        <f>IFERROR(__xludf.DUMMYFUNCTION("""COMPUTED_VALUE"""),"-")</f>
        <v>-</v>
      </c>
      <c r="H113" s="2">
        <f>IFERROR(__xludf.DUMMYFUNCTION("""COMPUTED_VALUE"""),3)</f>
        <v>3</v>
      </c>
      <c r="I113" s="2">
        <f>IFERROR(__xludf.DUMMYFUNCTION("""COMPUTED_VALUE"""),0)</f>
        <v>0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IFERROR(__xludf.DUMMYFUNCTION("""COMPUTED_VALUE"""),"Theory")</f>
        <v>Theory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IFERROR(__xludf.DUMMYFUNCTION("""COMPUTED_VALUE"""),"CS4501")</f>
        <v>CS4501</v>
      </c>
      <c r="E114" s="2" t="str">
        <f>IFERROR(__xludf.DUMMYFUNCTION("""COMPUTED_VALUE"""),"19AM501")</f>
        <v>19AM501</v>
      </c>
      <c r="F114" s="3" t="str">
        <f>IFERROR(__xludf.DUMMYFUNCTION("""COMPUTED_VALUE"""),"Machine Learning for Bioinformatics")</f>
        <v>Machine Learning for Bioinformatics</v>
      </c>
      <c r="G114" s="2" t="str">
        <f>IFERROR(__xludf.DUMMYFUNCTION("""COMPUTED_VALUE"""),"-")</f>
        <v>-</v>
      </c>
      <c r="H114" s="2">
        <f>IFERROR(__xludf.DUMMYFUNCTION("""COMPUTED_VALUE"""),3)</f>
        <v>3</v>
      </c>
      <c r="I114" s="2">
        <f>IFERROR(__xludf.DUMMYFUNCTION("""COMPUTED_VALUE"""),0)</f>
        <v>0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IFERROR(__xludf.DUMMYFUNCTION("""COMPUTED_VALUE"""),"Theory")</f>
        <v>Theory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IFERROR(__xludf.DUMMYFUNCTION("""COMPUTED_VALUE"""),"CS4502")</f>
        <v>CS4502</v>
      </c>
      <c r="E115" s="2" t="str">
        <f>IFERROR(__xludf.DUMMYFUNCTION("""COMPUTED_VALUE"""),"19AM502")</f>
        <v>19AM502</v>
      </c>
      <c r="F115" s="7" t="str">
        <f>IFERROR(__xludf.DUMMYFUNCTION("""COMPUTED_VALUE"""),"Genetic Algorithms")</f>
        <v>Genetic Algorithms</v>
      </c>
      <c r="G115" s="2" t="str">
        <f>IFERROR(__xludf.DUMMYFUNCTION("""COMPUTED_VALUE"""),"-")</f>
        <v>-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IFERROR(__xludf.DUMMYFUNCTION("""COMPUTED_VALUE"""),"PE")</f>
        <v>PE</v>
      </c>
      <c r="D116" s="2" t="str">
        <f>IFERROR(__xludf.DUMMYFUNCTION("""COMPUTED_VALUE"""),"CS4503")</f>
        <v>CS4503</v>
      </c>
      <c r="E116" s="2" t="str">
        <f>IFERROR(__xludf.DUMMYFUNCTION("""COMPUTED_VALUE"""),"19AM503")</f>
        <v>19AM503</v>
      </c>
      <c r="F116" s="3" t="str">
        <f>IFERROR(__xludf.DUMMYFUNCTION("""COMPUTED_VALUE"""),"Data Modeling")</f>
        <v>Data Modeling</v>
      </c>
      <c r="G116" s="2" t="str">
        <f>IFERROR(__xludf.DUMMYFUNCTION("""COMPUTED_VALUE"""),"-")</f>
        <v>-</v>
      </c>
      <c r="H116" s="2">
        <f>IFERROR(__xludf.DUMMYFUNCTION("""COMPUTED_VALUE"""),3)</f>
        <v>3</v>
      </c>
      <c r="I116" s="2">
        <f>IFERROR(__xludf.DUMMYFUNCTION("""COMPUTED_VALUE"""),0)</f>
        <v>0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IFERROR(__xludf.DUMMYFUNCTION("""COMPUTED_VALUE"""),"CS4504")</f>
        <v>CS4504</v>
      </c>
      <c r="E117" s="2" t="str">
        <f>IFERROR(__xludf.DUMMYFUNCTION("""COMPUTED_VALUE"""),"19AM504")</f>
        <v>19AM504</v>
      </c>
      <c r="F117" s="7" t="str">
        <f>IFERROR(__xludf.DUMMYFUNCTION("""COMPUTED_VALUE"""),"Brain Computer Interaction")</f>
        <v>Brain Computer Interaction</v>
      </c>
      <c r="G117" s="2" t="str">
        <f>IFERROR(__xludf.DUMMYFUNCTION("""COMPUTED_VALUE"""),"-")</f>
        <v>-</v>
      </c>
      <c r="H117" s="2">
        <f>IFERROR(__xludf.DUMMYFUNCTION("""COMPUTED_VALUE"""),3)</f>
        <v>3</v>
      </c>
      <c r="I117" s="2">
        <f>IFERROR(__xludf.DUMMYFUNCTION("""COMPUTED_VALUE"""),0)</f>
        <v>0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IFERROR(__xludf.DUMMYFUNCTION("""COMPUTED_VALUE"""),"Theory")</f>
        <v>Theory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IFERROR(__xludf.DUMMYFUNCTION("""COMPUTED_VALUE"""),"PE")</f>
        <v>PE</v>
      </c>
      <c r="D118" s="2" t="str">
        <f>IFERROR(__xludf.DUMMYFUNCTION("""COMPUTED_VALUE"""),"CS4505")</f>
        <v>CS4505</v>
      </c>
      <c r="E118" s="2" t="str">
        <f>IFERROR(__xludf.DUMMYFUNCTION("""COMPUTED_VALUE"""),"19AM505")</f>
        <v>19AM505</v>
      </c>
      <c r="F118" s="7" t="str">
        <f>IFERROR(__xludf.DUMMYFUNCTION("""COMPUTED_VALUE"""),"Statistical Learning Theory")</f>
        <v>Statistical Learning Theory</v>
      </c>
      <c r="G118" s="2" t="str">
        <f>IFERROR(__xludf.DUMMYFUNCTION("""COMPUTED_VALUE"""),"-")</f>
        <v>-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IFERROR(__xludf.DUMMYFUNCTION("""COMPUTED_VALUE"""),"PE")</f>
        <v>PE</v>
      </c>
      <c r="D119" s="2" t="str">
        <f>IFERROR(__xludf.DUMMYFUNCTION("""COMPUTED_VALUE"""),"CS4506")</f>
        <v>CS4506</v>
      </c>
      <c r="E119" s="2" t="str">
        <f>IFERROR(__xludf.DUMMYFUNCTION("""COMPUTED_VALUE"""),"19AM506")</f>
        <v>19AM506</v>
      </c>
      <c r="F119" s="7" t="str">
        <f>IFERROR(__xludf.DUMMYFUNCTION("""COMPUTED_VALUE"""),"Sensors and Actuators for IoT")</f>
        <v>Sensors and Actuators for IoT</v>
      </c>
      <c r="G119" s="2" t="str">
        <f>IFERROR(__xludf.DUMMYFUNCTION("""COMPUTED_VALUE"""),"-")</f>
        <v>-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IFERROR(__xludf.DUMMYFUNCTION("""COMPUTED_VALUE"""),"CS4507")</f>
        <v>CS4507</v>
      </c>
      <c r="E120" s="2" t="str">
        <f>IFERROR(__xludf.DUMMYFUNCTION("""COMPUTED_VALUE"""),"19AM507")</f>
        <v>19AM507</v>
      </c>
      <c r="F120" s="7" t="str">
        <f>IFERROR(__xludf.DUMMYFUNCTION("""COMPUTED_VALUE"""),"Security and Trust in IoT")</f>
        <v>Security and Trust in IoT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IFERROR(__xludf.DUMMYFUNCTION("""COMPUTED_VALUE"""),"CS4509")</f>
        <v>CS4509</v>
      </c>
      <c r="E121" s="2" t="str">
        <f>IFERROR(__xludf.DUMMYFUNCTION("""COMPUTED_VALUE"""),"19AM509")</f>
        <v>19AM509</v>
      </c>
      <c r="F121" s="7" t="str">
        <f>IFERROR(__xludf.DUMMYFUNCTION("""COMPUTED_VALUE"""),"Industrial Internet of Things")</f>
        <v>Industrial Internet of Things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IFERROR(__xludf.DUMMYFUNCTION("""COMPUTED_VALUE"""),"CS4510")</f>
        <v>CS4510</v>
      </c>
      <c r="E122" s="2" t="str">
        <f>IFERROR(__xludf.DUMMYFUNCTION("""COMPUTED_VALUE"""),"19AM510")</f>
        <v>19AM510</v>
      </c>
      <c r="F122" s="7" t="str">
        <f>IFERROR(__xludf.DUMMYFUNCTION("""COMPUTED_VALUE"""),"Software for Embedded Systems")</f>
        <v>Software for Embedded Systems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5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IFERROR(__xludf.DUMMYFUNCTION("""COMPUTED_VALUE"""),"CS4511")</f>
        <v>CS4511</v>
      </c>
      <c r="E123" s="26" t="str">
        <f>IFERROR(__xludf.DUMMYFUNCTION("""COMPUTED_VALUE"""),"19AM511")</f>
        <v>19AM511</v>
      </c>
      <c r="F123" s="27" t="str">
        <f>IFERROR(__xludf.DUMMYFUNCTION("""COMPUTED_VALUE"""),"IoT Architecture and Protocols")</f>
        <v>IoT Architecture and Protocols</v>
      </c>
      <c r="G123" s="26" t="str">
        <f>IFERROR(__xludf.DUMMYFUNCTION("""COMPUTED_VALUE"""),"-")</f>
        <v>-</v>
      </c>
      <c r="H123" s="26">
        <f>IFERROR(__xludf.DUMMYFUNCTION("""COMPUTED_VALUE"""),3)</f>
        <v>3</v>
      </c>
      <c r="I123" s="26">
        <f>IFERROR(__xludf.DUMMYFUNCTION("""COMPUTED_VALUE"""),0)</f>
        <v>0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IFERROR(__xludf.DUMMYFUNCTION("""COMPUTED_VALUE"""),"Theory")</f>
        <v>Theory</v>
      </c>
      <c r="M123" s="26"/>
      <c r="N123" s="26"/>
      <c r="O123" s="26"/>
    </row>
    <row r="124" ht="13.2" spans="1:15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IFERROR(__xludf.DUMMYFUNCTION("""COMPUTED_VALUE"""),"CS4512")</f>
        <v>CS4512</v>
      </c>
      <c r="E124" s="26" t="str">
        <f>IFERROR(__xludf.DUMMYFUNCTION("""COMPUTED_VALUE"""),"19AM512")</f>
        <v>19AM512</v>
      </c>
      <c r="F124" s="27" t="str">
        <f>IFERROR(__xludf.DUMMYFUNCTION("""COMPUTED_VALUE"""),"Arduino for IoT")</f>
        <v>Arduino for IoT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</row>
    <row r="125" ht="13.2" spans="1:15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IFERROR(__xludf.DUMMYFUNCTION("""COMPUTED_VALUE"""),"CS4513")</f>
        <v>CS4513</v>
      </c>
      <c r="E125" s="26" t="str">
        <f>IFERROR(__xludf.DUMMYFUNCTION("""COMPUTED_VALUE"""),"19AM513")</f>
        <v>19AM513</v>
      </c>
      <c r="F125" s="27" t="str">
        <f>IFERROR(__xludf.DUMMYFUNCTION("""COMPUTED_VALUE"""),"Raspberry Pi for IoT")</f>
        <v>Raspberry Pi for IoT</v>
      </c>
      <c r="G125" s="26" t="str">
        <f>IFERROR(__xludf.DUMMYFUNCTION("""COMPUTED_VALUE"""),"-")</f>
        <v>-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</row>
    <row r="126" ht="13.2" spans="1:15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IFERROR(__xludf.DUMMYFUNCTION("""COMPUTED_VALUE"""),"CS4514")</f>
        <v>CS4514</v>
      </c>
      <c r="E126" s="26" t="str">
        <f>IFERROR(__xludf.DUMMYFUNCTION("""COMPUTED_VALUE"""),"19AM514")</f>
        <v>19AM514</v>
      </c>
      <c r="F126" s="27" t="str">
        <f>IFERROR(__xludf.DUMMYFUNCTION("""COMPUTED_VALUE"""),"Motion Planning Techniques")</f>
        <v>Motion Planning Techniques</v>
      </c>
      <c r="G126" s="26" t="str">
        <f>IFERROR(__xludf.DUMMYFUNCTION("""COMPUTED_VALUE"""),"-")</f>
        <v>-</v>
      </c>
      <c r="H126" s="26">
        <f>IFERROR(__xludf.DUMMYFUNCTION("""COMPUTED_VALUE"""),2)</f>
        <v>2</v>
      </c>
      <c r="I126" s="26">
        <f>IFERROR(__xludf.DUMMYFUNCTION("""COMPUTED_VALUE"""),1)</f>
        <v>1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</row>
    <row r="127" ht="13.2" spans="1:15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IFERROR(__xludf.DUMMYFUNCTION("""COMPUTED_VALUE"""),"CS4515")</f>
        <v>CS4515</v>
      </c>
      <c r="E127" s="26" t="str">
        <f>IFERROR(__xludf.DUMMYFUNCTION("""COMPUTED_VALUE"""),"19AM515")</f>
        <v>19AM515</v>
      </c>
      <c r="F127" s="27" t="str">
        <f>IFERROR(__xludf.DUMMYFUNCTION("""COMPUTED_VALUE"""),"Advanced Java Programming")</f>
        <v>Advanced Java Programming</v>
      </c>
      <c r="G127" s="26" t="str">
        <f>IFERROR(__xludf.DUMMYFUNCTION("""COMPUTED_VALUE"""),"-")</f>
        <v>-</v>
      </c>
      <c r="H127" s="26">
        <f>IFERROR(__xludf.DUMMYFUNCTION("""COMPUTED_VALUE"""),2)</f>
        <v>2</v>
      </c>
      <c r="I127" s="26">
        <f>IFERROR(__xludf.DUMMYFUNCTION("""COMPUTED_VALUE"""),1)</f>
        <v>1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</row>
    <row r="128" ht="13.2" spans="1:15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IFERROR(__xludf.DUMMYFUNCTION("""COMPUTED_VALUE"""),"CS4516")</f>
        <v>CS4516</v>
      </c>
      <c r="E128" s="26" t="str">
        <f>IFERROR(__xludf.DUMMYFUNCTION("""COMPUTED_VALUE"""),"19AM516")</f>
        <v>19AM516</v>
      </c>
      <c r="F128" s="27" t="str">
        <f>IFERROR(__xludf.DUMMYFUNCTION("""COMPUTED_VALUE"""),"Python Programming for IoT")</f>
        <v>Python Programming for IoT</v>
      </c>
      <c r="G128" s="26" t="str">
        <f>IFERROR(__xludf.DUMMYFUNCTION("""COMPUTED_VALUE"""),"-")</f>
        <v>-</v>
      </c>
      <c r="H128" s="26">
        <f>IFERROR(__xludf.DUMMYFUNCTION("""COMPUTED_VALUE"""),3)</f>
        <v>3</v>
      </c>
      <c r="I128" s="26">
        <f>IFERROR(__xludf.DUMMYFUNCTION("""COMPUTED_VALUE"""),0)</f>
        <v>0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IFERROR(__xludf.DUMMYFUNCTION("""COMPUTED_VALUE"""),"Theory")</f>
        <v>Theory</v>
      </c>
      <c r="M128" s="26"/>
      <c r="N128" s="26"/>
      <c r="O128" s="26"/>
    </row>
    <row r="129" ht="13.2" spans="1:15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IFERROR(__xludf.DUMMYFUNCTION("""COMPUTED_VALUE"""),"CS4517")</f>
        <v>CS4517</v>
      </c>
      <c r="E129" s="26" t="str">
        <f>IFERROR(__xludf.DUMMYFUNCTION("""COMPUTED_VALUE"""),"19AM517")</f>
        <v>19AM517</v>
      </c>
      <c r="F129" s="27" t="str">
        <f>IFERROR(__xludf.DUMMYFUNCTION("""COMPUTED_VALUE"""),"Applications of IoT in Robotics")</f>
        <v>Applications of IoT in Robotics</v>
      </c>
      <c r="G129" s="26" t="str">
        <f>IFERROR(__xludf.DUMMYFUNCTION("""COMPUTED_VALUE"""),"-")</f>
        <v>-</v>
      </c>
      <c r="H129" s="26">
        <f>IFERROR(__xludf.DUMMYFUNCTION("""COMPUTED_VALUE"""),3)</f>
        <v>3</v>
      </c>
      <c r="I129" s="26">
        <f>IFERROR(__xludf.DUMMYFUNCTION("""COMPUTED_VALUE"""),0)</f>
        <v>0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IFERROR(__xludf.DUMMYFUNCTION("""COMPUTED_VALUE"""),"Theory")</f>
        <v>Theory</v>
      </c>
      <c r="M129" s="26"/>
      <c r="N129" s="26"/>
      <c r="O129" s="26"/>
    </row>
    <row r="130" ht="13.2" spans="1:15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IFERROR(__xludf.DUMMYFUNCTION("""COMPUTED_VALUE"""),"CS4518")</f>
        <v>CS4518</v>
      </c>
      <c r="E130" s="26" t="str">
        <f>IFERROR(__xludf.DUMMYFUNCTION("""COMPUTED_VALUE"""),"19AM518")</f>
        <v>19AM518</v>
      </c>
      <c r="F130" s="27" t="str">
        <f>IFERROR(__xludf.DUMMYFUNCTION("""COMPUTED_VALUE"""),"Programming for IoT Boards")</f>
        <v>Programming for IoT Boards</v>
      </c>
      <c r="G130" s="26" t="str">
        <f>IFERROR(__xludf.DUMMYFUNCTION("""COMPUTED_VALUE"""),"-")</f>
        <v>-</v>
      </c>
      <c r="H130" s="26">
        <f>IFERROR(__xludf.DUMMYFUNCTION("""COMPUTED_VALUE"""),3)</f>
        <v>3</v>
      </c>
      <c r="I130" s="26">
        <f>IFERROR(__xludf.DUMMYFUNCTION("""COMPUTED_VALUE"""),0)</f>
        <v>0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IFERROR(__xludf.DUMMYFUNCTION("""COMPUTED_VALUE"""),"Theory")</f>
        <v>Theory</v>
      </c>
      <c r="M130" s="26"/>
      <c r="N130" s="26"/>
      <c r="O130" s="26"/>
    </row>
    <row r="131" ht="13.2" spans="1:15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IFERROR(__xludf.DUMMYFUNCTION("""COMPUTED_VALUE"""),"CS4519")</f>
        <v>CS4519</v>
      </c>
      <c r="E131" s="26" t="str">
        <f>IFERROR(__xludf.DUMMYFUNCTION("""COMPUTED_VALUE"""),"19AM519")</f>
        <v>19AM519</v>
      </c>
      <c r="F131" s="27" t="str">
        <f>IFERROR(__xludf.DUMMYFUNCTION("""COMPUTED_VALUE"""),"Design of Smart Cities")</f>
        <v>Design of Smart Cities</v>
      </c>
      <c r="G131" s="26" t="str">
        <f>IFERROR(__xludf.DUMMYFUNCTION("""COMPUTED_VALUE"""),"-")</f>
        <v>-</v>
      </c>
      <c r="H131" s="26">
        <f>IFERROR(__xludf.DUMMYFUNCTION("""COMPUTED_VALUE"""),3)</f>
        <v>3</v>
      </c>
      <c r="I131" s="26">
        <f>IFERROR(__xludf.DUMMYFUNCTION("""COMPUTED_VALUE"""),0)</f>
        <v>0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IFERROR(__xludf.DUMMYFUNCTION("""COMPUTED_VALUE"""),"Theory")</f>
        <v>Theory</v>
      </c>
      <c r="M131" s="26"/>
      <c r="N131" s="26"/>
      <c r="O131" s="26"/>
    </row>
    <row r="132" ht="13.2" spans="1:15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IFERROR(__xludf.DUMMYFUNCTION("""COMPUTED_VALUE"""),"CS4520")</f>
        <v>CS4520</v>
      </c>
      <c r="E132" s="26" t="str">
        <f>IFERROR(__xludf.DUMMYFUNCTION("""COMPUTED_VALUE"""),"19AM520")</f>
        <v>19AM520</v>
      </c>
      <c r="F132" s="27" t="str">
        <f>IFERROR(__xludf.DUMMYFUNCTION("""COMPUTED_VALUE"""),"IoT and Multimedia Technology")</f>
        <v>IoT and Multimedia Technology</v>
      </c>
      <c r="G132" s="26" t="str">
        <f>IFERROR(__xludf.DUMMYFUNCTION("""COMPUTED_VALUE"""),"-")</f>
        <v>-</v>
      </c>
      <c r="H132" s="26">
        <f>IFERROR(__xludf.DUMMYFUNCTION("""COMPUTED_VALUE"""),3)</f>
        <v>3</v>
      </c>
      <c r="I132" s="26">
        <f>IFERROR(__xludf.DUMMYFUNCTION("""COMPUTED_VALUE"""),0)</f>
        <v>0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</row>
    <row r="133" ht="13.2" spans="1:15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IFERROR(__xludf.DUMMYFUNCTION("""COMPUTED_VALUE"""),"CS4521")</f>
        <v>CS4521</v>
      </c>
      <c r="E133" s="26" t="str">
        <f>IFERROR(__xludf.DUMMYFUNCTION("""COMPUTED_VALUE"""),"19AM521")</f>
        <v>19AM521</v>
      </c>
      <c r="F133" s="27" t="str">
        <f>IFERROR(__xludf.DUMMYFUNCTION("""COMPUTED_VALUE"""),"Mobile Application Development for IoT")</f>
        <v>Mobile Application Development for IoT</v>
      </c>
      <c r="G133" s="26" t="str">
        <f>IFERROR(__xludf.DUMMYFUNCTION("""COMPUTED_VALUE"""),"-")</f>
        <v>-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</row>
    <row r="134" ht="13.2" spans="1:15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IFERROR(__xludf.DUMMYFUNCTION("""COMPUTED_VALUE"""),"CS4522")</f>
        <v>CS4522</v>
      </c>
      <c r="E134" s="26" t="str">
        <f>IFERROR(__xludf.DUMMYFUNCTION("""COMPUTED_VALUE"""),"19AM522")</f>
        <v>19AM522</v>
      </c>
      <c r="F134" s="27" t="str">
        <f>IFERROR(__xludf.DUMMYFUNCTION("""COMPUTED_VALUE"""),"Open Source Programming for IoT")</f>
        <v>Open Source Programming for IoT</v>
      </c>
      <c r="G134" s="26" t="str">
        <f>IFERROR(__xludf.DUMMYFUNCTION("""COMPUTED_VALUE"""),"-")</f>
        <v>-</v>
      </c>
      <c r="H134" s="26">
        <f>IFERROR(__xludf.DUMMYFUNCTION("""COMPUTED_VALUE"""),3)</f>
        <v>3</v>
      </c>
      <c r="I134" s="26">
        <f>IFERROR(__xludf.DUMMYFUNCTION("""COMPUTED_VALUE"""),0)</f>
        <v>0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IFERROR(__xludf.DUMMYFUNCTION("""COMPUTED_VALUE"""),"Theory")</f>
        <v>Theory</v>
      </c>
      <c r="M134" s="26"/>
      <c r="N134" s="26"/>
      <c r="O134" s="26"/>
    </row>
    <row r="135" ht="13.2" spans="1:15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IFERROR(__xludf.DUMMYFUNCTION("""COMPUTED_VALUE"""),"CS1409")</f>
        <v>CS1409</v>
      </c>
      <c r="E135" s="26" t="str">
        <f>IFERROR(__xludf.DUMMYFUNCTION("""COMPUTED_VALUE"""),"19CS409")</f>
        <v>19CS409</v>
      </c>
      <c r="F135" s="27" t="str">
        <f>IFERROR(__xludf.DUMMYFUNCTION("""COMPUTED_VALUE"""),"Compiler Design")</f>
        <v>Compiler Design</v>
      </c>
      <c r="G135" s="26" t="str">
        <f>IFERROR(__xludf.DUMMYFUNCTION("""COMPUTED_VALUE"""),"-")</f>
        <v>-</v>
      </c>
      <c r="H135" s="26">
        <f>IFERROR(__xludf.DUMMYFUNCTION("""COMPUTED_VALUE"""),3)</f>
        <v>3</v>
      </c>
      <c r="I135" s="26">
        <f>IFERROR(__xludf.DUMMYFUNCTION("""COMPUTED_VALUE"""),1)</f>
        <v>1</v>
      </c>
      <c r="J135" s="26">
        <f>IFERROR(__xludf.DUMMYFUNCTION("""COMPUTED_VALUE"""),4)</f>
        <v>4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</row>
    <row r="136" ht="13.2" spans="1:15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IFERROR(__xludf.DUMMYFUNCTION("""COMPUTED_VALUE"""),"CS1416")</f>
        <v>CS1416</v>
      </c>
      <c r="E136" s="26" t="str">
        <f>IFERROR(__xludf.DUMMYFUNCTION("""COMPUTED_VALUE"""),"19CS416")</f>
        <v>19CS416</v>
      </c>
      <c r="F136" s="27" t="str">
        <f>IFERROR(__xludf.DUMMYFUNCTION("""COMPUTED_VALUE"""),"Cloud Security")</f>
        <v>Cloud Security</v>
      </c>
      <c r="G136" s="26" t="str">
        <f>IFERROR(__xludf.DUMMYFUNCTION("""COMPUTED_VALUE"""),"-")</f>
        <v>-</v>
      </c>
      <c r="H136" s="26">
        <f>IFERROR(__xludf.DUMMYFUNCTION("""COMPUTED_VALUE"""),2)</f>
        <v>2</v>
      </c>
      <c r="I136" s="26">
        <f>IFERROR(__xludf.DUMMYFUNCTION("""COMPUTED_VALUE"""),1)</f>
        <v>1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IFERROR(__xludf.DUMMYFUNCTION("""COMPUTED_VALUE"""),"TIP (6 Expts)")</f>
        <v>TIP (6 Expts)</v>
      </c>
      <c r="M136" s="26"/>
      <c r="N136" s="26"/>
      <c r="O136" s="26"/>
    </row>
    <row r="137" ht="13.2" spans="1:15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IFERROR(__xludf.DUMMYFUNCTION("""COMPUTED_VALUE"""),"CS1417")</f>
        <v>CS1417</v>
      </c>
      <c r="E137" s="26" t="str">
        <f>IFERROR(__xludf.DUMMYFUNCTION("""COMPUTED_VALUE"""),"19CS417")</f>
        <v>19CS417</v>
      </c>
      <c r="F137" s="27" t="str">
        <f>IFERROR(__xludf.DUMMYFUNCTION("""COMPUTED_VALUE"""),"Ethical Hacking Techniques")</f>
        <v>Ethical Hacking Techniques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</row>
    <row r="138" ht="13.2" spans="1:15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IFERROR(__xludf.DUMMYFUNCTION("""COMPUTED_VALUE"""),"CS1418")</f>
        <v>CS1418</v>
      </c>
      <c r="E138" s="26" t="str">
        <f>IFERROR(__xludf.DUMMYFUNCTION("""COMPUTED_VALUE"""),"19CS418")</f>
        <v>19CS418</v>
      </c>
      <c r="F138" s="27" t="str">
        <f>IFERROR(__xludf.DUMMYFUNCTION("""COMPUTED_VALUE"""),"Cyber Law and Compliance")</f>
        <v>Cyber Law and Compliance</v>
      </c>
      <c r="G138" s="26" t="str">
        <f>IFERROR(__xludf.DUMMYFUNCTION("""COMPUTED_VALUE"""),"-")</f>
        <v>-</v>
      </c>
      <c r="H138" s="26">
        <f>IFERROR(__xludf.DUMMYFUNCTION("""COMPUTED_VALUE"""),3)</f>
        <v>3</v>
      </c>
      <c r="I138" s="26">
        <f>IFERROR(__xludf.DUMMYFUNCTION("""COMPUTED_VALUE"""),0)</f>
        <v>0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IFERROR(__xludf.DUMMYFUNCTION("""COMPUTED_VALUE"""),"Theory")</f>
        <v>Theory</v>
      </c>
      <c r="M138" s="26"/>
      <c r="N138" s="26"/>
      <c r="O138" s="26"/>
    </row>
    <row r="139" ht="13.2" spans="1:15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IFERROR(__xludf.DUMMYFUNCTION("""COMPUTED_VALUE"""),"CS1419")</f>
        <v>CS1419</v>
      </c>
      <c r="E139" s="26" t="str">
        <f>IFERROR(__xludf.DUMMYFUNCTION("""COMPUTED_VALUE"""),"19CS419")</f>
        <v>19CS419</v>
      </c>
      <c r="F139" s="27" t="str">
        <f>IFERROR(__xludf.DUMMYFUNCTION("""COMPUTED_VALUE"""),"Digital Forensics and Digital Investigations")</f>
        <v>Digital Forensics and Digital Investigations</v>
      </c>
      <c r="G139" s="26" t="str">
        <f>IFERROR(__xludf.DUMMYFUNCTION("""COMPUTED_VALUE"""),"-")</f>
        <v>-</v>
      </c>
      <c r="H139" s="26">
        <f>IFERROR(__xludf.DUMMYFUNCTION("""COMPUTED_VALUE"""),2)</f>
        <v>2</v>
      </c>
      <c r="I139" s="26">
        <f>IFERROR(__xludf.DUMMYFUNCTION("""COMPUTED_VALUE"""),1)</f>
        <v>1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IFERROR(__xludf.DUMMYFUNCTION("""COMPUTED_VALUE"""),"TIP (6 Expts)")</f>
        <v>TIP (6 Expts)</v>
      </c>
      <c r="M139" s="26"/>
      <c r="N139" s="26"/>
      <c r="O139" s="26"/>
    </row>
    <row r="140" ht="13.2" spans="1:15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IFERROR(__xludf.DUMMYFUNCTION("""COMPUTED_VALUE"""),"CS1420")</f>
        <v>CS1420</v>
      </c>
      <c r="E140" s="26" t="str">
        <f>IFERROR(__xludf.DUMMYFUNCTION("""COMPUTED_VALUE"""),"19CS420")</f>
        <v>19CS420</v>
      </c>
      <c r="F140" s="27" t="str">
        <f>IFERROR(__xludf.DUMMYFUNCTION("""COMPUTED_VALUE"""),"Prototyping of IoT Systems")</f>
        <v>Prototyping of IoT Systems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</row>
    <row r="141" ht="13.2" spans="1:15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IFERROR(__xludf.DUMMYFUNCTION("""COMPUTED_VALUE"""),"CS1421")</f>
        <v>CS1421</v>
      </c>
      <c r="E141" s="26" t="str">
        <f>IFERROR(__xludf.DUMMYFUNCTION("""COMPUTED_VALUE"""),"19CS421")</f>
        <v>19CS421</v>
      </c>
      <c r="F141" s="27" t="str">
        <f>IFERROR(__xludf.DUMMYFUNCTION("""COMPUTED_VALUE"""),"Edge Computing")</f>
        <v>Edge Computing</v>
      </c>
      <c r="G141" s="26" t="str">
        <f>IFERROR(__xludf.DUMMYFUNCTION("""COMPUTED_VALUE"""),"-")</f>
        <v>-</v>
      </c>
      <c r="H141" s="26">
        <f>IFERROR(__xludf.DUMMYFUNCTION("""COMPUTED_VALUE"""),2)</f>
        <v>2</v>
      </c>
      <c r="I141" s="26">
        <f>IFERROR(__xludf.DUMMYFUNCTION("""COMPUTED_VALUE"""),1)</f>
        <v>1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</row>
    <row r="142" ht="13.2" spans="1:15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IFERROR(__xludf.DUMMYFUNCTION("""COMPUTED_VALUE"""),"CS1422")</f>
        <v>CS1422</v>
      </c>
      <c r="E142" s="26" t="str">
        <f>IFERROR(__xludf.DUMMYFUNCTION("""COMPUTED_VALUE"""),"19CS422")</f>
        <v>19CS422</v>
      </c>
      <c r="F142" s="27" t="str">
        <f>IFERROR(__xludf.DUMMYFUNCTION("""COMPUTED_VALUE"""),"Security for IoT Systems")</f>
        <v>Security for IoT Systems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IFERROR(__xludf.DUMMYFUNCTION("""COMPUTED_VALUE"""),0)</f>
        <v>0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IFERROR(__xludf.DUMMYFUNCTION("""COMPUTED_VALUE"""),"Theory")</f>
        <v>Theory</v>
      </c>
      <c r="M142" s="26"/>
      <c r="N142" s="26"/>
      <c r="O142" s="26"/>
    </row>
    <row r="143" ht="13.2" spans="1:15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IFERROR(__xludf.DUMMYFUNCTION("""COMPUTED_VALUE"""),"CS1502")</f>
        <v>CS1502</v>
      </c>
      <c r="E143" s="26" t="str">
        <f>IFERROR(__xludf.DUMMYFUNCTION("""COMPUTED_VALUE"""),"19CS502")</f>
        <v>19CS502</v>
      </c>
      <c r="F143" s="27" t="str">
        <f>IFERROR(__xludf.DUMMYFUNCTION("""COMPUTED_VALUE"""),"Computer Graphics and Multimedia")</f>
        <v>Computer Graphics and Multimedia</v>
      </c>
      <c r="G143" s="26" t="str">
        <f>IFERROR(__xludf.DUMMYFUNCTION("""COMPUTED_VALUE"""),"19CS401")</f>
        <v>19CS401</v>
      </c>
      <c r="H143" s="26">
        <f>IFERROR(__xludf.DUMMYFUNCTION("""COMPUTED_VALUE"""),3)</f>
        <v>3</v>
      </c>
      <c r="I143" s="26">
        <f>IFERROR(__xludf.DUMMYFUNCTION("""COMPUTED_VALUE"""),0)</f>
        <v>0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IFERROR(__xludf.DUMMYFUNCTION("""COMPUTED_VALUE"""),"Theory")</f>
        <v>Theory</v>
      </c>
      <c r="M143" s="26"/>
      <c r="N143" s="26"/>
      <c r="O143" s="26"/>
    </row>
    <row r="144" ht="13.2" spans="1:15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IFERROR(__xludf.DUMMYFUNCTION("""COMPUTED_VALUE"""),"CS1503")</f>
        <v>CS1503</v>
      </c>
      <c r="E144" s="26" t="str">
        <f>IFERROR(__xludf.DUMMYFUNCTION("""COMPUTED_VALUE"""),"19CS503")</f>
        <v>19CS503</v>
      </c>
      <c r="F144" s="27" t="str">
        <f>IFERROR(__xludf.DUMMYFUNCTION("""COMPUTED_VALUE"""),"Developing Web Application in .Net")</f>
        <v>Developing Web Application in .Net</v>
      </c>
      <c r="G144" s="26" t="str">
        <f>IFERROR(__xludf.DUMMYFUNCTION("""COMPUTED_VALUE"""),"19CS404/19CS410")</f>
        <v>19CS404/19CS410</v>
      </c>
      <c r="H144" s="26">
        <f>IFERROR(__xludf.DUMMYFUNCTION("""COMPUTED_VALUE"""),3)</f>
        <v>3</v>
      </c>
      <c r="I144" s="26">
        <f>IFERROR(__xludf.DUMMYFUNCTION("""COMPUTED_VALUE"""),0)</f>
        <v>0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</row>
    <row r="145" ht="13.2" spans="1:15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IFERROR(__xludf.DUMMYFUNCTION("""COMPUTED_VALUE"""),"CS1504")</f>
        <v>CS1504</v>
      </c>
      <c r="E145" s="26" t="str">
        <f>IFERROR(__xludf.DUMMYFUNCTION("""COMPUTED_VALUE"""),"19CS504")</f>
        <v>19CS504</v>
      </c>
      <c r="F145" s="27" t="str">
        <f>IFERROR(__xludf.DUMMYFUNCTION("""COMPUTED_VALUE"""),"Software Project Management")</f>
        <v>Software Project Management</v>
      </c>
      <c r="G145" s="26" t="str">
        <f>IFERROR(__xludf.DUMMYFUNCTION("""COMPUTED_VALUE"""),"19CS408")</f>
        <v>19CS408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</row>
    <row r="146" ht="13.2" spans="1:15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IFERROR(__xludf.DUMMYFUNCTION("""COMPUTED_VALUE"""),"CS1505")</f>
        <v>CS1505</v>
      </c>
      <c r="E146" s="26" t="str">
        <f>IFERROR(__xludf.DUMMYFUNCTION("""COMPUTED_VALUE"""),"19CS505")</f>
        <v>19CS505</v>
      </c>
      <c r="F146" s="27" t="str">
        <f>IFERROR(__xludf.DUMMYFUNCTION("""COMPUTED_VALUE"""),"Service Oriented Architecture")</f>
        <v>Service Oriented Architecture</v>
      </c>
      <c r="G146" s="26" t="str">
        <f>IFERROR(__xludf.DUMMYFUNCTION("""COMPUTED_VALUE"""),"-")</f>
        <v>-</v>
      </c>
      <c r="H146" s="26">
        <f>IFERROR(__xludf.DUMMYFUNCTION("""COMPUTED_VALUE"""),3)</f>
        <v>3</v>
      </c>
      <c r="I146" s="26">
        <f>IFERROR(__xludf.DUMMYFUNCTION("""COMPUTED_VALUE"""),0)</f>
        <v>0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</row>
    <row r="147" ht="13.2" spans="1:15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IFERROR(__xludf.DUMMYFUNCTION("""COMPUTED_VALUE"""),"CS1506")</f>
        <v>CS1506</v>
      </c>
      <c r="E147" s="26" t="str">
        <f>IFERROR(__xludf.DUMMYFUNCTION("""COMPUTED_VALUE"""),"19CS506")</f>
        <v>19CS506</v>
      </c>
      <c r="F147" s="27" t="str">
        <f>IFERROR(__xludf.DUMMYFUNCTION("""COMPUTED_VALUE"""),"Multicore Architecture")</f>
        <v>Multicore Architecture</v>
      </c>
      <c r="G147" s="26" t="str">
        <f>IFERROR(__xludf.DUMMYFUNCTION("""COMPUTED_VALUE"""),"19CS305")</f>
        <v>19CS305</v>
      </c>
      <c r="H147" s="26">
        <f>IFERROR(__xludf.DUMMYFUNCTION("""COMPUTED_VALUE"""),3)</f>
        <v>3</v>
      </c>
      <c r="I147" s="26">
        <f>IFERROR(__xludf.DUMMYFUNCTION("""COMPUTED_VALUE"""),0)</f>
        <v>0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IFERROR(__xludf.DUMMYFUNCTION("""COMPUTED_VALUE"""),"Theory")</f>
        <v>Theory</v>
      </c>
      <c r="M147" s="26"/>
      <c r="N147" s="26"/>
      <c r="O147" s="26"/>
    </row>
    <row r="148" ht="13.2" spans="1:15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IFERROR(__xludf.DUMMYFUNCTION("""COMPUTED_VALUE"""),"CS1507")</f>
        <v>CS1507</v>
      </c>
      <c r="E148" s="26" t="str">
        <f>IFERROR(__xludf.DUMMYFUNCTION("""COMPUTED_VALUE"""),"19CS507")</f>
        <v>19CS507</v>
      </c>
      <c r="F148" s="27" t="str">
        <f>IFERROR(__xludf.DUMMYFUNCTION("""COMPUTED_VALUE"""),"Human Computer Interaction")</f>
        <v>Human Computer Interaction</v>
      </c>
      <c r="G148" s="26" t="str">
        <f>IFERROR(__xludf.DUMMYFUNCTION("""COMPUTED_VALUE"""),"19CS502/19CS408")</f>
        <v>19CS502/19CS408</v>
      </c>
      <c r="H148" s="26">
        <f>IFERROR(__xludf.DUMMYFUNCTION("""COMPUTED_VALUE"""),3)</f>
        <v>3</v>
      </c>
      <c r="I148" s="26">
        <f>IFERROR(__xludf.DUMMYFUNCTION("""COMPUTED_VALUE"""),0)</f>
        <v>0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IFERROR(__xludf.DUMMYFUNCTION("""COMPUTED_VALUE"""),"Theory")</f>
        <v>Theory</v>
      </c>
      <c r="M148" s="26"/>
      <c r="N148" s="26"/>
      <c r="O148" s="26"/>
    </row>
    <row r="149" ht="13.2" spans="1:15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IFERROR(__xludf.DUMMYFUNCTION("""COMPUTED_VALUE"""),"CS1508")</f>
        <v>CS1508</v>
      </c>
      <c r="E149" s="26" t="str">
        <f>IFERROR(__xludf.DUMMYFUNCTION("""COMPUTED_VALUE"""),"19CS508")</f>
        <v>19CS508</v>
      </c>
      <c r="F149" s="27" t="str">
        <f>IFERROR(__xludf.DUMMYFUNCTION("""COMPUTED_VALUE"""),"Parallel and Distributed Systems")</f>
        <v>Parallel and Distributed Systems</v>
      </c>
      <c r="G149" s="26" t="str">
        <f>IFERROR(__xludf.DUMMYFUNCTION("""COMPUTED_VALUE"""),"19CS305/19CS401")</f>
        <v>19CS305/19CS401</v>
      </c>
      <c r="H149" s="26">
        <f>IFERROR(__xludf.DUMMYFUNCTION("""COMPUTED_VALUE"""),3)</f>
        <v>3</v>
      </c>
      <c r="I149" s="26">
        <f>IFERROR(__xludf.DUMMYFUNCTION("""COMPUTED_VALUE"""),0)</f>
        <v>0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</row>
    <row r="150" ht="13.2" spans="1:15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IFERROR(__xludf.DUMMYFUNCTION("""COMPUTED_VALUE"""),"CS1509")</f>
        <v>CS1509</v>
      </c>
      <c r="E150" s="26" t="str">
        <f>IFERROR(__xludf.DUMMYFUNCTION("""COMPUTED_VALUE"""),"19CS509")</f>
        <v>19CS509</v>
      </c>
      <c r="F150" s="27" t="str">
        <f>IFERROR(__xludf.DUMMYFUNCTION("""COMPUTED_VALUE"""),"Graph Theory and Applications")</f>
        <v>Graph Theory and Applications</v>
      </c>
      <c r="G150" s="26" t="str">
        <f>IFERROR(__xludf.DUMMYFUNCTION("""COMPUTED_VALUE"""),"19MA206")</f>
        <v>19MA206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</row>
    <row r="151" ht="13.2" spans="1:15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IFERROR(__xludf.DUMMYFUNCTION("""COMPUTED_VALUE"""),"CS1510")</f>
        <v>CS1510</v>
      </c>
      <c r="E151" s="26" t="str">
        <f>IFERROR(__xludf.DUMMYFUNCTION("""COMPUTED_VALUE"""),"19CS510")</f>
        <v>19CS510</v>
      </c>
      <c r="F151" s="27" t="str">
        <f>IFERROR(__xludf.DUMMYFUNCTION("""COMPUTED_VALUE"""),"Social Network Analysis")</f>
        <v>Social Network Analysis</v>
      </c>
      <c r="G151" s="26" t="str">
        <f>IFERROR(__xludf.DUMMYFUNCTION("""COMPUTED_VALUE"""),"19CS501/19CS413")</f>
        <v>19CS501/19CS413</v>
      </c>
      <c r="H151" s="26">
        <f>IFERROR(__xludf.DUMMYFUNCTION("""COMPUTED_VALUE"""),3)</f>
        <v>3</v>
      </c>
      <c r="I151" s="26">
        <f>IFERROR(__xludf.DUMMYFUNCTION("""COMPUTED_VALUE"""),0)</f>
        <v>0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IFERROR(__xludf.DUMMYFUNCTION("""COMPUTED_VALUE"""),"Theory")</f>
        <v>Theory</v>
      </c>
      <c r="M151" s="26"/>
      <c r="N151" s="26"/>
      <c r="O151" s="26"/>
    </row>
    <row r="152" ht="13.2" spans="1:15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IFERROR(__xludf.DUMMYFUNCTION("""COMPUTED_VALUE"""),"CS1511")</f>
        <v>CS1511</v>
      </c>
      <c r="E152" s="26" t="str">
        <f>IFERROR(__xludf.DUMMYFUNCTION("""COMPUTED_VALUE"""),"19CS511")</f>
        <v>19CS511</v>
      </c>
      <c r="F152" s="27" t="str">
        <f>IFERROR(__xludf.DUMMYFUNCTION("""COMPUTED_VALUE"""),"Natural Language Processing")</f>
        <v>Natural Language Processing</v>
      </c>
      <c r="G152" s="26" t="str">
        <f>IFERROR(__xludf.DUMMYFUNCTION("""COMPUTED_VALUE"""),"19MA201")</f>
        <v>19MA201</v>
      </c>
      <c r="H152" s="26">
        <f>IFERROR(__xludf.DUMMYFUNCTION("""COMPUTED_VALUE"""),3)</f>
        <v>3</v>
      </c>
      <c r="I152" s="26">
        <f>IFERROR(__xludf.DUMMYFUNCTION("""COMPUTED_VALUE"""),0)</f>
        <v>0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IFERROR(__xludf.DUMMYFUNCTION("""COMPUTED_VALUE"""),"Theory")</f>
        <v>Theory</v>
      </c>
      <c r="M152" s="26"/>
      <c r="N152" s="26"/>
      <c r="O152" s="26"/>
    </row>
    <row r="153" ht="13.2" spans="1:15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IFERROR(__xludf.DUMMYFUNCTION("""COMPUTED_VALUE"""),"CS1512")</f>
        <v>CS1512</v>
      </c>
      <c r="E153" s="26" t="str">
        <f>IFERROR(__xludf.DUMMYFUNCTION("""COMPUTED_VALUE"""),"19CS512")</f>
        <v>19CS512</v>
      </c>
      <c r="F153" s="27" t="str">
        <f>IFERROR(__xludf.DUMMYFUNCTION("""COMPUTED_VALUE"""),"Soft Computing")</f>
        <v>Soft Computing</v>
      </c>
      <c r="G153" s="26" t="str">
        <f>IFERROR(__xludf.DUMMYFUNCTION("""COMPUTED_VALUE"""),"19CS501/19AI410")</f>
        <v>19CS501/19AI410</v>
      </c>
      <c r="H153" s="26">
        <f>IFERROR(__xludf.DUMMYFUNCTION("""COMPUTED_VALUE"""),3)</f>
        <v>3</v>
      </c>
      <c r="I153" s="26">
        <f>IFERROR(__xludf.DUMMYFUNCTION("""COMPUTED_VALUE"""),0)</f>
        <v>0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IFERROR(__xludf.DUMMYFUNCTION("""COMPUTED_VALUE"""),"Theory")</f>
        <v>Theory</v>
      </c>
      <c r="M153" s="26"/>
      <c r="N153" s="26"/>
      <c r="O153" s="26"/>
    </row>
    <row r="154" ht="13.2" spans="1:15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IFERROR(__xludf.DUMMYFUNCTION("""COMPUTED_VALUE"""),"CS1513")</f>
        <v>CS1513</v>
      </c>
      <c r="E154" s="26" t="str">
        <f>IFERROR(__xludf.DUMMYFUNCTION("""COMPUTED_VALUE"""),"19CS513")</f>
        <v>19CS513</v>
      </c>
      <c r="F154" s="27" t="str">
        <f>IFERROR(__xludf.DUMMYFUNCTION("""COMPUTED_VALUE"""),"Green Computing")</f>
        <v>Green Computing</v>
      </c>
      <c r="G154" s="26" t="str">
        <f>IFERROR(__xludf.DUMMYFUNCTION("""COMPUTED_VALUE"""),"-")</f>
        <v>-</v>
      </c>
      <c r="H154" s="26">
        <f>IFERROR(__xludf.DUMMYFUNCTION("""COMPUTED_VALUE"""),3)</f>
        <v>3</v>
      </c>
      <c r="I154" s="26">
        <f>IFERROR(__xludf.DUMMYFUNCTION("""COMPUTED_VALUE"""),0)</f>
        <v>0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IFERROR(__xludf.DUMMYFUNCTION("""COMPUTED_VALUE"""),"Theory")</f>
        <v>Theory</v>
      </c>
      <c r="M154" s="26"/>
      <c r="N154" s="26"/>
      <c r="O154" s="26"/>
    </row>
    <row r="155" ht="13.2" spans="1:15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IFERROR(__xludf.DUMMYFUNCTION("""COMPUTED_VALUE"""),"CS1514")</f>
        <v>CS1514</v>
      </c>
      <c r="E155" s="26" t="str">
        <f>IFERROR(__xludf.DUMMYFUNCTION("""COMPUTED_VALUE"""),"19CS514")</f>
        <v>19CS514</v>
      </c>
      <c r="F155" s="27" t="str">
        <f>IFERROR(__xludf.DUMMYFUNCTION("""COMPUTED_VALUE"""),"Network Management Systems")</f>
        <v>Network Management Systems</v>
      </c>
      <c r="G155" s="26" t="str">
        <f>IFERROR(__xludf.DUMMYFUNCTION("""COMPUTED_VALUE"""),"19CS406")</f>
        <v>19CS406</v>
      </c>
      <c r="H155" s="26">
        <f>IFERROR(__xludf.DUMMYFUNCTION("""COMPUTED_VALUE"""),3)</f>
        <v>3</v>
      </c>
      <c r="I155" s="26">
        <f>IFERROR(__xludf.DUMMYFUNCTION("""COMPUTED_VALUE"""),0)</f>
        <v>0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</row>
    <row r="156" ht="13.2" spans="1:15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IFERROR(__xludf.DUMMYFUNCTION("""COMPUTED_VALUE"""),"CS1515")</f>
        <v>CS1515</v>
      </c>
      <c r="E156" s="26" t="str">
        <f>IFERROR(__xludf.DUMMYFUNCTION("""COMPUTED_VALUE"""),"19CS515")</f>
        <v>19CS515</v>
      </c>
      <c r="F156" s="27" t="str">
        <f>IFERROR(__xludf.DUMMYFUNCTION("""COMPUTED_VALUE"""),"Block Chain Architecture and its Use Cases")</f>
        <v>Block Chain Architecture and its Use Cases</v>
      </c>
      <c r="G156" s="26" t="str">
        <f>IFERROR(__xludf.DUMMYFUNCTION("""COMPUTED_VALUE"""),"19CS412")</f>
        <v>19CS412</v>
      </c>
      <c r="H156" s="26">
        <f>IFERROR(__xludf.DUMMYFUNCTION("""COMPUTED_VALUE"""),3)</f>
        <v>3</v>
      </c>
      <c r="I156" s="26">
        <f>IFERROR(__xludf.DUMMYFUNCTION("""COMPUTED_VALUE"""),0)</f>
        <v>0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</row>
    <row r="157" ht="13.2" spans="1:15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IFERROR(__xludf.DUMMYFUNCTION("""COMPUTED_VALUE"""),"CS1516")</f>
        <v>CS1516</v>
      </c>
      <c r="E157" s="26" t="str">
        <f>IFERROR(__xludf.DUMMYFUNCTION("""COMPUTED_VALUE"""),"19CS516")</f>
        <v>19CS516</v>
      </c>
      <c r="F157" s="27" t="str">
        <f>IFERROR(__xludf.DUMMYFUNCTION("""COMPUTED_VALUE"""),"Software Testing and Quality Assurance")</f>
        <v>Software Testing and Quality Assurance</v>
      </c>
      <c r="G157" s="26" t="str">
        <f>IFERROR(__xludf.DUMMYFUNCTION("""COMPUTED_VALUE"""),"-")</f>
        <v>-</v>
      </c>
      <c r="H157" s="26">
        <f>IFERROR(__xludf.DUMMYFUNCTION("""COMPUTED_VALUE"""),3)</f>
        <v>3</v>
      </c>
      <c r="I157" s="26">
        <f>IFERROR(__xludf.DUMMYFUNCTION("""COMPUTED_VALUE"""),0)</f>
        <v>0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IFERROR(__xludf.DUMMYFUNCTION("""COMPUTED_VALUE"""),"Theory")</f>
        <v>Theory</v>
      </c>
      <c r="M157" s="26"/>
      <c r="N157" s="26"/>
      <c r="O157" s="26"/>
    </row>
    <row r="158" ht="13.2" spans="1:15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IFERROR(__xludf.DUMMYFUNCTION("""COMPUTED_VALUE"""),"CS1517")</f>
        <v>CS1517</v>
      </c>
      <c r="E158" s="26" t="str">
        <f>IFERROR(__xludf.DUMMYFUNCTION("""COMPUTED_VALUE"""),"19CS517")</f>
        <v>19CS517</v>
      </c>
      <c r="F158" s="27" t="str">
        <f>IFERROR(__xludf.DUMMYFUNCTION("""COMPUTED_VALUE"""),"Mobile Computing")</f>
        <v>Mobile Computing</v>
      </c>
      <c r="G158" s="26" t="str">
        <f>IFERROR(__xludf.DUMMYFUNCTION("""COMPUTED_VALUE"""),"19CS406")</f>
        <v>19CS406</v>
      </c>
      <c r="H158" s="26">
        <f>IFERROR(__xludf.DUMMYFUNCTION("""COMPUTED_VALUE"""),3)</f>
        <v>3</v>
      </c>
      <c r="I158" s="26">
        <f>IFERROR(__xludf.DUMMYFUNCTION("""COMPUTED_VALUE"""),0)</f>
        <v>0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</row>
    <row r="159" ht="13.2" spans="1:15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IFERROR(__xludf.DUMMYFUNCTION("""COMPUTED_VALUE"""),"CS1518")</f>
        <v>CS1518</v>
      </c>
      <c r="E159" s="26" t="str">
        <f>IFERROR(__xludf.DUMMYFUNCTION("""COMPUTED_VALUE"""),"19CS518")</f>
        <v>19CS518</v>
      </c>
      <c r="F159" s="27" t="str">
        <f>IFERROR(__xludf.DUMMYFUNCTION("""COMPUTED_VALUE"""),"Game Design and Development")</f>
        <v>Game Design and Development</v>
      </c>
      <c r="G159" s="26" t="str">
        <f>IFERROR(__xludf.DUMMYFUNCTION("""COMPUTED_VALUE"""),"19CS502")</f>
        <v>19CS502</v>
      </c>
      <c r="H159" s="26">
        <f>IFERROR(__xludf.DUMMYFUNCTION("""COMPUTED_VALUE"""),3)</f>
        <v>3</v>
      </c>
      <c r="I159" s="26">
        <f>IFERROR(__xludf.DUMMYFUNCTION("""COMPUTED_VALUE"""),0)</f>
        <v>0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IFERROR(__xludf.DUMMYFUNCTION("""COMPUTED_VALUE"""),"Theory")</f>
        <v>Theory</v>
      </c>
      <c r="M159" s="26"/>
      <c r="N159" s="26"/>
      <c r="O159" s="26"/>
    </row>
    <row r="160" ht="13.2" spans="1:15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IFERROR(__xludf.DUMMYFUNCTION("""COMPUTED_VALUE"""),"CS1519")</f>
        <v>CS1519</v>
      </c>
      <c r="E160" s="26" t="str">
        <f>IFERROR(__xludf.DUMMYFUNCTION("""COMPUTED_VALUE"""),"19CS519")</f>
        <v>19CS519</v>
      </c>
      <c r="F160" s="27" t="str">
        <f>IFERROR(__xludf.DUMMYFUNCTION("""COMPUTED_VALUE"""),"Data Science")</f>
        <v>Data Science</v>
      </c>
      <c r="G160" s="26" t="str">
        <f>IFERROR(__xludf.DUMMYFUNCTION("""COMPUTED_VALUE"""),"19CS301/19CS501")</f>
        <v>19CS301/19CS501</v>
      </c>
      <c r="H160" s="26">
        <f>IFERROR(__xludf.DUMMYFUNCTION("""COMPUTED_VALUE"""),3)</f>
        <v>3</v>
      </c>
      <c r="I160" s="26">
        <f>IFERROR(__xludf.DUMMYFUNCTION("""COMPUTED_VALUE"""),0)</f>
        <v>0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IFERROR(__xludf.DUMMYFUNCTION("""COMPUTED_VALUE"""),"Theory")</f>
        <v>Theory</v>
      </c>
      <c r="M160" s="26"/>
      <c r="N160" s="26"/>
      <c r="O160" s="26"/>
    </row>
    <row r="161" ht="13.2" spans="1:15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IFERROR(__xludf.DUMMYFUNCTION("""COMPUTED_VALUE"""),"CS1520")</f>
        <v>CS1520</v>
      </c>
      <c r="E161" s="26" t="str">
        <f>IFERROR(__xludf.DUMMYFUNCTION("""COMPUTED_VALUE"""),"19CS520")</f>
        <v>19CS520</v>
      </c>
      <c r="F161" s="27" t="str">
        <f>IFERROR(__xludf.DUMMYFUNCTION("""COMPUTED_VALUE"""),"Big Data Analytics")</f>
        <v>Big Data Analytics</v>
      </c>
      <c r="G161" s="26" t="str">
        <f>IFERROR(__xludf.DUMMYFUNCTION("""COMPUTED_VALUE"""),"19CS411/19CS519")</f>
        <v>19CS411/19CS519</v>
      </c>
      <c r="H161" s="26">
        <f>IFERROR(__xludf.DUMMYFUNCTION("""COMPUTED_VALUE"""),3)</f>
        <v>3</v>
      </c>
      <c r="I161" s="26">
        <f>IFERROR(__xludf.DUMMYFUNCTION("""COMPUTED_VALUE"""),0)</f>
        <v>0</v>
      </c>
      <c r="J161" s="26">
        <f>IFERROR(__xludf.DUMMYFUNCTION("""COMPUTED_VALUE"""),3)</f>
        <v>3</v>
      </c>
      <c r="K161" s="26" t="str">
        <f>IFERROR(__xludf.DUMMYFUNCTION("""COMPUTED_VALUE"""),"CGPA")</f>
        <v>CGPA</v>
      </c>
      <c r="L161" s="26" t="str">
        <f>IFERROR(__xludf.DUMMYFUNCTION("""COMPUTED_VALUE"""),"Theory")</f>
        <v>Theory</v>
      </c>
      <c r="M161" s="26"/>
      <c r="N161" s="26"/>
      <c r="O161" s="26"/>
    </row>
    <row r="162" ht="13.2" spans="1:15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IFERROR(__xludf.DUMMYFUNCTION("""COMPUTED_VALUE"""),"CS1521")</f>
        <v>CS1521</v>
      </c>
      <c r="E162" s="26" t="str">
        <f>IFERROR(__xludf.DUMMYFUNCTION("""COMPUTED_VALUE"""),"19CS521")</f>
        <v>19CS521</v>
      </c>
      <c r="F162" s="27" t="str">
        <f>IFERROR(__xludf.DUMMYFUNCTION("""COMPUTED_VALUE"""),"Data Warehousing and Data Mining")</f>
        <v>Data Warehousing and Data Mining</v>
      </c>
      <c r="G162" s="26" t="str">
        <f>IFERROR(__xludf.DUMMYFUNCTION("""COMPUTED_VALUE"""),"19CS404")</f>
        <v>19CS404</v>
      </c>
      <c r="H162" s="26">
        <f>IFERROR(__xludf.DUMMYFUNCTION("""COMPUTED_VALUE"""),3)</f>
        <v>3</v>
      </c>
      <c r="I162" s="26">
        <f>IFERROR(__xludf.DUMMYFUNCTION("""COMPUTED_VALUE"""),0)</f>
        <v>0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IFERROR(__xludf.DUMMYFUNCTION("""COMPUTED_VALUE"""),"Theory")</f>
        <v>Theory</v>
      </c>
      <c r="M162" s="26"/>
      <c r="N162" s="26"/>
      <c r="O162" s="26"/>
    </row>
    <row r="163" ht="13.2" spans="1:15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IFERROR(__xludf.DUMMYFUNCTION("""COMPUTED_VALUE"""),"CS1522")</f>
        <v>CS1522</v>
      </c>
      <c r="E163" s="26" t="str">
        <f>IFERROR(__xludf.DUMMYFUNCTION("""COMPUTED_VALUE"""),"19CS522")</f>
        <v>19CS522</v>
      </c>
      <c r="F163" s="27" t="str">
        <f>IFERROR(__xludf.DUMMYFUNCTION("""COMPUTED_VALUE"""),"Advanced Database Management System")</f>
        <v>Advanced Database Management System</v>
      </c>
      <c r="G163" s="26" t="str">
        <f>IFERROR(__xludf.DUMMYFUNCTION("""COMPUTED_VALUE"""),"19CS404")</f>
        <v>19CS404</v>
      </c>
      <c r="H163" s="26">
        <f>IFERROR(__xludf.DUMMYFUNCTION("""COMPUTED_VALUE"""),3)</f>
        <v>3</v>
      </c>
      <c r="I163" s="26">
        <f>IFERROR(__xludf.DUMMYFUNCTION("""COMPUTED_VALUE"""),1)</f>
        <v>1</v>
      </c>
      <c r="J163" s="26">
        <f>IFERROR(__xludf.DUMMYFUNCTION("""COMPUTED_VALUE"""),4)</f>
        <v>4</v>
      </c>
      <c r="K163" s="26" t="str">
        <f>IFERROR(__xludf.DUMMYFUNCTION("""COMPUTED_VALUE"""),"CGPA")</f>
        <v>CGPA</v>
      </c>
      <c r="L163" s="26" t="str">
        <f>IFERROR(__xludf.DUMMYFUNCTION("""COMPUTED_VALUE"""),"TIP (6 Expts)")</f>
        <v>TIP (6 Expts)</v>
      </c>
      <c r="M163" s="26"/>
      <c r="N163" s="26"/>
      <c r="O163" s="26"/>
    </row>
    <row r="164" ht="13.2" spans="1:15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IFERROR(__xludf.DUMMYFUNCTION("""COMPUTED_VALUE"""),"CS1523")</f>
        <v>CS1523</v>
      </c>
      <c r="E164" s="26" t="str">
        <f>IFERROR(__xludf.DUMMYFUNCTION("""COMPUTED_VALUE"""),"19CS523")</f>
        <v>19CS523</v>
      </c>
      <c r="F164" s="27" t="str">
        <f>IFERROR(__xludf.DUMMYFUNCTION("""COMPUTED_VALUE"""),"Information Retrieval")</f>
        <v>Information Retrieval</v>
      </c>
      <c r="G164" s="26" t="str">
        <f>IFERROR(__xludf.DUMMYFUNCTION("""COMPUTED_VALUE"""),"19AI410/ 19CS501/19CS413")</f>
        <v>19AI410/ 19CS501/19CS413</v>
      </c>
      <c r="H164" s="26">
        <f>IFERROR(__xludf.DUMMYFUNCTION("""COMPUTED_VALUE"""),3)</f>
        <v>3</v>
      </c>
      <c r="I164" s="26">
        <f>IFERROR(__xludf.DUMMYFUNCTION("""COMPUTED_VALUE"""),0)</f>
        <v>0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IFERROR(__xludf.DUMMYFUNCTION("""COMPUTED_VALUE"""),"Theory")</f>
        <v>Theory</v>
      </c>
      <c r="M164" s="26"/>
      <c r="N164" s="26"/>
      <c r="O164" s="26"/>
    </row>
    <row r="165" ht="13.2" spans="1:15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IFERROR(__xludf.DUMMYFUNCTION("""COMPUTED_VALUE"""),"CS1524")</f>
        <v>CS1524</v>
      </c>
      <c r="E165" s="26" t="str">
        <f>IFERROR(__xludf.DUMMYFUNCTION("""COMPUTED_VALUE"""),"19CS524")</f>
        <v>19CS524</v>
      </c>
      <c r="F165" s="27" t="str">
        <f>IFERROR(__xludf.DUMMYFUNCTION("""COMPUTED_VALUE"""),"Deep Learning")</f>
        <v>Deep Learning</v>
      </c>
      <c r="G165" s="26" t="str">
        <f>IFERROR(__xludf.DUMMYFUNCTION("""COMPUTED_VALUE"""),"19CS501")</f>
        <v>19CS501</v>
      </c>
      <c r="H165" s="26">
        <f>IFERROR(__xludf.DUMMYFUNCTION("""COMPUTED_VALUE"""),3)</f>
        <v>3</v>
      </c>
      <c r="I165" s="26">
        <f>IFERROR(__xludf.DUMMYFUNCTION("""COMPUTED_VALUE"""),0)</f>
        <v>0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IFERROR(__xludf.DUMMYFUNCTION("""COMPUTED_VALUE"""),"Theory")</f>
        <v>Theory</v>
      </c>
      <c r="M165" s="26"/>
      <c r="N165" s="26"/>
      <c r="O165" s="26"/>
    </row>
    <row r="166" ht="13.2" spans="1:15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IFERROR(__xludf.DUMMYFUNCTION("""COMPUTED_VALUE"""),"CS1526")</f>
        <v>CS1526</v>
      </c>
      <c r="E166" s="26" t="str">
        <f>IFERROR(__xludf.DUMMYFUNCTION("""COMPUTED_VALUE"""),"19CS526")</f>
        <v>19CS526</v>
      </c>
      <c r="F166" s="26" t="str">
        <f>IFERROR(__xludf.DUMMYFUNCTION("""COMPUTED_VALUE"""),"R Programming")</f>
        <v>R Programming</v>
      </c>
      <c r="G166" s="26" t="str">
        <f>IFERROR(__xludf.DUMMYFUNCTION("""COMPUTED_VALUE"""),"19CS301/19CS303")</f>
        <v>19CS301/19CS303</v>
      </c>
      <c r="H166" s="26">
        <f>IFERROR(__xludf.DUMMYFUNCTION("""COMPUTED_VALUE"""),2)</f>
        <v>2</v>
      </c>
      <c r="I166" s="26">
        <f>IFERROR(__xludf.DUMMYFUNCTION("""COMPUTED_VALUE"""),1)</f>
        <v>1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IFERROR(__xludf.DUMMYFUNCTION("""COMPUTED_VALUE"""),"TIP (6 Expts)")</f>
        <v>TIP (6 Expts)</v>
      </c>
      <c r="M166" s="26"/>
      <c r="N166" s="26"/>
      <c r="O166" s="26"/>
    </row>
    <row r="167" ht="13.2" spans="1:15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IFERROR(__xludf.DUMMYFUNCTION("""COMPUTED_VALUE"""),"CS1528")</f>
        <v>CS1528</v>
      </c>
      <c r="E167" s="26" t="str">
        <f>IFERROR(__xludf.DUMMYFUNCTION("""COMPUTED_VALUE"""),"19CS528")</f>
        <v>19CS528</v>
      </c>
      <c r="F167" s="27" t="str">
        <f>IFERROR(__xludf.DUMMYFUNCTION("""COMPUTED_VALUE"""),"Robotics and its Applications")</f>
        <v>Robotics and its Applications</v>
      </c>
      <c r="G167" s="26" t="str">
        <f>IFERROR(__xludf.DUMMYFUNCTION("""COMPUTED_VALUE"""),"19CS302/19EC408")</f>
        <v>19CS302/19EC408</v>
      </c>
      <c r="H167" s="26">
        <f>IFERROR(__xludf.DUMMYFUNCTION("""COMPUTED_VALUE"""),3)</f>
        <v>3</v>
      </c>
      <c r="I167" s="26">
        <f>IFERROR(__xludf.DUMMYFUNCTION("""COMPUTED_VALUE"""),0)</f>
        <v>0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IFERROR(__xludf.DUMMYFUNCTION("""COMPUTED_VALUE"""),"Theory")</f>
        <v>Theory</v>
      </c>
      <c r="M167" s="26"/>
      <c r="N167" s="26"/>
      <c r="O167" s="26"/>
    </row>
    <row r="168" ht="13.2" spans="1:15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IFERROR(__xludf.DUMMYFUNCTION("""COMPUTED_VALUE"""),"CS1529")</f>
        <v>CS1529</v>
      </c>
      <c r="E168" s="26" t="str">
        <f>IFERROR(__xludf.DUMMYFUNCTION("""COMPUTED_VALUE"""),"19CS529")</f>
        <v>19CS529</v>
      </c>
      <c r="F168" s="27" t="str">
        <f>IFERROR(__xludf.DUMMYFUNCTION("""COMPUTED_VALUE"""),"Quantum Computing")</f>
        <v>Quantum Computing</v>
      </c>
      <c r="G168" s="26" t="str">
        <f>IFERROR(__xludf.DUMMYFUNCTION("""COMPUTED_VALUE"""),"19CS301/19CS303")</f>
        <v>19CS301/19CS303</v>
      </c>
      <c r="H168" s="26">
        <f>IFERROR(__xludf.DUMMYFUNCTION("""COMPUTED_VALUE"""),3)</f>
        <v>3</v>
      </c>
      <c r="I168" s="26">
        <f>IFERROR(__xludf.DUMMYFUNCTION("""COMPUTED_VALUE"""),0)</f>
        <v>0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IFERROR(__xludf.DUMMYFUNCTION("""COMPUTED_VALUE"""),"Theory")</f>
        <v>Theory</v>
      </c>
      <c r="M168" s="26"/>
      <c r="N168" s="26"/>
      <c r="O168" s="26"/>
    </row>
    <row r="169" ht="13.2" spans="1:15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IFERROR(__xludf.DUMMYFUNCTION("""COMPUTED_VALUE"""),"CS1530")</f>
        <v>CS1530</v>
      </c>
      <c r="E169" s="26" t="str">
        <f>IFERROR(__xludf.DUMMYFUNCTION("""COMPUTED_VALUE"""),"19CS530")</f>
        <v>19CS530</v>
      </c>
      <c r="F169" s="27" t="str">
        <f>IFERROR(__xludf.DUMMYFUNCTION("""COMPUTED_VALUE"""),"Cyber Security")</f>
        <v>Cyber Security</v>
      </c>
      <c r="G169" s="26" t="str">
        <f>IFERROR(__xludf.DUMMYFUNCTION("""COMPUTED_VALUE"""),"19CS412")</f>
        <v>19CS412</v>
      </c>
      <c r="H169" s="26">
        <f>IFERROR(__xludf.DUMMYFUNCTION("""COMPUTED_VALUE"""),3)</f>
        <v>3</v>
      </c>
      <c r="I169" s="26">
        <f>IFERROR(__xludf.DUMMYFUNCTION("""COMPUTED_VALUE"""),0)</f>
        <v>0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IFERROR(__xludf.DUMMYFUNCTION("""COMPUTED_VALUE"""),"Theory")</f>
        <v>Theory</v>
      </c>
      <c r="M169" s="26"/>
      <c r="N169" s="26"/>
      <c r="O169" s="26"/>
    </row>
    <row r="170" ht="13.2" spans="1:15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IFERROR(__xludf.DUMMYFUNCTION("""COMPUTED_VALUE"""),"CS1531")</f>
        <v>CS1531</v>
      </c>
      <c r="E170" s="26" t="str">
        <f>IFERROR(__xludf.DUMMYFUNCTION("""COMPUTED_VALUE"""),"19CS531")</f>
        <v>19CS531</v>
      </c>
      <c r="F170" s="27" t="str">
        <f>IFERROR(__xludf.DUMMYFUNCTION("""COMPUTED_VALUE"""),"Virtual Reality")</f>
        <v>Virtual Reality</v>
      </c>
      <c r="G170" s="26" t="str">
        <f>IFERROR(__xludf.DUMMYFUNCTION("""COMPUTED_VALUE"""),"19CS401/19CS301")</f>
        <v>19CS401/19CS301</v>
      </c>
      <c r="H170" s="26">
        <f>IFERROR(__xludf.DUMMYFUNCTION("""COMPUTED_VALUE"""),3)</f>
        <v>3</v>
      </c>
      <c r="I170" s="26">
        <f>IFERROR(__xludf.DUMMYFUNCTION("""COMPUTED_VALUE"""),0)</f>
        <v>0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IFERROR(__xludf.DUMMYFUNCTION("""COMPUTED_VALUE"""),"Theory")</f>
        <v>Theory</v>
      </c>
      <c r="M170" s="26"/>
      <c r="N170" s="26"/>
      <c r="O170" s="26"/>
    </row>
    <row r="171" ht="13.2" spans="1:15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IFERROR(__xludf.DUMMYFUNCTION("""COMPUTED_VALUE"""),"CS1532")</f>
        <v>CS1532</v>
      </c>
      <c r="E171" s="26" t="str">
        <f>IFERROR(__xludf.DUMMYFUNCTION("""COMPUTED_VALUE"""),"19CS532")</f>
        <v>19CS532</v>
      </c>
      <c r="F171" s="27" t="str">
        <f>IFERROR(__xludf.DUMMYFUNCTION("""COMPUTED_VALUE"""),"Professional Readiness for Innovation, Employability and Entrepreneurship")</f>
        <v>Professional Readiness for Innovation, Employability and Entrepreneurship</v>
      </c>
      <c r="G171" s="26" t="str">
        <f>IFERROR(__xludf.DUMMYFUNCTION("""COMPUTED_VALUE"""),"-")</f>
        <v>-</v>
      </c>
      <c r="H171" s="26">
        <f>IFERROR(__xludf.DUMMYFUNCTION("""COMPUTED_VALUE"""),0)</f>
        <v>0</v>
      </c>
      <c r="I171" s="26">
        <f>IFERROR(__xludf.DUMMYFUNCTION("""COMPUTED_VALUE"""),3)</f>
        <v>3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IFERROR(__xludf.DUMMYFUNCTION("""COMPUTED_VALUE"""),"Practical (10 Expts)")</f>
        <v>Practical (10 Expts)</v>
      </c>
      <c r="M171" s="26"/>
      <c r="N171" s="26"/>
      <c r="O171" s="26"/>
    </row>
    <row r="172" ht="13.2" spans="1:15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IFERROR(__xludf.DUMMYFUNCTION("""COMPUTED_VALUE"""),"CS1533")</f>
        <v>CS1533</v>
      </c>
      <c r="E172" s="26" t="str">
        <f>IFERROR(__xludf.DUMMYFUNCTION("""COMPUTED_VALUE"""),"19CS533")</f>
        <v>19CS533</v>
      </c>
      <c r="F172" s="27" t="str">
        <f>IFERROR(__xludf.DUMMYFUNCTION("""COMPUTED_VALUE"""),"Information Security Intelligence and Analytics using Big Data")</f>
        <v>Information Security Intelligence and Analytics using Big Data</v>
      </c>
      <c r="G172" s="26" t="str">
        <f>IFERROR(__xludf.DUMMYFUNCTION("""COMPUTED_VALUE"""),"-")</f>
        <v>-</v>
      </c>
      <c r="H172" s="26">
        <f>IFERROR(__xludf.DUMMYFUNCTION("""COMPUTED_VALUE"""),2)</f>
        <v>2</v>
      </c>
      <c r="I172" s="26">
        <f>IFERROR(__xludf.DUMMYFUNCTION("""COMPUTED_VALUE"""),1)</f>
        <v>1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IFERROR(__xludf.DUMMYFUNCTION("""COMPUTED_VALUE"""),"TIP (6 Expts)")</f>
        <v>TIP (6 Expts)</v>
      </c>
      <c r="M172" s="26"/>
      <c r="N172" s="26"/>
      <c r="O172" s="26"/>
    </row>
    <row r="173" ht="13.2" spans="1:15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IFERROR(__xludf.DUMMYFUNCTION("""COMPUTED_VALUE"""),"CS1534")</f>
        <v>CS1534</v>
      </c>
      <c r="E173" s="26" t="str">
        <f>IFERROR(__xludf.DUMMYFUNCTION("""COMPUTED_VALUE"""),"19CS534")</f>
        <v>19CS534</v>
      </c>
      <c r="F173" s="27" t="str">
        <f>IFERROR(__xludf.DUMMYFUNCTION("""COMPUTED_VALUE"""),"Prevention Methodology for Cybersecurity")</f>
        <v>Prevention Methodology for Cybersecurity</v>
      </c>
      <c r="G173" s="26" t="str">
        <f>IFERROR(__xludf.DUMMYFUNCTION("""COMPUTED_VALUE"""),"-")</f>
        <v>-</v>
      </c>
      <c r="H173" s="26">
        <f>IFERROR(__xludf.DUMMYFUNCTION("""COMPUTED_VALUE"""),2)</f>
        <v>2</v>
      </c>
      <c r="I173" s="26">
        <f>IFERROR(__xludf.DUMMYFUNCTION("""COMPUTED_VALUE"""),1)</f>
        <v>1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IFERROR(__xludf.DUMMYFUNCTION("""COMPUTED_VALUE"""),"TIP (6 Expts)")</f>
        <v>TIP (6 Expts)</v>
      </c>
      <c r="M173" s="26"/>
      <c r="N173" s="26"/>
      <c r="O173" s="26"/>
    </row>
    <row r="174" ht="13.2" spans="1:15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IFERROR(__xludf.DUMMYFUNCTION("""COMPUTED_VALUE"""),"CS1535")</f>
        <v>CS1535</v>
      </c>
      <c r="E174" s="26" t="str">
        <f>IFERROR(__xludf.DUMMYFUNCTION("""COMPUTED_VALUE"""),"19CS535")</f>
        <v>19CS535</v>
      </c>
      <c r="F174" s="27" t="str">
        <f>IFERROR(__xludf.DUMMYFUNCTION("""COMPUTED_VALUE"""),"Trusted Network Systems")</f>
        <v>Trusted Network Systems</v>
      </c>
      <c r="G174" s="26" t="str">
        <f>IFERROR(__xludf.DUMMYFUNCTION("""COMPUTED_VALUE"""),"-")</f>
        <v>-</v>
      </c>
      <c r="H174" s="26">
        <f>IFERROR(__xludf.DUMMYFUNCTION("""COMPUTED_VALUE"""),3)</f>
        <v>3</v>
      </c>
      <c r="I174" s="26">
        <f>IFERROR(__xludf.DUMMYFUNCTION("""COMPUTED_VALUE"""),0)</f>
        <v>0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IFERROR(__xludf.DUMMYFUNCTION("""COMPUTED_VALUE"""),"Theory")</f>
        <v>Theory</v>
      </c>
      <c r="M174" s="26"/>
      <c r="N174" s="26"/>
      <c r="O174" s="26"/>
    </row>
    <row r="175" ht="13.2" spans="1:15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IFERROR(__xludf.DUMMYFUNCTION("""COMPUTED_VALUE"""),"CS1536")</f>
        <v>CS1536</v>
      </c>
      <c r="E175" s="26" t="str">
        <f>IFERROR(__xludf.DUMMYFUNCTION("""COMPUTED_VALUE"""),"19CS536")</f>
        <v>19CS536</v>
      </c>
      <c r="F175" s="27" t="str">
        <f>IFERROR(__xludf.DUMMYFUNCTION("""COMPUTED_VALUE"""),"Firewalls and Intrusion Detection System")</f>
        <v>Firewalls and Intrusion Detection System</v>
      </c>
      <c r="G175" s="26" t="str">
        <f>IFERROR(__xludf.DUMMYFUNCTION("""COMPUTED_VALUE"""),"-")</f>
        <v>-</v>
      </c>
      <c r="H175" s="26">
        <f>IFERROR(__xludf.DUMMYFUNCTION("""COMPUTED_VALUE"""),2)</f>
        <v>2</v>
      </c>
      <c r="I175" s="26">
        <f>IFERROR(__xludf.DUMMYFUNCTION("""COMPUTED_VALUE"""),1)</f>
        <v>1</v>
      </c>
      <c r="J175" s="26">
        <f>IFERROR(__xludf.DUMMYFUNCTION("""COMPUTED_VALUE"""),3)</f>
        <v>3</v>
      </c>
      <c r="K175" s="26" t="str">
        <f>IFERROR(__xludf.DUMMYFUNCTION("""COMPUTED_VALUE"""),"CGPA")</f>
        <v>CGPA</v>
      </c>
      <c r="L175" s="26" t="str">
        <f>IFERROR(__xludf.DUMMYFUNCTION("""COMPUTED_VALUE"""),"TIP (6 Expts)")</f>
        <v>TIP (6 Expts)</v>
      </c>
      <c r="M175" s="26"/>
      <c r="N175" s="26"/>
      <c r="O175" s="26"/>
    </row>
    <row r="176" ht="13.2" spans="1:15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IFERROR(__xludf.DUMMYFUNCTION("""COMPUTED_VALUE"""),"CS1537")</f>
        <v>CS1537</v>
      </c>
      <c r="E176" s="26" t="str">
        <f>IFERROR(__xludf.DUMMYFUNCTION("""COMPUTED_VALUE"""),"19CS537")</f>
        <v>19CS537</v>
      </c>
      <c r="F176" s="27" t="str">
        <f>IFERROR(__xludf.DUMMYFUNCTION("""COMPUTED_VALUE"""),"Secure Software Engineering")</f>
        <v>Secure Software Engineering</v>
      </c>
      <c r="G176" s="26" t="str">
        <f>IFERROR(__xludf.DUMMYFUNCTION("""COMPUTED_VALUE"""),"-")</f>
        <v>-</v>
      </c>
      <c r="H176" s="26">
        <f>IFERROR(__xludf.DUMMYFUNCTION("""COMPUTED_VALUE"""),2)</f>
        <v>2</v>
      </c>
      <c r="I176" s="26">
        <f>IFERROR(__xludf.DUMMYFUNCTION("""COMPUTED_VALUE"""),1)</f>
        <v>1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IFERROR(__xludf.DUMMYFUNCTION("""COMPUTED_VALUE"""),"TIP (6 Expts)")</f>
        <v>TIP (6 Expts)</v>
      </c>
      <c r="M176" s="26"/>
      <c r="N176" s="26"/>
      <c r="O176" s="26"/>
    </row>
    <row r="177" ht="13.2" spans="1:15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IFERROR(__xludf.DUMMYFUNCTION("""COMPUTED_VALUE"""),"CS1538")</f>
        <v>CS1538</v>
      </c>
      <c r="E177" s="26" t="str">
        <f>IFERROR(__xludf.DUMMYFUNCTION("""COMPUTED_VALUE"""),"19CS538")</f>
        <v>19CS538</v>
      </c>
      <c r="F177" s="27" t="str">
        <f>IFERROR(__xludf.DUMMYFUNCTION("""COMPUTED_VALUE"""),"System Security")</f>
        <v>System Security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</row>
    <row r="178" ht="13.2" spans="1:15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IFERROR(__xludf.DUMMYFUNCTION("""COMPUTED_VALUE"""),"CS1539")</f>
        <v>CS1539</v>
      </c>
      <c r="E178" s="26" t="str">
        <f>IFERROR(__xludf.DUMMYFUNCTION("""COMPUTED_VALUE"""),"19CS539")</f>
        <v>19CS539</v>
      </c>
      <c r="F178" s="27" t="str">
        <f>IFERROR(__xludf.DUMMYFUNCTION("""COMPUTED_VALUE"""),"Hardware Security")</f>
        <v>Hardware Security</v>
      </c>
      <c r="G178" s="26" t="str">
        <f>IFERROR(__xludf.DUMMYFUNCTION("""COMPUTED_VALUE"""),"-")</f>
        <v>-</v>
      </c>
      <c r="H178" s="26">
        <f>IFERROR(__xludf.DUMMYFUNCTION("""COMPUTED_VALUE"""),3)</f>
        <v>3</v>
      </c>
      <c r="I178" s="26">
        <f>IFERROR(__xludf.DUMMYFUNCTION("""COMPUTED_VALUE"""),0)</f>
        <v>0</v>
      </c>
      <c r="J178" s="26">
        <f>IFERROR(__xludf.DUMMYFUNCTION("""COMPUTED_VALUE"""),3)</f>
        <v>3</v>
      </c>
      <c r="K178" s="26" t="str">
        <f>IFERROR(__xludf.DUMMYFUNCTION("""COMPUTED_VALUE"""),"CGPA")</f>
        <v>CGPA</v>
      </c>
      <c r="L178" s="26" t="str">
        <f>IFERROR(__xludf.DUMMYFUNCTION("""COMPUTED_VALUE"""),"Theory")</f>
        <v>Theory</v>
      </c>
      <c r="M178" s="26"/>
      <c r="N178" s="26"/>
      <c r="O178" s="26"/>
    </row>
    <row r="179" ht="13.2" spans="1:15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IFERROR(__xludf.DUMMYFUNCTION("""COMPUTED_VALUE"""),"CS1540")</f>
        <v>CS1540</v>
      </c>
      <c r="E179" s="26" t="str">
        <f>IFERROR(__xludf.DUMMYFUNCTION("""COMPUTED_VALUE"""),"19CS540")</f>
        <v>19CS540</v>
      </c>
      <c r="F179" s="27" t="str">
        <f>IFERROR(__xludf.DUMMYFUNCTION("""COMPUTED_VALUE"""),"Fog Computing")</f>
        <v>Fog Computing</v>
      </c>
      <c r="G179" s="26" t="str">
        <f>IFERROR(__xludf.DUMMYFUNCTION("""COMPUTED_VALUE"""),"-")</f>
        <v>-</v>
      </c>
      <c r="H179" s="26">
        <f>IFERROR(__xludf.DUMMYFUNCTION("""COMPUTED_VALUE"""),3)</f>
        <v>3</v>
      </c>
      <c r="I179" s="26">
        <f>IFERROR(__xludf.DUMMYFUNCTION("""COMPUTED_VALUE"""),0)</f>
        <v>0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IFERROR(__xludf.DUMMYFUNCTION("""COMPUTED_VALUE"""),"Theory")</f>
        <v>Theory</v>
      </c>
      <c r="M179" s="26"/>
      <c r="N179" s="26"/>
      <c r="O179" s="26"/>
    </row>
    <row r="180" ht="13.2" spans="1:15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IFERROR(__xludf.DUMMYFUNCTION("""COMPUTED_VALUE"""),"CS4506")</f>
        <v>CS4506</v>
      </c>
      <c r="E180" s="26" t="str">
        <f>IFERROR(__xludf.DUMMYFUNCTION("""COMPUTED_VALUE"""),"19AM506")</f>
        <v>19AM506</v>
      </c>
      <c r="F180" s="27" t="str">
        <f>IFERROR(__xludf.DUMMYFUNCTION("""COMPUTED_VALUE"""),"Sensors and Actuators for IoT")</f>
        <v>Sensors and Actuators for IoT</v>
      </c>
      <c r="G180" s="26" t="str">
        <f>IFERROR(__xludf.DUMMYFUNCTION("""COMPUTED_VALUE"""),"-")</f>
        <v>-</v>
      </c>
      <c r="H180" s="26">
        <f>IFERROR(__xludf.DUMMYFUNCTION("""COMPUTED_VALUE"""),2)</f>
        <v>2</v>
      </c>
      <c r="I180" s="26">
        <f>IFERROR(__xludf.DUMMYFUNCTION("""COMPUTED_VALUE"""),1)</f>
        <v>1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IFERROR(__xludf.DUMMYFUNCTION("""COMPUTED_VALUE"""),"TIP (6 Expts)")</f>
        <v>TIP (6 Expts)</v>
      </c>
      <c r="M180" s="26"/>
      <c r="N180" s="26"/>
      <c r="O180" s="26"/>
    </row>
    <row r="181" ht="13.2" spans="1:15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IFERROR(__xludf.DUMMYFUNCTION("""COMPUTED_VALUE"""),"CS1542")</f>
        <v>CS1542</v>
      </c>
      <c r="E181" s="26" t="str">
        <f>IFERROR(__xludf.DUMMYFUNCTION("""COMPUTED_VALUE"""),"19CS542")</f>
        <v>19CS542</v>
      </c>
      <c r="F181" s="27" t="str">
        <f>IFERROR(__xludf.DUMMYFUNCTION("""COMPUTED_VALUE"""),"Embedded Board Design")</f>
        <v>Embedded Board Design</v>
      </c>
      <c r="G181" s="26" t="str">
        <f>IFERROR(__xludf.DUMMYFUNCTION("""COMPUTED_VALUE"""),"-")</f>
        <v>-</v>
      </c>
      <c r="H181" s="26">
        <f>IFERROR(__xludf.DUMMYFUNCTION("""COMPUTED_VALUE"""),2)</f>
        <v>2</v>
      </c>
      <c r="I181" s="26">
        <f>IFERROR(__xludf.DUMMYFUNCTION("""COMPUTED_VALUE"""),1)</f>
        <v>1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IFERROR(__xludf.DUMMYFUNCTION("""COMPUTED_VALUE"""),"TIP (6 Expts)")</f>
        <v>TIP (6 Expts)</v>
      </c>
      <c r="M181" s="26"/>
      <c r="N181" s="26"/>
      <c r="O181" s="26"/>
    </row>
    <row r="182" ht="13.2" spans="1:15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IFERROR(__xludf.DUMMYFUNCTION("""COMPUTED_VALUE"""),"CS1543")</f>
        <v>CS1543</v>
      </c>
      <c r="E182" s="26" t="str">
        <f>IFERROR(__xludf.DUMMYFUNCTION("""COMPUTED_VALUE"""),"19CS543")</f>
        <v>19CS543</v>
      </c>
      <c r="F182" s="27" t="str">
        <f>IFERROR(__xludf.DUMMYFUNCTION("""COMPUTED_VALUE"""),"Embedded Board Manufacturing")</f>
        <v>Embedded Board Manufacturing</v>
      </c>
      <c r="G182" s="26" t="str">
        <f>IFERROR(__xludf.DUMMYFUNCTION("""COMPUTED_VALUE"""),"-")</f>
        <v>-</v>
      </c>
      <c r="H182" s="26">
        <f>IFERROR(__xludf.DUMMYFUNCTION("""COMPUTED_VALUE"""),2)</f>
        <v>2</v>
      </c>
      <c r="I182" s="26">
        <f>IFERROR(__xludf.DUMMYFUNCTION("""COMPUTED_VALUE"""),1)</f>
        <v>1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IFERROR(__xludf.DUMMYFUNCTION("""COMPUTED_VALUE"""),"TIP (6 Expts)")</f>
        <v>TIP (6 Expts)</v>
      </c>
      <c r="M182" s="26"/>
      <c r="N182" s="26"/>
      <c r="O182" s="26"/>
    </row>
    <row r="183" ht="13.2" spans="1:15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IFERROR(__xludf.DUMMYFUNCTION("""COMPUTED_VALUE"""),"CS1544")</f>
        <v>CS1544</v>
      </c>
      <c r="E183" s="26" t="str">
        <f>IFERROR(__xludf.DUMMYFUNCTION("""COMPUTED_VALUE"""),"19CS544")</f>
        <v>19CS544</v>
      </c>
      <c r="F183" s="27" t="str">
        <f>IFERROR(__xludf.DUMMYFUNCTION("""COMPUTED_VALUE"""),"Realtime Operating System")</f>
        <v>Realtime Operating System</v>
      </c>
      <c r="G183" s="26" t="str">
        <f>IFERROR(__xludf.DUMMYFUNCTION("""COMPUTED_VALUE"""),"-")</f>
        <v>-</v>
      </c>
      <c r="H183" s="26">
        <f>IFERROR(__xludf.DUMMYFUNCTION("""COMPUTED_VALUE"""),2)</f>
        <v>2</v>
      </c>
      <c r="I183" s="26">
        <f>IFERROR(__xludf.DUMMYFUNCTION("""COMPUTED_VALUE"""),1)</f>
        <v>1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IFERROR(__xludf.DUMMYFUNCTION("""COMPUTED_VALUE"""),"TIP (6 Expts)")</f>
        <v>TIP (6 Expts)</v>
      </c>
      <c r="M183" s="26"/>
      <c r="N183" s="26"/>
      <c r="O183" s="26"/>
    </row>
    <row r="184" ht="13.2" spans="1:15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IFERROR(__xludf.DUMMYFUNCTION("""COMPUTED_VALUE"""),"CS1545")</f>
        <v>CS1545</v>
      </c>
      <c r="E184" s="26" t="str">
        <f>IFERROR(__xludf.DUMMYFUNCTION("""COMPUTED_VALUE"""),"19CS545")</f>
        <v>19CS545</v>
      </c>
      <c r="F184" s="27" t="str">
        <f>IFERROR(__xludf.DUMMYFUNCTION("""COMPUTED_VALUE"""),"Open Source Operating System")</f>
        <v>Open Source Operating System</v>
      </c>
      <c r="G184" s="26" t="str">
        <f>IFERROR(__xludf.DUMMYFUNCTION("""COMPUTED_VALUE"""),"-")</f>
        <v>-</v>
      </c>
      <c r="H184" s="26">
        <f>IFERROR(__xludf.DUMMYFUNCTION("""COMPUTED_VALUE"""),2)</f>
        <v>2</v>
      </c>
      <c r="I184" s="26">
        <f>IFERROR(__xludf.DUMMYFUNCTION("""COMPUTED_VALUE"""),1)</f>
        <v>1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IFERROR(__xludf.DUMMYFUNCTION("""COMPUTED_VALUE"""),"TIP (6 Expts)")</f>
        <v>TIP (6 Expts)</v>
      </c>
      <c r="M184" s="26"/>
      <c r="N184" s="26"/>
      <c r="O184" s="26"/>
    </row>
    <row r="185" ht="13.2" spans="1:15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IFERROR(__xludf.DUMMYFUNCTION("""COMPUTED_VALUE"""),"CS1546")</f>
        <v>CS1546</v>
      </c>
      <c r="E185" s="26" t="str">
        <f>IFERROR(__xludf.DUMMYFUNCTION("""COMPUTED_VALUE"""),"19CS546")</f>
        <v>19CS546</v>
      </c>
      <c r="F185" s="27" t="str">
        <f>IFERROR(__xludf.DUMMYFUNCTION("""COMPUTED_VALUE"""),"Kernel Programming")</f>
        <v>Kernel Programming</v>
      </c>
      <c r="G185" s="26" t="str">
        <f>IFERROR(__xludf.DUMMYFUNCTION("""COMPUTED_VALUE"""),"-")</f>
        <v>-</v>
      </c>
      <c r="H185" s="26">
        <f>IFERROR(__xludf.DUMMYFUNCTION("""COMPUTED_VALUE"""),2)</f>
        <v>2</v>
      </c>
      <c r="I185" s="26">
        <f>IFERROR(__xludf.DUMMYFUNCTION("""COMPUTED_VALUE"""),1)</f>
        <v>1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IFERROR(__xludf.DUMMYFUNCTION("""COMPUTED_VALUE"""),"TIP (6 Expts)")</f>
        <v>TIP (6 Expts)</v>
      </c>
      <c r="M185" s="26"/>
      <c r="N185" s="26"/>
      <c r="O185" s="26"/>
    </row>
    <row r="186" ht="13.2" spans="1:15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IFERROR(__xludf.DUMMYFUNCTION("""COMPUTED_VALUE"""),"CS1547")</f>
        <v>CS1547</v>
      </c>
      <c r="E186" s="26" t="str">
        <f>IFERROR(__xludf.DUMMYFUNCTION("""COMPUTED_VALUE"""),"19CS547")</f>
        <v>19CS547</v>
      </c>
      <c r="F186" s="27" t="str">
        <f>IFERROR(__xludf.DUMMYFUNCTION("""COMPUTED_VALUE"""),"Fundamentals of Cryptocurrency")</f>
        <v>Fundamentals of Cryptocurrency</v>
      </c>
      <c r="G186" s="26" t="str">
        <f>IFERROR(__xludf.DUMMYFUNCTION("""COMPUTED_VALUE"""),"-")</f>
        <v>-</v>
      </c>
      <c r="H186" s="26">
        <f>IFERROR(__xludf.DUMMYFUNCTION("""COMPUTED_VALUE"""),3)</f>
        <v>3</v>
      </c>
      <c r="I186" s="26">
        <f>IFERROR(__xludf.DUMMYFUNCTION("""COMPUTED_VALUE"""),0)</f>
        <v>0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IFERROR(__xludf.DUMMYFUNCTION("""COMPUTED_VALUE"""),"Theory")</f>
        <v>Theory</v>
      </c>
      <c r="M186" s="26"/>
      <c r="N186" s="26"/>
      <c r="O186" s="26"/>
    </row>
    <row r="187" ht="13.2" spans="1:15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IFERROR(__xludf.DUMMYFUNCTION("""COMPUTED_VALUE"""),"CS1548")</f>
        <v>CS1548</v>
      </c>
      <c r="E187" s="26" t="str">
        <f>IFERROR(__xludf.DUMMYFUNCTION("""COMPUTED_VALUE"""),"19CS548")</f>
        <v>19CS548</v>
      </c>
      <c r="F187" s="27" t="str">
        <f>IFERROR(__xludf.DUMMYFUNCTION("""COMPUTED_VALUE"""),"Cloud Services Management")</f>
        <v>Cloud Services Management</v>
      </c>
      <c r="G187" s="26" t="str">
        <f>IFERROR(__xludf.DUMMYFUNCTION("""COMPUTED_VALUE"""),"-")</f>
        <v>-</v>
      </c>
      <c r="H187" s="26">
        <f>IFERROR(__xludf.DUMMYFUNCTION("""COMPUTED_VALUE"""),2)</f>
        <v>2</v>
      </c>
      <c r="I187" s="26">
        <f>IFERROR(__xludf.DUMMYFUNCTION("""COMPUTED_VALUE"""),1)</f>
        <v>1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IFERROR(__xludf.DUMMYFUNCTION("""COMPUTED_VALUE"""),"TIP (6 Expts)")</f>
        <v>TIP (6 Expts)</v>
      </c>
      <c r="M187" s="26"/>
      <c r="N187" s="26"/>
      <c r="O187" s="26"/>
    </row>
    <row r="188" ht="13.2" spans="1:15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IFERROR(__xludf.DUMMYFUNCTION("""COMPUTED_VALUE"""),"CS1549")</f>
        <v>CS1549</v>
      </c>
      <c r="E188" s="26" t="str">
        <f>IFERROR(__xludf.DUMMYFUNCTION("""COMPUTED_VALUE"""),"19CS549")</f>
        <v>19CS549</v>
      </c>
      <c r="F188" s="27" t="str">
        <f>IFERROR(__xludf.DUMMYFUNCTION("""COMPUTED_VALUE"""),"UI and UX Design")</f>
        <v>UI and UX Design</v>
      </c>
      <c r="G188" s="26" t="str">
        <f>IFERROR(__xludf.DUMMYFUNCTION("""COMPUTED_VALUE"""),"-")</f>
        <v>-</v>
      </c>
      <c r="H188" s="26">
        <f>IFERROR(__xludf.DUMMYFUNCTION("""COMPUTED_VALUE"""),2)</f>
        <v>2</v>
      </c>
      <c r="I188" s="26">
        <f>IFERROR(__xludf.DUMMYFUNCTION("""COMPUTED_VALUE"""),1)</f>
        <v>1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</row>
    <row r="189" ht="13.2" spans="1:15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IFERROR(__xludf.DUMMYFUNCTION("""COMPUTED_VALUE"""),"CS1550")</f>
        <v>CS1550</v>
      </c>
      <c r="E189" s="26" t="str">
        <f>IFERROR(__xludf.DUMMYFUNCTION("""COMPUTED_VALUE"""),"19CS550")</f>
        <v>19CS550</v>
      </c>
      <c r="F189" s="26" t="str">
        <f>IFERROR(__xludf.DUMMYFUNCTION("""COMPUTED_VALUE"""),"AI and Ethics")</f>
        <v>AI and Ethics</v>
      </c>
      <c r="G189" s="26" t="str">
        <f>IFERROR(__xludf.DUMMYFUNCTION("""COMPUTED_VALUE"""),"-")</f>
        <v>-</v>
      </c>
      <c r="H189" s="26">
        <f>IFERROR(__xludf.DUMMYFUNCTION("""COMPUTED_VALUE"""),3)</f>
        <v>3</v>
      </c>
      <c r="I189" s="26">
        <f>IFERROR(__xludf.DUMMYFUNCTION("""COMPUTED_VALUE"""),0)</f>
        <v>0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IFERROR(__xludf.DUMMYFUNCTION("""COMPUTED_VALUE"""),"Theory")</f>
        <v>Theory</v>
      </c>
      <c r="M189" s="26"/>
      <c r="N189" s="26"/>
      <c r="O189" s="26"/>
    </row>
    <row r="190" ht="13.2" spans="1:15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IFERROR(__xludf.DUMMYFUNCTION("""COMPUTED_VALUE"""),"CS1551")</f>
        <v>CS1551</v>
      </c>
      <c r="E190" s="26" t="str">
        <f>IFERROR(__xludf.DUMMYFUNCTION("""COMPUTED_VALUE"""),"19CS551")</f>
        <v>19CS551</v>
      </c>
      <c r="F190" s="27" t="str">
        <f>IFERROR(__xludf.DUMMYFUNCTION("""COMPUTED_VALUE"""),"Software Testing and Automation")</f>
        <v>Software Testing and Automation</v>
      </c>
      <c r="G190" s="26" t="str">
        <f>IFERROR(__xludf.DUMMYFUNCTION("""COMPUTED_VALUE"""),"-")</f>
        <v>-</v>
      </c>
      <c r="H190" s="26">
        <f>IFERROR(__xludf.DUMMYFUNCTION("""COMPUTED_VALUE"""),2)</f>
        <v>2</v>
      </c>
      <c r="I190" s="26">
        <f>IFERROR(__xludf.DUMMYFUNCTION("""COMPUTED_VALUE"""),1)</f>
        <v>1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IFERROR(__xludf.DUMMYFUNCTION("""COMPUTED_VALUE"""),"TIP (6 Expts)")</f>
        <v>TIP (6 Expts)</v>
      </c>
      <c r="M190" s="26"/>
      <c r="N190" s="26"/>
      <c r="O190" s="26"/>
    </row>
    <row r="191" ht="13.2" spans="1:15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IFERROR(__xludf.DUMMYFUNCTION("""COMPUTED_VALUE"""),"CS1552")</f>
        <v>CS1552</v>
      </c>
      <c r="E191" s="26" t="str">
        <f>IFERROR(__xludf.DUMMYFUNCTION("""COMPUTED_VALUE"""),"19CS552")</f>
        <v>19CS552</v>
      </c>
      <c r="F191" s="27" t="str">
        <f>IFERROR(__xludf.DUMMYFUNCTION("""COMPUTED_VALUE"""),"DevOps")</f>
        <v>DevOps</v>
      </c>
      <c r="G191" s="26" t="str">
        <f>IFERROR(__xludf.DUMMYFUNCTION("""COMPUTED_VALUE"""),"-")</f>
        <v>-</v>
      </c>
      <c r="H191" s="26">
        <f>IFERROR(__xludf.DUMMYFUNCTION("""COMPUTED_VALUE"""),2)</f>
        <v>2</v>
      </c>
      <c r="I191" s="26">
        <f>IFERROR(__xludf.DUMMYFUNCTION("""COMPUTED_VALUE"""),1)</f>
        <v>1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IFERROR(__xludf.DUMMYFUNCTION("""COMPUTED_VALUE"""),"TIP (6 Expts)")</f>
        <v>TIP (6 Expts)</v>
      </c>
      <c r="M191" s="26"/>
      <c r="N191" s="26"/>
      <c r="O191" s="26"/>
    </row>
    <row r="192" ht="13.2" spans="1:15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IFERROR(__xludf.DUMMYFUNCTION("""COMPUTED_VALUE"""),"CS1553")</f>
        <v>CS1553</v>
      </c>
      <c r="E192" s="26" t="str">
        <f>IFERROR(__xludf.DUMMYFUNCTION("""COMPUTED_VALUE"""),"19CS553")</f>
        <v>19CS553</v>
      </c>
      <c r="F192" s="27" t="str">
        <f>IFERROR(__xludf.DUMMYFUNCTION("""COMPUTED_VALUE"""),"Web Application Security")</f>
        <v>Web Application Security</v>
      </c>
      <c r="G192" s="26" t="str">
        <f>IFERROR(__xludf.DUMMYFUNCTION("""COMPUTED_VALUE"""),"-")</f>
        <v>-</v>
      </c>
      <c r="H192" s="26">
        <f>IFERROR(__xludf.DUMMYFUNCTION("""COMPUTED_VALUE"""),2)</f>
        <v>2</v>
      </c>
      <c r="I192" s="26">
        <f>IFERROR(__xludf.DUMMYFUNCTION("""COMPUTED_VALUE"""),1)</f>
        <v>1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IFERROR(__xludf.DUMMYFUNCTION("""COMPUTED_VALUE"""),"TIP (6 Expts)")</f>
        <v>TIP (6 Expts)</v>
      </c>
      <c r="M192" s="26"/>
      <c r="N192" s="26"/>
      <c r="O192" s="26"/>
    </row>
    <row r="193" ht="13.2" spans="1:15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IFERROR(__xludf.DUMMYFUNCTION("""COMPUTED_VALUE"""),"CS1554")</f>
        <v>CS1554</v>
      </c>
      <c r="E193" s="26" t="str">
        <f>IFERROR(__xludf.DUMMYFUNCTION("""COMPUTED_VALUE"""),"19CS554")</f>
        <v>19CS554</v>
      </c>
      <c r="F193" s="26" t="str">
        <f>IFERROR(__xludf.DUMMYFUNCTION("""COMPUTED_VALUE"""),"Stream Processing")</f>
        <v>Stream Processing</v>
      </c>
      <c r="G193" s="26" t="str">
        <f>IFERROR(__xludf.DUMMYFUNCTION("""COMPUTED_VALUE"""),"-")</f>
        <v>-</v>
      </c>
      <c r="H193" s="26">
        <f>IFERROR(__xludf.DUMMYFUNCTION("""COMPUTED_VALUE"""),2)</f>
        <v>2</v>
      </c>
      <c r="I193" s="26">
        <f>IFERROR(__xludf.DUMMYFUNCTION("""COMPUTED_VALUE"""),1)</f>
        <v>1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</row>
    <row r="194" ht="13.2" spans="1:15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IFERROR(__xludf.DUMMYFUNCTION("""COMPUTED_VALUE"""),"CS1557")</f>
        <v>CS1557</v>
      </c>
      <c r="E194" s="26" t="str">
        <f>IFERROR(__xludf.DUMMYFUNCTION("""COMPUTED_VALUE"""),"19CS557")</f>
        <v>19CS557</v>
      </c>
      <c r="F194" s="26" t="str">
        <f>IFERROR(__xludf.DUMMYFUNCTION("""COMPUTED_VALUE"""),"Software Defined Networks")</f>
        <v>Software Defined Networks</v>
      </c>
      <c r="G194" s="26" t="str">
        <f>IFERROR(__xludf.DUMMYFUNCTION("""COMPUTED_VALUE"""),"-")</f>
        <v>-</v>
      </c>
      <c r="H194" s="26">
        <f>IFERROR(__xludf.DUMMYFUNCTION("""COMPUTED_VALUE"""),2)</f>
        <v>2</v>
      </c>
      <c r="I194" s="26">
        <f>IFERROR(__xludf.DUMMYFUNCTION("""COMPUTED_VALUE"""),1)</f>
        <v>1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</row>
    <row r="195" ht="13.2" spans="1:15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IFERROR(__xludf.DUMMYFUNCTION("""COMPUTED_VALUE"""),"CS1556")</f>
        <v>CS1556</v>
      </c>
      <c r="E195" s="26" t="str">
        <f>IFERROR(__xludf.DUMMYFUNCTION("""COMPUTED_VALUE"""),"19CS556")</f>
        <v>19CS556</v>
      </c>
      <c r="F195" s="27" t="str">
        <f>IFERROR(__xludf.DUMMYFUNCTION("""COMPUTED_VALUE"""),"Core Computing Concepts")</f>
        <v>Core Computing Concepts</v>
      </c>
      <c r="G195" s="26" t="str">
        <f>IFERROR(__xludf.DUMMYFUNCTION("""COMPUTED_VALUE"""),"-")</f>
        <v>-</v>
      </c>
      <c r="H195" s="26">
        <f>IFERROR(__xludf.DUMMYFUNCTION("""COMPUTED_VALUE"""),2)</f>
        <v>2</v>
      </c>
      <c r="I195" s="26">
        <f>IFERROR(__xludf.DUMMYFUNCTION("""COMPUTED_VALUE"""),1)</f>
        <v>1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IFERROR(__xludf.DUMMYFUNCTION("""COMPUTED_VALUE"""),"TIP (6 Expts)")</f>
        <v>TIP (6 Expts)</v>
      </c>
      <c r="M195" s="26"/>
      <c r="N195" s="26"/>
      <c r="O195" s="26"/>
    </row>
    <row r="196" ht="13.2" spans="1:15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IFERROR(__xludf.DUMMYFUNCTION("""COMPUTED_VALUE"""),"CS1558")</f>
        <v>CS1558</v>
      </c>
      <c r="E196" s="26" t="str">
        <f>IFERROR(__xludf.DUMMYFUNCTION("""COMPUTED_VALUE"""),"19CS558")</f>
        <v>19CS558</v>
      </c>
      <c r="F196" s="26" t="str">
        <f>IFERROR(__xludf.DUMMYFUNCTION("""COMPUTED_VALUE"""),"Data Privacy and Protection")</f>
        <v>Data Privacy and Protection</v>
      </c>
      <c r="G196" s="26" t="str">
        <f>IFERROR(__xludf.DUMMYFUNCTION("""COMPUTED_VALUE"""),"-")</f>
        <v>-</v>
      </c>
      <c r="H196" s="26">
        <f>IFERROR(__xludf.DUMMYFUNCTION("""COMPUTED_VALUE"""),2)</f>
        <v>2</v>
      </c>
      <c r="I196" s="26">
        <f>IFERROR(__xludf.DUMMYFUNCTION("""COMPUTED_VALUE"""),1)</f>
        <v>1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IFERROR(__xludf.DUMMYFUNCTION("""COMPUTED_VALUE"""),"TIP (6 Expts)")</f>
        <v>TIP (6 Expts)</v>
      </c>
      <c r="M196" s="26"/>
      <c r="N196" s="26"/>
      <c r="O196" s="26"/>
    </row>
    <row r="197" ht="13.2" spans="1:15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IFERROR(__xludf.DUMMYFUNCTION("""COMPUTED_VALUE"""),"CS1559")</f>
        <v>CS1559</v>
      </c>
      <c r="E197" s="26" t="str">
        <f>IFERROR(__xludf.DUMMYFUNCTION("""COMPUTED_VALUE"""),"19CS559")</f>
        <v>19CS559</v>
      </c>
      <c r="F197" s="26" t="str">
        <f>IFERROR(__xludf.DUMMYFUNCTION("""COMPUTED_VALUE"""),"Blockchain Platforms and Its Use Cases")</f>
        <v>Blockchain Platforms and Its Use Cases</v>
      </c>
      <c r="G197" s="26" t="str">
        <f>IFERROR(__xludf.DUMMYFUNCTION("""COMPUTED_VALUE"""),"-")</f>
        <v>-</v>
      </c>
      <c r="H197" s="26">
        <f>IFERROR(__xludf.DUMMYFUNCTION("""COMPUTED_VALUE"""),2)</f>
        <v>2</v>
      </c>
      <c r="I197" s="26">
        <f>IFERROR(__xludf.DUMMYFUNCTION("""COMPUTED_VALUE"""),1)</f>
        <v>1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IFERROR(__xludf.DUMMYFUNCTION("""COMPUTED_VALUE"""),"TIP (6 Expts)")</f>
        <v>TIP (6 Expts)</v>
      </c>
      <c r="M197" s="26"/>
      <c r="N197" s="26"/>
      <c r="O197" s="26"/>
    </row>
    <row r="198" ht="13.2" spans="1:15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IFERROR(__xludf.DUMMYFUNCTION("""COMPUTED_VALUE"""),"CS1560")</f>
        <v>CS1560</v>
      </c>
      <c r="E198" s="26" t="str">
        <f>IFERROR(__xludf.DUMMYFUNCTION("""COMPUTED_VALUE"""),"19CS560")</f>
        <v>19CS560</v>
      </c>
      <c r="F198" s="26" t="str">
        <f>IFERROR(__xludf.DUMMYFUNCTION("""COMPUTED_VALUE"""),"Smart Contract and Solidity")</f>
        <v>Smart Contract and Solidity</v>
      </c>
      <c r="G198" s="26" t="str">
        <f>IFERROR(__xludf.DUMMYFUNCTION("""COMPUTED_VALUE"""),"-")</f>
        <v>-</v>
      </c>
      <c r="H198" s="26">
        <f>IFERROR(__xludf.DUMMYFUNCTION("""COMPUTED_VALUE"""),2)</f>
        <v>2</v>
      </c>
      <c r="I198" s="26">
        <f>IFERROR(__xludf.DUMMYFUNCTION("""COMPUTED_VALUE"""),1)</f>
        <v>1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IFERROR(__xludf.DUMMYFUNCTION("""COMPUTED_VALUE"""),"TIP (6 Expts)")</f>
        <v>TIP (6 Expts)</v>
      </c>
      <c r="M198" s="26"/>
      <c r="N198" s="26"/>
      <c r="O198" s="26"/>
    </row>
    <row r="199" ht="13.2" spans="1:15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IFERROR(__xludf.DUMMYFUNCTION("""COMPUTED_VALUE"""),"CS1561")</f>
        <v>CS1561</v>
      </c>
      <c r="E199" s="26" t="str">
        <f>IFERROR(__xludf.DUMMYFUNCTION("""COMPUTED_VALUE"""),"19CS561")</f>
        <v>19CS561</v>
      </c>
      <c r="F199" s="26" t="str">
        <f>IFERROR(__xludf.DUMMYFUNCTION("""COMPUTED_VALUE"""),"Blockchain and Fintech")</f>
        <v>Blockchain and Fintech</v>
      </c>
      <c r="G199" s="26" t="str">
        <f>IFERROR(__xludf.DUMMYFUNCTION("""COMPUTED_VALUE"""),"-")</f>
        <v>-</v>
      </c>
      <c r="H199" s="26">
        <f>IFERROR(__xludf.DUMMYFUNCTION("""COMPUTED_VALUE"""),2)</f>
        <v>2</v>
      </c>
      <c r="I199" s="26">
        <f>IFERROR(__xludf.DUMMYFUNCTION("""COMPUTED_VALUE"""),1)</f>
        <v>1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IFERROR(__xludf.DUMMYFUNCTION("""COMPUTED_VALUE"""),"TIP (6 Expts)")</f>
        <v>TIP (6 Expts)</v>
      </c>
      <c r="M199" s="26"/>
      <c r="N199" s="26"/>
      <c r="O199" s="26"/>
    </row>
    <row r="200" ht="13.2" spans="1:15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IFERROR(__xludf.DUMMYFUNCTION("""COMPUTED_VALUE"""),"CS1562")</f>
        <v>CS1562</v>
      </c>
      <c r="E200" s="26" t="str">
        <f>IFERROR(__xludf.DUMMYFUNCTION("""COMPUTED_VALUE"""),"19CS562")</f>
        <v>19CS562</v>
      </c>
      <c r="F200" s="26" t="str">
        <f>IFERROR(__xludf.DUMMYFUNCTION("""COMPUTED_VALUE"""),"Public Key Infrastructure and Trust Management")</f>
        <v>Public Key Infrastructure and Trust Management</v>
      </c>
      <c r="G200" s="26" t="str">
        <f>IFERROR(__xludf.DUMMYFUNCTION("""COMPUTED_VALUE"""),"-")</f>
        <v>-</v>
      </c>
      <c r="H200" s="26">
        <f>IFERROR(__xludf.DUMMYFUNCTION("""COMPUTED_VALUE"""),2)</f>
        <v>2</v>
      </c>
      <c r="I200" s="26">
        <f>IFERROR(__xludf.DUMMYFUNCTION("""COMPUTED_VALUE"""),1)</f>
        <v>1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IFERROR(__xludf.DUMMYFUNCTION("""COMPUTED_VALUE"""),"TIP (6 Expts)")</f>
        <v>TIP (6 Expts)</v>
      </c>
      <c r="M200" s="26"/>
      <c r="N200" s="26"/>
      <c r="O200" s="26"/>
    </row>
    <row r="201" ht="13.2" spans="1:15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IFERROR(__xludf.DUMMYFUNCTION("""COMPUTED_VALUE"""),"CS1563")</f>
        <v>CS1563</v>
      </c>
      <c r="E201" s="26" t="str">
        <f>IFERROR(__xludf.DUMMYFUNCTION("""COMPUTED_VALUE"""),"19CS563")</f>
        <v>19CS563</v>
      </c>
      <c r="F201" s="26" t="str">
        <f>IFERROR(__xludf.DUMMYFUNCTION("""COMPUTED_VALUE"""),"Bitcoin Mining")</f>
        <v>Bitcoin Mining</v>
      </c>
      <c r="G201" s="26" t="str">
        <f>IFERROR(__xludf.DUMMYFUNCTION("""COMPUTED_VALUE"""),"-")</f>
        <v>-</v>
      </c>
      <c r="H201" s="26">
        <f>IFERROR(__xludf.DUMMYFUNCTION("""COMPUTED_VALUE"""),2)</f>
        <v>2</v>
      </c>
      <c r="I201" s="26">
        <f>IFERROR(__xludf.DUMMYFUNCTION("""COMPUTED_VALUE"""),1)</f>
        <v>1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IFERROR(__xludf.DUMMYFUNCTION("""COMPUTED_VALUE"""),"TIP (6 Expts)")</f>
        <v>TIP (6 Expts)</v>
      </c>
      <c r="M201" s="26"/>
      <c r="N201" s="26"/>
      <c r="O201" s="26"/>
    </row>
    <row r="202" ht="13.2" spans="1:15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IFERROR(__xludf.DUMMYFUNCTION("""COMPUTED_VALUE"""),"CS1565")</f>
        <v>CS1565</v>
      </c>
      <c r="E202" s="26" t="str">
        <f>IFERROR(__xludf.DUMMYFUNCTION("""COMPUTED_VALUE"""),"19CS565")</f>
        <v>19CS565</v>
      </c>
      <c r="F202" s="27" t="str">
        <f>IFERROR(__xludf.DUMMYFUNCTION("""COMPUTED_VALUE"""),"Robotic Process Automation")</f>
        <v>Robotic Process Automation</v>
      </c>
      <c r="G202" s="26" t="str">
        <f>IFERROR(__xludf.DUMMYFUNCTION("""COMPUTED_VALUE"""),"-")</f>
        <v>-</v>
      </c>
      <c r="H202" s="26">
        <f>IFERROR(__xludf.DUMMYFUNCTION("""COMPUTED_VALUE"""),2)</f>
        <v>2</v>
      </c>
      <c r="I202" s="26">
        <f>IFERROR(__xludf.DUMMYFUNCTION("""COMPUTED_VALUE"""),1)</f>
        <v>1</v>
      </c>
      <c r="J202" s="26">
        <f>IFERROR(__xludf.DUMMYFUNCTION("""COMPUTED_VALUE"""),3)</f>
        <v>3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</row>
    <row r="203" ht="13.2" spans="1:15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IFERROR(__xludf.DUMMYFUNCTION("""COMPUTED_VALUE"""),"CS1566")</f>
        <v>CS1566</v>
      </c>
      <c r="E203" s="26" t="str">
        <f>IFERROR(__xludf.DUMMYFUNCTION("""COMPUTED_VALUE"""),"19CS566")</f>
        <v>19CS566</v>
      </c>
      <c r="F203" s="27" t="str">
        <f>IFERROR(__xludf.DUMMYFUNCTION("""COMPUTED_VALUE"""),"Software Project Management and Version Control")</f>
        <v>Software Project Management and Version Control</v>
      </c>
      <c r="G203" s="26" t="str">
        <f>IFERROR(__xludf.DUMMYFUNCTION("""COMPUTED_VALUE"""),"-")</f>
        <v>-</v>
      </c>
      <c r="H203" s="26">
        <f>IFERROR(__xludf.DUMMYFUNCTION("""COMPUTED_VALUE"""),3)</f>
        <v>3</v>
      </c>
      <c r="I203" s="26">
        <f>IFERROR(__xludf.DUMMYFUNCTION("""COMPUTED_VALUE"""),0)</f>
        <v>0</v>
      </c>
      <c r="J203" s="26">
        <f>IFERROR(__xludf.DUMMYFUNCTION("""COMPUTED_VALUE"""),3)</f>
        <v>3</v>
      </c>
      <c r="K203" s="26" t="str">
        <f>IFERROR(__xludf.DUMMYFUNCTION("""COMPUTED_VALUE"""),"CGPA")</f>
        <v>CGPA</v>
      </c>
      <c r="L203" s="26" t="str">
        <f>IFERROR(__xludf.DUMMYFUNCTION("""COMPUTED_VALUE"""),"Theory")</f>
        <v>Theory</v>
      </c>
      <c r="M203" s="26"/>
      <c r="N203" s="26"/>
      <c r="O203" s="26"/>
    </row>
    <row r="204" ht="13.2" spans="1:15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IFERROR(__xludf.DUMMYFUNCTION("""COMPUTED_VALUE"""),"CS1579")</f>
        <v>CS1579</v>
      </c>
      <c r="E204" s="26" t="str">
        <f>IFERROR(__xludf.DUMMYFUNCTION("""COMPUTED_VALUE"""),"19CS579")</f>
        <v>19CS579</v>
      </c>
      <c r="F204" s="27" t="str">
        <f>IFERROR(__xludf.DUMMYFUNCTION("""COMPUTED_VALUE"""),"Generative AI Application Development")</f>
        <v>Generative AI Application Development</v>
      </c>
      <c r="G204" s="26" t="str">
        <f>IFERROR(__xludf.DUMMYFUNCTION("""COMPUTED_VALUE"""),"-")</f>
        <v>-</v>
      </c>
      <c r="H204" s="26">
        <f>IFERROR(__xludf.DUMMYFUNCTION("""COMPUTED_VALUE"""),2)</f>
        <v>2</v>
      </c>
      <c r="I204" s="26">
        <f>IFERROR(__xludf.DUMMYFUNCTION("""COMPUTED_VALUE"""),1)</f>
        <v>1</v>
      </c>
      <c r="J204" s="26">
        <f>IFERROR(__xludf.DUMMYFUNCTION("""COMPUTED_VALUE"""),3)</f>
        <v>3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</row>
    <row r="205" ht="13.2" spans="1:15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IFERROR(__xludf.DUMMYFUNCTION("""COMPUTED_VALUE"""),"CS1568")</f>
        <v>CS1568</v>
      </c>
      <c r="E205" s="26" t="str">
        <f>IFERROR(__xludf.DUMMYFUNCTION("""COMPUTED_VALUE"""),"19CS568")</f>
        <v>19CS568</v>
      </c>
      <c r="F205" s="27" t="str">
        <f>IFERROR(__xludf.DUMMYFUNCTION("""COMPUTED_VALUE"""),"Fine Tuning Large Language Models")</f>
        <v>Fine Tuning Large Language Models</v>
      </c>
      <c r="G205" s="26" t="str">
        <f>IFERROR(__xludf.DUMMYFUNCTION("""COMPUTED_VALUE"""),"-")</f>
        <v>-</v>
      </c>
      <c r="H205" s="26">
        <f>IFERROR(__xludf.DUMMYFUNCTION("""COMPUTED_VALUE"""),3)</f>
        <v>3</v>
      </c>
      <c r="I205" s="26">
        <f>IFERROR(__xludf.DUMMYFUNCTION("""COMPUTED_VALUE"""),0)</f>
        <v>0</v>
      </c>
      <c r="J205" s="26">
        <f>IFERROR(__xludf.DUMMYFUNCTION("""COMPUTED_VALUE"""),3)</f>
        <v>3</v>
      </c>
      <c r="K205" s="26" t="str">
        <f>IFERROR(__xludf.DUMMYFUNCTION("""COMPUTED_VALUE"""),"CGPA")</f>
        <v>CGPA</v>
      </c>
      <c r="L205" s="26" t="str">
        <f>IFERROR(__xludf.DUMMYFUNCTION("""COMPUTED_VALUE"""),"Theory")</f>
        <v>Theory</v>
      </c>
      <c r="M205" s="26"/>
      <c r="N205" s="26"/>
      <c r="O205" s="26"/>
    </row>
    <row r="206" ht="13.2" spans="1:15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IFERROR(__xludf.DUMMYFUNCTION("""COMPUTED_VALUE"""),"CS1569")</f>
        <v>CS1569</v>
      </c>
      <c r="E206" s="26" t="str">
        <f>IFERROR(__xludf.DUMMYFUNCTION("""COMPUTED_VALUE"""),"19CS569")</f>
        <v>19CS569</v>
      </c>
      <c r="F206" s="27" t="str">
        <f>IFERROR(__xludf.DUMMYFUNCTION("""COMPUTED_VALUE"""),"Applied Data Science")</f>
        <v>Applied Data Science</v>
      </c>
      <c r="G206" s="26" t="str">
        <f>IFERROR(__xludf.DUMMYFUNCTION("""COMPUTED_VALUE"""),"-")</f>
        <v>-</v>
      </c>
      <c r="H206" s="26">
        <f>IFERROR(__xludf.DUMMYFUNCTION("""COMPUTED_VALUE"""),2)</f>
        <v>2</v>
      </c>
      <c r="I206" s="26">
        <f>IFERROR(__xludf.DUMMYFUNCTION("""COMPUTED_VALUE"""),1)</f>
        <v>1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IFERROR(__xludf.DUMMYFUNCTION("""COMPUTED_VALUE"""),"TIP (6 Expts)")</f>
        <v>TIP (6 Expts)</v>
      </c>
      <c r="M206" s="26"/>
      <c r="N206" s="26"/>
      <c r="O206" s="26"/>
    </row>
    <row r="207" ht="13.2" spans="1:15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IFERROR(__xludf.DUMMYFUNCTION("""COMPUTED_VALUE"""),"CS1570")</f>
        <v>CS1570</v>
      </c>
      <c r="E207" s="26" t="str">
        <f>IFERROR(__xludf.DUMMYFUNCTION("""COMPUTED_VALUE"""),"19CS570")</f>
        <v>19CS570</v>
      </c>
      <c r="F207" s="27" t="str">
        <f>IFERROR(__xludf.DUMMYFUNCTION("""COMPUTED_VALUE"""),"Entrepreneurship and Small Business Development")</f>
        <v>Entrepreneurship and Small Business Development</v>
      </c>
      <c r="G207" s="26" t="str">
        <f>IFERROR(__xludf.DUMMYFUNCTION("""COMPUTED_VALUE"""),"-")</f>
        <v>-</v>
      </c>
      <c r="H207" s="26">
        <f>IFERROR(__xludf.DUMMYFUNCTION("""COMPUTED_VALUE"""),2)</f>
        <v>2</v>
      </c>
      <c r="I207" s="26">
        <f>IFERROR(__xludf.DUMMYFUNCTION("""COMPUTED_VALUE"""),1)</f>
        <v>1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IFERROR(__xludf.DUMMYFUNCTION("""COMPUTED_VALUE"""),"TIP (6 Expts)")</f>
        <v>TIP (6 Expts)</v>
      </c>
      <c r="M207" s="26"/>
      <c r="N207" s="26"/>
      <c r="O207" s="26"/>
    </row>
    <row r="208" ht="13.2" spans="1:15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IFERROR(__xludf.DUMMYFUNCTION("""COMPUTED_VALUE"""),"CS1571")</f>
        <v>CS1571</v>
      </c>
      <c r="E208" s="26" t="str">
        <f>IFERROR(__xludf.DUMMYFUNCTION("""COMPUTED_VALUE"""),"19CS571")</f>
        <v>19CS571</v>
      </c>
      <c r="F208" s="27" t="str">
        <f>IFERROR(__xludf.DUMMYFUNCTION("""COMPUTED_VALUE"""),"Software Development and Operations")</f>
        <v>Software Development and Operations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IFERROR(__xludf.DUMMYFUNCTION("""COMPUTED_VALUE"""),0)</f>
        <v>0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</row>
    <row r="209" ht="13.2" spans="1:15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IFERROR(__xludf.DUMMYFUNCTION("""COMPUTED_VALUE"""),"CS1572")</f>
        <v>CS1572</v>
      </c>
      <c r="E209" s="26" t="str">
        <f>IFERROR(__xludf.DUMMYFUNCTION("""COMPUTED_VALUE"""),"19CS572")</f>
        <v>19CS572</v>
      </c>
      <c r="F209" s="27" t="str">
        <f>IFERROR(__xludf.DUMMYFUNCTION("""COMPUTED_VALUE"""),"Serverless App Development")</f>
        <v>Serverless App Development</v>
      </c>
      <c r="G209" s="26" t="str">
        <f>IFERROR(__xludf.DUMMYFUNCTION("""COMPUTED_VALUE"""),"-")</f>
        <v>-</v>
      </c>
      <c r="H209" s="26">
        <f>IFERROR(__xludf.DUMMYFUNCTION("""COMPUTED_VALUE"""),3)</f>
        <v>3</v>
      </c>
      <c r="I209" s="26">
        <f>IFERROR(__xludf.DUMMYFUNCTION("""COMPUTED_VALUE"""),0)</f>
        <v>0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IFERROR(__xludf.DUMMYFUNCTION("""COMPUTED_VALUE"""),"Theory")</f>
        <v>Theory</v>
      </c>
      <c r="M209" s="26"/>
      <c r="N209" s="26"/>
      <c r="O209" s="26"/>
    </row>
    <row r="210" ht="13.2" spans="1:15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IFERROR(__xludf.DUMMYFUNCTION("""COMPUTED_VALUE"""),"CS1573")</f>
        <v>CS1573</v>
      </c>
      <c r="E210" s="26" t="str">
        <f>IFERROR(__xludf.DUMMYFUNCTION("""COMPUTED_VALUE"""),"19CS573")</f>
        <v>19CS573</v>
      </c>
      <c r="F210" s="27" t="str">
        <f>IFERROR(__xludf.DUMMYFUNCTION("""COMPUTED_VALUE"""),"Enterprise Cloud Architecture")</f>
        <v>Enterprise Cloud Architecture</v>
      </c>
      <c r="G210" s="26" t="str">
        <f>IFERROR(__xludf.DUMMYFUNCTION("""COMPUTED_VALUE"""),"-")</f>
        <v>-</v>
      </c>
      <c r="H210" s="26">
        <f>IFERROR(__xludf.DUMMYFUNCTION("""COMPUTED_VALUE"""),3)</f>
        <v>3</v>
      </c>
      <c r="I210" s="26">
        <f>IFERROR(__xludf.DUMMYFUNCTION("""COMPUTED_VALUE"""),0)</f>
        <v>0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IFERROR(__xludf.DUMMYFUNCTION("""COMPUTED_VALUE"""),"Theory")</f>
        <v>Theory</v>
      </c>
      <c r="M210" s="26"/>
      <c r="N210" s="26"/>
      <c r="O210" s="26"/>
    </row>
    <row r="211" ht="13.2" spans="1:15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IFERROR(__xludf.DUMMYFUNCTION("""COMPUTED_VALUE"""),"CS1574")</f>
        <v>CS1574</v>
      </c>
      <c r="E211" s="26" t="str">
        <f>IFERROR(__xludf.DUMMYFUNCTION("""COMPUTED_VALUE"""),"19CS574")</f>
        <v>19CS574</v>
      </c>
      <c r="F211" s="27" t="str">
        <f>IFERROR(__xludf.DUMMYFUNCTION("""COMPUTED_VALUE"""),"Advanced Class Design and Object-Oriented Techniques")</f>
        <v>Advanced Class Design and Object-Oriented Techniques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IFERROR(__xludf.DUMMYFUNCTION("""COMPUTED_VALUE"""),0)</f>
        <v>0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</row>
    <row r="212" ht="13.2" spans="1:15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IFERROR(__xludf.DUMMYFUNCTION("""COMPUTED_VALUE"""),"CS1575")</f>
        <v>CS1575</v>
      </c>
      <c r="E212" s="26" t="str">
        <f>IFERROR(__xludf.DUMMYFUNCTION("""COMPUTED_VALUE"""),"19CS575")</f>
        <v>19CS575</v>
      </c>
      <c r="F212" s="27" t="str">
        <f>IFERROR(__xludf.DUMMYFUNCTION("""COMPUTED_VALUE"""),"Low-Code App Development")</f>
        <v>Low-Code App Development</v>
      </c>
      <c r="G212" s="26" t="str">
        <f>IFERROR(__xludf.DUMMYFUNCTION("""COMPUTED_VALUE"""),"-")</f>
        <v>-</v>
      </c>
      <c r="H212" s="26">
        <f>IFERROR(__xludf.DUMMYFUNCTION("""COMPUTED_VALUE"""),3)</f>
        <v>3</v>
      </c>
      <c r="I212" s="26">
        <f>IFERROR(__xludf.DUMMYFUNCTION("""COMPUTED_VALUE"""),0)</f>
        <v>0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IFERROR(__xludf.DUMMYFUNCTION("""COMPUTED_VALUE"""),"Theory")</f>
        <v>Theory</v>
      </c>
      <c r="M212" s="26"/>
      <c r="N212" s="26"/>
      <c r="O212" s="26"/>
    </row>
    <row r="213" ht="13.2" spans="1:15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IFERROR(__xludf.DUMMYFUNCTION("""COMPUTED_VALUE"""),"CS1577")</f>
        <v>CS1577</v>
      </c>
      <c r="E213" s="26" t="str">
        <f>IFERROR(__xludf.DUMMYFUNCTION("""COMPUTED_VALUE"""),"19CS577")</f>
        <v>19CS577</v>
      </c>
      <c r="F213" s="27" t="str">
        <f>IFERROR(__xludf.DUMMYFUNCTION("""COMPUTED_VALUE"""),"Cloud System Administration")</f>
        <v>Cloud System Administration</v>
      </c>
      <c r="G213" s="26" t="str">
        <f>IFERROR(__xludf.DUMMYFUNCTION("""COMPUTED_VALUE"""),"-")</f>
        <v>-</v>
      </c>
      <c r="H213" s="26">
        <f>IFERROR(__xludf.DUMMYFUNCTION("""COMPUTED_VALUE"""),3)</f>
        <v>3</v>
      </c>
      <c r="I213" s="26">
        <f>IFERROR(__xludf.DUMMYFUNCTION("""COMPUTED_VALUE"""),0)</f>
        <v>0</v>
      </c>
      <c r="J213" s="26">
        <f>IFERROR(__xludf.DUMMYFUNCTION("""COMPUTED_VALUE"""),3)</f>
        <v>3</v>
      </c>
      <c r="K213" s="26" t="str">
        <f>IFERROR(__xludf.DUMMYFUNCTION("""COMPUTED_VALUE"""),"CGPA")</f>
        <v>CGPA</v>
      </c>
      <c r="L213" s="26" t="str">
        <f>IFERROR(__xludf.DUMMYFUNCTION("""COMPUTED_VALUE"""),"Theory")</f>
        <v>Theory</v>
      </c>
      <c r="M213" s="26"/>
      <c r="N213" s="26"/>
      <c r="O213" s="26"/>
    </row>
    <row r="214" ht="13.2" spans="1:15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IFERROR(__xludf.DUMMYFUNCTION("""COMPUTED_VALUE"""),"CS1578")</f>
        <v>CS1578</v>
      </c>
      <c r="E214" s="26" t="str">
        <f>IFERROR(__xludf.DUMMYFUNCTION("""COMPUTED_VALUE"""),"19CS578")</f>
        <v>19CS578</v>
      </c>
      <c r="F214" s="27" t="str">
        <f>IFERROR(__xludf.DUMMYFUNCTION("""COMPUTED_VALUE"""),"Machine Learning Operations")</f>
        <v>Machine Learning Operations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IFERROR(__xludf.DUMMYFUNCTION("""COMPUTED_VALUE"""),0)</f>
        <v>0</v>
      </c>
      <c r="J214" s="26">
        <f>IFERROR(__xludf.DUMMYFUNCTION("""COMPUTED_VALUE"""),3)</f>
        <v>3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</row>
    <row r="215" ht="13.2" spans="1:15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IFERROR(__xludf.DUMMYFUNCTION("""COMPUTED_VALUE"""),"CS2406")</f>
        <v>CS2406</v>
      </c>
      <c r="E215" s="26" t="str">
        <f>IFERROR(__xludf.DUMMYFUNCTION("""COMPUTED_VALUE"""),"19IT406")</f>
        <v>19IT406</v>
      </c>
      <c r="F215" s="27" t="str">
        <f>IFERROR(__xludf.DUMMYFUNCTION("""COMPUTED_VALUE"""),"Grid and Cloud Computing")</f>
        <v>Grid and Cloud Computing</v>
      </c>
      <c r="G215" s="26" t="str">
        <f>IFERROR(__xludf.DUMMYFUNCTION("""COMPUTED_VALUE"""),"-")</f>
        <v>-</v>
      </c>
      <c r="H215" s="26">
        <f>IFERROR(__xludf.DUMMYFUNCTION("""COMPUTED_VALUE"""),3)</f>
        <v>3</v>
      </c>
      <c r="I215" s="26">
        <f>IFERROR(__xludf.DUMMYFUNCTION("""COMPUTED_VALUE"""),1)</f>
        <v>1</v>
      </c>
      <c r="J215" s="26">
        <f>IFERROR(__xludf.DUMMYFUNCTION("""COMPUTED_VALUE"""),4)</f>
        <v>4</v>
      </c>
      <c r="K215" s="26" t="str">
        <f>IFERROR(__xludf.DUMMYFUNCTION("""COMPUTED_VALUE"""),"CGPA")</f>
        <v>CGPA</v>
      </c>
      <c r="L215" s="26" t="str">
        <f>IFERROR(__xludf.DUMMYFUNCTION("""COMPUTED_VALUE"""),"TIP (6 Expts)")</f>
        <v>TIP (6 Expts)</v>
      </c>
      <c r="M215" s="26"/>
      <c r="N215" s="26"/>
      <c r="O215" s="26"/>
    </row>
    <row r="216" ht="13.2" spans="1:15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IFERROR(__xludf.DUMMYFUNCTION("""COMPUTED_VALUE"""),"CS2408")</f>
        <v>CS2408</v>
      </c>
      <c r="E216" s="26" t="str">
        <f>IFERROR(__xludf.DUMMYFUNCTION("""COMPUTED_VALUE"""),"19IT408")</f>
        <v>19IT408</v>
      </c>
      <c r="F216" s="27" t="str">
        <f>IFERROR(__xludf.DUMMYFUNCTION("""COMPUTED_VALUE"""),"Distributed Computing")</f>
        <v>Distributed Computing</v>
      </c>
      <c r="G216" s="26" t="str">
        <f>IFERROR(__xludf.DUMMYFUNCTION("""COMPUTED_VALUE"""),"-")</f>
        <v>-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</row>
    <row r="217" ht="13.2" spans="1:15">
      <c r="A217" s="26">
        <f>IFERROR(__xludf.DUMMYFUNCTION("""COMPUTED_VALUE"""),215)</f>
        <v>215</v>
      </c>
      <c r="B217" s="26"/>
      <c r="C217" s="26" t="str">
        <f>IFERROR(__xludf.DUMMYFUNCTION("""COMPUTED_VALUE"""),"PE")</f>
        <v>PE</v>
      </c>
      <c r="D217" s="26" t="str">
        <f>IFERROR(__xludf.DUMMYFUNCTION("""COMPUTED_VALUE"""),"CS2501")</f>
        <v>CS2501</v>
      </c>
      <c r="E217" s="26" t="str">
        <f>IFERROR(__xludf.DUMMYFUNCTION("""COMPUTED_VALUE"""),"19IT501")</f>
        <v>19IT501</v>
      </c>
      <c r="F217" s="27" t="str">
        <f>IFERROR(__xludf.DUMMYFUNCTION("""COMPUTED_VALUE"""),"Information Theory and Coding Techniques")</f>
        <v>Information Theory and Coding Techniques</v>
      </c>
      <c r="G217" s="26" t="str">
        <f>IFERROR(__xludf.DUMMYFUNCTION("""COMPUTED_VALUE"""),"-")</f>
        <v>-</v>
      </c>
      <c r="H217" s="26">
        <f>IFERROR(__xludf.DUMMYFUNCTION("""COMPUTED_VALUE"""),3)</f>
        <v>3</v>
      </c>
      <c r="I217" s="26">
        <f>IFERROR(__xludf.DUMMYFUNCTION("""COMPUTED_VALUE"""),0)</f>
        <v>0</v>
      </c>
      <c r="J217" s="26">
        <f>IFERROR(__xludf.DUMMYFUNCTION("""COMPUTED_VALUE"""),3)</f>
        <v>3</v>
      </c>
      <c r="K217" s="26" t="str">
        <f>IFERROR(__xludf.DUMMYFUNCTION("""COMPUTED_VALUE"""),"CGPA")</f>
        <v>CGPA</v>
      </c>
      <c r="L217" s="26" t="str">
        <f>IFERROR(__xludf.DUMMYFUNCTION("""COMPUTED_VALUE"""),"Theory")</f>
        <v>Theory</v>
      </c>
      <c r="M217" s="26"/>
      <c r="N217" s="26"/>
      <c r="O217" s="26"/>
    </row>
    <row r="218" ht="13.2" spans="1:15">
      <c r="A218" s="26">
        <f>IFERROR(__xludf.DUMMYFUNCTION("""COMPUTED_VALUE"""),216)</f>
        <v>216</v>
      </c>
      <c r="B218" s="26"/>
      <c r="C218" s="26" t="str">
        <f>IFERROR(__xludf.DUMMYFUNCTION("""COMPUTED_VALUE"""),"PE")</f>
        <v>PE</v>
      </c>
      <c r="D218" s="26" t="str">
        <f>IFERROR(__xludf.DUMMYFUNCTION("""COMPUTED_VALUE"""),"CS2502")</f>
        <v>CS2502</v>
      </c>
      <c r="E218" s="26" t="str">
        <f>IFERROR(__xludf.DUMMYFUNCTION("""COMPUTED_VALUE"""),"19IT502")</f>
        <v>19IT502</v>
      </c>
      <c r="F218" s="27" t="str">
        <f>IFERROR(__xludf.DUMMYFUNCTION("""COMPUTED_VALUE"""),"Enterprise Resource Planning")</f>
        <v>Enterprise Resource Planning</v>
      </c>
      <c r="G218" s="26" t="str">
        <f>IFERROR(__xludf.DUMMYFUNCTION("""COMPUTED_VALUE"""),"-")</f>
        <v>-</v>
      </c>
      <c r="H218" s="26">
        <f>IFERROR(__xludf.DUMMYFUNCTION("""COMPUTED_VALUE"""),3)</f>
        <v>3</v>
      </c>
      <c r="I218" s="26">
        <f>IFERROR(__xludf.DUMMYFUNCTION("""COMPUTED_VALUE"""),0)</f>
        <v>0</v>
      </c>
      <c r="J218" s="26">
        <f>IFERROR(__xludf.DUMMYFUNCTION("""COMPUTED_VALUE"""),3)</f>
        <v>3</v>
      </c>
      <c r="K218" s="26" t="str">
        <f>IFERROR(__xludf.DUMMYFUNCTION("""COMPUTED_VALUE"""),"CGPA")</f>
        <v>CGPA</v>
      </c>
      <c r="L218" s="26" t="str">
        <f>IFERROR(__xludf.DUMMYFUNCTION("""COMPUTED_VALUE"""),"Theory")</f>
        <v>Theory</v>
      </c>
      <c r="M218" s="26"/>
      <c r="N218" s="26"/>
      <c r="O218" s="26"/>
    </row>
    <row r="219" ht="13.2" spans="1:15">
      <c r="A219" s="26">
        <f>IFERROR(__xludf.DUMMYFUNCTION("""COMPUTED_VALUE"""),217)</f>
        <v>217</v>
      </c>
      <c r="B219" s="26"/>
      <c r="C219" s="26" t="str">
        <f>IFERROR(__xludf.DUMMYFUNCTION("""COMPUTED_VALUE"""),"PE")</f>
        <v>PE</v>
      </c>
      <c r="D219" s="26" t="str">
        <f>IFERROR(__xludf.DUMMYFUNCTION("""COMPUTED_VALUE"""),"CS2503")</f>
        <v>CS2503</v>
      </c>
      <c r="E219" s="26" t="str">
        <f>IFERROR(__xludf.DUMMYFUNCTION("""COMPUTED_VALUE"""),"19IT503")</f>
        <v>19IT503</v>
      </c>
      <c r="F219" s="27" t="str">
        <f>IFERROR(__xludf.DUMMYFUNCTION("""COMPUTED_VALUE"""),"User Interface Design")</f>
        <v>User Interface Design</v>
      </c>
      <c r="G219" s="26" t="str">
        <f>IFERROR(__xludf.DUMMYFUNCTION("""COMPUTED_VALUE"""),"-")</f>
        <v>-</v>
      </c>
      <c r="H219" s="26">
        <f>IFERROR(__xludf.DUMMYFUNCTION("""COMPUTED_VALUE"""),3)</f>
        <v>3</v>
      </c>
      <c r="I219" s="26">
        <f>IFERROR(__xludf.DUMMYFUNCTION("""COMPUTED_VALUE"""),0)</f>
        <v>0</v>
      </c>
      <c r="J219" s="26">
        <f>IFERROR(__xludf.DUMMYFUNCTION("""COMPUTED_VALUE"""),3)</f>
        <v>3</v>
      </c>
      <c r="K219" s="26" t="str">
        <f>IFERROR(__xludf.DUMMYFUNCTION("""COMPUTED_VALUE"""),"CGPA")</f>
        <v>CGPA</v>
      </c>
      <c r="L219" s="26" t="str">
        <f>IFERROR(__xludf.DUMMYFUNCTION("""COMPUTED_VALUE"""),"Theory")</f>
        <v>Theory</v>
      </c>
      <c r="M219" s="26"/>
      <c r="N219" s="26"/>
      <c r="O219" s="26"/>
    </row>
    <row r="220" ht="13.2" spans="1:15">
      <c r="A220" s="26">
        <f>IFERROR(__xludf.DUMMYFUNCTION("""COMPUTED_VALUE"""),218)</f>
        <v>218</v>
      </c>
      <c r="B220" s="26"/>
      <c r="C220" s="26" t="str">
        <f>IFERROR(__xludf.DUMMYFUNCTION("""COMPUTED_VALUE"""),"PE")</f>
        <v>PE</v>
      </c>
      <c r="D220" s="26" t="str">
        <f>IFERROR(__xludf.DUMMYFUNCTION("""COMPUTED_VALUE"""),"CS2504")</f>
        <v>CS2504</v>
      </c>
      <c r="E220" s="26" t="str">
        <f>IFERROR(__xludf.DUMMYFUNCTION("""COMPUTED_VALUE"""),"19IT504")</f>
        <v>19IT504</v>
      </c>
      <c r="F220" s="27" t="str">
        <f>IFERROR(__xludf.DUMMYFUNCTION("""COMPUTED_VALUE"""),"Information Storage Management")</f>
        <v>Information Storage Management</v>
      </c>
      <c r="G220" s="26" t="str">
        <f>IFERROR(__xludf.DUMMYFUNCTION("""COMPUTED_VALUE"""),"-")</f>
        <v>-</v>
      </c>
      <c r="H220" s="26">
        <f>IFERROR(__xludf.DUMMYFUNCTION("""COMPUTED_VALUE"""),3)</f>
        <v>3</v>
      </c>
      <c r="I220" s="26">
        <f>IFERROR(__xludf.DUMMYFUNCTION("""COMPUTED_VALUE"""),0)</f>
        <v>0</v>
      </c>
      <c r="J220" s="26">
        <f>IFERROR(__xludf.DUMMYFUNCTION("""COMPUTED_VALUE"""),3)</f>
        <v>3</v>
      </c>
      <c r="K220" s="26" t="str">
        <f>IFERROR(__xludf.DUMMYFUNCTION("""COMPUTED_VALUE"""),"CGPA")</f>
        <v>CGPA</v>
      </c>
      <c r="L220" s="26" t="str">
        <f>IFERROR(__xludf.DUMMYFUNCTION("""COMPUTED_VALUE"""),"Theory")</f>
        <v>Theory</v>
      </c>
      <c r="M220" s="26"/>
      <c r="N220" s="26"/>
      <c r="O220" s="26"/>
    </row>
    <row r="221" ht="13.2" spans="1:15">
      <c r="A221" s="26">
        <f>IFERROR(__xludf.DUMMYFUNCTION("""COMPUTED_VALUE"""),219)</f>
        <v>219</v>
      </c>
      <c r="B221" s="26"/>
      <c r="C221" s="26" t="str">
        <f>IFERROR(__xludf.DUMMYFUNCTION("""COMPUTED_VALUE"""),"PE")</f>
        <v>PE</v>
      </c>
      <c r="D221" s="26" t="str">
        <f>IFERROR(__xludf.DUMMYFUNCTION("""COMPUTED_VALUE"""),"CS2505")</f>
        <v>CS2505</v>
      </c>
      <c r="E221" s="26" t="str">
        <f>IFERROR(__xludf.DUMMYFUNCTION("""COMPUTED_VALUE"""),"19IT505")</f>
        <v>19IT505</v>
      </c>
      <c r="F221" s="27" t="str">
        <f>IFERROR(__xludf.DUMMYFUNCTION("""COMPUTED_VALUE"""),"Software Design Patterns")</f>
        <v>Software Design Patterns</v>
      </c>
      <c r="G221" s="26" t="str">
        <f>IFERROR(__xludf.DUMMYFUNCTION("""COMPUTED_VALUE"""),"-")</f>
        <v>-</v>
      </c>
      <c r="H221" s="26">
        <f>IFERROR(__xludf.DUMMYFUNCTION("""COMPUTED_VALUE"""),3)</f>
        <v>3</v>
      </c>
      <c r="I221" s="26">
        <f>IFERROR(__xludf.DUMMYFUNCTION("""COMPUTED_VALUE"""),0)</f>
        <v>0</v>
      </c>
      <c r="J221" s="26">
        <f>IFERROR(__xludf.DUMMYFUNCTION("""COMPUTED_VALUE"""),3)</f>
        <v>3</v>
      </c>
      <c r="K221" s="26" t="str">
        <f>IFERROR(__xludf.DUMMYFUNCTION("""COMPUTED_VALUE"""),"CGPA")</f>
        <v>CGPA</v>
      </c>
      <c r="L221" s="26" t="str">
        <f>IFERROR(__xludf.DUMMYFUNCTION("""COMPUTED_VALUE"""),"Theory")</f>
        <v>Theory</v>
      </c>
      <c r="M221" s="26"/>
      <c r="N221" s="26"/>
      <c r="O221" s="26"/>
    </row>
    <row r="222" ht="13.2" spans="1:15">
      <c r="A222" s="26">
        <f>IFERROR(__xludf.DUMMYFUNCTION("""COMPUTED_VALUE"""),220)</f>
        <v>220</v>
      </c>
      <c r="B222" s="26"/>
      <c r="C222" s="26" t="str">
        <f>IFERROR(__xludf.DUMMYFUNCTION("""COMPUTED_VALUE"""),"PE")</f>
        <v>PE</v>
      </c>
      <c r="D222" s="26" t="str">
        <f>IFERROR(__xludf.DUMMYFUNCTION("""COMPUTED_VALUE"""),"CS2506")</f>
        <v>CS2506</v>
      </c>
      <c r="E222" s="26" t="str">
        <f>IFERROR(__xludf.DUMMYFUNCTION("""COMPUTED_VALUE"""),"19IT506")</f>
        <v>19IT506</v>
      </c>
      <c r="F222" s="27" t="str">
        <f>IFERROR(__xludf.DUMMYFUNCTION("""COMPUTED_VALUE"""),"E-Learning Techniques")</f>
        <v>E-Learning Techniques</v>
      </c>
      <c r="G222" s="26" t="str">
        <f>IFERROR(__xludf.DUMMYFUNCTION("""COMPUTED_VALUE"""),"-")</f>
        <v>-</v>
      </c>
      <c r="H222" s="26">
        <f>IFERROR(__xludf.DUMMYFUNCTION("""COMPUTED_VALUE"""),3)</f>
        <v>3</v>
      </c>
      <c r="I222" s="26">
        <f>IFERROR(__xludf.DUMMYFUNCTION("""COMPUTED_VALUE"""),0)</f>
        <v>0</v>
      </c>
      <c r="J222" s="26">
        <f>IFERROR(__xludf.DUMMYFUNCTION("""COMPUTED_VALUE"""),3)</f>
        <v>3</v>
      </c>
      <c r="K222" s="26" t="str">
        <f>IFERROR(__xludf.DUMMYFUNCTION("""COMPUTED_VALUE"""),"CGPA")</f>
        <v>CGPA</v>
      </c>
      <c r="L222" s="26" t="str">
        <f>IFERROR(__xludf.DUMMYFUNCTION("""COMPUTED_VALUE"""),"Theory")</f>
        <v>Theory</v>
      </c>
      <c r="M222" s="26"/>
      <c r="N222" s="26"/>
      <c r="O222" s="26"/>
    </row>
    <row r="223" ht="13.2" spans="1:15">
      <c r="A223" s="26">
        <f>IFERROR(__xludf.DUMMYFUNCTION("""COMPUTED_VALUE"""),221)</f>
        <v>221</v>
      </c>
      <c r="B223" s="26"/>
      <c r="C223" s="26" t="str">
        <f>IFERROR(__xludf.DUMMYFUNCTION("""COMPUTED_VALUE"""),"PE")</f>
        <v>PE</v>
      </c>
      <c r="D223" s="26" t="str">
        <f>IFERROR(__xludf.DUMMYFUNCTION("""COMPUTED_VALUE"""),"CS2508")</f>
        <v>CS2508</v>
      </c>
      <c r="E223" s="26" t="str">
        <f>IFERROR(__xludf.DUMMYFUNCTION("""COMPUTED_VALUE"""),"19IT508")</f>
        <v>19IT508</v>
      </c>
      <c r="F223" s="27" t="str">
        <f>IFERROR(__xludf.DUMMYFUNCTION("""COMPUTED_VALUE"""),"TCP/IP Design and Implementation")</f>
        <v>TCP/IP Design and Implementation</v>
      </c>
      <c r="G223" s="26" t="str">
        <f>IFERROR(__xludf.DUMMYFUNCTION("""COMPUTED_VALUE"""),"-")</f>
        <v>-</v>
      </c>
      <c r="H223" s="26">
        <f>IFERROR(__xludf.DUMMYFUNCTION("""COMPUTED_VALUE"""),3)</f>
        <v>3</v>
      </c>
      <c r="I223" s="26">
        <f>IFERROR(__xludf.DUMMYFUNCTION("""COMPUTED_VALUE"""),0)</f>
        <v>0</v>
      </c>
      <c r="J223" s="26">
        <f>IFERROR(__xludf.DUMMYFUNCTION("""COMPUTED_VALUE"""),3)</f>
        <v>3</v>
      </c>
      <c r="K223" s="26" t="str">
        <f>IFERROR(__xludf.DUMMYFUNCTION("""COMPUTED_VALUE"""),"CGPA")</f>
        <v>CGPA</v>
      </c>
      <c r="L223" s="26" t="str">
        <f>IFERROR(__xludf.DUMMYFUNCTION("""COMPUTED_VALUE"""),"Theory")</f>
        <v>Theory</v>
      </c>
      <c r="M223" s="26"/>
      <c r="N223" s="26"/>
      <c r="O223" s="26"/>
    </row>
    <row r="224" ht="13.2" spans="1:15">
      <c r="A224" s="26">
        <f>IFERROR(__xludf.DUMMYFUNCTION("""COMPUTED_VALUE"""),222)</f>
        <v>222</v>
      </c>
      <c r="B224" s="26"/>
      <c r="C224" s="26" t="str">
        <f>IFERROR(__xludf.DUMMYFUNCTION("""COMPUTED_VALUE"""),"PE")</f>
        <v>PE</v>
      </c>
      <c r="D224" s="26" t="str">
        <f>IFERROR(__xludf.DUMMYFUNCTION("""COMPUTED_VALUE"""),"CS2509")</f>
        <v>CS2509</v>
      </c>
      <c r="E224" s="26" t="str">
        <f>IFERROR(__xludf.DUMMYFUNCTION("""COMPUTED_VALUE"""),"19IT509")</f>
        <v>19IT509</v>
      </c>
      <c r="F224" s="27" t="str">
        <f>IFERROR(__xludf.DUMMYFUNCTION("""COMPUTED_VALUE"""),"Advanced Algorithms")</f>
        <v>Advanced Algorithms</v>
      </c>
      <c r="G224" s="26" t="str">
        <f>IFERROR(__xludf.DUMMYFUNCTION("""COMPUTED_VALUE"""),"-")</f>
        <v>-</v>
      </c>
      <c r="H224" s="26">
        <f>IFERROR(__xludf.DUMMYFUNCTION("""COMPUTED_VALUE"""),3)</f>
        <v>3</v>
      </c>
      <c r="I224" s="26">
        <f>IFERROR(__xludf.DUMMYFUNCTION("""COMPUTED_VALUE"""),0)</f>
        <v>0</v>
      </c>
      <c r="J224" s="26">
        <f>IFERROR(__xludf.DUMMYFUNCTION("""COMPUTED_VALUE"""),3)</f>
        <v>3</v>
      </c>
      <c r="K224" s="26" t="str">
        <f>IFERROR(__xludf.DUMMYFUNCTION("""COMPUTED_VALUE"""),"CGPA")</f>
        <v>CGPA</v>
      </c>
      <c r="L224" s="26" t="str">
        <f>IFERROR(__xludf.DUMMYFUNCTION("""COMPUTED_VALUE"""),"Theory")</f>
        <v>Theory</v>
      </c>
      <c r="M224" s="26"/>
      <c r="N224" s="26"/>
      <c r="O224" s="26"/>
    </row>
    <row r="225" ht="13.2" spans="1:15">
      <c r="A225" s="26">
        <f>IFERROR(__xludf.DUMMYFUNCTION("""COMPUTED_VALUE"""),223)</f>
        <v>223</v>
      </c>
      <c r="B225" s="26"/>
      <c r="C225" s="26" t="str">
        <f>IFERROR(__xludf.DUMMYFUNCTION("""COMPUTED_VALUE"""),"PE")</f>
        <v>PE</v>
      </c>
      <c r="D225" s="26" t="str">
        <f>IFERROR(__xludf.DUMMYFUNCTION("""COMPUTED_VALUE"""),"CS2510")</f>
        <v>CS2510</v>
      </c>
      <c r="E225" s="26" t="str">
        <f>IFERROR(__xludf.DUMMYFUNCTION("""COMPUTED_VALUE"""),"19IT510")</f>
        <v>19IT510</v>
      </c>
      <c r="F225" s="27" t="str">
        <f>IFERROR(__xludf.DUMMYFUNCTION("""COMPUTED_VALUE"""),"Ethical Hacking")</f>
        <v>Ethical Hacking</v>
      </c>
      <c r="G225" s="26" t="str">
        <f>IFERROR(__xludf.DUMMYFUNCTION("""COMPUTED_VALUE"""),"-")</f>
        <v>-</v>
      </c>
      <c r="H225" s="26">
        <f>IFERROR(__xludf.DUMMYFUNCTION("""COMPUTED_VALUE"""),3)</f>
        <v>3</v>
      </c>
      <c r="I225" s="26">
        <f>IFERROR(__xludf.DUMMYFUNCTION("""COMPUTED_VALUE"""),0)</f>
        <v>0</v>
      </c>
      <c r="J225" s="26">
        <f>IFERROR(__xludf.DUMMYFUNCTION("""COMPUTED_VALUE"""),3)</f>
        <v>3</v>
      </c>
      <c r="K225" s="26" t="str">
        <f>IFERROR(__xludf.DUMMYFUNCTION("""COMPUTED_VALUE"""),"CGPA")</f>
        <v>CGPA</v>
      </c>
      <c r="L225" s="26" t="str">
        <f>IFERROR(__xludf.DUMMYFUNCTION("""COMPUTED_VALUE"""),"Theory")</f>
        <v>Theory</v>
      </c>
      <c r="M225" s="26"/>
      <c r="N225" s="26"/>
      <c r="O225" s="26"/>
    </row>
    <row r="226" ht="13.2" spans="1:15">
      <c r="A226" s="26">
        <f>IFERROR(__xludf.DUMMYFUNCTION("""COMPUTED_VALUE"""),224)</f>
        <v>224</v>
      </c>
      <c r="B226" s="26"/>
      <c r="C226" s="26" t="str">
        <f>IFERROR(__xludf.DUMMYFUNCTION("""COMPUTED_VALUE"""),"PE")</f>
        <v>PE</v>
      </c>
      <c r="D226" s="26" t="str">
        <f>IFERROR(__xludf.DUMMYFUNCTION("""COMPUTED_VALUE"""),"CS2511")</f>
        <v>CS2511</v>
      </c>
      <c r="E226" s="26" t="str">
        <f>IFERROR(__xludf.DUMMYFUNCTION("""COMPUTED_VALUE"""),"19IT511")</f>
        <v>19IT511</v>
      </c>
      <c r="F226" s="27" t="str">
        <f>IFERROR(__xludf.DUMMYFUNCTION("""COMPUTED_VALUE"""),"DHTML and XML")</f>
        <v>DHTML and XML</v>
      </c>
      <c r="G226" s="26" t="str">
        <f>IFERROR(__xludf.DUMMYFUNCTION("""COMPUTED_VALUE"""),"-")</f>
        <v>-</v>
      </c>
      <c r="H226" s="26">
        <f>IFERROR(__xludf.DUMMYFUNCTION("""COMPUTED_VALUE"""),3)</f>
        <v>3</v>
      </c>
      <c r="I226" s="26">
        <f>IFERROR(__xludf.DUMMYFUNCTION("""COMPUTED_VALUE"""),0)</f>
        <v>0</v>
      </c>
      <c r="J226" s="26">
        <f>IFERROR(__xludf.DUMMYFUNCTION("""COMPUTED_VALUE"""),3)</f>
        <v>3</v>
      </c>
      <c r="K226" s="26" t="str">
        <f>IFERROR(__xludf.DUMMYFUNCTION("""COMPUTED_VALUE"""),"CGPA")</f>
        <v>CGPA</v>
      </c>
      <c r="L226" s="26" t="str">
        <f>IFERROR(__xludf.DUMMYFUNCTION("""COMPUTED_VALUE"""),"Theory")</f>
        <v>Theory</v>
      </c>
      <c r="M226" s="26"/>
      <c r="N226" s="26"/>
      <c r="O226" s="26"/>
    </row>
    <row r="227" ht="13.2" spans="1:15">
      <c r="A227" s="26">
        <f>IFERROR(__xludf.DUMMYFUNCTION("""COMPUTED_VALUE"""),225)</f>
        <v>225</v>
      </c>
      <c r="B227" s="26"/>
      <c r="C227" s="26" t="str">
        <f>IFERROR(__xludf.DUMMYFUNCTION("""COMPUTED_VALUE"""),"PE")</f>
        <v>PE</v>
      </c>
      <c r="D227" s="26" t="str">
        <f>IFERROR(__xludf.DUMMYFUNCTION("""COMPUTED_VALUE"""),"CS2512")</f>
        <v>CS2512</v>
      </c>
      <c r="E227" s="26" t="str">
        <f>IFERROR(__xludf.DUMMYFUNCTION("""COMPUTED_VALUE"""),"19IT512")</f>
        <v>19IT512</v>
      </c>
      <c r="F227" s="27" t="str">
        <f>IFERROR(__xludf.DUMMYFUNCTION("""COMPUTED_VALUE"""),"E-Commerce")</f>
        <v>E-Commerce</v>
      </c>
      <c r="G227" s="26" t="str">
        <f>IFERROR(__xludf.DUMMYFUNCTION("""COMPUTED_VALUE"""),"-")</f>
        <v>-</v>
      </c>
      <c r="H227" s="26">
        <f>IFERROR(__xludf.DUMMYFUNCTION("""COMPUTED_VALUE"""),3)</f>
        <v>3</v>
      </c>
      <c r="I227" s="26">
        <f>IFERROR(__xludf.DUMMYFUNCTION("""COMPUTED_VALUE"""),0)</f>
        <v>0</v>
      </c>
      <c r="J227" s="26">
        <f>IFERROR(__xludf.DUMMYFUNCTION("""COMPUTED_VALUE"""),3)</f>
        <v>3</v>
      </c>
      <c r="K227" s="26" t="str">
        <f>IFERROR(__xludf.DUMMYFUNCTION("""COMPUTED_VALUE"""),"CGPA")</f>
        <v>CGPA</v>
      </c>
      <c r="L227" s="26" t="str">
        <f>IFERROR(__xludf.DUMMYFUNCTION("""COMPUTED_VALUE"""),"Theory")</f>
        <v>Theory</v>
      </c>
      <c r="M227" s="26"/>
      <c r="N227" s="26"/>
      <c r="O227" s="26"/>
    </row>
    <row r="228" ht="13.2" spans="1:15">
      <c r="A228" s="26">
        <f>IFERROR(__xludf.DUMMYFUNCTION("""COMPUTED_VALUE"""),226)</f>
        <v>226</v>
      </c>
      <c r="B228" s="26"/>
      <c r="C228" s="26" t="str">
        <f>IFERROR(__xludf.DUMMYFUNCTION("""COMPUTED_VALUE"""),"PE")</f>
        <v>PE</v>
      </c>
      <c r="D228" s="26" t="str">
        <f>IFERROR(__xludf.DUMMYFUNCTION("""COMPUTED_VALUE"""),"CS2513")</f>
        <v>CS2513</v>
      </c>
      <c r="E228" s="26" t="str">
        <f>IFERROR(__xludf.DUMMYFUNCTION("""COMPUTED_VALUE"""),"19IT513")</f>
        <v>19IT513</v>
      </c>
      <c r="F228" s="27" t="str">
        <f>IFERROR(__xludf.DUMMYFUNCTION("""COMPUTED_VALUE"""),"Free Open Source Software")</f>
        <v>Free Open Source Software</v>
      </c>
      <c r="G228" s="26" t="str">
        <f>IFERROR(__xludf.DUMMYFUNCTION("""COMPUTED_VALUE"""),"-")</f>
        <v>-</v>
      </c>
      <c r="H228" s="26">
        <f>IFERROR(__xludf.DUMMYFUNCTION("""COMPUTED_VALUE"""),3)</f>
        <v>3</v>
      </c>
      <c r="I228" s="26">
        <f>IFERROR(__xludf.DUMMYFUNCTION("""COMPUTED_VALUE"""),0)</f>
        <v>0</v>
      </c>
      <c r="J228" s="26">
        <f>IFERROR(__xludf.DUMMYFUNCTION("""COMPUTED_VALUE"""),3)</f>
        <v>3</v>
      </c>
      <c r="K228" s="26" t="str">
        <f>IFERROR(__xludf.DUMMYFUNCTION("""COMPUTED_VALUE"""),"CGPA")</f>
        <v>CGPA</v>
      </c>
      <c r="L228" s="26" t="str">
        <f>IFERROR(__xludf.DUMMYFUNCTION("""COMPUTED_VALUE"""),"Theory")</f>
        <v>Theory</v>
      </c>
      <c r="M228" s="26"/>
      <c r="N228" s="26"/>
      <c r="O228" s="26"/>
    </row>
    <row r="229" ht="13.2" spans="1:15">
      <c r="A229" s="26">
        <f>IFERROR(__xludf.DUMMYFUNCTION("""COMPUTED_VALUE"""),227)</f>
        <v>227</v>
      </c>
      <c r="B229" s="26"/>
      <c r="C229" s="26" t="str">
        <f>IFERROR(__xludf.DUMMYFUNCTION("""COMPUTED_VALUE"""),"PE")</f>
        <v>PE</v>
      </c>
      <c r="D229" s="26" t="str">
        <f>IFERROR(__xludf.DUMMYFUNCTION("""COMPUTED_VALUE"""),"CS2514")</f>
        <v>CS2514</v>
      </c>
      <c r="E229" s="26" t="str">
        <f>IFERROR(__xludf.DUMMYFUNCTION("""COMPUTED_VALUE"""),"19IT514")</f>
        <v>19IT514</v>
      </c>
      <c r="F229" s="27" t="str">
        <f>IFERROR(__xludf.DUMMYFUNCTION("""COMPUTED_VALUE"""),"Real Time Operating Systems")</f>
        <v>Real Time Operating Systems</v>
      </c>
      <c r="G229" s="26" t="str">
        <f>IFERROR(__xludf.DUMMYFUNCTION("""COMPUTED_VALUE"""),"-")</f>
        <v>-</v>
      </c>
      <c r="H229" s="26">
        <f>IFERROR(__xludf.DUMMYFUNCTION("""COMPUTED_VALUE"""),3)</f>
        <v>3</v>
      </c>
      <c r="I229" s="26">
        <f>IFERROR(__xludf.DUMMYFUNCTION("""COMPUTED_VALUE"""),0)</f>
        <v>0</v>
      </c>
      <c r="J229" s="26">
        <f>IFERROR(__xludf.DUMMYFUNCTION("""COMPUTED_VALUE"""),3)</f>
        <v>3</v>
      </c>
      <c r="K229" s="26" t="str">
        <f>IFERROR(__xludf.DUMMYFUNCTION("""COMPUTED_VALUE"""),"CGPA")</f>
        <v>CGPA</v>
      </c>
      <c r="L229" s="26" t="str">
        <f>IFERROR(__xludf.DUMMYFUNCTION("""COMPUTED_VALUE"""),"Theory")</f>
        <v>Theory</v>
      </c>
      <c r="M229" s="26"/>
      <c r="N229" s="26"/>
      <c r="O229" s="26"/>
    </row>
    <row r="230" ht="13.2" spans="1:15">
      <c r="A230" s="26">
        <f>IFERROR(__xludf.DUMMYFUNCTION("""COMPUTED_VALUE"""),228)</f>
        <v>228</v>
      </c>
      <c r="B230" s="26"/>
      <c r="C230" s="26" t="str">
        <f>IFERROR(__xludf.DUMMYFUNCTION("""COMPUTED_VALUE"""),"PE")</f>
        <v>PE</v>
      </c>
      <c r="D230" s="26" t="str">
        <f>IFERROR(__xludf.DUMMYFUNCTION("""COMPUTED_VALUE"""),"CS2515")</f>
        <v>CS2515</v>
      </c>
      <c r="E230" s="26" t="str">
        <f>IFERROR(__xludf.DUMMYFUNCTION("""COMPUTED_VALUE"""),"19IT515")</f>
        <v>19IT515</v>
      </c>
      <c r="F230" s="27" t="str">
        <f>IFERROR(__xludf.DUMMYFUNCTION("""COMPUTED_VALUE"""),"Software Agents")</f>
        <v>Software Agents</v>
      </c>
      <c r="G230" s="26" t="str">
        <f>IFERROR(__xludf.DUMMYFUNCTION("""COMPUTED_VALUE"""),"-")</f>
        <v>-</v>
      </c>
      <c r="H230" s="26">
        <f>IFERROR(__xludf.DUMMYFUNCTION("""COMPUTED_VALUE"""),3)</f>
        <v>3</v>
      </c>
      <c r="I230" s="26">
        <f>IFERROR(__xludf.DUMMYFUNCTION("""COMPUTED_VALUE"""),0)</f>
        <v>0</v>
      </c>
      <c r="J230" s="26">
        <f>IFERROR(__xludf.DUMMYFUNCTION("""COMPUTED_VALUE"""),3)</f>
        <v>3</v>
      </c>
      <c r="K230" s="26" t="str">
        <f>IFERROR(__xludf.DUMMYFUNCTION("""COMPUTED_VALUE"""),"CGPA")</f>
        <v>CGPA</v>
      </c>
      <c r="L230" s="26" t="str">
        <f>IFERROR(__xludf.DUMMYFUNCTION("""COMPUTED_VALUE"""),"Theory")</f>
        <v>Theory</v>
      </c>
      <c r="M230" s="26"/>
      <c r="N230" s="26"/>
      <c r="O230" s="26"/>
    </row>
    <row r="231" ht="13.2" spans="1:15">
      <c r="A231" s="26">
        <f>IFERROR(__xludf.DUMMYFUNCTION("""COMPUTED_VALUE"""),229)</f>
        <v>229</v>
      </c>
      <c r="B231" s="26"/>
      <c r="C231" s="26" t="str">
        <f>IFERROR(__xludf.DUMMYFUNCTION("""COMPUTED_VALUE"""),"PE")</f>
        <v>PE</v>
      </c>
      <c r="D231" s="26" t="str">
        <f>IFERROR(__xludf.DUMMYFUNCTION("""COMPUTED_VALUE"""),"CS2516")</f>
        <v>CS2516</v>
      </c>
      <c r="E231" s="26" t="str">
        <f>IFERROR(__xludf.DUMMYFUNCTION("""COMPUTED_VALUE"""),"19IT516")</f>
        <v>19IT516</v>
      </c>
      <c r="F231" s="27" t="str">
        <f>IFERROR(__xludf.DUMMYFUNCTION("""COMPUTED_VALUE"""),"Business Intelligence and Analytics")</f>
        <v>Business Intelligence and Analytics</v>
      </c>
      <c r="G231" s="26" t="str">
        <f>IFERROR(__xludf.DUMMYFUNCTION("""COMPUTED_VALUE"""),"-")</f>
        <v>-</v>
      </c>
      <c r="H231" s="26">
        <f>IFERROR(__xludf.DUMMYFUNCTION("""COMPUTED_VALUE"""),3)</f>
        <v>3</v>
      </c>
      <c r="I231" s="26">
        <f>IFERROR(__xludf.DUMMYFUNCTION("""COMPUTED_VALUE"""),0)</f>
        <v>0</v>
      </c>
      <c r="J231" s="26">
        <f>IFERROR(__xludf.DUMMYFUNCTION("""COMPUTED_VALUE"""),3)</f>
        <v>3</v>
      </c>
      <c r="K231" s="26" t="str">
        <f>IFERROR(__xludf.DUMMYFUNCTION("""COMPUTED_VALUE"""),"CGPA")</f>
        <v>CGPA</v>
      </c>
      <c r="L231" s="26" t="str">
        <f>IFERROR(__xludf.DUMMYFUNCTION("""COMPUTED_VALUE"""),"Theory")</f>
        <v>Theory</v>
      </c>
      <c r="M231" s="26"/>
      <c r="N231" s="26"/>
      <c r="O231" s="26"/>
    </row>
    <row r="232" ht="13.2" spans="1:15">
      <c r="A232" s="26">
        <f>IFERROR(__xludf.DUMMYFUNCTION("""COMPUTED_VALUE"""),230)</f>
        <v>230</v>
      </c>
      <c r="B232" s="26"/>
      <c r="C232" s="26" t="str">
        <f>IFERROR(__xludf.DUMMYFUNCTION("""COMPUTED_VALUE"""),"PE")</f>
        <v>PE</v>
      </c>
      <c r="D232" s="26" t="str">
        <f>IFERROR(__xludf.DUMMYFUNCTION("""COMPUTED_VALUE"""),"SH2220")</f>
        <v>SH2220</v>
      </c>
      <c r="E232" s="26" t="str">
        <f>IFERROR(__xludf.DUMMYFUNCTION("""COMPUTED_VALUE"""),"19MA220")</f>
        <v>19MA220</v>
      </c>
      <c r="F232" s="27" t="str">
        <f>IFERROR(__xludf.DUMMYFUNCTION("""COMPUTED_VALUE"""),"Mathematics for Artificial Intelligence")</f>
        <v>Mathematics for Artificial Intelligence</v>
      </c>
      <c r="G232" s="26" t="str">
        <f>IFERROR(__xludf.DUMMYFUNCTION("""COMPUTED_VALUE"""),"-")</f>
        <v>-</v>
      </c>
      <c r="H232" s="26">
        <f>IFERROR(__xludf.DUMMYFUNCTION("""COMPUTED_VALUE"""),4)</f>
        <v>4</v>
      </c>
      <c r="I232" s="26">
        <f>IFERROR(__xludf.DUMMYFUNCTION("""COMPUTED_VALUE"""),0)</f>
        <v>0</v>
      </c>
      <c r="J232" s="26">
        <f>IFERROR(__xludf.DUMMYFUNCTION("""COMPUTED_VALUE"""),4)</f>
        <v>4</v>
      </c>
      <c r="K232" s="26" t="str">
        <f>IFERROR(__xludf.DUMMYFUNCTION("""COMPUTED_VALUE"""),"CGPA")</f>
        <v>CGPA</v>
      </c>
      <c r="L232" s="26" t="str">
        <f>IFERROR(__xludf.DUMMYFUNCTION("""COMPUTED_VALUE"""),"Theory")</f>
        <v>Theory</v>
      </c>
      <c r="M232" s="26"/>
      <c r="N232" s="26"/>
      <c r="O232" s="26"/>
    </row>
    <row r="233" ht="13.2" spans="1:15">
      <c r="A233" s="26">
        <f>IFERROR(__xludf.DUMMYFUNCTION("""COMPUTED_VALUE"""),231)</f>
        <v>231</v>
      </c>
      <c r="B233" s="26"/>
      <c r="C233" s="26" t="str">
        <f>IFERROR(__xludf.DUMMYFUNCTION("""COMPUTED_VALUE"""),"PE")</f>
        <v>PE</v>
      </c>
      <c r="D233" s="26" t="str">
        <f>IFERROR(__xludf.DUMMYFUNCTION("""COMPUTED_VALUE"""),"SH2211")</f>
        <v>SH2211</v>
      </c>
      <c r="E233" s="26" t="str">
        <f>IFERROR(__xludf.DUMMYFUNCTION("""COMPUTED_VALUE"""),"19MA211")</f>
        <v>19MA211</v>
      </c>
      <c r="F233" s="27" t="str">
        <f>IFERROR(__xludf.DUMMYFUNCTION("""COMPUTED_VALUE"""),"Statistics and Numerical Methods")</f>
        <v>Statistics and Numerical Methods</v>
      </c>
      <c r="G233" s="26" t="str">
        <f>IFERROR(__xludf.DUMMYFUNCTION("""COMPUTED_VALUE"""),"-")</f>
        <v>-</v>
      </c>
      <c r="H233" s="26">
        <f>IFERROR(__xludf.DUMMYFUNCTION("""COMPUTED_VALUE"""),3)</f>
        <v>3</v>
      </c>
      <c r="I233" s="26">
        <f>IFERROR(__xludf.DUMMYFUNCTION("""COMPUTED_VALUE"""),1)</f>
        <v>1</v>
      </c>
      <c r="J233" s="26">
        <f>IFERROR(__xludf.DUMMYFUNCTION("""COMPUTED_VALUE"""),4)</f>
        <v>4</v>
      </c>
      <c r="K233" s="26" t="str">
        <f>IFERROR(__xludf.DUMMYFUNCTION("""COMPUTED_VALUE"""),"CGPA")</f>
        <v>CGPA</v>
      </c>
      <c r="L233" s="26" t="str">
        <f>IFERROR(__xludf.DUMMYFUNCTION("""COMPUTED_VALUE"""),"TIP (6 Expts)")</f>
        <v>TIP (6 Expts)</v>
      </c>
      <c r="M233" s="26"/>
      <c r="N233" s="26"/>
      <c r="O233" s="26"/>
    </row>
    <row r="234" ht="13.2" spans="1:15">
      <c r="A234" s="26">
        <f>IFERROR(__xludf.DUMMYFUNCTION("""COMPUTED_VALUE"""),232)</f>
        <v>232</v>
      </c>
      <c r="B234" s="26"/>
      <c r="C234" s="26" t="str">
        <f>IFERROR(__xludf.DUMMYFUNCTION("""COMPUTED_VALUE"""),"PE")</f>
        <v>PE</v>
      </c>
      <c r="D234" s="26" t="str">
        <f>IFERROR(__xludf.DUMMYFUNCTION("""COMPUTED_VALUE"""),"EC2309")</f>
        <v>EC2309</v>
      </c>
      <c r="E234" s="26" t="str">
        <f>IFERROR(__xludf.DUMMYFUNCTION("""COMPUTED_VALUE"""),"19EE309")</f>
        <v>19EE309</v>
      </c>
      <c r="F234" s="27" t="str">
        <f>IFERROR(__xludf.DUMMYFUNCTION("""COMPUTED_VALUE"""),"Programming Microcontrollers")</f>
        <v>Programming Microcontrollers</v>
      </c>
      <c r="G234" s="26" t="str">
        <f>IFERROR(__xludf.DUMMYFUNCTION("""COMPUTED_VALUE"""),"-")</f>
        <v>-</v>
      </c>
      <c r="H234" s="26">
        <f>IFERROR(__xludf.DUMMYFUNCTION("""COMPUTED_VALUE"""),2)</f>
        <v>2</v>
      </c>
      <c r="I234" s="26">
        <f>IFERROR(__xludf.DUMMYFUNCTION("""COMPUTED_VALUE"""),1)</f>
        <v>1</v>
      </c>
      <c r="J234" s="26">
        <f>IFERROR(__xludf.DUMMYFUNCTION("""COMPUTED_VALUE"""),3)</f>
        <v>3</v>
      </c>
      <c r="K234" s="26" t="str">
        <f>IFERROR(__xludf.DUMMYFUNCTION("""COMPUTED_VALUE"""),"CGPA")</f>
        <v>CGPA</v>
      </c>
      <c r="L234" s="26" t="str">
        <f>IFERROR(__xludf.DUMMYFUNCTION("""COMPUTED_VALUE"""),"TIP (6 Expts)")</f>
        <v>TIP (6 Expts)</v>
      </c>
      <c r="M234" s="26"/>
      <c r="N234" s="26"/>
      <c r="O234" s="26"/>
    </row>
    <row r="235" ht="13.2" spans="1:15">
      <c r="A235" s="26">
        <f>IFERROR(__xludf.DUMMYFUNCTION("""COMPUTED_VALUE"""),233)</f>
        <v>233</v>
      </c>
      <c r="B235" s="26"/>
      <c r="C235" s="26" t="str">
        <f>IFERROR(__xludf.DUMMYFUNCTION("""COMPUTED_VALUE"""),"OE")</f>
        <v>OE</v>
      </c>
      <c r="D235" s="26" t="str">
        <f>IFERROR(__xludf.DUMMYFUNCTION("""COMPUTED_VALUE"""),"XXXXXX")</f>
        <v>XXXXXX</v>
      </c>
      <c r="E235" s="26" t="str">
        <f>IFERROR(__xludf.DUMMYFUNCTION("""COMPUTED_VALUE"""),"19XXXXX")</f>
        <v>19XXXXX</v>
      </c>
      <c r="F235" s="26" t="str">
        <f>IFERROR(__xludf.DUMMYFUNCTION("""COMPUTED_VALUE"""),"Open Electives")</f>
        <v>Open Electives</v>
      </c>
      <c r="G235" s="26" t="str">
        <f>IFERROR(__xludf.DUMMYFUNCTION("""COMPUTED_VALUE"""),"-")</f>
        <v>-</v>
      </c>
      <c r="H235" s="26">
        <f>IFERROR(__xludf.DUMMYFUNCTION("""COMPUTED_VALUE"""),0)</f>
        <v>0</v>
      </c>
      <c r="I235" s="26">
        <f>IFERROR(__xludf.DUMMYFUNCTION("""COMPUTED_VALUE"""),0)</f>
        <v>0</v>
      </c>
      <c r="J235" s="26">
        <f>IFERROR(__xludf.DUMMYFUNCTION("""COMPUTED_VALUE"""),0)</f>
        <v>0</v>
      </c>
      <c r="K235" s="26" t="str">
        <f>IFERROR(__xludf.DUMMYFUNCTION("""COMPUTED_VALUE"""),"CGPA")</f>
        <v>CGPA</v>
      </c>
      <c r="L235" s="26" t="str">
        <f>IFERROR(__xludf.DUMMYFUNCTION("""COMPUTED_VALUE"""),"Theory")</f>
        <v>Theory</v>
      </c>
      <c r="M235" s="26"/>
      <c r="N235" s="26"/>
      <c r="O235" s="26"/>
    </row>
    <row r="236" ht="13.2" spans="1:15">
      <c r="A236" s="26">
        <f>IFERROR(__xludf.DUMMYFUNCTION("""COMPUTED_VALUE"""),234)</f>
        <v>234</v>
      </c>
      <c r="B236" s="26"/>
      <c r="C236" s="26" t="str">
        <f>IFERROR(__xludf.DUMMYFUNCTION("""COMPUTED_VALUE"""),"OE")</f>
        <v>OE</v>
      </c>
      <c r="D236" s="26" t="str">
        <f>IFERROR(__xludf.DUMMYFUNCTION("""COMPUTED_VALUE"""),"XXXXXX")</f>
        <v>XXXXXX</v>
      </c>
      <c r="E236" s="26" t="str">
        <f>IFERROR(__xludf.DUMMYFUNCTION("""COMPUTED_VALUE"""),"19XXXXX")</f>
        <v>19XXXXX</v>
      </c>
      <c r="F236" s="26" t="str">
        <f>IFERROR(__xludf.DUMMYFUNCTION("""COMPUTED_VALUE"""),"Online Courses")</f>
        <v>Online Courses</v>
      </c>
      <c r="G236" s="26" t="str">
        <f>IFERROR(__xludf.DUMMYFUNCTION("""COMPUTED_VALUE"""),"-")</f>
        <v>-</v>
      </c>
      <c r="H236" s="26">
        <f>IFERROR(__xludf.DUMMYFUNCTION("""COMPUTED_VALUE"""),0)</f>
        <v>0</v>
      </c>
      <c r="I236" s="26">
        <f>IFERROR(__xludf.DUMMYFUNCTION("""COMPUTED_VALUE"""),0)</f>
        <v>0</v>
      </c>
      <c r="J236" s="26">
        <f>IFERROR(__xludf.DUMMYFUNCTION("""COMPUTED_VALUE"""),0)</f>
        <v>0</v>
      </c>
      <c r="K236" s="26" t="str">
        <f>IFERROR(__xludf.DUMMYFUNCTION("""COMPUTED_VALUE"""),"CGPA")</f>
        <v>CGPA</v>
      </c>
      <c r="L236" s="26" t="str">
        <f>IFERROR(__xludf.DUMMYFUNCTION("""COMPUTED_VALUE"""),"Experiential Learning")</f>
        <v>Experiential Learning</v>
      </c>
      <c r="M236" s="26"/>
      <c r="N236" s="26"/>
      <c r="O236" s="26"/>
    </row>
    <row r="237" ht="13.2" spans="1:15">
      <c r="A237" s="26">
        <f>IFERROR(__xludf.DUMMYFUNCTION("""COMPUTED_VALUE"""),235)</f>
        <v>235</v>
      </c>
      <c r="B237" s="26"/>
      <c r="C237" s="26" t="str">
        <f>IFERROR(__xludf.DUMMYFUNCTION("""COMPUTED_VALUE"""),"EEC")</f>
        <v>EEC</v>
      </c>
      <c r="D237" s="26" t="str">
        <f>IFERROR(__xludf.DUMMYFUNCTION("""COMPUTED_VALUE"""),"CS2701")</f>
        <v>CS2701</v>
      </c>
      <c r="E237" s="26" t="str">
        <f>IFERROR(__xludf.DUMMYFUNCTION("""COMPUTED_VALUE"""),"19IT701")</f>
        <v>19IT701</v>
      </c>
      <c r="F237" s="27" t="str">
        <f>IFERROR(__xludf.DUMMYFUNCTION("""COMPUTED_VALUE"""),"Mini Project")</f>
        <v>Mini Project</v>
      </c>
      <c r="G237" s="26" t="str">
        <f>IFERROR(__xludf.DUMMYFUNCTION("""COMPUTED_VALUE"""),"-")</f>
        <v>-</v>
      </c>
      <c r="H237" s="26">
        <f>IFERROR(__xludf.DUMMYFUNCTION("""COMPUTED_VALUE"""),0)</f>
        <v>0</v>
      </c>
      <c r="I237" s="26">
        <f>IFERROR(__xludf.DUMMYFUNCTION("""COMPUTED_VALUE"""),2)</f>
        <v>2</v>
      </c>
      <c r="J237" s="26">
        <f>IFERROR(__xludf.DUMMYFUNCTION("""COMPUTED_VALUE"""),2)</f>
        <v>2</v>
      </c>
      <c r="K237" s="26" t="str">
        <f>IFERROR(__xludf.DUMMYFUNCTION("""COMPUTED_VALUE"""),"CGPA")</f>
        <v>CGPA</v>
      </c>
      <c r="L237" s="26" t="str">
        <f>IFERROR(__xludf.DUMMYFUNCTION("""COMPUTED_VALUE"""),"Project (Int Only)")</f>
        <v>Project (Int Only)</v>
      </c>
      <c r="M237" s="26"/>
      <c r="N237" s="26"/>
      <c r="O237" s="26"/>
    </row>
    <row r="238" ht="13.2" spans="1:15">
      <c r="A238" s="26">
        <f>IFERROR(__xludf.DUMMYFUNCTION("""COMPUTED_VALUE"""),236)</f>
        <v>236</v>
      </c>
      <c r="B238" s="26" t="str">
        <f>IFERROR(__xludf.DUMMYFUNCTION("""COMPUTED_VALUE"""),"Option 1")</f>
        <v>Option 1</v>
      </c>
      <c r="C238" s="26" t="str">
        <f>IFERROR(__xludf.DUMMYFUNCTION("""COMPUTED_VALUE"""),"EEC")</f>
        <v>EEC</v>
      </c>
      <c r="D238" s="26" t="str">
        <f>IFERROR(__xludf.DUMMYFUNCTION("""COMPUTED_VALUE"""),"CS2702")</f>
        <v>CS2702</v>
      </c>
      <c r="E238" s="26" t="str">
        <f>IFERROR(__xludf.DUMMYFUNCTION("""COMPUTED_VALUE"""),"19IT702")</f>
        <v>19IT702</v>
      </c>
      <c r="F238" s="27" t="str">
        <f>IFERROR(__xludf.DUMMYFUNCTION("""COMPUTED_VALUE"""),"Project Work Phase I")</f>
        <v>Project Work Phase I</v>
      </c>
      <c r="G238" s="26" t="str">
        <f>IFERROR(__xludf.DUMMYFUNCTION("""COMPUTED_VALUE"""),"-")</f>
        <v>-</v>
      </c>
      <c r="H238" s="26">
        <f>IFERROR(__xludf.DUMMYFUNCTION("""COMPUTED_VALUE"""),0)</f>
        <v>0</v>
      </c>
      <c r="I238" s="26">
        <f>IFERROR(__xludf.DUMMYFUNCTION("""COMPUTED_VALUE"""),2)</f>
        <v>2</v>
      </c>
      <c r="J238" s="26">
        <f>IFERROR(__xludf.DUMMYFUNCTION("""COMPUTED_VALUE"""),2)</f>
        <v>2</v>
      </c>
      <c r="K238" s="26" t="str">
        <f>IFERROR(__xludf.DUMMYFUNCTION("""COMPUTED_VALUE"""),"CGPA")</f>
        <v>CGPA</v>
      </c>
      <c r="L238" s="26" t="str">
        <f>IFERROR(__xludf.DUMMYFUNCTION("""COMPUTED_VALUE"""),"Project (Int Only)")</f>
        <v>Project (Int Only)</v>
      </c>
      <c r="M238" s="26"/>
      <c r="N238" s="26"/>
      <c r="O238" s="26"/>
    </row>
    <row r="239" ht="13.2" spans="1:15">
      <c r="A239" s="26">
        <f>IFERROR(__xludf.DUMMYFUNCTION("""COMPUTED_VALUE"""),237)</f>
        <v>237</v>
      </c>
      <c r="B239" s="26" t="str">
        <f>IFERROR(__xludf.DUMMYFUNCTION("""COMPUTED_VALUE"""),"Option 1")</f>
        <v>Option 1</v>
      </c>
      <c r="C239" s="26" t="str">
        <f>IFERROR(__xludf.DUMMYFUNCTION("""COMPUTED_VALUE"""),"EEC")</f>
        <v>EEC</v>
      </c>
      <c r="D239" s="26" t="str">
        <f>IFERROR(__xludf.DUMMYFUNCTION("""COMPUTED_VALUE"""),"CS2703")</f>
        <v>CS2703</v>
      </c>
      <c r="E239" s="26" t="str">
        <f>IFERROR(__xludf.DUMMYFUNCTION("""COMPUTED_VALUE"""),"19IT703")</f>
        <v>19IT703</v>
      </c>
      <c r="F239" s="27" t="str">
        <f>IFERROR(__xludf.DUMMYFUNCTION("""COMPUTED_VALUE"""),"Project Work Phase II")</f>
        <v>Project Work Phase II</v>
      </c>
      <c r="G239" s="26" t="str">
        <f>IFERROR(__xludf.DUMMYFUNCTION("""COMPUTED_VALUE"""),"19CS702")</f>
        <v>19CS702</v>
      </c>
      <c r="H239" s="26">
        <f>IFERROR(__xludf.DUMMYFUNCTION("""COMPUTED_VALUE"""),0)</f>
        <v>0</v>
      </c>
      <c r="I239" s="26">
        <f>IFERROR(__xludf.DUMMYFUNCTION("""COMPUTED_VALUE"""),6)</f>
        <v>6</v>
      </c>
      <c r="J239" s="26">
        <f>IFERROR(__xludf.DUMMYFUNCTION("""COMPUTED_VALUE"""),6)</f>
        <v>6</v>
      </c>
      <c r="K239" s="26" t="str">
        <f>IFERROR(__xludf.DUMMYFUNCTION("""COMPUTED_VALUE"""),"CGPA")</f>
        <v>CGPA</v>
      </c>
      <c r="L239" s="26" t="str">
        <f>IFERROR(__xludf.DUMMYFUNCTION("""COMPUTED_VALUE"""),"Project")</f>
        <v>Project</v>
      </c>
      <c r="M239" s="26"/>
      <c r="N239" s="26"/>
      <c r="O239" s="26"/>
    </row>
    <row r="240" ht="13.2" spans="1:15">
      <c r="A240" s="26">
        <f>IFERROR(__xludf.DUMMYFUNCTION("""COMPUTED_VALUE"""),238)</f>
        <v>238</v>
      </c>
      <c r="B240" s="26" t="str">
        <f>IFERROR(__xludf.DUMMYFUNCTION("""COMPUTED_VALUE"""),"Option 2")</f>
        <v>Option 2</v>
      </c>
      <c r="C240" s="26" t="str">
        <f>IFERROR(__xludf.DUMMYFUNCTION("""COMPUTED_VALUE"""),"EEC")</f>
        <v>EEC</v>
      </c>
      <c r="D240" s="26" t="str">
        <f>IFERROR(__xludf.DUMMYFUNCTION("""COMPUTED_VALUE"""),"SH6802")</f>
        <v>SH6802</v>
      </c>
      <c r="E240" s="26" t="str">
        <f>IFERROR(__xludf.DUMMYFUNCTION("""COMPUTED_VALUE"""),"NA")</f>
        <v>NA</v>
      </c>
      <c r="F240" s="26" t="str">
        <f>IFERROR(__xludf.DUMMYFUNCTION("""COMPUTED_VALUE"""),"Start Up")</f>
        <v>Start Up</v>
      </c>
      <c r="G240" s="26" t="str">
        <f>IFERROR(__xludf.DUMMYFUNCTION("""COMPUTED_VALUE"""),"-")</f>
        <v>-</v>
      </c>
      <c r="H240" s="26">
        <f>IFERROR(__xludf.DUMMYFUNCTION("""COMPUTED_VALUE"""),0)</f>
        <v>0</v>
      </c>
      <c r="I240" s="26">
        <f>IFERROR(__xludf.DUMMYFUNCTION("""COMPUTED_VALUE"""),8)</f>
        <v>8</v>
      </c>
      <c r="J240" s="26">
        <f>IFERROR(__xludf.DUMMYFUNCTION("""COMPUTED_VALUE"""),8)</f>
        <v>8</v>
      </c>
      <c r="K240" s="26" t="str">
        <f>IFERROR(__xludf.DUMMYFUNCTION("""COMPUTED_VALUE"""),"CGPA")</f>
        <v>CGPA</v>
      </c>
      <c r="L240" s="26" t="str">
        <f>IFERROR(__xludf.DUMMYFUNCTION("""COMPUTED_VALUE"""),"Project")</f>
        <v>Project</v>
      </c>
      <c r="M240" s="26"/>
      <c r="N240" s="26"/>
      <c r="O240" s="26"/>
    </row>
    <row r="241" ht="13.2" spans="1:15">
      <c r="A241" s="26">
        <f>IFERROR(__xludf.DUMMYFUNCTION("""COMPUTED_VALUE"""),239)</f>
        <v>239</v>
      </c>
      <c r="B241" s="26"/>
      <c r="C241" s="26" t="str">
        <f>IFERROR(__xludf.DUMMYFUNCTION("""COMPUTED_VALUE"""),"EEC")</f>
        <v>EEC</v>
      </c>
      <c r="D241" s="26" t="str">
        <f>IFERROR(__xludf.DUMMYFUNCTION("""COMPUTED_VALUE"""),"SH6708")</f>
        <v>SH6708</v>
      </c>
      <c r="E241" s="26" t="str">
        <f>IFERROR(__xludf.DUMMYFUNCTION("""COMPUTED_VALUE"""),"19EY708")</f>
        <v>19EY708</v>
      </c>
      <c r="F241" s="27" t="str">
        <f>IFERROR(__xludf.DUMMYFUNCTION("""COMPUTED_VALUE"""),"Career Development Skills")</f>
        <v>Career Development Skills</v>
      </c>
      <c r="G241" s="26" t="str">
        <f>IFERROR(__xludf.DUMMYFUNCTION("""COMPUTED_VALUE"""),"NIL")</f>
        <v>NIL</v>
      </c>
      <c r="H241" s="26">
        <f>IFERROR(__xludf.DUMMYFUNCTION("""COMPUTED_VALUE"""),1)</f>
        <v>1</v>
      </c>
      <c r="I241" s="26">
        <f>IFERROR(__xludf.DUMMYFUNCTION("""COMPUTED_VALUE"""),0)</f>
        <v>0</v>
      </c>
      <c r="J241" s="26">
        <f>IFERROR(__xludf.DUMMYFUNCTION("""COMPUTED_VALUE"""),1)</f>
        <v>1</v>
      </c>
      <c r="K241" s="26" t="str">
        <f>IFERROR(__xludf.DUMMYFUNCTION("""COMPUTED_VALUE"""),"CGPA")</f>
        <v>CGPA</v>
      </c>
      <c r="L241" s="26" t="str">
        <f>IFERROR(__xludf.DUMMYFUNCTION("""COMPUTED_VALUE"""),"Theory (Int Only)")</f>
        <v>Theory (Int Only)</v>
      </c>
      <c r="M241" s="26"/>
      <c r="N241" s="26"/>
      <c r="O241" s="26"/>
    </row>
    <row r="242" ht="13.2" spans="1:15">
      <c r="A242" s="26">
        <f>IFERROR(__xludf.DUMMYFUNCTION("""COMPUTED_VALUE"""),240)</f>
        <v>240</v>
      </c>
      <c r="B242" s="26"/>
      <c r="C242" s="26" t="str">
        <f>IFERROR(__xludf.DUMMYFUNCTION("""COMPUTED_VALUE"""),"EEC")</f>
        <v>EEC</v>
      </c>
      <c r="D242" s="26" t="str">
        <f>IFERROR(__xludf.DUMMYFUNCTION("""COMPUTED_VALUE"""),"SH6709")</f>
        <v>SH6709</v>
      </c>
      <c r="E242" s="26" t="str">
        <f>IFERROR(__xludf.DUMMYFUNCTION("""COMPUTED_VALUE"""),"19EY709")</f>
        <v>19EY709</v>
      </c>
      <c r="F242" s="27" t="str">
        <f>IFERROR(__xludf.DUMMYFUNCTION("""COMPUTED_VALUE"""),"Reasoning Ability")</f>
        <v>Reasoning Ability</v>
      </c>
      <c r="G242" s="26" t="str">
        <f>IFERROR(__xludf.DUMMYFUNCTION("""COMPUTED_VALUE"""),"NIL")</f>
        <v>NIL</v>
      </c>
      <c r="H242" s="26">
        <f>IFERROR(__xludf.DUMMYFUNCTION("""COMPUTED_VALUE"""),1)</f>
        <v>1</v>
      </c>
      <c r="I242" s="26">
        <f>IFERROR(__xludf.DUMMYFUNCTION("""COMPUTED_VALUE"""),0)</f>
        <v>0</v>
      </c>
      <c r="J242" s="26">
        <f>IFERROR(__xludf.DUMMYFUNCTION("""COMPUTED_VALUE"""),1)</f>
        <v>1</v>
      </c>
      <c r="K242" s="26" t="str">
        <f>IFERROR(__xludf.DUMMYFUNCTION("""COMPUTED_VALUE"""),"CGPA")</f>
        <v>CGPA</v>
      </c>
      <c r="L242" s="26" t="str">
        <f>IFERROR(__xludf.DUMMYFUNCTION("""COMPUTED_VALUE"""),"Theory (Int Only)")</f>
        <v>Theory (Int Only)</v>
      </c>
      <c r="M242" s="26"/>
      <c r="N242" s="26"/>
      <c r="O242" s="26"/>
    </row>
    <row r="243" ht="13.2" spans="1:15">
      <c r="A243" s="26">
        <f>IFERROR(__xludf.DUMMYFUNCTION("""COMPUTED_VALUE"""),241)</f>
        <v>241</v>
      </c>
      <c r="B243" s="26"/>
      <c r="C243" s="26" t="str">
        <f>IFERROR(__xludf.DUMMYFUNCTION("""COMPUTED_VALUE"""),"EEC")</f>
        <v>EEC</v>
      </c>
      <c r="D243" s="26" t="str">
        <f>IFERROR(__xludf.DUMMYFUNCTION("""COMPUTED_VALUE"""),"SH6710")</f>
        <v>SH6710</v>
      </c>
      <c r="E243" s="26" t="str">
        <f>IFERROR(__xludf.DUMMYFUNCTION("""COMPUTED_VALUE"""),"19EY710")</f>
        <v>19EY710</v>
      </c>
      <c r="F243" s="27" t="str">
        <f>IFERROR(__xludf.DUMMYFUNCTION("""COMPUTED_VALUE"""),"Quantitative Ability I")</f>
        <v>Quantitative Ability I</v>
      </c>
      <c r="G243" s="26" t="str">
        <f>IFERROR(__xludf.DUMMYFUNCTION("""COMPUTED_VALUE"""),"NIL")</f>
        <v>NIL</v>
      </c>
      <c r="H243" s="26">
        <f>IFERROR(__xludf.DUMMYFUNCTION("""COMPUTED_VALUE"""),1)</f>
        <v>1</v>
      </c>
      <c r="I243" s="26">
        <f>IFERROR(__xludf.DUMMYFUNCTION("""COMPUTED_VALUE"""),0)</f>
        <v>0</v>
      </c>
      <c r="J243" s="26">
        <f>IFERROR(__xludf.DUMMYFUNCTION("""COMPUTED_VALUE"""),1)</f>
        <v>1</v>
      </c>
      <c r="K243" s="26" t="str">
        <f>IFERROR(__xludf.DUMMYFUNCTION("""COMPUTED_VALUE"""),"CGPA")</f>
        <v>CGPA</v>
      </c>
      <c r="L243" s="26" t="str">
        <f>IFERROR(__xludf.DUMMYFUNCTION("""COMPUTED_VALUE"""),"Theory (Int Only)")</f>
        <v>Theory (Int Only)</v>
      </c>
      <c r="M243" s="26"/>
      <c r="N243" s="26"/>
      <c r="O243" s="26"/>
    </row>
    <row r="244" ht="13.2" spans="1:15">
      <c r="A244" s="26">
        <f>IFERROR(__xludf.DUMMYFUNCTION("""COMPUTED_VALUE"""),242)</f>
        <v>242</v>
      </c>
      <c r="B244" s="26"/>
      <c r="C244" s="26" t="str">
        <f>IFERROR(__xludf.DUMMYFUNCTION("""COMPUTED_VALUE"""),"EEC")</f>
        <v>EEC</v>
      </c>
      <c r="D244" s="26" t="str">
        <f>IFERROR(__xludf.DUMMYFUNCTION("""COMPUTED_VALUE"""),"SH6711")</f>
        <v>SH6711</v>
      </c>
      <c r="E244" s="26" t="str">
        <f>IFERROR(__xludf.DUMMYFUNCTION("""COMPUTED_VALUE"""),"19EY711")</f>
        <v>19EY711</v>
      </c>
      <c r="F244" s="27" t="str">
        <f>IFERROR(__xludf.DUMMYFUNCTION("""COMPUTED_VALUE"""),"Quantitative Ability II")</f>
        <v>Quantitative Ability II</v>
      </c>
      <c r="G244" s="26" t="str">
        <f>IFERROR(__xludf.DUMMYFUNCTION("""COMPUTED_VALUE"""),"SH6710 /19EY710")</f>
        <v>SH6710 /19EY710</v>
      </c>
      <c r="H244" s="26">
        <f>IFERROR(__xludf.DUMMYFUNCTION("""COMPUTED_VALUE"""),1)</f>
        <v>1</v>
      </c>
      <c r="I244" s="26">
        <f>IFERROR(__xludf.DUMMYFUNCTION("""COMPUTED_VALUE"""),0)</f>
        <v>0</v>
      </c>
      <c r="J244" s="26">
        <f>IFERROR(__xludf.DUMMYFUNCTION("""COMPUTED_VALUE"""),1)</f>
        <v>1</v>
      </c>
      <c r="K244" s="26" t="str">
        <f>IFERROR(__xludf.DUMMYFUNCTION("""COMPUTED_VALUE"""),"CGPA")</f>
        <v>CGPA</v>
      </c>
      <c r="L244" s="26" t="str">
        <f>IFERROR(__xludf.DUMMYFUNCTION("""COMPUTED_VALUE"""),"Theory (Int Only)")</f>
        <v>Theory (Int Only)</v>
      </c>
      <c r="M244" s="26"/>
      <c r="N244" s="26"/>
      <c r="O244" s="26"/>
    </row>
    <row r="245" ht="13.2" spans="1:15">
      <c r="A245" s="26">
        <f>IFERROR(__xludf.DUMMYFUNCTION("""COMPUTED_VALUE"""),243)</f>
        <v>243</v>
      </c>
      <c r="B245" s="26"/>
      <c r="C245" s="26" t="str">
        <f>IFERROR(__xludf.DUMMYFUNCTION("""COMPUTED_VALUE"""),"EEC")</f>
        <v>EEC</v>
      </c>
      <c r="D245" s="26" t="str">
        <f>IFERROR(__xludf.DUMMYFUNCTION("""COMPUTED_VALUE"""),"SH6712")</f>
        <v>SH6712</v>
      </c>
      <c r="E245" s="26" t="str">
        <f>IFERROR(__xludf.DUMMYFUNCTION("""COMPUTED_VALUE"""),"19EY712")</f>
        <v>19EY712</v>
      </c>
      <c r="F245" s="27" t="str">
        <f>IFERROR(__xludf.DUMMYFUNCTION("""COMPUTED_VALUE"""),"Employment Enrichment Skills")</f>
        <v>Employment Enrichment Skills</v>
      </c>
      <c r="G245" s="26" t="str">
        <f>IFERROR(__xludf.DUMMYFUNCTION("""COMPUTED_VALUE"""),"19EY702 / 19EY709 / SH6709")</f>
        <v>19EY702 / 19EY709 / SH6709</v>
      </c>
      <c r="H245" s="26">
        <f>IFERROR(__xludf.DUMMYFUNCTION("""COMPUTED_VALUE"""),1)</f>
        <v>1</v>
      </c>
      <c r="I245" s="26">
        <f>IFERROR(__xludf.DUMMYFUNCTION("""COMPUTED_VALUE"""),0)</f>
        <v>0</v>
      </c>
      <c r="J245" s="26">
        <f>IFERROR(__xludf.DUMMYFUNCTION("""COMPUTED_VALUE"""),1)</f>
        <v>1</v>
      </c>
      <c r="K245" s="26" t="str">
        <f>IFERROR(__xludf.DUMMYFUNCTION("""COMPUTED_VALUE"""),"CGPA")</f>
        <v>CGPA</v>
      </c>
      <c r="L245" s="26" t="str">
        <f>IFERROR(__xludf.DUMMYFUNCTION("""COMPUTED_VALUE"""),"Theory (Int Only)")</f>
        <v>Theory (Int Only)</v>
      </c>
      <c r="M245" s="26"/>
      <c r="N245" s="26"/>
      <c r="O245" s="26"/>
    </row>
    <row r="246" ht="13.2" spans="1:15">
      <c r="A246" s="26">
        <f>IFERROR(__xludf.DUMMYFUNCTION("""COMPUTED_VALUE"""),244)</f>
        <v>244</v>
      </c>
      <c r="B246" s="26" t="str">
        <f>IFERROR(__xludf.DUMMYFUNCTION("""COMPUTED_VALUE"""),"Any 1")</f>
        <v>Any 1</v>
      </c>
      <c r="C246" s="26" t="str">
        <f>IFERROR(__xludf.DUMMYFUNCTION("""COMPUTED_VALUE"""),"EEC")</f>
        <v>EEC</v>
      </c>
      <c r="D246" s="26" t="str">
        <f>IFERROR(__xludf.DUMMYFUNCTION("""COMPUTED_VALUE"""),"NA")</f>
        <v>NA</v>
      </c>
      <c r="E246" s="26" t="str">
        <f>IFERROR(__xludf.DUMMYFUNCTION("""COMPUTED_VALUE"""),"19EY706")</f>
        <v>19EY706</v>
      </c>
      <c r="F246" s="27" t="str">
        <f>IFERROR(__xludf.DUMMYFUNCTION("""COMPUTED_VALUE"""),"Company Specific Assessments For Employability")</f>
        <v>Company Specific Assessments For Employability</v>
      </c>
      <c r="G246" s="26" t="str">
        <f>IFERROR(__xludf.DUMMYFUNCTION("""COMPUTED_VALUE"""),"-")</f>
        <v>-</v>
      </c>
      <c r="H246" s="26">
        <f>IFERROR(__xludf.DUMMYFUNCTION("""COMPUTED_VALUE"""),0)</f>
        <v>0</v>
      </c>
      <c r="I246" s="26">
        <f>IFERROR(__xludf.DUMMYFUNCTION("""COMPUTED_VALUE"""),1)</f>
        <v>1</v>
      </c>
      <c r="J246" s="26">
        <f>IFERROR(__xludf.DUMMYFUNCTION("""COMPUTED_VALUE"""),1)</f>
        <v>1</v>
      </c>
      <c r="K246" s="26" t="str">
        <f>IFERROR(__xludf.DUMMYFUNCTION("""COMPUTED_VALUE"""),"CGPA")</f>
        <v>CGPA</v>
      </c>
      <c r="L246" s="26" t="str">
        <f>IFERROR(__xludf.DUMMYFUNCTION("""COMPUTED_VALUE"""),"Practical (6 Expts)")</f>
        <v>Practical (6 Expts)</v>
      </c>
      <c r="M246" s="26"/>
      <c r="N246" s="26"/>
      <c r="O246" s="26"/>
    </row>
    <row r="247" ht="13.2" spans="1:15">
      <c r="A247" s="26">
        <f>IFERROR(__xludf.DUMMYFUNCTION("""COMPUTED_VALUE"""),245)</f>
        <v>245</v>
      </c>
      <c r="B247" s="26" t="str">
        <f>IFERROR(__xludf.DUMMYFUNCTION("""COMPUTED_VALUE"""),"Any 1")</f>
        <v>Any 1</v>
      </c>
      <c r="C247" s="26"/>
      <c r="D247" s="26" t="str">
        <f>IFERROR(__xludf.DUMMYFUNCTION("""COMPUTED_VALUE"""),"SH6713")</f>
        <v>SH6713</v>
      </c>
      <c r="E247" s="26" t="str">
        <f>IFERROR(__xludf.DUMMYFUNCTION("""COMPUTED_VALUE"""),"19EY713")</f>
        <v>19EY713</v>
      </c>
      <c r="F247" s="27" t="str">
        <f>IFERROR(__xludf.DUMMYFUNCTION("""COMPUTED_VALUE"""),"Placement Readiness Assessment")</f>
        <v>Placement Readiness Assessment</v>
      </c>
      <c r="G247" s="26" t="str">
        <f>IFERROR(__xludf.DUMMYFUNCTION("""COMPUTED_VALUE"""),"19EY704 / 19EY711/SH6711")</f>
        <v>19EY704 / 19EY711/SH6711</v>
      </c>
      <c r="H247" s="26">
        <f>IFERROR(__xludf.DUMMYFUNCTION("""COMPUTED_VALUE"""),1)</f>
        <v>1</v>
      </c>
      <c r="I247" s="26">
        <f>IFERROR(__xludf.DUMMYFUNCTION("""COMPUTED_VALUE"""),0)</f>
        <v>0</v>
      </c>
      <c r="J247" s="26">
        <f>IFERROR(__xludf.DUMMYFUNCTION("""COMPUTED_VALUE"""),1)</f>
        <v>1</v>
      </c>
      <c r="K247" s="26" t="str">
        <f>IFERROR(__xludf.DUMMYFUNCTION("""COMPUTED_VALUE"""),"CGPA")</f>
        <v>CGPA</v>
      </c>
      <c r="L247" s="26" t="str">
        <f>IFERROR(__xludf.DUMMYFUNCTION("""COMPUTED_VALUE"""),"Theory (Int Only)")</f>
        <v>Theory (Int Only)</v>
      </c>
      <c r="M247" s="26"/>
      <c r="N247" s="26"/>
      <c r="O247" s="26"/>
    </row>
    <row r="248" ht="13.2" spans="1:15">
      <c r="A248" s="26">
        <f>IFERROR(__xludf.DUMMYFUNCTION("""COMPUTED_VALUE"""),246)</f>
        <v>246</v>
      </c>
      <c r="B248" s="26"/>
      <c r="C248" s="26" t="str">
        <f>IFERROR(__xludf.DUMMYFUNCTION("""COMPUTED_VALUE"""),"EEC")</f>
        <v>EEC</v>
      </c>
      <c r="D248" s="26" t="str">
        <f>IFERROR(__xludf.DUMMYFUNCTION("""COMPUTED_VALUE"""),"SH6707")</f>
        <v>SH6707</v>
      </c>
      <c r="E248" s="26" t="str">
        <f>IFERROR(__xludf.DUMMYFUNCTION("""COMPUTED_VALUE"""),"19EY707")</f>
        <v>19EY707</v>
      </c>
      <c r="F248" s="27" t="str">
        <f>IFERROR(__xludf.DUMMYFUNCTION("""COMPUTED_VALUE"""),"Paper Publication")</f>
        <v>Paper Publication</v>
      </c>
      <c r="G248" s="26" t="str">
        <f>IFERROR(__xludf.DUMMYFUNCTION("""COMPUTED_VALUE"""),"-")</f>
        <v>-</v>
      </c>
      <c r="H248" s="26">
        <f>IFERROR(__xludf.DUMMYFUNCTION("""COMPUTED_VALUE"""),0)</f>
        <v>0</v>
      </c>
      <c r="I248" s="26">
        <f>IFERROR(__xludf.DUMMYFUNCTION("""COMPUTED_VALUE"""),0)</f>
        <v>0</v>
      </c>
      <c r="J248" s="26">
        <f>IFERROR(__xludf.DUMMYFUNCTION("""COMPUTED_VALUE"""),1)</f>
        <v>1</v>
      </c>
      <c r="K248" s="26" t="str">
        <f>IFERROR(__xludf.DUMMYFUNCTION("""COMPUTED_VALUE"""),"NON-CGPA")</f>
        <v>NON-CGPA</v>
      </c>
      <c r="L248" s="26" t="str">
        <f>IFERROR(__xludf.DUMMYFUNCTION("""COMPUTED_VALUE"""),"Experiential Learning (Int Only)")</f>
        <v>Experiential Learning (Int Only)</v>
      </c>
      <c r="M248" s="26"/>
      <c r="N248" s="26"/>
      <c r="O248" s="26"/>
    </row>
    <row r="249" ht="13.2" spans="1:15">
      <c r="A249" s="26">
        <f>IFERROR(__xludf.DUMMYFUNCTION("""COMPUTED_VALUE"""),247)</f>
        <v>247</v>
      </c>
      <c r="B249" s="26"/>
      <c r="C249" s="26" t="str">
        <f>IFERROR(__xludf.DUMMYFUNCTION("""COMPUTED_VALUE"""),"MC")</f>
        <v>MC</v>
      </c>
      <c r="D249" s="26" t="str">
        <f>IFERROR(__xludf.DUMMYFUNCTION("""COMPUTED_VALUE"""),"SH8801")</f>
        <v>SH8801</v>
      </c>
      <c r="E249" s="26" t="str">
        <f>IFERROR(__xludf.DUMMYFUNCTION("""COMPUTED_VALUE"""),"NA")</f>
        <v>NA</v>
      </c>
      <c r="F249" s="27" t="str">
        <f>IFERROR(__xludf.DUMMYFUNCTION("""COMPUTED_VALUE"""),"Constitutionalism and Artificial Intelligence Policies in India")</f>
        <v>Constitutionalism and Artificial Intelligence Policies in India</v>
      </c>
      <c r="G249" s="26" t="str">
        <f>IFERROR(__xludf.DUMMYFUNCTION("""COMPUTED_VALUE"""),"-")</f>
        <v>-</v>
      </c>
      <c r="H249" s="26">
        <f>IFERROR(__xludf.DUMMYFUNCTION("""COMPUTED_VALUE"""),1)</f>
        <v>1</v>
      </c>
      <c r="I249" s="26">
        <f>IFERROR(__xludf.DUMMYFUNCTION("""COMPUTED_VALUE"""),0)</f>
        <v>0</v>
      </c>
      <c r="J249" s="26">
        <f>IFERROR(__xludf.DUMMYFUNCTION("""COMPUTED_VALUE"""),1)</f>
        <v>1</v>
      </c>
      <c r="K249" s="26" t="str">
        <f>IFERROR(__xludf.DUMMYFUNCTION("""COMPUTED_VALUE"""),"NON-CGPA")</f>
        <v>NON-CGPA</v>
      </c>
      <c r="L249" s="26" t="str">
        <f>IFERROR(__xludf.DUMMYFUNCTION("""COMPUTED_VALUE"""),"Theory (Int Only)")</f>
        <v>Theory (Int Only)</v>
      </c>
      <c r="M249" s="26"/>
      <c r="N249" s="26"/>
      <c r="O249" s="26"/>
    </row>
    <row r="250" ht="13.2" spans="1:15">
      <c r="A250" s="26">
        <f>IFERROR(__xludf.DUMMYFUNCTION("""COMPUTED_VALUE"""),248)</f>
        <v>248</v>
      </c>
      <c r="B250" s="26" t="str">
        <f>IFERROR(__xludf.DUMMYFUNCTION("""COMPUTED_VALUE"""),"Any 1")</f>
        <v>Any 1</v>
      </c>
      <c r="C250" s="26" t="str">
        <f>IFERROR(__xludf.DUMMYFUNCTION("""COMPUTED_VALUE"""),"MC")</f>
        <v>MC</v>
      </c>
      <c r="D250" s="26" t="str">
        <f>IFERROR(__xludf.DUMMYFUNCTION("""COMPUTED_VALUE"""),"SH8802")</f>
        <v>SH8802</v>
      </c>
      <c r="E250" s="26" t="str">
        <f>IFERROR(__xludf.DUMMYFUNCTION("""COMPUTED_VALUE"""),"NA")</f>
        <v>NA</v>
      </c>
      <c r="F250" s="27" t="str">
        <f>IFERROR(__xludf.DUMMYFUNCTION("""COMPUTED_VALUE"""),"Internship")</f>
        <v>Internship</v>
      </c>
      <c r="G250" s="26" t="str">
        <f>IFERROR(__xludf.DUMMYFUNCTION("""COMPUTED_VALUE"""),"-")</f>
        <v>-</v>
      </c>
      <c r="H250" s="26">
        <f>IFERROR(__xludf.DUMMYFUNCTION("""COMPUTED_VALUE"""),0)</f>
        <v>0</v>
      </c>
      <c r="I250" s="26">
        <f>IFERROR(__xludf.DUMMYFUNCTION("""COMPUTED_VALUE"""),0)</f>
        <v>0</v>
      </c>
      <c r="J250" s="26">
        <f>IFERROR(__xludf.DUMMYFUNCTION("""COMPUTED_VALUE"""),2)</f>
        <v>2</v>
      </c>
      <c r="K250" s="26" t="str">
        <f>IFERROR(__xludf.DUMMYFUNCTION("""COMPUTED_VALUE"""),"NON-CGPA")</f>
        <v>NON-CGPA</v>
      </c>
      <c r="L250" s="26" t="str">
        <f>IFERROR(__xludf.DUMMYFUNCTION("""COMPUTED_VALUE"""),"Experiential Learning (Int Only)")</f>
        <v>Experiential Learning (Int Only)</v>
      </c>
      <c r="M250" s="26"/>
      <c r="N250" s="26"/>
      <c r="O250" s="26"/>
    </row>
    <row r="251" ht="13.2" spans="1:15">
      <c r="A251" s="26">
        <f>IFERROR(__xludf.DUMMYFUNCTION("""COMPUTED_VALUE"""),249)</f>
        <v>249</v>
      </c>
      <c r="B251" s="26" t="str">
        <f>IFERROR(__xludf.DUMMYFUNCTION("""COMPUTED_VALUE"""),"Any 1")</f>
        <v>Any 1</v>
      </c>
      <c r="C251" s="26" t="str">
        <f>IFERROR(__xludf.DUMMYFUNCTION("""COMPUTED_VALUE"""),"MC")</f>
        <v>MC</v>
      </c>
      <c r="D251" s="26" t="str">
        <f>IFERROR(__xludf.DUMMYFUNCTION("""COMPUTED_VALUE"""),"SH8803")</f>
        <v>SH8803</v>
      </c>
      <c r="E251" s="26" t="str">
        <f>IFERROR(__xludf.DUMMYFUNCTION("""COMPUTED_VALUE"""),"NA")</f>
        <v>NA</v>
      </c>
      <c r="F251" s="26" t="str">
        <f>IFERROR(__xludf.DUMMYFUNCTION("""COMPUTED_VALUE"""),"Entrepreneurship")</f>
        <v>Entrepreneurship</v>
      </c>
      <c r="G251" s="26" t="str">
        <f>IFERROR(__xludf.DUMMYFUNCTION("""COMPUTED_VALUE"""),"-")</f>
        <v>-</v>
      </c>
      <c r="H251" s="26">
        <f>IFERROR(__xludf.DUMMYFUNCTION("""COMPUTED_VALUE"""),0)</f>
        <v>0</v>
      </c>
      <c r="I251" s="26">
        <f>IFERROR(__xludf.DUMMYFUNCTION("""COMPUTED_VALUE"""),0)</f>
        <v>0</v>
      </c>
      <c r="J251" s="26">
        <f>IFERROR(__xludf.DUMMYFUNCTION("""COMPUTED_VALUE"""),2)</f>
        <v>2</v>
      </c>
      <c r="K251" s="26" t="str">
        <f>IFERROR(__xludf.DUMMYFUNCTION("""COMPUTED_VALUE"""),"NON-CGPA")</f>
        <v>NON-CGPA</v>
      </c>
      <c r="L251" s="26" t="str">
        <f>IFERROR(__xludf.DUMMYFUNCTION("""COMPUTED_VALUE"""),"Experiential Learning (Int Only)")</f>
        <v>Experiential Learning (Int Only)</v>
      </c>
      <c r="M251" s="26"/>
      <c r="N251" s="26"/>
      <c r="O251" s="26"/>
    </row>
    <row r="252" ht="13.2" spans="1:15">
      <c r="A252" s="26">
        <f>IFERROR(__xludf.DUMMYFUNCTION("""COMPUTED_VALUE"""),250)</f>
        <v>250</v>
      </c>
      <c r="B252" s="26" t="str">
        <f>IFERROR(__xludf.DUMMYFUNCTION("""COMPUTED_VALUE"""),"Any 1")</f>
        <v>Any 1</v>
      </c>
      <c r="C252" s="26" t="str">
        <f>IFERROR(__xludf.DUMMYFUNCTION("""COMPUTED_VALUE"""),"MC")</f>
        <v>MC</v>
      </c>
      <c r="D252" s="26" t="str">
        <f>IFERROR(__xludf.DUMMYFUNCTION("""COMPUTED_VALUE"""),"SH6803")</f>
        <v>SH6803</v>
      </c>
      <c r="E252" s="26" t="str">
        <f>IFERROR(__xludf.DUMMYFUNCTION("""COMPUTED_VALUE"""),"19MC807")</f>
        <v>19MC807</v>
      </c>
      <c r="F252" s="26" t="str">
        <f>IFERROR(__xludf.DUMMYFUNCTION("""COMPUTED_VALUE"""),"National Service Scheme")</f>
        <v>National Service Scheme</v>
      </c>
      <c r="G252" s="26" t="str">
        <f>IFERROR(__xludf.DUMMYFUNCTION("""COMPUTED_VALUE"""),"-")</f>
        <v>-</v>
      </c>
      <c r="H252" s="26">
        <f>IFERROR(__xludf.DUMMYFUNCTION("""COMPUTED_VALUE"""),0)</f>
        <v>0</v>
      </c>
      <c r="I252" s="26">
        <f>IFERROR(__xludf.DUMMYFUNCTION("""COMPUTED_VALUE"""),0)</f>
        <v>0</v>
      </c>
      <c r="J252" s="26">
        <f>IFERROR(__xludf.DUMMYFUNCTION("""COMPUTED_VALUE"""),0)</f>
        <v>0</v>
      </c>
      <c r="K252" s="26" t="str">
        <f>IFERROR(__xludf.DUMMYFUNCTION("""COMPUTED_VALUE"""),"NON-CGPA")</f>
        <v>NON-CGPA</v>
      </c>
      <c r="L252" s="26" t="str">
        <f>IFERROR(__xludf.DUMMYFUNCTION("""COMPUTED_VALUE"""),"Experiential Learning (Int Only)")</f>
        <v>Experiential Learning (Int Only)</v>
      </c>
      <c r="M252" s="26"/>
      <c r="N252" s="26"/>
      <c r="O252" s="26"/>
    </row>
    <row r="253" ht="13.2" spans="1:15">
      <c r="A253" s="26">
        <f>IFERROR(__xludf.DUMMYFUNCTION("""COMPUTED_VALUE"""),251)</f>
        <v>251</v>
      </c>
      <c r="B253" s="26" t="str">
        <f>IFERROR(__xludf.DUMMYFUNCTION("""COMPUTED_VALUE"""),"Any 1")</f>
        <v>Any 1</v>
      </c>
      <c r="C253" s="26" t="str">
        <f>IFERROR(__xludf.DUMMYFUNCTION("""COMPUTED_VALUE"""),"MC")</f>
        <v>MC</v>
      </c>
      <c r="D253" s="26" t="str">
        <f>IFERROR(__xludf.DUMMYFUNCTION("""COMPUTED_VALUE"""),"SH8807")</f>
        <v>SH8807</v>
      </c>
      <c r="E253" s="26" t="str">
        <f>IFERROR(__xludf.DUMMYFUNCTION("""COMPUTED_VALUE"""),"19MC808")</f>
        <v>19MC808</v>
      </c>
      <c r="F253" s="26" t="str">
        <f>IFERROR(__xludf.DUMMYFUNCTION("""COMPUTED_VALUE"""),"National Sports Organization ")</f>
        <v>National Sports Organization </v>
      </c>
      <c r="G253" s="26" t="str">
        <f>IFERROR(__xludf.DUMMYFUNCTION("""COMPUTED_VALUE"""),"-")</f>
        <v>-</v>
      </c>
      <c r="H253" s="26">
        <f>IFERROR(__xludf.DUMMYFUNCTION("""COMPUTED_VALUE"""),0)</f>
        <v>0</v>
      </c>
      <c r="I253" s="26">
        <f>IFERROR(__xludf.DUMMYFUNCTION("""COMPUTED_VALUE"""),0)</f>
        <v>0</v>
      </c>
      <c r="J253" s="26">
        <f>IFERROR(__xludf.DUMMYFUNCTION("""COMPUTED_VALUE"""),0)</f>
        <v>0</v>
      </c>
      <c r="K253" s="26" t="str">
        <f>IFERROR(__xludf.DUMMYFUNCTION("""COMPUTED_VALUE"""),"NON-CGPA")</f>
        <v>NON-CGPA</v>
      </c>
      <c r="L253" s="26" t="str">
        <f>IFERROR(__xludf.DUMMYFUNCTION("""COMPUTED_VALUE"""),"Experiential Learning (Int Only)")</f>
        <v>Experiential Learning (Int Only)</v>
      </c>
      <c r="M253" s="26"/>
      <c r="N253" s="26"/>
      <c r="O253" s="26"/>
    </row>
    <row r="254" ht="13.2" spans="1:15">
      <c r="A254" s="26">
        <f>IFERROR(__xludf.DUMMYFUNCTION("""COMPUTED_VALUE"""),252)</f>
        <v>252</v>
      </c>
      <c r="B254" s="26" t="str">
        <f>IFERROR(__xludf.DUMMYFUNCTION("""COMPUTED_VALUE"""),"Any 1")</f>
        <v>Any 1</v>
      </c>
      <c r="C254" s="26" t="str">
        <f>IFERROR(__xludf.DUMMYFUNCTION("""COMPUTED_VALUE"""),"MC")</f>
        <v>MC</v>
      </c>
      <c r="D254" s="26" t="str">
        <f>IFERROR(__xludf.DUMMYFUNCTION("""COMPUTED_VALUE"""),"SH8808")</f>
        <v>SH8808</v>
      </c>
      <c r="E254" s="26" t="str">
        <f>IFERROR(__xludf.DUMMYFUNCTION("""COMPUTED_VALUE"""),"19MC809")</f>
        <v>19MC809</v>
      </c>
      <c r="F254" s="26" t="str">
        <f>IFERROR(__xludf.DUMMYFUNCTION("""COMPUTED_VALUE"""),"Youth Red Cross")</f>
        <v>Youth Red Cross</v>
      </c>
      <c r="G254" s="26" t="str">
        <f>IFERROR(__xludf.DUMMYFUNCTION("""COMPUTED_VALUE"""),"-")</f>
        <v>-</v>
      </c>
      <c r="H254" s="26">
        <f>IFERROR(__xludf.DUMMYFUNCTION("""COMPUTED_VALUE"""),0)</f>
        <v>0</v>
      </c>
      <c r="I254" s="26">
        <f>IFERROR(__xludf.DUMMYFUNCTION("""COMPUTED_VALUE"""),0)</f>
        <v>0</v>
      </c>
      <c r="J254" s="26">
        <f>IFERROR(__xludf.DUMMYFUNCTION("""COMPUTED_VALUE"""),0)</f>
        <v>0</v>
      </c>
      <c r="K254" s="26" t="str">
        <f>IFERROR(__xludf.DUMMYFUNCTION("""COMPUTED_VALUE"""),"NON-CGPA")</f>
        <v>NON-CGPA</v>
      </c>
      <c r="L254" s="26" t="str">
        <f>IFERROR(__xludf.DUMMYFUNCTION("""COMPUTED_VALUE"""),"Experiential Learning (Int Only)")</f>
        <v>Experiential Learning (Int Only)</v>
      </c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  <row r="811" ht="13.2" spans="1: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</row>
    <row r="812" ht="13.2" spans="1: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</row>
    <row r="813" ht="13.2" spans="1: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</row>
    <row r="814" ht="13.2" spans="1: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</row>
    <row r="815" ht="13.2" spans="1: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</row>
    <row r="816" ht="13.2" spans="1: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</row>
    <row r="817" ht="13.2" spans="1: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</row>
    <row r="818" ht="13.2" spans="1: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</row>
    <row r="819" ht="13.2" spans="1: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</row>
    <row r="820" ht="13.2" spans="1: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</row>
    <row r="821" ht="13.2" spans="1: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</row>
    <row r="822" ht="13.2" spans="1: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</row>
    <row r="823" ht="13.2" spans="1: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</row>
    <row r="824" ht="13.2" spans="1: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</row>
    <row r="825" ht="13.2" spans="1: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</row>
    <row r="826" ht="13.2" spans="1: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</row>
    <row r="827" ht="13.2" spans="1: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</row>
    <row r="828" ht="13.2" spans="1: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</row>
    <row r="829" ht="13.2" spans="1: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</row>
    <row r="830" ht="13.2" spans="1: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</row>
    <row r="831" ht="13.2" spans="1: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</row>
    <row r="832" ht="13.2" spans="1: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</row>
    <row r="833" ht="13.2" spans="1: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</row>
    <row r="834" ht="13.2" spans="1: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</row>
    <row r="835" ht="13.2" spans="1: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</row>
    <row r="836" ht="13.2" spans="1: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</row>
    <row r="837" ht="13.2" spans="1: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</row>
    <row r="838" ht="13.2" spans="1: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</row>
    <row r="839" ht="13.2" spans="1: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</row>
    <row r="840" ht="13.2" spans="1: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</row>
    <row r="841" ht="13.2" spans="1: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</row>
    <row r="842" ht="13.2" spans="1: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</row>
    <row r="843" ht="13.2" spans="1: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</row>
    <row r="844" ht="13.2" spans="1: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</row>
    <row r="845" ht="13.2" spans="1: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</row>
    <row r="846" ht="13.2" spans="1: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</row>
    <row r="847" ht="13.2" spans="1: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</row>
    <row r="848" ht="13.2" spans="1: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</row>
    <row r="849" ht="13.2" spans="1: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</row>
    <row r="850" ht="13.2" spans="1: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</row>
    <row r="851" ht="13.2" spans="1: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</row>
    <row r="852" ht="13.2" spans="1: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</row>
    <row r="853" ht="13.2" spans="1: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</row>
    <row r="854" ht="13.2" spans="1: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</row>
    <row r="855" ht="13.2" spans="1: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</row>
    <row r="856" ht="13.2" spans="1: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</row>
    <row r="857" ht="13.2" spans="1: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</row>
    <row r="858" ht="13.2" spans="1: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</row>
    <row r="859" ht="13.2" spans="1: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</row>
    <row r="860" ht="13.2" spans="1: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</row>
    <row r="861" ht="13.2" spans="1: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</row>
    <row r="862" ht="13.2" spans="1: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</row>
    <row r="863" ht="13.2" spans="1: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</row>
    <row r="864" ht="13.2" spans="1: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</row>
    <row r="865" ht="13.2" spans="1: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</row>
    <row r="866" ht="13.2" spans="1: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</row>
    <row r="867" ht="13.2" spans="1: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</row>
    <row r="868" ht="13.2" spans="1: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</row>
    <row r="869" ht="13.2" spans="1: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</row>
    <row r="870" ht="13.2" spans="1: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</row>
    <row r="871" ht="13.2" spans="1: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</row>
    <row r="872" ht="13.2" spans="1: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</row>
    <row r="873" ht="13.2" spans="1: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</row>
    <row r="874" ht="13.2" spans="1: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</row>
    <row r="875" ht="13.2" spans="1: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</row>
    <row r="876" ht="13.2" spans="1: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</row>
    <row r="877" ht="13.2" spans="1: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</row>
    <row r="878" ht="13.2" spans="1: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</row>
    <row r="879" ht="13.2" spans="1: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</row>
    <row r="880" ht="13.2" spans="1: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</row>
    <row r="881" ht="13.2" spans="1: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</row>
    <row r="882" ht="13.2" spans="1: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</row>
    <row r="883" ht="13.2" spans="1: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</row>
    <row r="884" ht="13.2" spans="1: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</row>
    <row r="885" ht="13.2" spans="1: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</row>
    <row r="886" ht="13.2" spans="1: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</row>
    <row r="887" ht="13.2" spans="1: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</row>
    <row r="888" ht="13.2" spans="1: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</row>
    <row r="889" ht="13.2" spans="1: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</row>
    <row r="890" ht="13.2" spans="1: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</row>
    <row r="891" ht="13.2" spans="1: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</row>
    <row r="892" ht="13.2" spans="1: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</row>
    <row r="893" ht="13.2" spans="1: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</row>
    <row r="894" ht="13.2" spans="1: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</row>
    <row r="895" ht="13.2" spans="1: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</row>
    <row r="896" ht="13.2" spans="1: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</row>
    <row r="897" ht="13.2" spans="1: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</row>
    <row r="898" ht="13.2" spans="1: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</row>
    <row r="899" ht="13.2" spans="1: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</row>
    <row r="900" ht="13.2" spans="1: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</row>
    <row r="901" ht="13.2" spans="1: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</row>
    <row r="902" ht="13.2" spans="1: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</row>
    <row r="903" ht="13.2" spans="1: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</row>
    <row r="904" ht="13.2" spans="1: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</row>
    <row r="905" ht="13.2" spans="1: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</row>
    <row r="906" ht="13.2" spans="1: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</row>
    <row r="907" ht="13.2" spans="1: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</row>
    <row r="908" ht="13.2" spans="1: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</row>
    <row r="909" ht="13.2" spans="1: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</row>
    <row r="910" ht="13.2" spans="1: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</row>
    <row r="911" ht="13.2" spans="1: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</row>
    <row r="912" ht="13.2" spans="1: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</row>
    <row r="913" ht="13.2" spans="1: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</row>
    <row r="914" ht="13.2" spans="1: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</row>
    <row r="915" ht="13.2" spans="1: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</row>
    <row r="916" ht="13.2" spans="1: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</row>
    <row r="917" ht="13.2" spans="1: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</row>
    <row r="918" ht="13.2" spans="1: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</row>
    <row r="919" ht="13.2" spans="1: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</row>
    <row r="920" ht="13.2" spans="1: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</row>
    <row r="921" ht="13.2" spans="1: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</row>
    <row r="922" ht="13.2" spans="1: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</row>
    <row r="923" ht="13.2" spans="1: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</row>
    <row r="924" ht="13.2" spans="1: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</row>
    <row r="925" ht="13.2" spans="1: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</row>
    <row r="926" ht="13.2" spans="1: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</row>
    <row r="927" ht="13.2" spans="1: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</row>
    <row r="928" ht="13.2" spans="1: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</row>
    <row r="929" ht="13.2" spans="1: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</row>
    <row r="930" ht="13.2" spans="1: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</row>
    <row r="931" ht="13.2" spans="1: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</row>
    <row r="932" ht="13.2" spans="1: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</row>
    <row r="933" ht="13.2" spans="1: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</row>
    <row r="934" ht="13.2" spans="1: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</row>
    <row r="935" ht="13.2" spans="1: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</row>
    <row r="936" ht="13.2" spans="1: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</row>
    <row r="937" ht="13.2" spans="1: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</row>
    <row r="938" ht="13.2" spans="1: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</row>
    <row r="939" ht="13.2" spans="1: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</row>
    <row r="940" ht="13.2" spans="1: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</row>
    <row r="941" ht="13.2" spans="1: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</row>
    <row r="942" ht="13.2" spans="1: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</row>
    <row r="943" ht="13.2" spans="1: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</row>
    <row r="944" ht="13.2" spans="1: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</row>
    <row r="945" ht="13.2" spans="1: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</row>
    <row r="946" ht="13.2" spans="1: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</row>
    <row r="947" ht="13.2" spans="1: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</row>
    <row r="948" ht="13.2" spans="1: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</row>
    <row r="949" ht="13.2" spans="1: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</row>
    <row r="950" ht="13.2" spans="1: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</row>
    <row r="951" ht="13.2" spans="1: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</row>
    <row r="952" ht="13.2" spans="1: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</row>
    <row r="953" ht="13.2" spans="1: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</row>
    <row r="954" ht="13.2" spans="1: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</row>
    <row r="955" ht="13.2" spans="1: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</row>
    <row r="956" ht="13.2" spans="1: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</row>
    <row r="957" ht="13.2" spans="1: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</row>
    <row r="958" ht="13.2" spans="1: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</row>
    <row r="959" ht="13.2" spans="1: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</row>
    <row r="960" ht="13.2" spans="1: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</row>
    <row r="961" ht="13.2" spans="1: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</row>
    <row r="962" ht="13.2" spans="1: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</row>
    <row r="963" ht="13.2" spans="1: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</row>
    <row r="964" ht="13.2" spans="1: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</row>
    <row r="965" ht="13.2" spans="1: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</row>
    <row r="966" ht="13.2" spans="1: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</row>
    <row r="967" ht="13.2" spans="1: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</row>
    <row r="968" ht="13.2" spans="1: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</row>
    <row r="969" ht="13.2" spans="1: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</row>
    <row r="970" ht="13.2" spans="1: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</row>
    <row r="971" ht="13.2" spans="1: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</row>
    <row r="972" ht="13.2" spans="1: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</row>
    <row r="973" ht="13.2" spans="1: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</row>
    <row r="974" ht="13.2" spans="1:1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</row>
    <row r="975" ht="13.2" spans="1:1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</row>
    <row r="976" ht="13.2" spans="1:1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</row>
    <row r="977" ht="13.2" spans="1:1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</row>
    <row r="978" ht="13.2" spans="1:1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</row>
    <row r="979" ht="13.2" spans="1:1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</row>
    <row r="980" ht="13.2" spans="1:1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</row>
    <row r="981" ht="13.2" spans="1:1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</row>
    <row r="982" ht="13.2" spans="1:1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</row>
    <row r="983" ht="13.2" spans="1:1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</row>
    <row r="984" ht="13.2" spans="1:1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</row>
    <row r="985" ht="13.2" spans="1:1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</row>
    <row r="986" ht="13.2" spans="1:1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</row>
    <row r="987" ht="13.2" spans="1:1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</row>
    <row r="988" ht="13.2" spans="1:1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</row>
    <row r="989" ht="13.2" spans="1:1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</row>
    <row r="990" ht="13.2" spans="1:1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</row>
    <row r="991" ht="13.2" spans="1:1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</row>
    <row r="992" ht="13.2" spans="1:1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</row>
    <row r="993" ht="13.2" spans="1:1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</row>
    <row r="994" ht="13.2" spans="1:1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</row>
    <row r="995" ht="13.2" spans="1:1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</row>
    <row r="996" ht="13.2" spans="1:1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</row>
    <row r="997" ht="13.2" spans="1:1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</row>
    <row r="998" ht="13.2" spans="1:1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Human Values and Professional Ethics&quot;)"/>
    <hyperlink ref="F12" r:id="rId11" display="=IFERROR(@__xludf.DUMMYFUNCTION(&quot;&quot;&quot;COMPUTED_VALUE&quot;&quot;&quot;),&quot;Calculus and Matrix Algebra&quot;)"/>
    <hyperlink ref="F13" r:id="rId12" display="=IFERROR(@__xludf.DUMMYFUNCTION(&quot;&quot;&quot;COMPUTED_VALUE&quot;&quot;&quot;),&quot;Logic and Combinatorics&quot;)"/>
    <hyperlink ref="F14" r:id="rId13" display="=IFERROR(@__xludf.DUMMYFUNCTION(&quot;&quot;&quot;COMPUTED_VALUE&quot;&quot;&quot;),&quot;Probability and Queueing Models&quot;)"/>
    <hyperlink ref="F15" r:id="rId14" display="=IFERROR(@__xludf.DUMMYFUNCTION(&quot;&quot;&quot;COMPUTED_VALUE&quot;&quot;&quot;),&quot;Algebra and Number Theory&quot;)"/>
    <hyperlink ref="F16" r:id="rId15" display="=IFERROR(@__xludf.DUMMYFUNCTION(&quot;&quot;&quot;COMPUTED_VALUE&quot;&quot;&quot;),&quot;Physics for Quantum Computing&quot;)"/>
    <hyperlink ref="F17" r:id="rId16" display="=IFERROR(@__xludf.DUMMYFUNCTION(&quot;&quot;&quot;COMPUTED_VALUE&quot;&quot;&quot;),&quot;Principles of Chemistry in Engineering&quot;)"/>
    <hyperlink ref="F18" r:id="rId17" display="=IFERROR(@__xludf.DUMMYFUNCTION(&quot;&quot;&quot;COMPUTED_VALUE&quot;&quot;&quot;),&quot;Environmental Sciences and Sustainability&quot;)"/>
    <hyperlink ref="F19" r:id="rId18" display="=IFERROR(@__xludf.DUMMYFUNCTION(&quot;&quot;&quot;COMPUTED_VALUE&quot;&quot;&quot;),&quot;Python Programming&quot;)"/>
    <hyperlink ref="F20" r:id="rId19" display="=IFERROR(@__xludf.DUMMYFUNCTION(&quot;&quot;&quot;COMPUTED_VALUE&quot;&quot;&quot;),&quot;Engineering Design and Modelling&quot;)"/>
    <hyperlink ref="F21" r:id="rId20" display="=IFERROR(@__xludf.DUMMYFUNCTION(&quot;&quot;&quot;COMPUTED_VALUE&quot;&quot;&quot;),&quot;Digital Electronics&quot;)"/>
    <hyperlink ref="F22" r:id="rId21" display="=IFERROR(@__xludf.DUMMYFUNCTION(&quot;&quot;&quot;COMPUTED_VALUE&quot;&quot;&quot;),&quot;Basic Electrical, Electronics and Measurement Engineering&quot;)"/>
    <hyperlink ref="F23" r:id="rId22" display="=IFERROR(@__xludf.DUMMYFUNCTION(&quot;&quot;&quot;COMPUTED_VALUE&quot;&quot;&quot;),&quot;Object Oriented Programming using Java&quot;)"/>
    <hyperlink ref="F24" r:id="rId23" display="=IFERROR(@__xludf.DUMMYFUNCTION(&quot;&quot;&quot;COMPUTED_VALUE&quot;&quot;&quot;),&quot;Fundamentals of C Programming&quot;)"/>
    <hyperlink ref="F25" r:id="rId24" display="=IFERROR(@__xludf.DUMMYFUNCTION(&quot;&quot;&quot;COMPUTED_VALUE&quot;&quot;&quot;),&quot;Advanced C Programming&quot;)"/>
    <hyperlink ref="F26" r:id="rId25" display="=IFERROR(@__xludf.DUMMYFUNCTION(&quot;&quot;&quot;COMPUTED_VALUE&quot;&quot;&quot;),&quot;Computer Architecture&quot;)"/>
    <hyperlink ref="F27" r:id="rId26" display="=IFERROR(@__xludf.DUMMYFUNCTION(&quot;&quot;&quot;COMPUTED_VALUE&quot;&quot;&quot;),&quot;Analysis of Algorithms&quot;)"/>
    <hyperlink ref="F28" r:id="rId27" display="=IFERROR(@__xludf.DUMMYFUNCTION(&quot;&quot;&quot;COMPUTED_VALUE&quot;&quot;&quot;),&quot;Fundamentals of Artificial Intelligence&quot;)"/>
    <hyperlink ref="F29" r:id="rId28" display="=IFERROR(@__xludf.DUMMYFUNCTION(&quot;&quot;&quot;COMPUTED_VALUE&quot;&quot;&quot;),&quot;Data Structures&quot;)"/>
    <hyperlink ref="F30" r:id="rId29" display="=IFERROR(@__xludf.DUMMYFUNCTION(&quot;&quot;&quot;COMPUTED_VALUE&quot;&quot;&quot;),&quot;Introduction to Machine Learning&quot;)"/>
    <hyperlink ref="F31" r:id="rId30" display="=IFERROR(@__xludf.DUMMYFUNCTION(&quot;&quot;&quot;COMPUTED_VALUE&quot;&quot;&quot;),&quot;Fundamentals of Web Application Development&quot;)"/>
    <hyperlink ref="F32" r:id="rId31" display="=IFERROR(@__xludf.DUMMYFUNCTION(&quot;&quot;&quot;COMPUTED_VALUE&quot;&quot;&quot;),&quot;Mobile User Interface Development&quot;)"/>
    <hyperlink ref="F33" r:id="rId32" display="=IFERROR(@__xludf.DUMMYFUNCTION(&quot;&quot;&quot;COMPUTED_VALUE&quot;&quot;&quot;),&quot;Programming Mobile Devices&quot;)"/>
    <hyperlink ref="F34" r:id="rId33" display="=IFERROR(@__xludf.DUMMYFUNCTION(&quot;&quot;&quot;COMPUTED_VALUE&quot;&quot;&quot;),&quot;Cloud Computing&quot;)"/>
    <hyperlink ref="F35" r:id="rId34" display="=IFERROR(@__xludf.DUMMYFUNCTION(&quot;&quot;&quot;COMPUTED_VALUE&quot;&quot;&quot;),&quot;Web Server Programming&quot;)"/>
    <hyperlink ref="F36" r:id="rId35" display="=IFERROR(@__xludf.DUMMYFUNCTION(&quot;&quot;&quot;COMPUTED_VALUE&quot;&quot;&quot;),&quot;Advanced Java Web Applications&quot;)"/>
    <hyperlink ref="F37" r:id="rId36" display="=IFERROR(@__xludf.DUMMYFUNCTION(&quot;&quot;&quot;COMPUTED_VALUE&quot;&quot;&quot;),&quot;Cloud Native App Development&quot;)"/>
    <hyperlink ref="F38" r:id="rId37" display="=IFERROR(@__xludf.DUMMYFUNCTION(&quot;&quot;&quot;COMPUTED_VALUE&quot;&quot;&quot;),&quot;Modern Web Application Development&quot;)"/>
    <hyperlink ref="F39" r:id="rId38" display="=IFERROR(@__xludf.DUMMYFUNCTION(&quot;&quot;&quot;COMPUTED_VALUE&quot;&quot;&quot;),&quot;Introduction to IoT&quot;)"/>
    <hyperlink ref="F41" r:id="rId39" display="=IFERROR(@__xludf.DUMMYFUNCTION(&quot;&quot;&quot;COMPUTED_VALUE&quot;&quot;&quot;),&quot;Operating System&quot;)"/>
    <hyperlink ref="F42" r:id="rId40" display="=IFERROR(@__xludf.DUMMYFUNCTION(&quot;&quot;&quot;COMPUTED_VALUE&quot;&quot;&quot;),&quot;Computer Networks&quot;)"/>
    <hyperlink ref="F43" r:id="rId41" display="=IFERROR(@__xludf.DUMMYFUNCTION(&quot;&quot;&quot;COMPUTED_VALUE&quot;&quot;&quot;),&quot;Theory of Computation&quot;)"/>
    <hyperlink ref="F44" r:id="rId42" display="=IFERROR(@__xludf.DUMMYFUNCTION(&quot;&quot;&quot;COMPUTED_VALUE&quot;&quot;&quot;),&quot;Software Engineering&quot;)"/>
    <hyperlink ref="F45" r:id="rId43" display="=IFERROR(@__xludf.DUMMYFUNCTION(&quot;&quot;&quot;COMPUTED_VALUE&quot;&quot;&quot;),&quot;Cryptography&quot;)"/>
    <hyperlink ref="F46" r:id="rId44" display="=IFERROR(@__xludf.DUMMYFUNCTION(&quot;&quot;&quot;COMPUTED_VALUE&quot;&quot;&quot;),&quot;Engineering Mechanics and Product Development&quot;)"/>
    <hyperlink ref="F47" r:id="rId45" display="=IFERROR(@__xludf.DUMMYFUNCTION(&quot;&quot;&quot;COMPUTED_VALUE&quot;&quot;&quot;),&quot;Object Oriented Programming using C++&quot;)"/>
    <hyperlink ref="F48" r:id="rId46" display="=IFERROR(@__xludf.DUMMYFUNCTION(&quot;&quot;&quot;COMPUTED_VALUE&quot;&quot;&quot;),&quot;Object Oriented Programming using C#&quot;)"/>
    <hyperlink ref="F49" r:id="rId47" display="=IFERROR(@__xludf.DUMMYFUNCTION(&quot;&quot;&quot;COMPUTED_VALUE&quot;&quot;&quot;),&quot;Introduction to Data Science&quot;)"/>
    <hyperlink ref="F50" r:id="rId48" display="=IFERROR(@__xludf.DUMMYFUNCTION(&quot;&quot;&quot;COMPUTED_VALUE&quot;&quot;&quot;),&quot;Digital Image Processing Techniques&quot;)"/>
    <hyperlink ref="F51" r:id="rId49" display="=IFERROR(@__xludf.DUMMYFUNCTION(&quot;&quot;&quot;COMPUTED_VALUE&quot;&quot;&quot;),&quot;Parallel Computing Architecture&quot;)"/>
    <hyperlink ref="F52" r:id="rId50" display="=IFERROR(@__xludf.DUMMYFUNCTION(&quot;&quot;&quot;COMPUTED_VALUE&quot;&quot;&quot;),&quot;Applied Artificial Intelligence&quot;)"/>
    <hyperlink ref="F53" r:id="rId51" display="=IFERROR(@__xludf.DUMMYFUNCTION(&quot;&quot;&quot;COMPUTED_VALUE&quot;&quot;&quot;),&quot;Neural Networks&quot;)"/>
    <hyperlink ref="F54" r:id="rId52" display="=IFERROR(@__xludf.DUMMYFUNCTION(&quot;&quot;&quot;COMPUTED_VALUE&quot;&quot;&quot;),&quot;Web Data Mining&quot;)"/>
    <hyperlink ref="F55" r:id="rId53" display="=IFERROR(@__xludf.DUMMYFUNCTION(&quot;&quot;&quot;COMPUTED_VALUE&quot;&quot;&quot;),&quot;Deep Learning and its Applications&quot;)"/>
    <hyperlink ref="F57" r:id="rId54" display="=IFERROR(@__xludf.DUMMYFUNCTION(&quot;&quot;&quot;COMPUTED_VALUE&quot;&quot;&quot;),&quot;Applied Natural Language Processing&quot;)"/>
    <hyperlink ref="F58" r:id="rId55" display="=IFERROR(@__xludf.DUMMYFUNCTION(&quot;&quot;&quot;COMPUTED_VALUE&quot;&quot;&quot;),&quot;Computer Vision&quot;)"/>
    <hyperlink ref="F59" r:id="rId56" display="=IFERROR(@__xludf.DUMMYFUNCTION(&quot;&quot;&quot;COMPUTED_VALUE&quot;&quot;&quot;),&quot;Mobile Robotics&quot;)"/>
    <hyperlink ref="F62" r:id="rId57" display="=IFERROR(@__xludf.DUMMYFUNCTION(&quot;&quot;&quot;COMPUTED_VALUE&quot;&quot;&quot;),&quot;Special Topics in Artificial Intelligence&quot;)"/>
    <hyperlink ref="F64" r:id="rId58" display="=IFERROR(@__xludf.DUMMYFUNCTION(&quot;&quot;&quot;COMPUTED_VALUE&quot;&quot;&quot;),&quot;Concepts of Virtual And Augmented Reality&quot;)"/>
    <hyperlink ref="F65" r:id="rId59" display="=IFERROR(@__xludf.DUMMYFUNCTION(&quot;&quot;&quot;COMPUTED_VALUE&quot;&quot;&quot;),&quot;Mobile VR And AI In Unity&quot;)"/>
    <hyperlink ref="F66" r:id="rId60" display="=IFERROR(@__xludf.DUMMYFUNCTION(&quot;&quot;&quot;COMPUTED_VALUE&quot;&quot;&quot;),&quot;Scientific and Engineering Data Visualization&quot;)"/>
    <hyperlink ref="F67" r:id="rId61" display="=IFERROR(@__xludf.DUMMYFUNCTION(&quot;&quot;&quot;COMPUTED_VALUE&quot;&quot;&quot;),&quot;NoSQL Database Design&quot;)"/>
    <hyperlink ref="F68" r:id="rId62" display="=IFERROR(@__xludf.DUMMYFUNCTION(&quot;&quot;&quot;COMPUTED_VALUE&quot;&quot;&quot;),&quot;Game Programming&quot;)"/>
    <hyperlink ref="F69" r:id="rId63" display="=IFERROR(@__xludf.DUMMYFUNCTION(&quot;&quot;&quot;COMPUTED_VALUE&quot;&quot;&quot;),&quot;Self Driving Car&quot;)"/>
    <hyperlink ref="F70" r:id="rId64" display="=IFERROR(@__xludf.DUMMYFUNCTION(&quot;&quot;&quot;COMPUTED_VALUE&quot;&quot;&quot;),&quot;Smart Manufacturing Technology&quot;)"/>
    <hyperlink ref="F71" r:id="rId65" display="=IFERROR(@__xludf.DUMMYFUNCTION(&quot;&quot;&quot;COMPUTED_VALUE&quot;&quot;&quot;),&quot;Big Data Analytics&quot;)"/>
    <hyperlink ref="F72" r:id="rId66" display="=IFERROR(@__xludf.DUMMYFUNCTION(&quot;&quot;&quot;COMPUTED_VALUE&quot;&quot;&quot;),&quot;Business Analytics&quot;)"/>
    <hyperlink ref="F73" r:id="rId67" display="=IFERROR(@__xludf.DUMMYFUNCTION(&quot;&quot;&quot;COMPUTED_VALUE&quot;&quot;&quot;),&quot;Cognitive Systems&quot;)"/>
    <hyperlink ref="F74" r:id="rId68" display="=IFERROR(@__xludf.DUMMYFUNCTION(&quot;&quot;&quot;COMPUTED_VALUE&quot;&quot;&quot;),&quot;Distributed Database&quot;)"/>
    <hyperlink ref="F75" r:id="rId69" display="=IFERROR(@__xludf.DUMMYFUNCTION(&quot;&quot;&quot;COMPUTED_VALUE&quot;&quot;&quot;),&quot;Data Mining and Warehousing&quot;)"/>
    <hyperlink ref="F76" r:id="rId70" display="=IFERROR(@__xludf.DUMMYFUNCTION(&quot;&quot;&quot;COMPUTED_VALUE&quot;&quot;&quot;),&quot;Expert Systems&quot;)"/>
    <hyperlink ref="F77" r:id="rId71" display="=IFERROR(@__xludf.DUMMYFUNCTION(&quot;&quot;&quot;COMPUTED_VALUE&quot;&quot;&quot;),&quot;Knowledge Engineering&quot;)"/>
    <hyperlink ref="F78" r:id="rId72" display="=IFERROR(@__xludf.DUMMYFUNCTION(&quot;&quot;&quot;COMPUTED_VALUE&quot;&quot;&quot;),&quot;Mobile Database&quot;)"/>
    <hyperlink ref="F79" r:id="rId73" display="=IFERROR(@__xludf.DUMMYFUNCTION(&quot;&quot;&quot;COMPUTED_VALUE&quot;&quot;&quot;),&quot;Multimedia Database&quot;)"/>
    <hyperlink ref="F80" r:id="rId74" display="=IFERROR(@__xludf.DUMMYFUNCTION(&quot;&quot;&quot;COMPUTED_VALUE&quot;&quot;&quot;),&quot;Video Processing&quot;)"/>
    <hyperlink ref="F81" r:id="rId75" display="=IFERROR(@__xludf.DUMMYFUNCTION(&quot;&quot;&quot;COMPUTED_VALUE&quot;&quot;&quot;),&quot;Information Security and Access Control&quot;)"/>
    <hyperlink ref="F82" r:id="rId76" display="=IFERROR(@__xludf.DUMMYFUNCTION(&quot;&quot;&quot;COMPUTED_VALUE&quot;&quot;&quot;),&quot;Security Assessment and Risk Analysis&quot;)"/>
    <hyperlink ref="F83" r:id="rId77" display="=IFERROR(@__xludf.DUMMYFUNCTION(&quot;&quot;&quot;COMPUTED_VALUE&quot;&quot;&quot;),&quot;Advanced Graph Theory and Applications&quot;)"/>
    <hyperlink ref="F84" r:id="rId78" display="=IFERROR(@__xludf.DUMMYFUNCTION(&quot;&quot;&quot;COMPUTED_VALUE&quot;&quot;&quot;),&quot;Advanced Data Structures&quot;)"/>
    <hyperlink ref="F85" r:id="rId79" display="=IFERROR(@__xludf.DUMMYFUNCTION(&quot;&quot;&quot;COMPUTED_VALUE&quot;&quot;&quot;),&quot;Control of Robotic Systems&quot;)"/>
    <hyperlink ref="F86" r:id="rId80" display="=IFERROR(@__xludf.DUMMYFUNCTION(&quot;&quot;&quot;COMPUTED_VALUE&quot;&quot;&quot;),&quot;Cryptography and Security&quot;)"/>
    <hyperlink ref="F87" r:id="rId81" display="=IFERROR(@__xludf.DUMMYFUNCTION(&quot;&quot;&quot;COMPUTED_VALUE&quot;&quot;&quot;),&quot;Information Theory for Cyber Security&quot;)"/>
    <hyperlink ref="F88" r:id="rId82" display="=IFERROR(@__xludf.DUMMYFUNCTION(&quot;&quot;&quot;COMPUTED_VALUE&quot;&quot;&quot;),&quot;Introduction to Robotics&quot;)"/>
    <hyperlink ref="F89" r:id="rId83" display="=IFERROR(@__xludf.DUMMYFUNCTION(&quot;&quot;&quot;COMPUTED_VALUE&quot;&quot;&quot;),&quot;Kinematics and Dynamics of Robots&quot;)"/>
    <hyperlink ref="F90" r:id="rId84" display="=IFERROR(@__xludf.DUMMYFUNCTION(&quot;&quot;&quot;COMPUTED_VALUE&quot;&quot;&quot;),&quot;Robotic Sensors&quot;)"/>
    <hyperlink ref="F91" r:id="rId85" display="=IFERROR(@__xludf.DUMMYFUNCTION(&quot;&quot;&quot;COMPUTED_VALUE&quot;&quot;&quot;),&quot;Steganography and Digital Watermarking&quot;)"/>
    <hyperlink ref="F92" r:id="rId86" display="=IFERROR(@__xludf.DUMMYFUNCTION(&quot;&quot;&quot;COMPUTED_VALUE&quot;&quot;&quot;),&quot;Computer Graphics for Virtual Reality&quot;)"/>
    <hyperlink ref="F93" r:id="rId87" display="=IFERROR(@__xludf.DUMMYFUNCTION(&quot;&quot;&quot;COMPUTED_VALUE&quot;&quot;&quot;),&quot;Mathematical Modelling and Computer Aided Engineering&quot;)"/>
    <hyperlink ref="F94" r:id="rId88" display="=IFERROR(@__xludf.DUMMYFUNCTION(&quot;&quot;&quot;COMPUTED_VALUE&quot;&quot;&quot;),&quot;Agile Software Development&quot;)"/>
    <hyperlink ref="F95" r:id="rId89" display="=IFERROR(@__xludf.DUMMYFUNCTION(&quot;&quot;&quot;COMPUTED_VALUE&quot;&quot;&quot;),&quot;Software Testing&quot;)"/>
    <hyperlink ref="F96" r:id="rId90" display="=IFERROR(@__xludf.DUMMYFUNCTION(&quot;&quot;&quot;COMPUTED_VALUE&quot;&quot;&quot;),&quot;Virtualization and Containerization&quot;)"/>
    <hyperlink ref="F97" r:id="rId91" display="=IFERROR(@__xludf.DUMMYFUNCTION(&quot;&quot;&quot;COMPUTED_VALUE&quot;&quot;&quot;),&quot;Blockchain for Business&quot;)"/>
    <hyperlink ref="F98" r:id="rId92" display="=IFERROR(@__xludf.DUMMYFUNCTION(&quot;&quot;&quot;COMPUTED_VALUE&quot;&quot;&quot;),&quot;Robot Programming&quot;)"/>
    <hyperlink ref="F99" r:id="rId93" display="=IFERROR(@__xludf.DUMMYFUNCTION(&quot;&quot;&quot;COMPUTED_VALUE&quot;&quot;&quot;),&quot;Drone Assembly and Applications&quot;)"/>
    <hyperlink ref="F100" r:id="rId94" display="=IFERROR(@__xludf.DUMMYFUNCTION(&quot;&quot;&quot;COMPUTED_VALUE&quot;&quot;&quot;),&quot;Artificial Intelligence for Games&quot;)"/>
    <hyperlink ref="F101" r:id="rId95" display="=IFERROR(@__xludf.DUMMYFUNCTION(&quot;&quot;&quot;COMPUTED_VALUE&quot;&quot;&quot;),&quot;Drone Design and Control&quot;)"/>
    <hyperlink ref="F102" r:id="rId96" display="=IFERROR(@__xludf.DUMMYFUNCTION(&quot;&quot;&quot;COMPUTED_VALUE&quot;&quot;&quot;),&quot;Web Application User Interface Development&quot;)"/>
    <hyperlink ref="F103" r:id="rId97" display="=IFERROR(@__xludf.DUMMYFUNCTION(&quot;&quot;&quot;COMPUTED_VALUE&quot;&quot;&quot;),&quot;Fundamentals of Large Language Models&quot;)"/>
    <hyperlink ref="F104" r:id="rId98" display="=IFERROR(@__xludf.DUMMYFUNCTION(&quot;&quot;&quot;COMPUTED_VALUE&quot;&quot;&quot;),&quot;Exploratory Data Analysis&quot;)"/>
    <hyperlink ref="F105" r:id="rId99" display="=IFERROR(@__xludf.DUMMYFUNCTION(&quot;&quot;&quot;COMPUTED_VALUE&quot;&quot;&quot;),&quot;Recommender Systems&quot;)"/>
    <hyperlink ref="F106" r:id="rId100" display="=IFERROR(@__xludf.DUMMYFUNCTION(&quot;&quot;&quot;COMPUTED_VALUE&quot;&quot;&quot;),&quot;Neural Networks and Deep Learning&quot;)"/>
    <hyperlink ref="F107" r:id="rId101" display="=IFERROR(@__xludf.DUMMYFUNCTION(&quot;&quot;&quot;COMPUTED_VALUE&quot;&quot;&quot;),&quot;Text and Speech Analysis&quot;)"/>
    <hyperlink ref="F108" r:id="rId102" display="=IFERROR(@__xludf.DUMMYFUNCTION(&quot;&quot;&quot;COMPUTED_VALUE&quot;&quot;&quot;),&quot;Image and Video Analytics&quot;)"/>
    <hyperlink ref="F115" r:id="rId103" display="=IFERROR(@__xludf.DUMMYFUNCTION(&quot;&quot;&quot;COMPUTED_VALUE&quot;&quot;&quot;),&quot;Genetic Algorithms&quot;)"/>
    <hyperlink ref="F117" r:id="rId104" display="=IFERROR(@__xludf.DUMMYFUNCTION(&quot;&quot;&quot;COMPUTED_VALUE&quot;&quot;&quot;),&quot;Brain Computer Interaction&quot;)"/>
    <hyperlink ref="F118" r:id="rId105" display="=IFERROR(@__xludf.DUMMYFUNCTION(&quot;&quot;&quot;COMPUTED_VALUE&quot;&quot;&quot;),&quot;Statistical Learning Theory&quot;)"/>
    <hyperlink ref="F119" r:id="rId106" display="=IFERROR(@__xludf.DUMMYFUNCTION(&quot;&quot;&quot;COMPUTED_VALUE&quot;&quot;&quot;),&quot;Sensors and Actuators for IoT&quot;)"/>
    <hyperlink ref="F120" r:id="rId107" display="=IFERROR(@__xludf.DUMMYFUNCTION(&quot;&quot;&quot;COMPUTED_VALUE&quot;&quot;&quot;),&quot;Security and Trust in IoT&quot;)"/>
    <hyperlink ref="F121" r:id="rId108" display="=IFERROR(@__xludf.DUMMYFUNCTION(&quot;&quot;&quot;COMPUTED_VALUE&quot;&quot;&quot;),&quot;Industrial Internet of Things&quot;)"/>
    <hyperlink ref="F122" r:id="rId109" display="=IFERROR(@__xludf.DUMMYFUNCTION(&quot;&quot;&quot;COMPUTED_VALUE&quot;&quot;&quot;),&quot;Software for Embedded Systems&quot;)"/>
    <hyperlink ref="F123" r:id="rId110" display="=IFERROR(@__xludf.DUMMYFUNCTION(&quot;&quot;&quot;COMPUTED_VALUE&quot;&quot;&quot;),&quot;IoT Architecture and Protocols&quot;)"/>
    <hyperlink ref="F124" r:id="rId111" display="=IFERROR(@__xludf.DUMMYFUNCTION(&quot;&quot;&quot;COMPUTED_VALUE&quot;&quot;&quot;),&quot;Arduino for IoT&quot;)"/>
    <hyperlink ref="F125" r:id="rId112" display="=IFERROR(@__xludf.DUMMYFUNCTION(&quot;&quot;&quot;COMPUTED_VALUE&quot;&quot;&quot;),&quot;Raspberry Pi for IoT&quot;)"/>
    <hyperlink ref="F126" r:id="rId113" display="=IFERROR(@__xludf.DUMMYFUNCTION(&quot;&quot;&quot;COMPUTED_VALUE&quot;&quot;&quot;),&quot;Motion Planning Techniques&quot;)"/>
    <hyperlink ref="F127" r:id="rId114" display="=IFERROR(@__xludf.DUMMYFUNCTION(&quot;&quot;&quot;COMPUTED_VALUE&quot;&quot;&quot;),&quot;Advanced Java Programming&quot;)"/>
    <hyperlink ref="F128" r:id="rId115" display="=IFERROR(@__xludf.DUMMYFUNCTION(&quot;&quot;&quot;COMPUTED_VALUE&quot;&quot;&quot;),&quot;Python Programming for IoT&quot;)"/>
    <hyperlink ref="F129" r:id="rId116" display="=IFERROR(@__xludf.DUMMYFUNCTION(&quot;&quot;&quot;COMPUTED_VALUE&quot;&quot;&quot;),&quot;Applications of IoT in Robotics&quot;)"/>
    <hyperlink ref="F130" r:id="rId117" display="=IFERROR(@__xludf.DUMMYFUNCTION(&quot;&quot;&quot;COMPUTED_VALUE&quot;&quot;&quot;),&quot;Programming for IoT Boards&quot;)"/>
    <hyperlink ref="F131" r:id="rId118" display="=IFERROR(@__xludf.DUMMYFUNCTION(&quot;&quot;&quot;COMPUTED_VALUE&quot;&quot;&quot;),&quot;Design of Smart Cities&quot;)"/>
    <hyperlink ref="F132" r:id="rId119" display="=IFERROR(@__xludf.DUMMYFUNCTION(&quot;&quot;&quot;COMPUTED_VALUE&quot;&quot;&quot;),&quot;IoT and Multimedia Technology&quot;)"/>
    <hyperlink ref="F133" r:id="rId120" display="=IFERROR(@__xludf.DUMMYFUNCTION(&quot;&quot;&quot;COMPUTED_VALUE&quot;&quot;&quot;),&quot;Mobile Application Development for IoT&quot;)"/>
    <hyperlink ref="F134" r:id="rId120" display="=IFERROR(@__xludf.DUMMYFUNCTION(&quot;&quot;&quot;COMPUTED_VALUE&quot;&quot;&quot;),&quot;Open Source Programming for IoT&quot;)"/>
    <hyperlink ref="F135" r:id="rId121" display="=IFERROR(@__xludf.DUMMYFUNCTION(&quot;&quot;&quot;COMPUTED_VALUE&quot;&quot;&quot;),&quot;Compiler Design&quot;)"/>
    <hyperlink ref="F136" r:id="rId122" display="=IFERROR(@__xludf.DUMMYFUNCTION(&quot;&quot;&quot;COMPUTED_VALUE&quot;&quot;&quot;),&quot;Cloud Security&quot;)"/>
    <hyperlink ref="F137" r:id="rId123" display="=IFERROR(@__xludf.DUMMYFUNCTION(&quot;&quot;&quot;COMPUTED_VALUE&quot;&quot;&quot;),&quot;Ethical Hacking Techniques&quot;)"/>
    <hyperlink ref="F138" r:id="rId124" display="=IFERROR(@__xludf.DUMMYFUNCTION(&quot;&quot;&quot;COMPUTED_VALUE&quot;&quot;&quot;),&quot;Cyber Law and Compliance&quot;)"/>
    <hyperlink ref="F139" r:id="rId43" display="=IFERROR(@__xludf.DUMMYFUNCTION(&quot;&quot;&quot;COMPUTED_VALUE&quot;&quot;&quot;),&quot;Digital Forensics and Digital Investigations&quot;)"/>
    <hyperlink ref="F140" r:id="rId125" display="=IFERROR(@__xludf.DUMMYFUNCTION(&quot;&quot;&quot;COMPUTED_VALUE&quot;&quot;&quot;),&quot;Prototyping of IoT Systems&quot;)"/>
    <hyperlink ref="F141" r:id="rId126" display="=IFERROR(@__xludf.DUMMYFUNCTION(&quot;&quot;&quot;COMPUTED_VALUE&quot;&quot;&quot;),&quot;Edge Computing&quot;)"/>
    <hyperlink ref="F142" r:id="rId127" display="=IFERROR(@__xludf.DUMMYFUNCTION(&quot;&quot;&quot;COMPUTED_VALUE&quot;&quot;&quot;),&quot;Security for IoT Systems&quot;)"/>
    <hyperlink ref="F143" r:id="rId128" display="=IFERROR(@__xludf.DUMMYFUNCTION(&quot;&quot;&quot;COMPUTED_VALUE&quot;&quot;&quot;),&quot;Computer Graphics and Multimedia&quot;)"/>
    <hyperlink ref="F144" r:id="rId129" display="=IFERROR(@__xludf.DUMMYFUNCTION(&quot;&quot;&quot;COMPUTED_VALUE&quot;&quot;&quot;),&quot;Developing Web Application in .Net&quot;)"/>
    <hyperlink ref="F145" r:id="rId130" display="=IFERROR(@__xludf.DUMMYFUNCTION(&quot;&quot;&quot;COMPUTED_VALUE&quot;&quot;&quot;),&quot;Software Project Management&quot;)"/>
    <hyperlink ref="F146" r:id="rId131" display="=IFERROR(@__xludf.DUMMYFUNCTION(&quot;&quot;&quot;COMPUTED_VALUE&quot;&quot;&quot;),&quot;Service Oriented Architecture&quot;)"/>
    <hyperlink ref="F147" r:id="rId132" display="=IFERROR(@__xludf.DUMMYFUNCTION(&quot;&quot;&quot;COMPUTED_VALUE&quot;&quot;&quot;),&quot;Multicore Architecture&quot;)"/>
    <hyperlink ref="F148" r:id="rId133" display="=IFERROR(@__xludf.DUMMYFUNCTION(&quot;&quot;&quot;COMPUTED_VALUE&quot;&quot;&quot;),&quot;Human Computer Interaction&quot;)"/>
    <hyperlink ref="F149" r:id="rId134" display="=IFERROR(@__xludf.DUMMYFUNCTION(&quot;&quot;&quot;COMPUTED_VALUE&quot;&quot;&quot;),&quot;Parallel and Distributed Systems&quot;)"/>
    <hyperlink ref="F150" r:id="rId135" display="=IFERROR(@__xludf.DUMMYFUNCTION(&quot;&quot;&quot;COMPUTED_VALUE&quot;&quot;&quot;),&quot;Graph Theory and Applications&quot;)"/>
    <hyperlink ref="F151" r:id="rId136" display="=IFERROR(@__xludf.DUMMYFUNCTION(&quot;&quot;&quot;COMPUTED_VALUE&quot;&quot;&quot;),&quot;Social Network Analysis&quot;)"/>
    <hyperlink ref="F152" r:id="rId137" display="=IFERROR(@__xludf.DUMMYFUNCTION(&quot;&quot;&quot;COMPUTED_VALUE&quot;&quot;&quot;),&quot;Natural Language Processing&quot;)"/>
    <hyperlink ref="F153" r:id="rId138" display="=IFERROR(@__xludf.DUMMYFUNCTION(&quot;&quot;&quot;COMPUTED_VALUE&quot;&quot;&quot;),&quot;Soft Computing&quot;)"/>
    <hyperlink ref="F154" r:id="rId139" display="=IFERROR(@__xludf.DUMMYFUNCTION(&quot;&quot;&quot;COMPUTED_VALUE&quot;&quot;&quot;),&quot;Green Computing&quot;)"/>
    <hyperlink ref="F155" r:id="rId140" display="=IFERROR(@__xludf.DUMMYFUNCTION(&quot;&quot;&quot;COMPUTED_VALUE&quot;&quot;&quot;),&quot;Network Management Systems&quot;)"/>
    <hyperlink ref="F156" r:id="rId141" display="=IFERROR(@__xludf.DUMMYFUNCTION(&quot;&quot;&quot;COMPUTED_VALUE&quot;&quot;&quot;),&quot;Block Chain Architecture and its Use Cases&quot;)"/>
    <hyperlink ref="F157" r:id="rId142" display="=IFERROR(@__xludf.DUMMYFUNCTION(&quot;&quot;&quot;COMPUTED_VALUE&quot;&quot;&quot;),&quot;Software Testing and Quality Assurance&quot;)"/>
    <hyperlink ref="F158" r:id="rId143" display="=IFERROR(@__xludf.DUMMYFUNCTION(&quot;&quot;&quot;COMPUTED_VALUE&quot;&quot;&quot;),&quot;Mobile Computing&quot;)"/>
    <hyperlink ref="F159" r:id="rId144" display="=IFERROR(@__xludf.DUMMYFUNCTION(&quot;&quot;&quot;COMPUTED_VALUE&quot;&quot;&quot;),&quot;Game Design and Development&quot;)"/>
    <hyperlink ref="F160" r:id="rId145" display="=IFERROR(@__xludf.DUMMYFUNCTION(&quot;&quot;&quot;COMPUTED_VALUE&quot;&quot;&quot;),&quot;Data Science&quot;)"/>
    <hyperlink ref="F161" r:id="rId65" display="=IFERROR(@__xludf.DUMMYFUNCTION(&quot;&quot;&quot;COMPUTED_VALUE&quot;&quot;&quot;),&quot;Big Data Analytics&quot;)"/>
    <hyperlink ref="F162" r:id="rId146" display="=IFERROR(@__xludf.DUMMYFUNCTION(&quot;&quot;&quot;COMPUTED_VALUE&quot;&quot;&quot;),&quot;Data Warehousing and Data Mining&quot;)"/>
    <hyperlink ref="F163" r:id="rId147" display="=IFERROR(@__xludf.DUMMYFUNCTION(&quot;&quot;&quot;COMPUTED_VALUE&quot;&quot;&quot;),&quot;Advanced Database Management System&quot;)"/>
    <hyperlink ref="F164" r:id="rId148" display="=IFERROR(@__xludf.DUMMYFUNCTION(&quot;&quot;&quot;COMPUTED_VALUE&quot;&quot;&quot;),&quot;Information Retrieval&quot;)"/>
    <hyperlink ref="F165" r:id="rId149" display="=IFERROR(@__xludf.DUMMYFUNCTION(&quot;&quot;&quot;COMPUTED_VALUE&quot;&quot;&quot;),&quot;Deep Learning&quot;)"/>
    <hyperlink ref="F167" r:id="rId150" display="=IFERROR(@__xludf.DUMMYFUNCTION(&quot;&quot;&quot;COMPUTED_VALUE&quot;&quot;&quot;),&quot;Robotics and its Applications&quot;)"/>
    <hyperlink ref="F168" r:id="rId151" display="=IFERROR(@__xludf.DUMMYFUNCTION(&quot;&quot;&quot;COMPUTED_VALUE&quot;&quot;&quot;),&quot;Quantum Computing&quot;)"/>
    <hyperlink ref="F169" r:id="rId152" display="=IFERROR(@__xludf.DUMMYFUNCTION(&quot;&quot;&quot;COMPUTED_VALUE&quot;&quot;&quot;),&quot;Cyber Security&quot;)"/>
    <hyperlink ref="F170" r:id="rId153" display="=IFERROR(@__xludf.DUMMYFUNCTION(&quot;&quot;&quot;COMPUTED_VALUE&quot;&quot;&quot;),&quot;Virtual Reality&quot;)"/>
    <hyperlink ref="F171" r:id="rId154" display="=IFERROR(@__xludf.DUMMYFUNCTION(&quot;&quot;&quot;COMPUTED_VALUE&quot;&quot;&quot;),&quot;Professional Readiness for Innovation, Employability and Entrepreneurship&quot;)"/>
    <hyperlink ref="F172" r:id="rId155" display="=IFERROR(@__xludf.DUMMYFUNCTION(&quot;&quot;&quot;COMPUTED_VALUE&quot;&quot;&quot;),&quot;Information Security Intelligence and Analytics using Big Data&quot;)"/>
    <hyperlink ref="F173" r:id="rId156" display="=IFERROR(@__xludf.DUMMYFUNCTION(&quot;&quot;&quot;COMPUTED_VALUE&quot;&quot;&quot;),&quot;Prevention Methodology for Cybersecurity&quot;)"/>
    <hyperlink ref="F174" r:id="rId157" display="=IFERROR(@__xludf.DUMMYFUNCTION(&quot;&quot;&quot;COMPUTED_VALUE&quot;&quot;&quot;),&quot;Trusted Network Systems&quot;)"/>
    <hyperlink ref="F175" r:id="rId158" display="=IFERROR(@__xludf.DUMMYFUNCTION(&quot;&quot;&quot;COMPUTED_VALUE&quot;&quot;&quot;),&quot;Firewalls and Intrusion Detection System&quot;)"/>
    <hyperlink ref="F176" r:id="rId159" display="=IFERROR(@__xludf.DUMMYFUNCTION(&quot;&quot;&quot;COMPUTED_VALUE&quot;&quot;&quot;),&quot;Secure Software Engineering&quot;)"/>
    <hyperlink ref="F177" r:id="rId160" display="=IFERROR(@__xludf.DUMMYFUNCTION(&quot;&quot;&quot;COMPUTED_VALUE&quot;&quot;&quot;),&quot;System Security&quot;)"/>
    <hyperlink ref="F178" r:id="rId161" display="=IFERROR(@__xludf.DUMMYFUNCTION(&quot;&quot;&quot;COMPUTED_VALUE&quot;&quot;&quot;),&quot;Hardware Security&quot;)"/>
    <hyperlink ref="F179" r:id="rId162" display="=IFERROR(@__xludf.DUMMYFUNCTION(&quot;&quot;&quot;COMPUTED_VALUE&quot;&quot;&quot;),&quot;Fog Computing&quot;)"/>
    <hyperlink ref="F180" r:id="rId106" display="=IFERROR(@__xludf.DUMMYFUNCTION(&quot;&quot;&quot;COMPUTED_VALUE&quot;&quot;&quot;),&quot;Sensors and Actuators for IoT&quot;)"/>
    <hyperlink ref="F181" r:id="rId163" display="=IFERROR(@__xludf.DUMMYFUNCTION(&quot;&quot;&quot;COMPUTED_VALUE&quot;&quot;&quot;),&quot;Embedded Board Design&quot;)"/>
    <hyperlink ref="F182" r:id="rId156" display="=IFERROR(@__xludf.DUMMYFUNCTION(&quot;&quot;&quot;COMPUTED_VALUE&quot;&quot;&quot;),&quot;Embedded Board Manufacturing&quot;)"/>
    <hyperlink ref="F183" r:id="rId164" display="=IFERROR(@__xludf.DUMMYFUNCTION(&quot;&quot;&quot;COMPUTED_VALUE&quot;&quot;&quot;),&quot;Realtime Operating System&quot;)"/>
    <hyperlink ref="F184" r:id="rId165" display="=IFERROR(@__xludf.DUMMYFUNCTION(&quot;&quot;&quot;COMPUTED_VALUE&quot;&quot;&quot;),&quot;Open Source Operating System&quot;)"/>
    <hyperlink ref="F185" r:id="rId166" display="=IFERROR(@__xludf.DUMMYFUNCTION(&quot;&quot;&quot;COMPUTED_VALUE&quot;&quot;&quot;),&quot;Kernel Programming&quot;)"/>
    <hyperlink ref="F186" r:id="rId167" display="=IFERROR(@__xludf.DUMMYFUNCTION(&quot;&quot;&quot;COMPUTED_VALUE&quot;&quot;&quot;),&quot;Fundamentals of Cryptocurrency&quot;)"/>
    <hyperlink ref="F187" r:id="rId168" display="=IFERROR(@__xludf.DUMMYFUNCTION(&quot;&quot;&quot;COMPUTED_VALUE&quot;&quot;&quot;),&quot;Cloud Services Management&quot;)"/>
    <hyperlink ref="F188" r:id="rId169" display="=IFERROR(@__xludf.DUMMYFUNCTION(&quot;&quot;&quot;COMPUTED_VALUE&quot;&quot;&quot;),&quot;UI and UX Design&quot;)"/>
    <hyperlink ref="F190" r:id="rId170" display="=IFERROR(@__xludf.DUMMYFUNCTION(&quot;&quot;&quot;COMPUTED_VALUE&quot;&quot;&quot;),&quot;Software Testing and Automation&quot;)"/>
    <hyperlink ref="F191" r:id="rId171" display="=IFERROR(@__xludf.DUMMYFUNCTION(&quot;&quot;&quot;COMPUTED_VALUE&quot;&quot;&quot;),&quot;DevOps&quot;)"/>
    <hyperlink ref="F192" r:id="rId172" display="=IFERROR(@__xludf.DUMMYFUNCTION(&quot;&quot;&quot;COMPUTED_VALUE&quot;&quot;&quot;),&quot;Web Application Security&quot;)"/>
    <hyperlink ref="F195" r:id="rId173" display="=IFERROR(@__xludf.DUMMYFUNCTION(&quot;&quot;&quot;COMPUTED_VALUE&quot;&quot;&quot;),&quot;Core Computing Concepts&quot;)"/>
    <hyperlink ref="F202" r:id="rId174" display="=IFERROR(@__xludf.DUMMYFUNCTION(&quot;&quot;&quot;COMPUTED_VALUE&quot;&quot;&quot;),&quot;Robotic Process Automation&quot;)"/>
    <hyperlink ref="F203" r:id="rId175" display="=IFERROR(@__xludf.DUMMYFUNCTION(&quot;&quot;&quot;COMPUTED_VALUE&quot;&quot;&quot;),&quot;Software Project Management and Version Control&quot;)"/>
    <hyperlink ref="F204" r:id="rId176" display="=IFERROR(@__xludf.DUMMYFUNCTION(&quot;&quot;&quot;COMPUTED_VALUE&quot;&quot;&quot;),&quot;Generative AI Application Development&quot;)"/>
    <hyperlink ref="F205" r:id="rId177" display="=IFERROR(@__xludf.DUMMYFUNCTION(&quot;&quot;&quot;COMPUTED_VALUE&quot;&quot;&quot;),&quot;Fine Tuning Large Language Models&quot;)"/>
    <hyperlink ref="F206" r:id="rId178" display="=IFERROR(@__xludf.DUMMYFUNCTION(&quot;&quot;&quot;COMPUTED_VALUE&quot;&quot;&quot;),&quot;Applied Data Science&quot;)"/>
    <hyperlink ref="F207" r:id="rId179" display="=IFERROR(@__xludf.DUMMYFUNCTION(&quot;&quot;&quot;COMPUTED_VALUE&quot;&quot;&quot;),&quot;Entrepreneurship and Small Business Development&quot;)"/>
    <hyperlink ref="F208" r:id="rId180" display="=IFERROR(@__xludf.DUMMYFUNCTION(&quot;&quot;&quot;COMPUTED_VALUE&quot;&quot;&quot;),&quot;Software Development and Operations&quot;)"/>
    <hyperlink ref="F209" r:id="rId181" display="=IFERROR(@__xludf.DUMMYFUNCTION(&quot;&quot;&quot;COMPUTED_VALUE&quot;&quot;&quot;),&quot;Serverless App Development&quot;)"/>
    <hyperlink ref="F210" r:id="rId182" display="=IFERROR(@__xludf.DUMMYFUNCTION(&quot;&quot;&quot;COMPUTED_VALUE&quot;&quot;&quot;),&quot;Enterprise Cloud Architecture&quot;)"/>
    <hyperlink ref="F211" r:id="rId183" display="=IFERROR(@__xludf.DUMMYFUNCTION(&quot;&quot;&quot;COMPUTED_VALUE&quot;&quot;&quot;),&quot;Advanced Class Design and Object-Oriented Techniques&quot;)"/>
    <hyperlink ref="F212" r:id="rId184" display="=IFERROR(@__xludf.DUMMYFUNCTION(&quot;&quot;&quot;COMPUTED_VALUE&quot;&quot;&quot;),&quot;Low-Code App Development&quot;)"/>
    <hyperlink ref="F213" r:id="rId185" display="=IFERROR(@__xludf.DUMMYFUNCTION(&quot;&quot;&quot;COMPUTED_VALUE&quot;&quot;&quot;),&quot;Cloud System Administration&quot;)"/>
    <hyperlink ref="F214" r:id="rId186" display="=IFERROR(@__xludf.DUMMYFUNCTION(&quot;&quot;&quot;COMPUTED_VALUE&quot;&quot;&quot;),&quot;Machine Learning Operations&quot;)"/>
    <hyperlink ref="F215" r:id="rId187" display="=IFERROR(@__xludf.DUMMYFUNCTION(&quot;&quot;&quot;COMPUTED_VALUE&quot;&quot;&quot;),&quot;Grid and Cloud Computing&quot;)"/>
    <hyperlink ref="F216" r:id="rId188" display="=IFERROR(@__xludf.DUMMYFUNCTION(&quot;&quot;&quot;COMPUTED_VALUE&quot;&quot;&quot;),&quot;Distributed Computing&quot;)"/>
    <hyperlink ref="F217" r:id="rId189" display="=IFERROR(@__xludf.DUMMYFUNCTION(&quot;&quot;&quot;COMPUTED_VALUE&quot;&quot;&quot;),&quot;Information Theory and Coding Techniques&quot;)"/>
    <hyperlink ref="F218" r:id="rId190" display="=IFERROR(@__xludf.DUMMYFUNCTION(&quot;&quot;&quot;COMPUTED_VALUE&quot;&quot;&quot;),&quot;Enterprise Resource Planning&quot;)"/>
    <hyperlink ref="F219" r:id="rId191" display="=IFERROR(@__xludf.DUMMYFUNCTION(&quot;&quot;&quot;COMPUTED_VALUE&quot;&quot;&quot;),&quot;User Interface Design&quot;)"/>
    <hyperlink ref="F220" r:id="rId192" display="=IFERROR(@__xludf.DUMMYFUNCTION(&quot;&quot;&quot;COMPUTED_VALUE&quot;&quot;&quot;),&quot;Information Storage Management&quot;)"/>
    <hyperlink ref="F221" r:id="rId193" display="=IFERROR(@__xludf.DUMMYFUNCTION(&quot;&quot;&quot;COMPUTED_VALUE&quot;&quot;&quot;),&quot;Software Design Patterns&quot;)"/>
    <hyperlink ref="F222" r:id="rId194" display="=IFERROR(@__xludf.DUMMYFUNCTION(&quot;&quot;&quot;COMPUTED_VALUE&quot;&quot;&quot;),&quot;E-Learning Techniques&quot;)"/>
    <hyperlink ref="F223" r:id="rId195" display="=IFERROR(@__xludf.DUMMYFUNCTION(&quot;&quot;&quot;COMPUTED_VALUE&quot;&quot;&quot;),&quot;TCP/IP Design and Implementation&quot;)"/>
    <hyperlink ref="F224" r:id="rId196" display="=IFERROR(@__xludf.DUMMYFUNCTION(&quot;&quot;&quot;COMPUTED_VALUE&quot;&quot;&quot;),&quot;Advanced Algorithms&quot;)"/>
    <hyperlink ref="F225" r:id="rId197" display="=IFERROR(@__xludf.DUMMYFUNCTION(&quot;&quot;&quot;COMPUTED_VALUE&quot;&quot;&quot;),&quot;Ethical Hacking&quot;)"/>
    <hyperlink ref="F226" r:id="rId198" display="=IFERROR(@__xludf.DUMMYFUNCTION(&quot;&quot;&quot;COMPUTED_VALUE&quot;&quot;&quot;),&quot;DHTML and XML&quot;)"/>
    <hyperlink ref="F227" r:id="rId199" display="=IFERROR(@__xludf.DUMMYFUNCTION(&quot;&quot;&quot;COMPUTED_VALUE&quot;&quot;&quot;),&quot;E-Commerce&quot;)"/>
    <hyperlink ref="F228" r:id="rId200" display="=IFERROR(@__xludf.DUMMYFUNCTION(&quot;&quot;&quot;COMPUTED_VALUE&quot;&quot;&quot;),&quot;Free Open Source Software&quot;)"/>
    <hyperlink ref="F229" r:id="rId201" display="=IFERROR(@__xludf.DUMMYFUNCTION(&quot;&quot;&quot;COMPUTED_VALUE&quot;&quot;&quot;),&quot;Real Time Operating Systems&quot;)"/>
    <hyperlink ref="F230" r:id="rId202" display="=IFERROR(@__xludf.DUMMYFUNCTION(&quot;&quot;&quot;COMPUTED_VALUE&quot;&quot;&quot;),&quot;Software Agents&quot;)"/>
    <hyperlink ref="F231" r:id="rId203" display="=IFERROR(@__xludf.DUMMYFUNCTION(&quot;&quot;&quot;COMPUTED_VALUE&quot;&quot;&quot;),&quot;Business Intelligence and Analytics&quot;)"/>
    <hyperlink ref="F232" r:id="rId204" display="=IFERROR(@__xludf.DUMMYFUNCTION(&quot;&quot;&quot;COMPUTED_VALUE&quot;&quot;&quot;),&quot;Mathematics for Artificial Intelligence&quot;)"/>
    <hyperlink ref="F233" r:id="rId205" display="=IFERROR(@__xludf.DUMMYFUNCTION(&quot;&quot;&quot;COMPUTED_VALUE&quot;&quot;&quot;),&quot;Statistics and Numerical Methods&quot;)"/>
    <hyperlink ref="F234" r:id="rId206" display="=IFERROR(@__xludf.DUMMYFUNCTION(&quot;&quot;&quot;COMPUTED_VALUE&quot;&quot;&quot;),&quot;Programming Microcontrollers&quot;)"/>
    <hyperlink ref="F237" r:id="rId207" display="=IFERROR(@__xludf.DUMMYFUNCTION(&quot;&quot;&quot;COMPUTED_VALUE&quot;&quot;&quot;),&quot;Mini Project&quot;)"/>
    <hyperlink ref="F238" r:id="rId208" display="=IFERROR(@__xludf.DUMMYFUNCTION(&quot;&quot;&quot;COMPUTED_VALUE&quot;&quot;&quot;),&quot;Project Work Phase I&quot;)"/>
    <hyperlink ref="F239" r:id="rId209" display="=IFERROR(@__xludf.DUMMYFUNCTION(&quot;&quot;&quot;COMPUTED_VALUE&quot;&quot;&quot;),&quot;Project Work Phase II&quot;)"/>
    <hyperlink ref="F241" r:id="rId210" display="=IFERROR(@__xludf.DUMMYFUNCTION(&quot;&quot;&quot;COMPUTED_VALUE&quot;&quot;&quot;),&quot;Career Development Skills&quot;)"/>
    <hyperlink ref="F242" r:id="rId211" display="=IFERROR(@__xludf.DUMMYFUNCTION(&quot;&quot;&quot;COMPUTED_VALUE&quot;&quot;&quot;),&quot;Reasoning Ability&quot;)"/>
    <hyperlink ref="F243" r:id="rId212" display="=IFERROR(@__xludf.DUMMYFUNCTION(&quot;&quot;&quot;COMPUTED_VALUE&quot;&quot;&quot;),&quot;Quantitative Ability I&quot;)"/>
    <hyperlink ref="F244" r:id="rId213" display="=IFERROR(@__xludf.DUMMYFUNCTION(&quot;&quot;&quot;COMPUTED_VALUE&quot;&quot;&quot;),&quot;Quantitative Ability II&quot;)"/>
    <hyperlink ref="F245" r:id="rId214" display="=IFERROR(@__xludf.DUMMYFUNCTION(&quot;&quot;&quot;COMPUTED_VALUE&quot;&quot;&quot;),&quot;Employment Enrichment Skills&quot;)"/>
    <hyperlink ref="F246" r:id="rId215" display="=IFERROR(@__xludf.DUMMYFUNCTION(&quot;&quot;&quot;COMPUTED_VALUE&quot;&quot;&quot;),&quot;Company Specific Assessments For Employability&quot;)"/>
    <hyperlink ref="F247" r:id="rId216" display="=IFERROR(@__xludf.DUMMYFUNCTION(&quot;&quot;&quot;COMPUTED_VALUE&quot;&quot;&quot;),&quot;Placement Readiness Assessment&quot;)"/>
    <hyperlink ref="F248" r:id="rId217" display="=IFERROR(@__xludf.DUMMYFUNCTION(&quot;&quot;&quot;COMPUTED_VALUE&quot;&quot;&quot;),&quot;Paper Publication&quot;)"/>
    <hyperlink ref="F249" r:id="rId218" display="=IFERROR(@__xludf.DUMMYFUNCTION(&quot;&quot;&quot;COMPUTED_VALUE&quot;&quot;&quot;),&quot;Constitutionalism and Artificial Intelligence Policies in India&quot;)"/>
    <hyperlink ref="F250" r:id="rId219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11"/>
  <sheetViews>
    <sheetView tabSelected="1" topLeftCell="A18" workbookViewId="0">
      <selection activeCell="F24" sqref="F24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""R2019-AI&amp;DS!A:A""),
IMPORTRANGE(""https://docs.google.com/spreadsheets/d/1UvPg-G_Bj-UNhLC2uL8tntfYsnld_PABqE3impzOchM/edit"", ""R201"&amp;"9-AI&amp;DS!D:D""),
IMPORTRANGE(""https://docs.google.com/spreadsheets/d/1UvPg-G_Bj-UNhLC2uL8tntfYsnld_PABqE3impzOchM/edit"", ""R2019-AI&amp;DS!E:E""),
IMPORTRANGE(""https://docs.google.com/spreadsheets/d/1UvPg-G_Bj-UNhLC2uL8tntfYsnld_PABqE3impzOchM/edit"", ""R20"&amp;"19-AI&amp;DS!F:F""),
IMPORTRANGE(""https://docs.google.com/spreadsheets/d/1UvPg-G_Bj-UNhLC2uL8tntfYsnld_PABqE3impzOchM/edit"", ""R2019-AI&amp;DS!G:G""),
IMPORTRANGE(""https://docs.google.com/spreadsheets/d/1UvPg-G_Bj-UNhLC2uL8tntfYsnld_PABqE3impzOchM/edit"", ""R2"&amp;"019-AI&amp;DS!I:I""),
IMPORTRANGE(""https://docs.google.com/spreadsheets/d/1UvPg-G_Bj-UNhLC2uL8tntfYsnld_PABqE3impzOchM/edit"", ""R2019-AI&amp;DS!N:N""),
IMPORTRANGE(""https://docs.google.com/spreadsheets/d/1UvPg-G_Bj-UNhLC2uL8tntfYsnld_PABqE3impzOchM/edit"", ""R"&amp;"2019-AI&amp;DS!O:O""),
IMPORTRANGE(""https://docs.google.com/spreadsheets/d/1UvPg-G_Bj-UNhLC2uL8tntfYsnld_PABqE3impzOchM/edit"", ""R2019-AI&amp;DS!P:P""),
IMPORTRANGE(""https://docs.google.com/spreadsheets/d/1UvPg-G_Bj-UNhLC2uL8tntfYsnld_PABqE3impzOchM/edit"", """&amp;"R2019-AI&amp;DS!Q:Q""),
IMPORTRANGE(""https://docs.google.com/spreadsheets/d/1UvPg-G_Bj-UNhLC2uL8tntfYsnld_PABqE3impzOchM/edit"", ""R2019-AI&amp;DS!R:R""),
IMPORTRANGE(""https://docs.google.com/spreadsheets/d/1UvPg-G_Bj-UNhLC2uL8tntfYsnld_PABqE3impzOchM/edit"", "&amp;"""R2019-AI&amp;DS!S:S""),
IMPORTRANGE(""https://docs.google.com/spreadsheets/d/1UvPg-G_Bj-UNhLC2uL8tntfYsnld_PABqE3impzOchM/edit"", ""R2019-AI&amp;DS!V:V""),
IMPORTRANGE(""https://docs.google.com/spreadsheets/d/1UvPg-G_Bj-UNhLC2uL8tntfYsnld_PABqE3impzOchM/edit"","&amp;" ""R2019-AI&amp;DS!X:X""),
IMPORTRANGE(""https://docs.google.com/spreadsheets/d/1UvPg-G_Bj-UNhLC2uL8tntfYsnld_PABqE3impzOchM/edit"", ""R2019-AI&amp;DS!Y:Y""),
IMPORTRANGE(""https://docs.google.com/spreadsheets/d/1UvPg-G_Bj-UNhLC2uL8tntfYsnld_PABqE3impzOchM/edit"""&amp;", ""R2019-AI&amp;DS!AA:AA""),
IMPORTRANGE(""https://docs.google.com/spreadsheets/d/1UvPg-G_Bj-UNhLC2uL8tntfYsnld_PABqE3impzOchM/edit"", ""R2019-AI&amp;DS!AC:AC""),
IMPORTRANGE(""https://docs.google.com/spreadsheets/d/1UvPg-G_Bj-UNhLC2uL8tntfYsnld_PABqE3impzOchM/e"&amp;"dit"", ""R2019-AI&amp;DS!AD:AD"")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IFERROR(__xludf.DUMMYFUNCTION("""COMPUTED_VALUE"""),12)</f>
        <v>12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IFERROR(__xludf.DUMMYFUNCTION("""COMPUTED_VALUE"""),14)</f>
        <v>14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IFERROR(__xludf.DUMMYFUNCTION("""COMPUTED_VALUE"""),21)</f>
        <v>21</v>
      </c>
      <c r="O4" s="20">
        <f>IFERROR(__xludf.DUMMYFUNCTION("""COMPUTED_VALUE"""),8)</f>
        <v>8</v>
      </c>
      <c r="P4" s="19" t="str">
        <f>IFERROR(__xludf.DUMMYFUNCTION("""COMPUTED_VALUE"""),"BS")</f>
        <v>BS</v>
      </c>
      <c r="Q4" s="2">
        <f>IFERROR(__xludf.DUMMYFUNCTION("""COMPUTED_VALUE"""),21)</f>
        <v>21</v>
      </c>
      <c r="R4" s="20">
        <f>IFERROR(__xludf.DUMMYFUNCTION("""COMPUTED_VALUE"""),8)</f>
        <v>8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 , Any 1 for Regular")</f>
        <v>Exempted for LE , Any 1 for Regular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IFERROR(__xludf.DUMMYFUNCTION("""COMPUTED_VALUE"""),28)</f>
        <v>28</v>
      </c>
      <c r="O5" s="20">
        <f>IFERROR(__xludf.DUMMYFUNCTION("""COMPUTED_VALUE"""),12)</f>
        <v>12</v>
      </c>
      <c r="P5" s="19" t="str">
        <f>IFERROR(__xludf.DUMMYFUNCTION("""COMPUTED_VALUE"""),"ES")</f>
        <v>ES</v>
      </c>
      <c r="Q5" s="2">
        <f>IFERROR(__xludf.DUMMYFUNCTION("""COMPUTED_VALUE"""),28)</f>
        <v>28</v>
      </c>
      <c r="R5" s="20">
        <f>IFERROR(__xludf.DUMMYFUNCTION("""COMPUTED_VALUE"""),12)</f>
        <v>12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IFERROR(__xludf.DUMMYFUNCTION("""COMPUTED_VALUE"""),56)</f>
        <v>56</v>
      </c>
      <c r="P6" s="19" t="str">
        <f>IFERROR(__xludf.DUMMYFUNCTION("""COMPUTED_VALUE"""),"PC")</f>
        <v>PC</v>
      </c>
      <c r="Q6" s="2">
        <f>IFERROR(__xludf.DUMMYFUNCTION("""COMPUTED_VALUE"""),56)</f>
        <v>56</v>
      </c>
      <c r="R6" s="20">
        <f>IFERROR(__xludf.DUMMYFUNCTION("""COMPUTED_VALUE"""),56)</f>
        <v>56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IFERROR(__xludf.DUMMYFUNCTION("""COMPUTED_VALUE"""),16)</f>
        <v>16</v>
      </c>
      <c r="P7" s="19" t="str">
        <f>IFERROR(__xludf.DUMMYFUNCTION("""COMPUTED_VALUE"""),"PE")</f>
        <v>PE</v>
      </c>
      <c r="Q7" s="2">
        <f>IFERROR(__xludf.DUMMYFUNCTION("""COMPUTED_VALUE"""),16)</f>
        <v>16</v>
      </c>
      <c r="R7" s="20">
        <f>IFERROR(__xludf.DUMMYFUNCTION("""COMPUTED_VALUE"""),15)</f>
        <v>15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/>
      <c r="C11" s="2" t="str">
        <f>IFERROR(__xludf.DUMMYFUNCTION("""COMPUTED_VALUE"""),"BS")</f>
        <v>BS</v>
      </c>
      <c r="D11" s="2" t="str">
        <f>IFERROR(__xludf.DUMMYFUNCTION("""COMPUTED_VALUE"""),"SH2222")</f>
        <v>SH2222</v>
      </c>
      <c r="E11" s="2" t="str">
        <f>IFERROR(__xludf.DUMMYFUNCTION("""COMPUTED_VALUE"""),"19MA222")</f>
        <v>19MA222</v>
      </c>
      <c r="F11" s="7" t="str">
        <f>IFERROR(__xludf.DUMMYFUNCTION("""COMPUTED_VALUE"""),"Probability and Queueing Models")</f>
        <v>Probability and Queueing Models</v>
      </c>
      <c r="G11" s="2" t="str">
        <f>IFERROR(__xludf.DUMMYFUNCTION("""COMPUTED_VALUE"""),"-")</f>
        <v>-</v>
      </c>
      <c r="H11" s="2">
        <f>IFERROR(__xludf.DUMMYFUNCTION("""COMPUTED_VALUE"""),3)</f>
        <v>3</v>
      </c>
      <c r="I11" s="2">
        <f>IFERROR(__xludf.DUMMYFUNCTION("""COMPUTED_VALUE"""),1)</f>
        <v>1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IFERROR(__xludf.DUMMYFUNCTION("""COMPUTED_VALUE"""),"TIP (6 Expts)")</f>
        <v>TIP (6 Expts)</v>
      </c>
      <c r="M11" s="21" t="str">
        <f>IFERROR(__xludf.DUMMYFUNCTION("""COMPUTED_VALUE"""),"TOTAL")</f>
        <v>TOTAL</v>
      </c>
      <c r="N11" s="22">
        <f>IFERROR(__xludf.DUMMYFUNCTION("""COMPUTED_VALUE"""),164)</f>
        <v>164</v>
      </c>
      <c r="O11" s="23">
        <f>IFERROR(__xludf.DUMMYFUNCTION("""COMPUTED_VALUE"""),126)</f>
        <v>126</v>
      </c>
      <c r="P11" s="21" t="str">
        <f>IFERROR(__xludf.DUMMYFUNCTION("""COMPUTED_VALUE"""),"TOTAL")</f>
        <v>TOTAL</v>
      </c>
      <c r="Q11" s="22">
        <f>IFERROR(__xludf.DUMMYFUNCTION("""COMPUTED_VALUE"""),166)</f>
        <v>166</v>
      </c>
      <c r="R11" s="23">
        <f>IFERROR(__xludf.DUMMYFUNCTION("""COMPUTED_VALUE"""),125)</f>
        <v>125</v>
      </c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IFERROR(__xludf.DUMMYFUNCTION("""COMPUTED_VALUE"""),"SH2219")</f>
        <v>SH2219</v>
      </c>
      <c r="E12" s="2" t="str">
        <f>IFERROR(__xludf.DUMMYFUNCTION("""COMPUTED_VALUE"""),"19MA219")</f>
        <v>19MA219</v>
      </c>
      <c r="F12" s="7" t="str">
        <f>IFERROR(__xludf.DUMMYFUNCTION("""COMPUTED_VALUE"""),"Transforms and Its Applications")</f>
        <v>Transforms and Its Applications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IFERROR(__xludf.DUMMYFUNCTION("""COMPUTED_VALUE"""),"SH2220")</f>
        <v>SH2220</v>
      </c>
      <c r="E13" s="2" t="str">
        <f>IFERROR(__xludf.DUMMYFUNCTION("""COMPUTED_VALUE"""),"19MA220")</f>
        <v>19MA220</v>
      </c>
      <c r="F13" s="7" t="str">
        <f>IFERROR(__xludf.DUMMYFUNCTION("""COMPUTED_VALUE"""),"Mathematics for Artificial Intelligence")</f>
        <v>Mathematics for Artificial Intelligence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IFERROR(__xludf.DUMMYFUNCTION("""COMPUTED_VALUE"""),"SH2221")</f>
        <v>SH2221</v>
      </c>
      <c r="E14" s="2" t="str">
        <f>IFERROR(__xludf.DUMMYFUNCTION("""COMPUTED_VALUE"""),"19MA221")</f>
        <v>19MA221</v>
      </c>
      <c r="F14" s="7" t="str">
        <f>IFERROR(__xludf.DUMMYFUNCTION("""COMPUTED_VALUE"""),"Linear Algebra Laboratory")</f>
        <v>Linear Algebra Laboratory</v>
      </c>
      <c r="G14" s="2" t="str">
        <f>IFERROR(__xludf.DUMMYFUNCTION("""COMPUTED_VALUE"""),"-")</f>
        <v>-</v>
      </c>
      <c r="H14" s="2">
        <f>IFERROR(__xludf.DUMMYFUNCTION("""COMPUTED_VALUE"""),0)</f>
        <v>0</v>
      </c>
      <c r="I14" s="2">
        <f>IFERROR(__xludf.DUMMYFUNCTION("""COMPUTED_VALUE"""),2)</f>
        <v>2</v>
      </c>
      <c r="J14" s="2">
        <f>IFERROR(__xludf.DUMMYFUNCTION("""COMPUTED_VALUE"""),2)</f>
        <v>2</v>
      </c>
      <c r="K14" s="2" t="str">
        <f>IFERROR(__xludf.DUMMYFUNCTION("""COMPUTED_VALUE"""),"CGPA")</f>
        <v>CGPA</v>
      </c>
      <c r="L14" s="2" t="str">
        <f>IFERROR(__xludf.DUMMYFUNCTION("""COMPUTED_VALUE"""),"Practical (10 Expts)")</f>
        <v>Practical (10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 t="str">
        <f>IFERROR(__xludf.DUMMYFUNCTION("""COMPUTED_VALUE"""),"Exempted for LE")</f>
        <v>Exempted for LE</v>
      </c>
      <c r="C15" s="2" t="str">
        <f>IFERROR(__xludf.DUMMYFUNCTION("""COMPUTED_VALUE"""),"BS")</f>
        <v>BS</v>
      </c>
      <c r="D15" s="2" t="str">
        <f>IFERROR(__xludf.DUMMYFUNCTION("""COMPUTED_VALUE"""),"NA")</f>
        <v>NA</v>
      </c>
      <c r="E15" s="2" t="str">
        <f>IFERROR(__xludf.DUMMYFUNCTION("""COMPUTED_VALUE"""),"19PH214")</f>
        <v>19PH214</v>
      </c>
      <c r="F15" s="7" t="str">
        <f>IFERROR(__xludf.DUMMYFUNCTION("""COMPUTED_VALUE"""),"Physics for Quantum Computing")</f>
        <v>Physics for Quantum Computing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IFERROR(__xludf.DUMMYFUNCTION("""COMPUTED_VALUE"""),0)</f>
        <v>0</v>
      </c>
      <c r="J15" s="2">
        <f>IFERROR(__xludf.DUMMYFUNCTION("""COMPUTED_VALUE"""),3)</f>
        <v>3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IFERROR(__xludf.DUMMYFUNCTION("""COMPUTED_VALUE"""),"SH4205")</f>
        <v>SH4205</v>
      </c>
      <c r="E16" s="2" t="str">
        <f>IFERROR(__xludf.DUMMYFUNCTION("""COMPUTED_VALUE"""),"19CY205")</f>
        <v>19CY205</v>
      </c>
      <c r="F16" s="7" t="str">
        <f>IFERROR(__xludf.DUMMYFUNCTION("""COMPUTED_VALUE"""),"Principles of Chemistry in Engineering")</f>
        <v>Principles of Chemistry in Engineering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IFERROR(__xludf.DUMMYFUNCTION("""COMPUTED_VALUE"""),"ES")</f>
        <v>ES</v>
      </c>
      <c r="D17" s="2" t="str">
        <f>IFERROR(__xludf.DUMMYFUNCTION("""COMPUTED_VALUE"""),"CS3301")</f>
        <v>CS3301</v>
      </c>
      <c r="E17" s="2" t="str">
        <f>IFERROR(__xludf.DUMMYFUNCTION("""COMPUTED_VALUE"""),"19AI301")</f>
        <v>19AI301</v>
      </c>
      <c r="F17" s="7" t="str">
        <f>IFERROR(__xludf.DUMMYFUNCTION("""COMPUTED_VALUE"""),"Python Programming")</f>
        <v>Python Programming</v>
      </c>
      <c r="G17" s="2" t="str">
        <f>IFERROR(__xludf.DUMMYFUNCTION("""COMPUTED_VALUE"""),"-")</f>
        <v>-</v>
      </c>
      <c r="H17" s="2">
        <f>IFERROR(__xludf.DUMMYFUNCTION("""COMPUTED_VALUE"""),2)</f>
        <v>2</v>
      </c>
      <c r="I17" s="2">
        <f>IFERROR(__xludf.DUMMYFUNCTION("""COMPUTED_VALUE"""),1)</f>
        <v>1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IFERROR(__xludf.DUMMYFUNCTION("""COMPUTED_VALUE"""),"CS3302")</f>
        <v>CS3302</v>
      </c>
      <c r="E18" s="2" t="str">
        <f>IFERROR(__xludf.DUMMYFUNCTION("""COMPUTED_VALUE"""),"19AI302")</f>
        <v>19AI302</v>
      </c>
      <c r="F18" s="7" t="str">
        <f>IFERROR(__xludf.DUMMYFUNCTION("""COMPUTED_VALUE"""),"Engineering Design and Modelling")</f>
        <v>Engineering Design and Modelling</v>
      </c>
      <c r="G18" s="2" t="str">
        <f>IFERROR(__xludf.DUMMYFUNCTION("""COMPUTED_VALUE"""),"-")</f>
        <v>-</v>
      </c>
      <c r="H18" s="2">
        <f>IFERROR(__xludf.DUMMYFUNCTION("""COMPUTED_VALUE"""),0)</f>
        <v>0</v>
      </c>
      <c r="I18" s="2">
        <f>IFERROR(__xludf.DUMMYFUNCTION("""COMPUTED_VALUE"""),3)</f>
        <v>3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IFERROR(__xludf.DUMMYFUNCTION("""COMPUTED_VALUE"""),"Practical (10 Expts)")</f>
        <v>Practical (10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IFERROR(__xludf.DUMMYFUNCTION("""COMPUTED_VALUE"""),"CS3303")</f>
        <v>CS3303</v>
      </c>
      <c r="E19" s="2" t="str">
        <f>IFERROR(__xludf.DUMMYFUNCTION("""COMPUTED_VALUE"""),"19AI303")</f>
        <v>19AI303</v>
      </c>
      <c r="F19" s="7" t="str">
        <f>IFERROR(__xludf.DUMMYFUNCTION("""COMPUTED_VALUE"""),"Engineering Mechanics and Product Development")</f>
        <v>Engineering Mechanics and Product Development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IFERROR(__xludf.DUMMYFUNCTION("""COMPUTED_VALUE"""),"CS3306")</f>
        <v>CS3306</v>
      </c>
      <c r="E20" s="2" t="str">
        <f>IFERROR(__xludf.DUMMYFUNCTION("""COMPUTED_VALUE"""),"19AI306")</f>
        <v>19AI306</v>
      </c>
      <c r="F20" s="7" t="str">
        <f>IFERROR(__xludf.DUMMYFUNCTION("""COMPUTED_VALUE"""),"Object Oriented Programming using C++")</f>
        <v>Object Oriented Programming using C++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IFERROR(__xludf.DUMMYFUNCTION("""COMPUTED_VALUE"""),"CS3307")</f>
        <v>CS3307</v>
      </c>
      <c r="E21" s="2" t="str">
        <f>IFERROR(__xludf.DUMMYFUNCTION("""COMPUTED_VALUE"""),"19AI307")</f>
        <v>19AI307</v>
      </c>
      <c r="F21" s="7" t="str">
        <f>IFERROR(__xludf.DUMMYFUNCTION("""COMPUTED_VALUE"""),"Object Oriented Programming using Java")</f>
        <v>Object Oriented Programming using Java</v>
      </c>
      <c r="G21" s="2" t="str">
        <f>IFERROR(__xludf.DUMMYFUNCTION("""COMPUTED_VALUE"""),"19AI304")</f>
        <v>19AI304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IFERROR(__xludf.DUMMYFUNCTION("""COMPUTED_VALUE"""),"CS3308")</f>
        <v>CS3308</v>
      </c>
      <c r="E22" s="2" t="str">
        <f>IFERROR(__xludf.DUMMYFUNCTION("""COMPUTED_VALUE"""),"19AI308")</f>
        <v>19AI308</v>
      </c>
      <c r="F22" s="7" t="str">
        <f>IFERROR(__xludf.DUMMYFUNCTION("""COMPUTED_VALUE"""),"Object Oriented Programming using C#")</f>
        <v>Object Oriented Programming using C#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IFERROR(__xludf.DUMMYFUNCTION("""COMPUTED_VALUE"""),"EC2404")</f>
        <v>EC2404</v>
      </c>
      <c r="E23" s="2" t="str">
        <f>IFERROR(__xludf.DUMMYFUNCTION("""COMPUTED_VALUE"""),"19EE404")</f>
        <v>19EE404</v>
      </c>
      <c r="F23" s="7" t="str">
        <f>IFERROR(__xludf.DUMMYFUNCTION("""COMPUTED_VALUE"""),"Digital Electronics")</f>
        <v>Digital Electronics</v>
      </c>
      <c r="G23" s="2" t="str">
        <f>IFERROR(__xludf.DUMMYFUNCTION("""COMPUTED_VALUE"""),"-")</f>
        <v>-</v>
      </c>
      <c r="H23" s="2">
        <f>IFERROR(__xludf.DUMMYFUNCTION("""COMPUTED_VALUE"""),3)</f>
        <v>3</v>
      </c>
      <c r="I23" s="2">
        <f>IFERROR(__xludf.DUMMYFUNCTION("""COMPUTED_VALUE"""),1)</f>
        <v>1</v>
      </c>
      <c r="J23" s="2">
        <f>IFERROR(__xludf.DUMMYFUNCTION("""COMPUTED_VALUE"""),4)</f>
        <v>4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 t="str">
        <f>IFERROR(__xludf.DUMMYFUNCTION("""COMPUTED_VALUE"""),"Exempted for LE")</f>
        <v>Exempted for LE</v>
      </c>
      <c r="C24" s="2" t="str">
        <f>IFERROR(__xludf.DUMMYFUNCTION("""COMPUTED_VALUE"""),"ES")</f>
        <v>ES</v>
      </c>
      <c r="D24" s="2" t="str">
        <f>IFERROR(__xludf.DUMMYFUNCTION("""COMPUTED_VALUE"""),"EC2305")</f>
        <v>EC2305</v>
      </c>
      <c r="E24" s="2" t="str">
        <f>IFERROR(__xludf.DUMMYFUNCTION("""COMPUTED_VALUE"""),"19EE305")</f>
        <v>19EE305</v>
      </c>
      <c r="F24" s="29" t="str">
        <f>IFERROR(__xludf.DUMMYFUNCTION("""COMPUTED_VALUE"""),"Basic Electrical Electronics and Measurement Engineering")</f>
        <v>Basic Electrical Electronics and Measurement Engineering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 t="str">
        <f>IFERROR(__xludf.DUMMYFUNCTION("""COMPUTED_VALUE"""),"Exempted for LE")</f>
        <v>Exempted for LE</v>
      </c>
      <c r="C25" s="2" t="str">
        <f>IFERROR(__xludf.DUMMYFUNCTION("""COMPUTED_VALUE"""),"ES")</f>
        <v>ES</v>
      </c>
      <c r="D25" s="2" t="str">
        <f>IFERROR(__xludf.DUMMYFUNCTION("""COMPUTED_VALUE"""),"EC2309")</f>
        <v>EC2309</v>
      </c>
      <c r="E25" s="2" t="str">
        <f>IFERROR(__xludf.DUMMYFUNCTION("""COMPUTED_VALUE"""),"19EE309")</f>
        <v>19EE309</v>
      </c>
      <c r="F25" s="7" t="str">
        <f>IFERROR(__xludf.DUMMYFUNCTION("""COMPUTED_VALUE"""),"Programming Microcontrollers")</f>
        <v>Programming Microcontrollers</v>
      </c>
      <c r="G25" s="2" t="str">
        <f>IFERROR(__xludf.DUMMYFUNCTION("""COMPUTED_VALUE"""),"-")</f>
        <v>-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IFERROR(__xludf.DUMMYFUNCTION("""COMPUTED_VALUE"""),"CS3304")</f>
        <v>CS3304</v>
      </c>
      <c r="E26" s="2" t="str">
        <f>IFERROR(__xludf.DUMMYFUNCTION("""COMPUTED_VALUE"""),"19AI304")</f>
        <v>19AI304</v>
      </c>
      <c r="F26" s="7" t="str">
        <f>IFERROR(__xludf.DUMMYFUNCTION("""COMPUTED_VALUE"""),"Fundamentals of C Programming")</f>
        <v>Fundamentals of C Programming</v>
      </c>
      <c r="G26" s="2" t="str">
        <f>IFERROR(__xludf.DUMMYFUNCTION("""COMPUTED_VALUE"""),"-")</f>
        <v>-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IFERROR(__xludf.DUMMYFUNCTION("""COMPUTED_VALUE"""),"ES")</f>
        <v>ES</v>
      </c>
      <c r="D27" s="2" t="str">
        <f>IFERROR(__xludf.DUMMYFUNCTION("""COMPUTED_VALUE"""),"CS3305")</f>
        <v>CS3305</v>
      </c>
      <c r="E27" s="2" t="str">
        <f>IFERROR(__xludf.DUMMYFUNCTION("""COMPUTED_VALUE"""),"19AI305")</f>
        <v>19AI305</v>
      </c>
      <c r="F27" s="7" t="str">
        <f>IFERROR(__xludf.DUMMYFUNCTION("""COMPUTED_VALUE"""),"Advanced C Programming")</f>
        <v>Advanced C Programming</v>
      </c>
      <c r="G27" s="2" t="str">
        <f>IFERROR(__xludf.DUMMYFUNCTION("""COMPUTED_VALUE"""),"19AI304 / CS3304")</f>
        <v>19AI304 / CS3304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IFERROR(__xludf.DUMMYFUNCTION("""COMPUTED_VALUE"""),"PC")</f>
        <v>PC</v>
      </c>
      <c r="D28" s="2" t="str">
        <f>IFERROR(__xludf.DUMMYFUNCTION("""COMPUTED_VALUE"""),"SH2211")</f>
        <v>SH2211</v>
      </c>
      <c r="E28" s="2" t="str">
        <f>IFERROR(__xludf.DUMMYFUNCTION("""COMPUTED_VALUE"""),"19MA211")</f>
        <v>19MA211</v>
      </c>
      <c r="F28" s="7" t="str">
        <f>IFERROR(__xludf.DUMMYFUNCTION("""COMPUTED_VALUE"""),"Statistics and Numerical Methods")</f>
        <v>Statistics and Numerical Methods</v>
      </c>
      <c r="G28" s="2" t="str">
        <f>IFERROR(__xludf.DUMMYFUNCTION("""COMPUTED_VALUE"""),"-")</f>
        <v>-</v>
      </c>
      <c r="H28" s="2">
        <f>IFERROR(__xludf.DUMMYFUNCTION("""COMPUTED_VALUE"""),3)</f>
        <v>3</v>
      </c>
      <c r="I28" s="2">
        <f>IFERROR(__xludf.DUMMYFUNCTION("""COMPUTED_VALUE"""),1)</f>
        <v>1</v>
      </c>
      <c r="J28" s="2">
        <f>IFERROR(__xludf.DUMMYFUNCTION("""COMPUTED_VALUE"""),4)</f>
        <v>4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IFERROR(__xludf.DUMMYFUNCTION("""COMPUTED_VALUE"""),"CS3408")</f>
        <v>CS3408</v>
      </c>
      <c r="E29" s="2" t="str">
        <f>IFERROR(__xludf.DUMMYFUNCTION("""COMPUTED_VALUE"""),"19AI408")</f>
        <v>19AI408</v>
      </c>
      <c r="F29" s="7" t="str">
        <f>IFERROR(__xludf.DUMMYFUNCTION("""COMPUTED_VALUE"""),"Data Structures")</f>
        <v>Data Structures</v>
      </c>
      <c r="G29" s="2" t="str">
        <f>IFERROR(__xludf.DUMMYFUNCTION("""COMPUTED_VALUE"""),"19AI304 / CS3304")</f>
        <v>19AI304 / CS3304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IFERROR(__xludf.DUMMYFUNCTION("""COMPUTED_VALUE"""),"CS3404")</f>
        <v>CS3404</v>
      </c>
      <c r="E30" s="2" t="str">
        <f>IFERROR(__xludf.DUMMYFUNCTION("""COMPUTED_VALUE"""),"19AI404")</f>
        <v>19AI404</v>
      </c>
      <c r="F30" s="7" t="str">
        <f>IFERROR(__xludf.DUMMYFUNCTION("""COMPUTED_VALUE"""),"Analysis of Algorithms")</f>
        <v>Analysis of Algorithms</v>
      </c>
      <c r="G30" s="2" t="str">
        <f>IFERROR(__xludf.DUMMYFUNCTION("""COMPUTED_VALUE"""),"19AI301")</f>
        <v>19AI301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IFERROR(__xludf.DUMMYFUNCTION("""COMPUTED_VALUE"""),"CS3405")</f>
        <v>CS3405</v>
      </c>
      <c r="E31" s="2" t="str">
        <f>IFERROR(__xludf.DUMMYFUNCTION("""COMPUTED_VALUE"""),"19AI405")</f>
        <v>19AI405</v>
      </c>
      <c r="F31" s="7" t="str">
        <f>IFERROR(__xludf.DUMMYFUNCTION("""COMPUTED_VALUE"""),"Fundamentals of Artificial Intelligence")</f>
        <v>Fundamentals of Artificial Intelligence</v>
      </c>
      <c r="G31" s="2" t="str">
        <f>IFERROR(__xludf.DUMMYFUNCTION("""COMPUTED_VALUE"""),"19CS301")</f>
        <v>19CS301</v>
      </c>
      <c r="H31" s="2">
        <f>IFERROR(__xludf.DUMMYFUNCTION("""COMPUTED_VALUE"""),2)</f>
        <v>2</v>
      </c>
      <c r="I31" s="2">
        <f>IFERROR(__xludf.DUMMYFUNCTION("""COMPUTED_VALUE"""),1)</f>
        <v>1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IFERROR(__xludf.DUMMYFUNCTION("""COMPUTED_VALUE"""),"CS3406")</f>
        <v>CS3406</v>
      </c>
      <c r="E32" s="2" t="str">
        <f>IFERROR(__xludf.DUMMYFUNCTION("""COMPUTED_VALUE"""),"19AI406")</f>
        <v>19AI406</v>
      </c>
      <c r="F32" s="7" t="str">
        <f>IFERROR(__xludf.DUMMYFUNCTION("""COMPUTED_VALUE"""),"Digital Image Processing Techniques")</f>
        <v>Digital Image Processing Techniques</v>
      </c>
      <c r="G32" s="2" t="str">
        <f>IFERROR(__xludf.DUMMYFUNCTION("""COMPUTED_VALUE"""),"-")</f>
        <v>-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IFERROR(__xludf.DUMMYFUNCTION("""COMPUTED_VALUE"""),"Option 1")</f>
        <v>Option 1</v>
      </c>
      <c r="C33" s="2" t="str">
        <f>IFERROR(__xludf.DUMMYFUNCTION("""COMPUTED_VALUE"""),"PC")</f>
        <v>PC</v>
      </c>
      <c r="D33" s="2" t="str">
        <f>IFERROR(__xludf.DUMMYFUNCTION("""COMPUTED_VALUE"""),"CS3401")</f>
        <v>CS3401</v>
      </c>
      <c r="E33" s="2" t="str">
        <f>IFERROR(__xludf.DUMMYFUNCTION("""COMPUTED_VALUE"""),"19AI401")</f>
        <v>19AI401</v>
      </c>
      <c r="F33" s="7" t="str">
        <f>IFERROR(__xludf.DUMMYFUNCTION("""COMPUTED_VALUE"""),"Fundamentals of Web Technology")</f>
        <v>Fundamentals of Web Technology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IFERROR(__xludf.DUMMYFUNCTION("""COMPUTED_VALUE"""),0)</f>
        <v>0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IFERROR(__xludf.DUMMYFUNCTION("""COMPUTED_VALUE"""),"Theory")</f>
        <v>Theory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IFERROR(__xludf.DUMMYFUNCTION("""COMPUTED_VALUE"""),"Option 1")</f>
        <v>Option 1</v>
      </c>
      <c r="C34" s="2" t="str">
        <f>IFERROR(__xludf.DUMMYFUNCTION("""COMPUTED_VALUE"""),"PC")</f>
        <v>PC</v>
      </c>
      <c r="D34" s="2" t="str">
        <f>IFERROR(__xludf.DUMMYFUNCTION("""COMPUTED_VALUE"""),"CS3402")</f>
        <v>CS3402</v>
      </c>
      <c r="E34" s="2" t="str">
        <f>IFERROR(__xludf.DUMMYFUNCTION("""COMPUTED_VALUE"""),"19AI402")</f>
        <v>19AI402</v>
      </c>
      <c r="F34" s="7" t="str">
        <f>IFERROR(__xludf.DUMMYFUNCTION("""COMPUTED_VALUE"""),"Web Technology Laboratory")</f>
        <v>Web Technology Laboratory</v>
      </c>
      <c r="G34" s="2" t="str">
        <f>IFERROR(__xludf.DUMMYFUNCTION("""COMPUTED_VALUE"""),"-")</f>
        <v>-</v>
      </c>
      <c r="H34" s="2">
        <f>IFERROR(__xludf.DUMMYFUNCTION("""COMPUTED_VALUE"""),0)</f>
        <v>0</v>
      </c>
      <c r="I34" s="2">
        <f>IFERROR(__xludf.DUMMYFUNCTION("""COMPUTED_VALUE"""),2)</f>
        <v>2</v>
      </c>
      <c r="J34" s="2">
        <f>IFERROR(__xludf.DUMMYFUNCTION("""COMPUTED_VALUE"""),2)</f>
        <v>2</v>
      </c>
      <c r="K34" s="2" t="str">
        <f>IFERROR(__xludf.DUMMYFUNCTION("""COMPUTED_VALUE"""),"CGPA")</f>
        <v>CGPA</v>
      </c>
      <c r="L34" s="2" t="str">
        <f>IFERROR(__xludf.DUMMYFUNCTION("""COMPUTED_VALUE"""),"Practical (10 Expts)")</f>
        <v>Practical (10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 t="str">
        <f>IFERROR(__xludf.DUMMYFUNCTION("""COMPUTED_VALUE"""),"Option 2")</f>
        <v>Option 2</v>
      </c>
      <c r="C35" s="2" t="str">
        <f>IFERROR(__xludf.DUMMYFUNCTION("""COMPUTED_VALUE"""),"PC")</f>
        <v>PC</v>
      </c>
      <c r="D35" s="2" t="str">
        <f>IFERROR(__xludf.DUMMYFUNCTION("""COMPUTED_VALUE"""),"CS3414")</f>
        <v>CS3414</v>
      </c>
      <c r="E35" s="2" t="str">
        <f>IFERROR(__xludf.DUMMYFUNCTION("""COMPUTED_VALUE"""),"19AI414")</f>
        <v>19AI414</v>
      </c>
      <c r="F35" s="7" t="str">
        <f>IFERROR(__xludf.DUMMYFUNCTION("""COMPUTED_VALUE"""),"Fundamentals of Web Application Development")</f>
        <v>Fundamentals of Web Application Development</v>
      </c>
      <c r="G35" s="2" t="str">
        <f>IFERROR(__xludf.DUMMYFUNCTION("""COMPUTED_VALUE"""),"-")</f>
        <v>-</v>
      </c>
      <c r="H35" s="2">
        <f>IFERROR(__xludf.DUMMYFUNCTION("""COMPUTED_VALUE"""),3)</f>
        <v>3</v>
      </c>
      <c r="I35" s="2">
        <f>IFERROR(__xludf.DUMMYFUNCTION("""COMPUTED_VALUE"""),2)</f>
        <v>2</v>
      </c>
      <c r="J35" s="2">
        <f>IFERROR(__xludf.DUMMYFUNCTION("""COMPUTED_VALUE"""),5)</f>
        <v>5</v>
      </c>
      <c r="K35" s="2" t="str">
        <f>IFERROR(__xludf.DUMMYFUNCTION("""COMPUTED_VALUE"""),"CGPA")</f>
        <v>CGPA</v>
      </c>
      <c r="L35" s="2" t="str">
        <f>IFERROR(__xludf.DUMMYFUNCTION("""COMPUTED_VALUE"""),"TIP (10 Expts)")</f>
        <v>TIP (10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IFERROR(__xludf.DUMMYFUNCTION("""COMPUTED_VALUE"""),"CS1404")</f>
        <v>CS1404</v>
      </c>
      <c r="E36" s="2" t="str">
        <f>IFERROR(__xludf.DUMMYFUNCTION("""COMPUTED_VALUE"""),"19CS404")</f>
        <v>19CS404</v>
      </c>
      <c r="F36" s="3" t="str">
        <f>IFERROR(__xludf.DUMMYFUNCTION("""COMPUTED_VALUE"""),"Database Management System and its Applications")</f>
        <v>Database Management System and its Applications</v>
      </c>
      <c r="G36" s="2" t="str">
        <f>IFERROR(__xludf.DUMMYFUNCTION("""COMPUTED_VALUE"""),"19AI301/19AI304/19CS301/19CS302/19CS303")</f>
        <v>19AI301/19AI304/19CS301/19CS302/19CS303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 t="str">
        <f>IFERROR(__xludf.DUMMYFUNCTION("""COMPUTED_VALUE"""),"Exempted for LE")</f>
        <v>Exempted for LE</v>
      </c>
      <c r="C37" s="2" t="str">
        <f>IFERROR(__xludf.DUMMYFUNCTION("""COMPUTED_VALUE"""),"PC")</f>
        <v>PC</v>
      </c>
      <c r="D37" s="2" t="str">
        <f>IFERROR(__xludf.DUMMYFUNCTION("""COMPUTED_VALUE"""),"CS1405")</f>
        <v>CS1405</v>
      </c>
      <c r="E37" s="2" t="str">
        <f>IFERROR(__xludf.DUMMYFUNCTION("""COMPUTED_VALUE"""),"19CS405")</f>
        <v>19CS405</v>
      </c>
      <c r="F37" s="7" t="str">
        <f>IFERROR(__xludf.DUMMYFUNCTION("""COMPUTED_VALUE"""),"Operating System")</f>
        <v>Operating System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 t="str">
        <f>IFERROR(__xludf.DUMMYFUNCTION("""COMPUTED_VALUE"""),"Exempted for LE")</f>
        <v>Exempted for LE</v>
      </c>
      <c r="C38" s="2" t="str">
        <f>IFERROR(__xludf.DUMMYFUNCTION("""COMPUTED_VALUE"""),"PC")</f>
        <v>PC</v>
      </c>
      <c r="D38" s="2" t="str">
        <f>IFERROR(__xludf.DUMMYFUNCTION("""COMPUTED_VALUE"""),"CS1406")</f>
        <v>CS1406</v>
      </c>
      <c r="E38" s="2" t="str">
        <f>IFERROR(__xludf.DUMMYFUNCTION("""COMPUTED_VALUE"""),"19CS406")</f>
        <v>19CS406</v>
      </c>
      <c r="F38" s="7" t="str">
        <f>IFERROR(__xludf.DUMMYFUNCTION("""COMPUTED_VALUE"""),"Computer Networks")</f>
        <v>Computer Networks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IFERROR(__xludf.DUMMYFUNCTION("""COMPUTED_VALUE"""),"CS3403")</f>
        <v>CS3403</v>
      </c>
      <c r="E39" s="2" t="str">
        <f>IFERROR(__xludf.DUMMYFUNCTION("""COMPUTED_VALUE"""),"19AI403")</f>
        <v>19AI403</v>
      </c>
      <c r="F39" s="7" t="str">
        <f>IFERROR(__xludf.DUMMYFUNCTION("""COMPUTED_VALUE"""),"Introduction to Data Science")</f>
        <v>Introduction to Data Science</v>
      </c>
      <c r="G39" s="2" t="str">
        <f>IFERROR(__xludf.DUMMYFUNCTION("""COMPUTED_VALUE"""),"19CS301")</f>
        <v>19CS301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IFERROR(__xludf.DUMMYFUNCTION("""COMPUTED_VALUE"""),"CS3409")</f>
        <v>CS3409</v>
      </c>
      <c r="E40" s="2" t="str">
        <f>IFERROR(__xludf.DUMMYFUNCTION("""COMPUTED_VALUE"""),"19AI409")</f>
        <v>19AI409</v>
      </c>
      <c r="F40" s="7" t="str">
        <f>IFERROR(__xludf.DUMMYFUNCTION("""COMPUTED_VALUE"""),"Applied Artificial Intelligence")</f>
        <v>Applied Artificial Intelligence</v>
      </c>
      <c r="G40" s="2" t="str">
        <f>IFERROR(__xludf.DUMMYFUNCTION("""COMPUTED_VALUE"""),"19AI405/19CS301")</f>
        <v>19AI405/19CS301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IFERROR(__xludf.DUMMYFUNCTION("""COMPUTED_VALUE"""),"CS3407")</f>
        <v>CS3407</v>
      </c>
      <c r="E41" s="2" t="str">
        <f>IFERROR(__xludf.DUMMYFUNCTION("""COMPUTED_VALUE"""),"19AI407")</f>
        <v>19AI407</v>
      </c>
      <c r="F41" s="7" t="str">
        <f>IFERROR(__xludf.DUMMYFUNCTION("""COMPUTED_VALUE"""),"Parallel Computing Architecture")</f>
        <v>Parallel Computing Architecture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IFERROR(__xludf.DUMMYFUNCTION("""COMPUTED_VALUE"""),1)</f>
        <v>1</v>
      </c>
      <c r="J41" s="2">
        <f>IFERROR(__xludf.DUMMYFUNCTION("""COMPUTED_VALUE"""),4)</f>
        <v>4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IFERROR(__xludf.DUMMYFUNCTION("""COMPUTED_VALUE"""),"CS3410")</f>
        <v>CS3410</v>
      </c>
      <c r="E42" s="2" t="str">
        <f>IFERROR(__xludf.DUMMYFUNCTION("""COMPUTED_VALUE"""),"19AI410")</f>
        <v>19AI410</v>
      </c>
      <c r="F42" s="7" t="str">
        <f>IFERROR(__xludf.DUMMYFUNCTION("""COMPUTED_VALUE"""),"Introduction to Machine Learning")</f>
        <v>Introduction to Machine Learning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IFERROR(__xludf.DUMMYFUNCTION("""COMPUTED_VALUE"""),"CS3411")</f>
        <v>CS3411</v>
      </c>
      <c r="E43" s="2" t="str">
        <f>IFERROR(__xludf.DUMMYFUNCTION("""COMPUTED_VALUE"""),"19AI411")</f>
        <v>19AI411</v>
      </c>
      <c r="F43" s="7" t="str">
        <f>IFERROR(__xludf.DUMMYFUNCTION("""COMPUTED_VALUE"""),"Neural Networks")</f>
        <v>Neural Networks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IFERROR(__xludf.DUMMYFUNCTION("""COMPUTED_VALUE"""),"CS3412")</f>
        <v>CS3412</v>
      </c>
      <c r="E44" s="2" t="str">
        <f>IFERROR(__xludf.DUMMYFUNCTION("""COMPUTED_VALUE"""),"19AI412")</f>
        <v>19AI412</v>
      </c>
      <c r="F44" s="7" t="str">
        <f>IFERROR(__xludf.DUMMYFUNCTION("""COMPUTED_VALUE"""),"Web Data Mining")</f>
        <v>Web Data Mining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IFERROR(__xludf.DUMMYFUNCTION("""COMPUTED_VALUE"""),1)</f>
        <v>1</v>
      </c>
      <c r="J44" s="2">
        <f>IFERROR(__xludf.DUMMYFUNCTION("""COMPUTED_VALUE"""),4)</f>
        <v>4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IFERROR(__xludf.DUMMYFUNCTION("""COMPUTED_VALUE"""),"CS3413")</f>
        <v>CS3413</v>
      </c>
      <c r="E45" s="2" t="str">
        <f>IFERROR(__xludf.DUMMYFUNCTION("""COMPUTED_VALUE"""),"19AI413")</f>
        <v>19AI413</v>
      </c>
      <c r="F45" s="7" t="str">
        <f>IFERROR(__xludf.DUMMYFUNCTION("""COMPUTED_VALUE"""),"Deep Learning and its Applications")</f>
        <v>Deep Learning and its Applications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IFERROR(__xludf.DUMMYFUNCTION("""COMPUTED_VALUE"""),"CS1408")</f>
        <v>CS1408</v>
      </c>
      <c r="E46" s="2" t="str">
        <f>IFERROR(__xludf.DUMMYFUNCTION("""COMPUTED_VALUE"""),"19CS408")</f>
        <v>19CS408</v>
      </c>
      <c r="F46" s="7" t="str">
        <f>IFERROR(__xludf.DUMMYFUNCTION("""COMPUTED_VALUE"""),"Software Engineering")</f>
        <v>Software Engineering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IFERROR(__xludf.DUMMYFUNCTION("""COMPUTED_VALUE"""),1)</f>
        <v>1</v>
      </c>
      <c r="J46" s="2">
        <f>IFERROR(__xludf.DUMMYFUNCTION("""COMPUTED_VALUE"""),4)</f>
        <v>4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IFERROR(__xludf.DUMMYFUNCTION("""COMPUTED_VALUE"""),"CS1409")</f>
        <v>CS1409</v>
      </c>
      <c r="E47" s="2" t="str">
        <f>IFERROR(__xludf.DUMMYFUNCTION("""COMPUTED_VALUE"""),"19CS409")</f>
        <v>19CS409</v>
      </c>
      <c r="F47" s="7" t="str">
        <f>IFERROR(__xludf.DUMMYFUNCTION("""COMPUTED_VALUE"""),"Compiler Design")</f>
        <v>Compiler Design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IFERROR(__xludf.DUMMYFUNCTION("""COMPUTED_VALUE"""),1)</f>
        <v>1</v>
      </c>
      <c r="J47" s="2">
        <f>IFERROR(__xludf.DUMMYFUNCTION("""COMPUTED_VALUE"""),4)</f>
        <v>4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 
")</f>
        <v>PE 
</v>
      </c>
      <c r="D48" s="2" t="str">
        <f>IFERROR(__xludf.DUMMYFUNCTION("""COMPUTED_VALUE"""),"CS3501")</f>
        <v>CS3501</v>
      </c>
      <c r="E48" s="2" t="str">
        <f>IFERROR(__xludf.DUMMYFUNCTION("""COMPUTED_VALUE"""),"19AI501")</f>
        <v>19AI501</v>
      </c>
      <c r="F48" s="3" t="str">
        <f>IFERROR(__xludf.DUMMYFUNCTION("""COMPUTED_VALUE"""),"Applications of Artificial Intelligence")</f>
        <v>Applications of Artificial Intelligence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 
")</f>
        <v>PE 
</v>
      </c>
      <c r="D49" s="2" t="str">
        <f>IFERROR(__xludf.DUMMYFUNCTION("""COMPUTED_VALUE"""),"CS3526")</f>
        <v>CS3526</v>
      </c>
      <c r="E49" s="2" t="str">
        <f>IFERROR(__xludf.DUMMYFUNCTION("""COMPUTED_VALUE"""),"19AI526")</f>
        <v>19AI526</v>
      </c>
      <c r="F49" s="7" t="str">
        <f>IFERROR(__xludf.DUMMYFUNCTION("""COMPUTED_VALUE"""),"Information Security and Access Control")</f>
        <v>Information Security and Access Control</v>
      </c>
      <c r="G49" s="2" t="str">
        <f>IFERROR(__xludf.DUMMYFUNCTION("""COMPUTED_VALUE"""),"19AI527")</f>
        <v>19AI527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 
")</f>
        <v>PE 
</v>
      </c>
      <c r="D50" s="2" t="str">
        <f>IFERROR(__xludf.DUMMYFUNCTION("""COMPUTED_VALUE"""),"CS3527")</f>
        <v>CS3527</v>
      </c>
      <c r="E50" s="2" t="str">
        <f>IFERROR(__xludf.DUMMYFUNCTION("""COMPUTED_VALUE"""),"19AI527")</f>
        <v>19AI527</v>
      </c>
      <c r="F50" s="7" t="str">
        <f>IFERROR(__xludf.DUMMYFUNCTION("""COMPUTED_VALUE"""),"Security Assessment and Risk Analysis")</f>
        <v>Security Assessment and Risk Analysis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IFERROR(__xludf.DUMMYFUNCTION("""COMPUTED_VALUE"""),1)</f>
        <v>1</v>
      </c>
      <c r="J50" s="2">
        <f>IFERROR(__xludf.DUMMYFUNCTION("""COMPUTED_VALUE"""),4)</f>
        <v>4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 
")</f>
        <v>PE 
</v>
      </c>
      <c r="D51" s="2" t="str">
        <f>IFERROR(__xludf.DUMMYFUNCTION("""COMPUTED_VALUE"""),"CS3528")</f>
        <v>CS3528</v>
      </c>
      <c r="E51" s="2" t="str">
        <f>IFERROR(__xludf.DUMMYFUNCTION("""COMPUTED_VALUE"""),"19AI528")</f>
        <v>19AI528</v>
      </c>
      <c r="F51" s="7" t="str">
        <f>IFERROR(__xludf.DUMMYFUNCTION("""COMPUTED_VALUE"""),"Advanced Graph Theory and Applications")</f>
        <v>Advanced Graph Theory and Applications</v>
      </c>
      <c r="G51" s="2" t="str">
        <f>IFERROR(__xludf.DUMMYFUNCTION("""COMPUTED_VALUE"""),"19CS402")</f>
        <v>19CS402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 
")</f>
        <v>PE 
</v>
      </c>
      <c r="D52" s="2" t="str">
        <f>IFERROR(__xludf.DUMMYFUNCTION("""COMPUTED_VALUE"""),"CS3529")</f>
        <v>CS3529</v>
      </c>
      <c r="E52" s="2" t="str">
        <f>IFERROR(__xludf.DUMMYFUNCTION("""COMPUTED_VALUE"""),"19AI529")</f>
        <v>19AI529</v>
      </c>
      <c r="F52" s="7" t="str">
        <f>IFERROR(__xludf.DUMMYFUNCTION("""COMPUTED_VALUE"""),"Advanced Data Structures")</f>
        <v>Advanced Data Structures</v>
      </c>
      <c r="G52" s="2" t="str">
        <f>IFERROR(__xludf.DUMMYFUNCTION("""COMPUTED_VALUE"""),"19CS401")</f>
        <v>19CS401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 
")</f>
        <v>PE 
</v>
      </c>
      <c r="D53" s="2" t="str">
        <f>IFERROR(__xludf.DUMMYFUNCTION("""COMPUTED_VALUE"""),"CS3502")</f>
        <v>CS3502</v>
      </c>
      <c r="E53" s="2" t="str">
        <f>IFERROR(__xludf.DUMMYFUNCTION("""COMPUTED_VALUE"""),"19AI502")</f>
        <v>19AI502</v>
      </c>
      <c r="F53" s="7" t="str">
        <f>IFERROR(__xludf.DUMMYFUNCTION("""COMPUTED_VALUE"""),"Applied Natural Language Processing")</f>
        <v>Applied Natural Language Processing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 
")</f>
        <v>PE 
</v>
      </c>
      <c r="D54" s="2" t="str">
        <f>IFERROR(__xludf.DUMMYFUNCTION("""COMPUTED_VALUE"""),"CS3503")</f>
        <v>CS3503</v>
      </c>
      <c r="E54" s="2" t="str">
        <f>IFERROR(__xludf.DUMMYFUNCTION("""COMPUTED_VALUE"""),"19AI503")</f>
        <v>19AI503</v>
      </c>
      <c r="F54" s="7" t="str">
        <f>IFERROR(__xludf.DUMMYFUNCTION("""COMPUTED_VALUE"""),"Computer Vision")</f>
        <v>Computer Vision</v>
      </c>
      <c r="G54" s="2" t="str">
        <f>IFERROR(__xludf.DUMMYFUNCTION("""COMPUTED_VALUE"""),"19CS301")</f>
        <v>19CS301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 
")</f>
        <v>PE 
</v>
      </c>
      <c r="D55" s="2" t="str">
        <f>IFERROR(__xludf.DUMMYFUNCTION("""COMPUTED_VALUE"""),"CS3530")</f>
        <v>CS3530</v>
      </c>
      <c r="E55" s="2" t="str">
        <f>IFERROR(__xludf.DUMMYFUNCTION("""COMPUTED_VALUE"""),"19AI530")</f>
        <v>19AI530</v>
      </c>
      <c r="F55" s="7" t="str">
        <f>IFERROR(__xludf.DUMMYFUNCTION("""COMPUTED_VALUE"""),"Control of Robotic Systems")</f>
        <v>Control of Robotic Systems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 
")</f>
        <v>PE 
</v>
      </c>
      <c r="D56" s="2" t="str">
        <f>IFERROR(__xludf.DUMMYFUNCTION("""COMPUTED_VALUE"""),"CS3531")</f>
        <v>CS3531</v>
      </c>
      <c r="E56" s="2" t="str">
        <f>IFERROR(__xludf.DUMMYFUNCTION("""COMPUTED_VALUE"""),"19AI531")</f>
        <v>19AI531</v>
      </c>
      <c r="F56" s="7" t="str">
        <f>IFERROR(__xludf.DUMMYFUNCTION("""COMPUTED_VALUE"""),"Cryptography and Security")</f>
        <v>Cryptography and Security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 
")</f>
        <v>PE 
</v>
      </c>
      <c r="D57" s="2" t="str">
        <f>IFERROR(__xludf.DUMMYFUNCTION("""COMPUTED_VALUE"""),"CS3532")</f>
        <v>CS3532</v>
      </c>
      <c r="E57" s="2" t="str">
        <f>IFERROR(__xludf.DUMMYFUNCTION("""COMPUTED_VALUE"""),"19AI532")</f>
        <v>19AI532</v>
      </c>
      <c r="F57" s="7" t="str">
        <f>IFERROR(__xludf.DUMMYFUNCTION("""COMPUTED_VALUE"""),"Information Theory for Cyber Security")</f>
        <v>Information Theory for Cyber Security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 
")</f>
        <v>PE 
</v>
      </c>
      <c r="D58" s="2" t="str">
        <f>IFERROR(__xludf.DUMMYFUNCTION("""COMPUTED_VALUE"""),"CS3533")</f>
        <v>CS3533</v>
      </c>
      <c r="E58" s="2" t="str">
        <f>IFERROR(__xludf.DUMMYFUNCTION("""COMPUTED_VALUE"""),"19AI533")</f>
        <v>19AI533</v>
      </c>
      <c r="F58" s="7" t="str">
        <f>IFERROR(__xludf.DUMMYFUNCTION("""COMPUTED_VALUE"""),"Introduction to Robotics")</f>
        <v>Introduction to Robotics</v>
      </c>
      <c r="G58" s="2" t="str">
        <f>IFERROR(__xludf.DUMMYFUNCTION("""COMPUTED_VALUE"""),"-")</f>
        <v>-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 
")</f>
        <v>PE 
</v>
      </c>
      <c r="D59" s="2" t="str">
        <f>IFERROR(__xludf.DUMMYFUNCTION("""COMPUTED_VALUE"""),"CS3534")</f>
        <v>CS3534</v>
      </c>
      <c r="E59" s="2" t="str">
        <f>IFERROR(__xludf.DUMMYFUNCTION("""COMPUTED_VALUE"""),"19AI534")</f>
        <v>19AI534</v>
      </c>
      <c r="F59" s="7" t="str">
        <f>IFERROR(__xludf.DUMMYFUNCTION("""COMPUTED_VALUE"""),"Kinematics and Dynamics of Robots")</f>
        <v>Kinematics and Dynamics of Robots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 
")</f>
        <v>PE 
</v>
      </c>
      <c r="D60" s="2" t="str">
        <f>IFERROR(__xludf.DUMMYFUNCTION("""COMPUTED_VALUE"""),"CS3504")</f>
        <v>CS3504</v>
      </c>
      <c r="E60" s="2" t="str">
        <f>IFERROR(__xludf.DUMMYFUNCTION("""COMPUTED_VALUE"""),"19AI504")</f>
        <v>19AI504</v>
      </c>
      <c r="F60" s="7" t="str">
        <f>IFERROR(__xludf.DUMMYFUNCTION("""COMPUTED_VALUE"""),"Mobile Robotics")</f>
        <v>Mobile Robotics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 
")</f>
        <v>PE 
</v>
      </c>
      <c r="D61" s="2" t="str">
        <f>IFERROR(__xludf.DUMMYFUNCTION("""COMPUTED_VALUE"""),"CS3505")</f>
        <v>CS3505</v>
      </c>
      <c r="E61" s="2" t="str">
        <f>IFERROR(__xludf.DUMMYFUNCTION("""COMPUTED_VALUE"""),"19AI505")</f>
        <v>19AI505</v>
      </c>
      <c r="F61" s="3" t="str">
        <f>IFERROR(__xludf.DUMMYFUNCTION("""COMPUTED_VALUE"""),"Reinforcement Learning")</f>
        <v>Reinforcement Learning</v>
      </c>
      <c r="G61" s="2" t="str">
        <f>IFERROR(__xludf.DUMMYFUNCTION("""COMPUTED_VALUE"""),"19CS301")</f>
        <v>19CS301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 
")</f>
        <v>PE 
</v>
      </c>
      <c r="D62" s="2" t="str">
        <f>IFERROR(__xludf.DUMMYFUNCTION("""COMPUTED_VALUE"""),"CS3535")</f>
        <v>CS3535</v>
      </c>
      <c r="E62" s="2" t="str">
        <f>IFERROR(__xludf.DUMMYFUNCTION("""COMPUTED_VALUE"""),"19AI535")</f>
        <v>19AI535</v>
      </c>
      <c r="F62" s="7" t="str">
        <f>IFERROR(__xludf.DUMMYFUNCTION("""COMPUTED_VALUE"""),"Robotic Sensors")</f>
        <v>Robotic Sensors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 
")</f>
        <v>PE 
</v>
      </c>
      <c r="D63" s="2" t="str">
        <f>IFERROR(__xludf.DUMMYFUNCTION("""COMPUTED_VALUE"""),"CS3536")</f>
        <v>CS3536</v>
      </c>
      <c r="E63" s="2" t="str">
        <f>IFERROR(__xludf.DUMMYFUNCTION("""COMPUTED_VALUE"""),"19AI536")</f>
        <v>19AI536</v>
      </c>
      <c r="F63" s="7" t="str">
        <f>IFERROR(__xludf.DUMMYFUNCTION("""COMPUTED_VALUE"""),"Steganography and Digital Watermarking")</f>
        <v>Steganography and Digital Watermarking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 
")</f>
        <v>PE 
</v>
      </c>
      <c r="D64" s="2" t="str">
        <f>IFERROR(__xludf.DUMMYFUNCTION("""COMPUTED_VALUE"""),"CS3506")</f>
        <v>CS3506</v>
      </c>
      <c r="E64" s="2" t="str">
        <f>IFERROR(__xludf.DUMMYFUNCTION("""COMPUTED_VALUE"""),"19AI506")</f>
        <v>19AI506</v>
      </c>
      <c r="F64" s="3" t="str">
        <f>IFERROR(__xludf.DUMMYFUNCTION("""COMPUTED_VALUE"""),"Speech Analysis and Processing")</f>
        <v>Speech Analysis and Processing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 
")</f>
        <v>PE 
</v>
      </c>
      <c r="D65" s="2" t="str">
        <f>IFERROR(__xludf.DUMMYFUNCTION("""COMPUTED_VALUE"""),"CS3507")</f>
        <v>CS3507</v>
      </c>
      <c r="E65" s="2" t="str">
        <f>IFERROR(__xludf.DUMMYFUNCTION("""COMPUTED_VALUE"""),"19AI507")</f>
        <v>19AI507</v>
      </c>
      <c r="F65" s="7" t="str">
        <f>IFERROR(__xludf.DUMMYFUNCTION("""COMPUTED_VALUE"""),"Special Topics in Artificial Intelligence")</f>
        <v>Special Topics in Artificial Intelligence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 
")</f>
        <v>PE 
</v>
      </c>
      <c r="D66" s="2" t="str">
        <f>IFERROR(__xludf.DUMMYFUNCTION("""COMPUTED_VALUE"""),"CS3508")</f>
        <v>CS3508</v>
      </c>
      <c r="E66" s="2" t="str">
        <f>IFERROR(__xludf.DUMMYFUNCTION("""COMPUTED_VALUE"""),"19AI508")</f>
        <v>19AI508</v>
      </c>
      <c r="F66" s="3" t="str">
        <f>IFERROR(__xludf.DUMMYFUNCTION("""COMPUTED_VALUE"""),"Soft Computing Techniques")</f>
        <v>Soft Computing Techniques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 
")</f>
        <v>PE 
</v>
      </c>
      <c r="D67" s="2" t="str">
        <f>IFERROR(__xludf.DUMMYFUNCTION("""COMPUTED_VALUE"""),"CS3537")</f>
        <v>CS3537</v>
      </c>
      <c r="E67" s="2" t="str">
        <f>IFERROR(__xludf.DUMMYFUNCTION("""COMPUTED_VALUE"""),"19AI537")</f>
        <v>19AI537</v>
      </c>
      <c r="F67" s="7" t="str">
        <f>IFERROR(__xludf.DUMMYFUNCTION("""COMPUTED_VALUE"""),"Computer Graphics for Virtual Reality")</f>
        <v>Computer Graphics for Virtual Reality</v>
      </c>
      <c r="G67" s="2" t="str">
        <f>IFERROR(__xludf.DUMMYFUNCTION("""COMPUTED_VALUE"""),"-")</f>
        <v>-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 
")</f>
        <v>PE 
</v>
      </c>
      <c r="D68" s="2" t="str">
        <f>IFERROR(__xludf.DUMMYFUNCTION("""COMPUTED_VALUE"""),"CS3538")</f>
        <v>CS3538</v>
      </c>
      <c r="E68" s="2" t="str">
        <f>IFERROR(__xludf.DUMMYFUNCTION("""COMPUTED_VALUE"""),"19AI538")</f>
        <v>19AI538</v>
      </c>
      <c r="F68" s="7" t="str">
        <f>IFERROR(__xludf.DUMMYFUNCTION("""COMPUTED_VALUE"""),"Mathematical Modelling and Computer Aided Engineering")</f>
        <v>Mathematical Modelling and Computer Aided Engineering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 
")</f>
        <v>PE 
</v>
      </c>
      <c r="D69" s="2" t="str">
        <f>IFERROR(__xludf.DUMMYFUNCTION("""COMPUTED_VALUE"""),"CS3509")</f>
        <v>CS3509</v>
      </c>
      <c r="E69" s="2" t="str">
        <f>IFERROR(__xludf.DUMMYFUNCTION("""COMPUTED_VALUE"""),"19AI509")</f>
        <v>19AI509</v>
      </c>
      <c r="F69" s="7" t="str">
        <f>IFERROR(__xludf.DUMMYFUNCTION("""COMPUTED_VALUE"""),"Concepts of Virtual And Augmented Reality")</f>
        <v>Concepts of Virtual And Augmented Reality</v>
      </c>
      <c r="G69" s="2" t="str">
        <f>IFERROR(__xludf.DUMMYFUNCTION("""COMPUTED_VALUE"""),"-")</f>
        <v>-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 
")</f>
        <v>PE 
</v>
      </c>
      <c r="D70" s="2" t="str">
        <f>IFERROR(__xludf.DUMMYFUNCTION("""COMPUTED_VALUE"""),"CS3510")</f>
        <v>CS3510</v>
      </c>
      <c r="E70" s="2" t="str">
        <f>IFERROR(__xludf.DUMMYFUNCTION("""COMPUTED_VALUE"""),"19AI510")</f>
        <v>19AI510</v>
      </c>
      <c r="F70" s="7" t="str">
        <f>IFERROR(__xludf.DUMMYFUNCTION("""COMPUTED_VALUE"""),"Mobile VR And AI In Unity")</f>
        <v>Mobile VR And AI In Unity</v>
      </c>
      <c r="G70" s="2" t="str">
        <f>IFERROR(__xludf.DUMMYFUNCTION("""COMPUTED_VALUE"""),"19AI410/19CS302")</f>
        <v>19AI410/19CS302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 
")</f>
        <v>PE 
</v>
      </c>
      <c r="D71" s="2" t="str">
        <f>IFERROR(__xludf.DUMMYFUNCTION("""COMPUTED_VALUE"""),"CS3511")</f>
        <v>CS3511</v>
      </c>
      <c r="E71" s="2" t="str">
        <f>IFERROR(__xludf.DUMMYFUNCTION("""COMPUTED_VALUE"""),"19AI511")</f>
        <v>19AI511</v>
      </c>
      <c r="F71" s="7" t="str">
        <f>IFERROR(__xludf.DUMMYFUNCTION("""COMPUTED_VALUE"""),"Scientific and Engineering Data Visualization")</f>
        <v>Scientific and Engineering Data Visualization</v>
      </c>
      <c r="G71" s="2" t="str">
        <f>IFERROR(__xludf.DUMMYFUNCTION("""COMPUTED_VALUE"""),"-")</f>
        <v>-</v>
      </c>
      <c r="H71" s="2">
        <f>IFERROR(__xludf.DUMMYFUNCTION("""COMPUTED_VALUE"""),2)</f>
        <v>2</v>
      </c>
      <c r="I71" s="2">
        <f>IFERROR(__xludf.DUMMYFUNCTION("""COMPUTED_VALUE"""),1)</f>
        <v>1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 
")</f>
        <v>PE 
</v>
      </c>
      <c r="D72" s="2" t="str">
        <f>IFERROR(__xludf.DUMMYFUNCTION("""COMPUTED_VALUE"""),"CS3539")</f>
        <v>CS3539</v>
      </c>
      <c r="E72" s="2" t="str">
        <f>IFERROR(__xludf.DUMMYFUNCTION("""COMPUTED_VALUE"""),"19AI539")</f>
        <v>19AI539</v>
      </c>
      <c r="F72" s="7" t="str">
        <f>IFERROR(__xludf.DUMMYFUNCTION("""COMPUTED_VALUE"""),"Mobile User Interface Development")</f>
        <v>Mobile User Interface Development</v>
      </c>
      <c r="G72" s="2" t="str">
        <f>IFERROR(__xludf.DUMMYFUNCTION("""COMPUTED_VALUE"""),"19CS401")</f>
        <v>19CS401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 
")</f>
        <v>PE 
</v>
      </c>
      <c r="D73" s="2" t="str">
        <f>IFERROR(__xludf.DUMMYFUNCTION("""COMPUTED_VALUE"""),"CS3540")</f>
        <v>CS3540</v>
      </c>
      <c r="E73" s="2" t="str">
        <f>IFERROR(__xludf.DUMMYFUNCTION("""COMPUTED_VALUE"""),"19AI540")</f>
        <v>19AI540</v>
      </c>
      <c r="F73" s="7" t="str">
        <f>IFERROR(__xludf.DUMMYFUNCTION("""COMPUTED_VALUE"""),"Programming Mobile Devices")</f>
        <v>Programming Mobile Devices</v>
      </c>
      <c r="G73" s="2" t="str">
        <f>IFERROR(__xludf.DUMMYFUNCTION("""COMPUTED_VALUE"""),"19CS401")</f>
        <v>19CS401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 
")</f>
        <v>PE 
</v>
      </c>
      <c r="D74" s="2" t="str">
        <f>IFERROR(__xludf.DUMMYFUNCTION("""COMPUTED_VALUE"""),"CS3541")</f>
        <v>CS3541</v>
      </c>
      <c r="E74" s="2" t="str">
        <f>IFERROR(__xludf.DUMMYFUNCTION("""COMPUTED_VALUE"""),"19AI541")</f>
        <v>19AI541</v>
      </c>
      <c r="F74" s="7" t="str">
        <f>IFERROR(__xludf.DUMMYFUNCTION("""COMPUTED_VALUE"""),"Cloud Computing")</f>
        <v>Cloud Computing</v>
      </c>
      <c r="G74" s="2" t="str">
        <f>IFERROR(__xludf.DUMMYFUNCTION("""COMPUTED_VALUE"""),"19CS406")</f>
        <v>19CS406</v>
      </c>
      <c r="H74" s="2">
        <f>IFERROR(__xludf.DUMMYFUNCTION("""COMPUTED_VALUE"""),3)</f>
        <v>3</v>
      </c>
      <c r="I74" s="2">
        <f>IFERROR(__xludf.DUMMYFUNCTION("""COMPUTED_VALUE"""),1)</f>
        <v>1</v>
      </c>
      <c r="J74" s="2">
        <f>IFERROR(__xludf.DUMMYFUNCTION("""COMPUTED_VALUE"""),4)</f>
        <v>4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 
")</f>
        <v>PE 
</v>
      </c>
      <c r="D75" s="2" t="str">
        <f>IFERROR(__xludf.DUMMYFUNCTION("""COMPUTED_VALUE"""),"CS3542")</f>
        <v>CS3542</v>
      </c>
      <c r="E75" s="2" t="str">
        <f>IFERROR(__xludf.DUMMYFUNCTION("""COMPUTED_VALUE"""),"19AI542")</f>
        <v>19AI542</v>
      </c>
      <c r="F75" s="7" t="str">
        <f>IFERROR(__xludf.DUMMYFUNCTION("""COMPUTED_VALUE"""),"Agile Software Development")</f>
        <v>Agile Software Development</v>
      </c>
      <c r="G75" s="2" t="str">
        <f>IFERROR(__xludf.DUMMYFUNCTION("""COMPUTED_VALUE"""),"19CS301")</f>
        <v>19CS301</v>
      </c>
      <c r="H75" s="2">
        <f>IFERROR(__xludf.DUMMYFUNCTION("""COMPUTED_VALUE"""),3)</f>
        <v>3</v>
      </c>
      <c r="I75" s="2">
        <f>IFERROR(__xludf.DUMMYFUNCTION("""COMPUTED_VALUE"""),1)</f>
        <v>1</v>
      </c>
      <c r="J75" s="2">
        <f>IFERROR(__xludf.DUMMYFUNCTION("""COMPUTED_VALUE"""),4)</f>
        <v>4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 
")</f>
        <v>PE 
</v>
      </c>
      <c r="D76" s="2" t="str">
        <f>IFERROR(__xludf.DUMMYFUNCTION("""COMPUTED_VALUE"""),"CS3512")</f>
        <v>CS3512</v>
      </c>
      <c r="E76" s="2" t="str">
        <f>IFERROR(__xludf.DUMMYFUNCTION("""COMPUTED_VALUE"""),"19AI512")</f>
        <v>19AI512</v>
      </c>
      <c r="F76" s="7" t="str">
        <f>IFERROR(__xludf.DUMMYFUNCTION("""COMPUTED_VALUE"""),"NoSQL Database Design")</f>
        <v>NoSQL Database Design</v>
      </c>
      <c r="G76" s="2" t="str">
        <f>IFERROR(__xludf.DUMMYFUNCTION("""COMPUTED_VALUE"""),"19CS301")</f>
        <v>19CS301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 
")</f>
        <v>PE 
</v>
      </c>
      <c r="D77" s="2" t="str">
        <f>IFERROR(__xludf.DUMMYFUNCTION("""COMPUTED_VALUE"""),"CS3544")</f>
        <v>CS3544</v>
      </c>
      <c r="E77" s="2" t="str">
        <f>IFERROR(__xludf.DUMMYFUNCTION("""COMPUTED_VALUE"""),"19AI544")</f>
        <v>19AI544</v>
      </c>
      <c r="F77" s="7" t="str">
        <f>IFERROR(__xludf.DUMMYFUNCTION("""COMPUTED_VALUE"""),"Virtualization and Containerization")</f>
        <v>Virtualization and Containerization</v>
      </c>
      <c r="G77" s="2" t="str">
        <f>IFERROR(__xludf.DUMMYFUNCTION("""COMPUTED_VALUE"""),"19CS405/19CS406")</f>
        <v>19CS405/19CS406</v>
      </c>
      <c r="H77" s="2">
        <f>IFERROR(__xludf.DUMMYFUNCTION("""COMPUTED_VALUE"""),2)</f>
        <v>2</v>
      </c>
      <c r="I77" s="2">
        <f>IFERROR(__xludf.DUMMYFUNCTION("""COMPUTED_VALUE"""),1)</f>
        <v>1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IFERROR(__xludf.DUMMYFUNCTION("""COMPUTED_VALUE"""),"TIP (6 Expts)")</f>
        <v>TIP (6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 
")</f>
        <v>PE 
</v>
      </c>
      <c r="D78" s="2" t="str">
        <f>IFERROR(__xludf.DUMMYFUNCTION("""COMPUTED_VALUE"""),"CS3513")</f>
        <v>CS3513</v>
      </c>
      <c r="E78" s="2" t="str">
        <f>IFERROR(__xludf.DUMMYFUNCTION("""COMPUTED_VALUE"""),"19AI513")</f>
        <v>19AI513</v>
      </c>
      <c r="F78" s="7" t="str">
        <f>IFERROR(__xludf.DUMMYFUNCTION("""COMPUTED_VALUE"""),"Game Programming")</f>
        <v>Game Programming</v>
      </c>
      <c r="G78" s="2" t="str">
        <f>IFERROR(__xludf.DUMMYFUNCTION("""COMPUTED_VALUE"""),"19CS401")</f>
        <v>19CS401</v>
      </c>
      <c r="H78" s="2">
        <f>IFERROR(__xludf.DUMMYFUNCTION("""COMPUTED_VALUE"""),2)</f>
        <v>2</v>
      </c>
      <c r="I78" s="2">
        <f>IFERROR(__xludf.DUMMYFUNCTION("""COMPUTED_VALUE"""),2)</f>
        <v>2</v>
      </c>
      <c r="J78" s="2">
        <f>IFERROR(__xludf.DUMMYFUNCTION("""COMPUTED_VALUE"""),4)</f>
        <v>4</v>
      </c>
      <c r="K78" s="2" t="str">
        <f>IFERROR(__xludf.DUMMYFUNCTION("""COMPUTED_VALUE"""),"CGPA")</f>
        <v>CGPA</v>
      </c>
      <c r="L78" s="2" t="str">
        <f>IFERROR(__xludf.DUMMYFUNCTION("""COMPUTED_VALUE"""),"TIP (10 Expts)")</f>
        <v>TIP (10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 
")</f>
        <v>PE 
</v>
      </c>
      <c r="D79" s="2" t="str">
        <f>IFERROR(__xludf.DUMMYFUNCTION("""COMPUTED_VALUE"""),"CS3545")</f>
        <v>CS3545</v>
      </c>
      <c r="E79" s="2" t="str">
        <f>IFERROR(__xludf.DUMMYFUNCTION("""COMPUTED_VALUE"""),"19AI545")</f>
        <v>19AI545</v>
      </c>
      <c r="F79" s="7" t="str">
        <f>IFERROR(__xludf.DUMMYFUNCTION("""COMPUTED_VALUE"""),"Modern Web Application Development")</f>
        <v>Modern Web Application Development</v>
      </c>
      <c r="G79" s="2" t="str">
        <f>IFERROR(__xludf.DUMMYFUNCTION("""COMPUTED_VALUE"""),"19CS410")</f>
        <v>19CS410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 
")</f>
        <v>PE 
</v>
      </c>
      <c r="D80" s="2" t="str">
        <f>IFERROR(__xludf.DUMMYFUNCTION("""COMPUTED_VALUE"""),"CS3546")</f>
        <v>CS3546</v>
      </c>
      <c r="E80" s="2" t="str">
        <f>IFERROR(__xludf.DUMMYFUNCTION("""COMPUTED_VALUE"""),"19AI546")</f>
        <v>19AI546</v>
      </c>
      <c r="F80" s="7" t="str">
        <f>IFERROR(__xludf.DUMMYFUNCTION("""COMPUTED_VALUE"""),"Web Server Programming")</f>
        <v>Web Server Programming</v>
      </c>
      <c r="G80" s="2" t="str">
        <f>IFERROR(__xludf.DUMMYFUNCTION("""COMPUTED_VALUE"""),"19CS401")</f>
        <v>19CS401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 
")</f>
        <v>PE 
</v>
      </c>
      <c r="D81" s="2" t="str">
        <f>IFERROR(__xludf.DUMMYFUNCTION("""COMPUTED_VALUE"""),"CS3514")</f>
        <v>CS3514</v>
      </c>
      <c r="E81" s="2" t="str">
        <f>IFERROR(__xludf.DUMMYFUNCTION("""COMPUTED_VALUE"""),"19AI514")</f>
        <v>19AI514</v>
      </c>
      <c r="F81" s="7" t="str">
        <f>IFERROR(__xludf.DUMMYFUNCTION("""COMPUTED_VALUE"""),"Self Driving Car")</f>
        <v>Self Driving Car</v>
      </c>
      <c r="G81" s="2" t="str">
        <f>IFERROR(__xludf.DUMMYFUNCTION("""COMPUTED_VALUE"""),"19CS301/19AI410")</f>
        <v>19CS301/19AI410</v>
      </c>
      <c r="H81" s="2">
        <f>IFERROR(__xludf.DUMMYFUNCTION("""COMPUTED_VALUE"""),2)</f>
        <v>2</v>
      </c>
      <c r="I81" s="2">
        <f>IFERROR(__xludf.DUMMYFUNCTION("""COMPUTED_VALUE"""),2)</f>
        <v>2</v>
      </c>
      <c r="J81" s="2">
        <f>IFERROR(__xludf.DUMMYFUNCTION("""COMPUTED_VALUE"""),4)</f>
        <v>4</v>
      </c>
      <c r="K81" s="2" t="str">
        <f>IFERROR(__xludf.DUMMYFUNCTION("""COMPUTED_VALUE"""),"CGPA")</f>
        <v>CGPA</v>
      </c>
      <c r="L81" s="2" t="str">
        <f>IFERROR(__xludf.DUMMYFUNCTION("""COMPUTED_VALUE"""),"TIP (10 Expts)")</f>
        <v>TIP (10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 
")</f>
        <v>PE 
</v>
      </c>
      <c r="D82" s="2" t="str">
        <f>IFERROR(__xludf.DUMMYFUNCTION("""COMPUTED_VALUE"""),"CS3515")</f>
        <v>CS3515</v>
      </c>
      <c r="E82" s="2" t="str">
        <f>IFERROR(__xludf.DUMMYFUNCTION("""COMPUTED_VALUE"""),"19AI515")</f>
        <v>19AI515</v>
      </c>
      <c r="F82" s="7" t="str">
        <f>IFERROR(__xludf.DUMMYFUNCTION("""COMPUTED_VALUE"""),"Smart Manufacturing Technology")</f>
        <v>Smart Manufacturing Technology</v>
      </c>
      <c r="G82" s="2" t="str">
        <f>IFERROR(__xludf.DUMMYFUNCTION("""COMPUTED_VALUE"""),"-")</f>
        <v>-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 
")</f>
        <v>PE 
</v>
      </c>
      <c r="D83" s="2" t="str">
        <f>IFERROR(__xludf.DUMMYFUNCTION("""COMPUTED_VALUE"""),"CS3516")</f>
        <v>CS3516</v>
      </c>
      <c r="E83" s="2" t="str">
        <f>IFERROR(__xludf.DUMMYFUNCTION("""COMPUTED_VALUE"""),"19AI516")</f>
        <v>19AI516</v>
      </c>
      <c r="F83" s="7" t="str">
        <f>IFERROR(__xludf.DUMMYFUNCTION("""COMPUTED_VALUE"""),"Big Data Mining and Analysis")</f>
        <v>Big Data Mining and Analysis</v>
      </c>
      <c r="G83" s="2" t="str">
        <f>IFERROR(__xludf.DUMMYFUNCTION("""COMPUTED_VALUE"""),"19AI408/ 19CS410/19IT405")</f>
        <v>19AI408/ 19CS410/19IT405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 
")</f>
        <v>PE 
</v>
      </c>
      <c r="D84" s="2" t="str">
        <f>IFERROR(__xludf.DUMMYFUNCTION("""COMPUTED_VALUE"""),"CS3517")</f>
        <v>CS3517</v>
      </c>
      <c r="E84" s="2" t="str">
        <f>IFERROR(__xludf.DUMMYFUNCTION("""COMPUTED_VALUE"""),"19AI517")</f>
        <v>19AI517</v>
      </c>
      <c r="F84" s="7" t="str">
        <f>IFERROR(__xludf.DUMMYFUNCTION("""COMPUTED_VALUE"""),"Business Analytics")</f>
        <v>Business Analytics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 
")</f>
        <v>PE 
</v>
      </c>
      <c r="D85" s="2" t="str">
        <f>IFERROR(__xludf.DUMMYFUNCTION("""COMPUTED_VALUE"""),"CS3518")</f>
        <v>CS3518</v>
      </c>
      <c r="E85" s="2" t="str">
        <f>IFERROR(__xludf.DUMMYFUNCTION("""COMPUTED_VALUE"""),"19AI518")</f>
        <v>19AI518</v>
      </c>
      <c r="F85" s="7" t="str">
        <f>IFERROR(__xludf.DUMMYFUNCTION("""COMPUTED_VALUE"""),"Cognitive Systems")</f>
        <v>Cognitive Systems</v>
      </c>
      <c r="G85" s="2" t="str">
        <f>IFERROR(__xludf.DUMMYFUNCTION("""COMPUTED_VALUE"""),"-")</f>
        <v>-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 
")</f>
        <v>PE 
</v>
      </c>
      <c r="D86" s="2" t="str">
        <f>IFERROR(__xludf.DUMMYFUNCTION("""COMPUTED_VALUE"""),"CS3519")</f>
        <v>CS3519</v>
      </c>
      <c r="E86" s="2" t="str">
        <f>IFERROR(__xludf.DUMMYFUNCTION("""COMPUTED_VALUE"""),"19AI519")</f>
        <v>19AI519</v>
      </c>
      <c r="F86" s="7" t="str">
        <f>IFERROR(__xludf.DUMMYFUNCTION("""COMPUTED_VALUE"""),"Distributed Database")</f>
        <v>Distributed Database</v>
      </c>
      <c r="G86" s="2" t="str">
        <f>IFERROR(__xludf.DUMMYFUNCTION("""COMPUTED_VALUE"""),"19CS404")</f>
        <v>19CS404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 
")</f>
        <v>PE 
</v>
      </c>
      <c r="D87" s="2" t="str">
        <f>IFERROR(__xludf.DUMMYFUNCTION("""COMPUTED_VALUE"""),"CS3520")</f>
        <v>CS3520</v>
      </c>
      <c r="E87" s="2" t="str">
        <f>IFERROR(__xludf.DUMMYFUNCTION("""COMPUTED_VALUE"""),"19AI520")</f>
        <v>19AI520</v>
      </c>
      <c r="F87" s="7" t="str">
        <f>IFERROR(__xludf.DUMMYFUNCTION("""COMPUTED_VALUE"""),"Data Mining and Warehousing")</f>
        <v>Data Mining and Warehousing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 
")</f>
        <v>PE 
</v>
      </c>
      <c r="D88" s="2" t="str">
        <f>IFERROR(__xludf.DUMMYFUNCTION("""COMPUTED_VALUE"""),"CS3521")</f>
        <v>CS3521</v>
      </c>
      <c r="E88" s="2" t="str">
        <f>IFERROR(__xludf.DUMMYFUNCTION("""COMPUTED_VALUE"""),"19AI521")</f>
        <v>19AI521</v>
      </c>
      <c r="F88" s="7" t="str">
        <f>IFERROR(__xludf.DUMMYFUNCTION("""COMPUTED_VALUE"""),"Expert Systems")</f>
        <v>Expert Systems</v>
      </c>
      <c r="G88" s="2" t="str">
        <f>IFERROR(__xludf.DUMMYFUNCTION("""COMPUTED_VALUE"""),"-")</f>
        <v>-</v>
      </c>
      <c r="H88" s="2">
        <f>IFERROR(__xludf.DUMMYFUNCTION("""COMPUTED_VALUE"""),3)</f>
        <v>3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IFERROR(__xludf.DUMMYFUNCTION("""COMPUTED_VALUE"""),"Theory")</f>
        <v>Theory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 
")</f>
        <v>PE 
</v>
      </c>
      <c r="D89" s="2" t="str">
        <f>IFERROR(__xludf.DUMMYFUNCTION("""COMPUTED_VALUE"""),"CS3522")</f>
        <v>CS3522</v>
      </c>
      <c r="E89" s="2" t="str">
        <f>IFERROR(__xludf.DUMMYFUNCTION("""COMPUTED_VALUE"""),"19AI522")</f>
        <v>19AI522</v>
      </c>
      <c r="F89" s="7" t="str">
        <f>IFERROR(__xludf.DUMMYFUNCTION("""COMPUTED_VALUE"""),"Knowledge Engineering")</f>
        <v>Knowledge Engineering</v>
      </c>
      <c r="G89" s="2" t="str">
        <f>IFERROR(__xludf.DUMMYFUNCTION("""COMPUTED_VALUE"""),"19CS410")</f>
        <v>19CS410</v>
      </c>
      <c r="H89" s="2">
        <f>IFERROR(__xludf.DUMMYFUNCTION("""COMPUTED_VALUE"""),3)</f>
        <v>3</v>
      </c>
      <c r="I89" s="2">
        <f>IFERROR(__xludf.DUMMYFUNCTION("""COMPUTED_VALUE"""),0)</f>
        <v>0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IFERROR(__xludf.DUMMYFUNCTION("""COMPUTED_VALUE"""),"Theory")</f>
        <v>Theory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 
")</f>
        <v>PE 
</v>
      </c>
      <c r="D90" s="2" t="str">
        <f>IFERROR(__xludf.DUMMYFUNCTION("""COMPUTED_VALUE"""),"CS3523")</f>
        <v>CS3523</v>
      </c>
      <c r="E90" s="2" t="str">
        <f>IFERROR(__xludf.DUMMYFUNCTION("""COMPUTED_VALUE"""),"19AI523")</f>
        <v>19AI523</v>
      </c>
      <c r="F90" s="7" t="str">
        <f>IFERROR(__xludf.DUMMYFUNCTION("""COMPUTED_VALUE"""),"Mobile Database")</f>
        <v>Mobile Database</v>
      </c>
      <c r="G90" s="2" t="str">
        <f>IFERROR(__xludf.DUMMYFUNCTION("""COMPUTED_VALUE"""),"-")</f>
        <v>-</v>
      </c>
      <c r="H90" s="2">
        <f>IFERROR(__xludf.DUMMYFUNCTION("""COMPUTED_VALUE"""),3)</f>
        <v>3</v>
      </c>
      <c r="I90" s="2">
        <f>IFERROR(__xludf.DUMMYFUNCTION("""COMPUTED_VALUE"""),0)</f>
        <v>0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IFERROR(__xludf.DUMMYFUNCTION("""COMPUTED_VALUE"""),"Theory")</f>
        <v>Theory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 
")</f>
        <v>PE 
</v>
      </c>
      <c r="D91" s="2" t="str">
        <f>IFERROR(__xludf.DUMMYFUNCTION("""COMPUTED_VALUE"""),"CS3524")</f>
        <v>CS3524</v>
      </c>
      <c r="E91" s="2" t="str">
        <f>IFERROR(__xludf.DUMMYFUNCTION("""COMPUTED_VALUE"""),"19AI524")</f>
        <v>19AI524</v>
      </c>
      <c r="F91" s="7" t="str">
        <f>IFERROR(__xludf.DUMMYFUNCTION("""COMPUTED_VALUE"""),"Multimedia Database")</f>
        <v>Multimedia Database</v>
      </c>
      <c r="G91" s="2" t="str">
        <f>IFERROR(__xludf.DUMMYFUNCTION("""COMPUTED_VALUE"""),"19CS410")</f>
        <v>19CS410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 
")</f>
        <v>PE 
</v>
      </c>
      <c r="D92" s="2" t="str">
        <f>IFERROR(__xludf.DUMMYFUNCTION("""COMPUTED_VALUE"""),"CS3525")</f>
        <v>CS3525</v>
      </c>
      <c r="E92" s="2" t="str">
        <f>IFERROR(__xludf.DUMMYFUNCTION("""COMPUTED_VALUE"""),"19AI525")</f>
        <v>19AI525</v>
      </c>
      <c r="F92" s="7" t="str">
        <f>IFERROR(__xludf.DUMMYFUNCTION("""COMPUTED_VALUE"""),"Video Processing")</f>
        <v>Video Processing</v>
      </c>
      <c r="G92" s="2" t="str">
        <f>IFERROR(__xludf.DUMMYFUNCTION("""COMPUTED_VALUE"""),"19CS301")</f>
        <v>19CS301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 
")</f>
        <v>PE 
</v>
      </c>
      <c r="D93" s="2" t="str">
        <f>IFERROR(__xludf.DUMMYFUNCTION("""COMPUTED_VALUE"""),"CS3547")</f>
        <v>CS3547</v>
      </c>
      <c r="E93" s="2" t="str">
        <f>IFERROR(__xludf.DUMMYFUNCTION("""COMPUTED_VALUE"""),"19AI547")</f>
        <v>19AI547</v>
      </c>
      <c r="F93" s="7" t="str">
        <f>IFERROR(__xludf.DUMMYFUNCTION("""COMPUTED_VALUE"""),"Blockchain for Business")</f>
        <v>Blockchain for Business</v>
      </c>
      <c r="G93" s="2" t="str">
        <f>IFERROR(__xludf.DUMMYFUNCTION("""COMPUTED_VALUE"""),"19CS301")</f>
        <v>19CS301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IFERROR(__xludf.DUMMYFUNCTION("""COMPUTED_VALUE"""),"CS1407")</f>
        <v>CS1407</v>
      </c>
      <c r="E94" s="2" t="str">
        <f>IFERROR(__xludf.DUMMYFUNCTION("""COMPUTED_VALUE"""),"19CS407")</f>
        <v>19CS407</v>
      </c>
      <c r="F94" s="7" t="str">
        <f>IFERROR(__xludf.DUMMYFUNCTION("""COMPUTED_VALUE"""),"Theory of Computation")</f>
        <v>Theory of Computation</v>
      </c>
      <c r="G94" s="2" t="str">
        <f>IFERROR(__xludf.DUMMYFUNCTION("""COMPUTED_VALUE"""),"19MA206")</f>
        <v>19MA206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 
")</f>
        <v>PE 
</v>
      </c>
      <c r="D95" s="2" t="str">
        <f>IFERROR(__xludf.DUMMYFUNCTION("""COMPUTED_VALUE"""),"CS1501")</f>
        <v>CS1501</v>
      </c>
      <c r="E95" s="2" t="str">
        <f>IFERROR(__xludf.DUMMYFUNCTION("""COMPUTED_VALUE"""),"19CS501")</f>
        <v>19CS501</v>
      </c>
      <c r="F95" s="7" t="str">
        <f>IFERROR(__xludf.DUMMYFUNCTION("""COMPUTED_VALUE"""),"Machine Learning")</f>
        <v>Machine Learning</v>
      </c>
      <c r="G95" s="2" t="str">
        <f>IFERROR(__xludf.DUMMYFUNCTION("""COMPUTED_VALUE"""),"19MA212/ 19MA218")</f>
        <v>19MA212/ 19MA218</v>
      </c>
      <c r="H95" s="2">
        <f>IFERROR(__xludf.DUMMYFUNCTION("""COMPUTED_VALUE"""),3)</f>
        <v>3</v>
      </c>
      <c r="I95" s="2">
        <f>IFERROR(__xludf.DUMMYFUNCTION("""COMPUTED_VALUE"""),0)</f>
        <v>0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IFERROR(__xludf.DUMMYFUNCTION("""COMPUTED_VALUE"""),"Theory")</f>
        <v>Theory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 
")</f>
        <v>PE 
</v>
      </c>
      <c r="D96" s="2" t="str">
        <f>IFERROR(__xludf.DUMMYFUNCTION("""COMPUTED_VALUE"""),"CS1511")</f>
        <v>CS1511</v>
      </c>
      <c r="E96" s="2" t="str">
        <f>IFERROR(__xludf.DUMMYFUNCTION("""COMPUTED_VALUE"""),"19CS511")</f>
        <v>19CS511</v>
      </c>
      <c r="F96" s="7" t="str">
        <f>IFERROR(__xludf.DUMMYFUNCTION("""COMPUTED_VALUE"""),"Natural Language Processing")</f>
        <v>Natural Language Processing</v>
      </c>
      <c r="G96" s="2" t="str">
        <f>IFERROR(__xludf.DUMMYFUNCTION("""COMPUTED_VALUE"""),"19MA201")</f>
        <v>19MA201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 
")</f>
        <v>PE 
</v>
      </c>
      <c r="D97" s="2" t="str">
        <f>IFERROR(__xludf.DUMMYFUNCTION("""COMPUTED_VALUE"""),"CS1519")</f>
        <v>CS1519</v>
      </c>
      <c r="E97" s="2" t="str">
        <f>IFERROR(__xludf.DUMMYFUNCTION("""COMPUTED_VALUE"""),"19CS519")</f>
        <v>19CS519</v>
      </c>
      <c r="F97" s="7" t="str">
        <f>IFERROR(__xludf.DUMMYFUNCTION("""COMPUTED_VALUE"""),"Data Science")</f>
        <v>Data Science</v>
      </c>
      <c r="G97" s="2" t="str">
        <f>IFERROR(__xludf.DUMMYFUNCTION("""COMPUTED_VALUE"""),"19CS301/19CS501")</f>
        <v>19CS301/19CS501</v>
      </c>
      <c r="H97" s="2">
        <f>IFERROR(__xludf.DUMMYFUNCTION("""COMPUTED_VALUE"""),3)</f>
        <v>3</v>
      </c>
      <c r="I97" s="2">
        <f>IFERROR(__xludf.DUMMYFUNCTION("""COMPUTED_VALUE"""),0)</f>
        <v>0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IFERROR(__xludf.DUMMYFUNCTION("""COMPUTED_VALUE"""),"Theory")</f>
        <v>Theory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 
")</f>
        <v>PE 
</v>
      </c>
      <c r="D98" s="2" t="str">
        <f>IFERROR(__xludf.DUMMYFUNCTION("""COMPUTED_VALUE"""),"CS1520")</f>
        <v>CS1520</v>
      </c>
      <c r="E98" s="2" t="str">
        <f>IFERROR(__xludf.DUMMYFUNCTION("""COMPUTED_VALUE"""),"19CS520")</f>
        <v>19CS520</v>
      </c>
      <c r="F98" s="7" t="str">
        <f>IFERROR(__xludf.DUMMYFUNCTION("""COMPUTED_VALUE"""),"Big Data Analytics")</f>
        <v>Big Data Analytics</v>
      </c>
      <c r="G98" s="2" t="str">
        <f>IFERROR(__xludf.DUMMYFUNCTION("""COMPUTED_VALUE"""),"19CS411/19CS519")</f>
        <v>19CS411/19CS519</v>
      </c>
      <c r="H98" s="2">
        <f>IFERROR(__xludf.DUMMYFUNCTION("""COMPUTED_VALUE"""),3)</f>
        <v>3</v>
      </c>
      <c r="I98" s="2">
        <f>IFERROR(__xludf.DUMMYFUNCTION("""COMPUTED_VALUE"""),0)</f>
        <v>0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IFERROR(__xludf.DUMMYFUNCTION("""COMPUTED_VALUE"""),"Theory")</f>
        <v>Theory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 
")</f>
        <v>PE 
</v>
      </c>
      <c r="D99" s="2" t="str">
        <f>IFERROR(__xludf.DUMMYFUNCTION("""COMPUTED_VALUE"""),"CS1521")</f>
        <v>CS1521</v>
      </c>
      <c r="E99" s="2" t="str">
        <f>IFERROR(__xludf.DUMMYFUNCTION("""COMPUTED_VALUE"""),"19CS521")</f>
        <v>19CS521</v>
      </c>
      <c r="F99" s="7" t="str">
        <f>IFERROR(__xludf.DUMMYFUNCTION("""COMPUTED_VALUE"""),"Data Warehousing and Data Mining")</f>
        <v>Data Warehousing and Data Mining</v>
      </c>
      <c r="G99" s="2" t="str">
        <f>IFERROR(__xludf.DUMMYFUNCTION("""COMPUTED_VALUE"""),"19CS404")</f>
        <v>19CS404</v>
      </c>
      <c r="H99" s="2">
        <f>IFERROR(__xludf.DUMMYFUNCTION("""COMPUTED_VALUE"""),3)</f>
        <v>3</v>
      </c>
      <c r="I99" s="2">
        <f>IFERROR(__xludf.DUMMYFUNCTION("""COMPUTED_VALUE"""),0)</f>
        <v>0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IFERROR(__xludf.DUMMYFUNCTION("""COMPUTED_VALUE"""),"Theory")</f>
        <v>Theory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 
")</f>
        <v>PE 
</v>
      </c>
      <c r="D100" s="2" t="str">
        <f>IFERROR(__xludf.DUMMYFUNCTION("""COMPUTED_VALUE"""),"CS1522")</f>
        <v>CS1522</v>
      </c>
      <c r="E100" s="2" t="str">
        <f>IFERROR(__xludf.DUMMYFUNCTION("""COMPUTED_VALUE"""),"19CS522")</f>
        <v>19CS522</v>
      </c>
      <c r="F100" s="7" t="str">
        <f>IFERROR(__xludf.DUMMYFUNCTION("""COMPUTED_VALUE"""),"Advanced Database Management System")</f>
        <v>Advanced Database Management System</v>
      </c>
      <c r="G100" s="2" t="str">
        <f>IFERROR(__xludf.DUMMYFUNCTION("""COMPUTED_VALUE"""),"19CS404")</f>
        <v>19CS404</v>
      </c>
      <c r="H100" s="2">
        <f>IFERROR(__xludf.DUMMYFUNCTION("""COMPUTED_VALUE"""),3)</f>
        <v>3</v>
      </c>
      <c r="I100" s="2">
        <f>IFERROR(__xludf.DUMMYFUNCTION("""COMPUTED_VALUE"""),1)</f>
        <v>1</v>
      </c>
      <c r="J100" s="2">
        <f>IFERROR(__xludf.DUMMYFUNCTION("""COMPUTED_VALUE"""),4)</f>
        <v>4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 
")</f>
        <v>PE 
</v>
      </c>
      <c r="D101" s="2" t="str">
        <f>IFERROR(__xludf.DUMMYFUNCTION("""COMPUTED_VALUE"""),"CS1523")</f>
        <v>CS1523</v>
      </c>
      <c r="E101" s="2" t="str">
        <f>IFERROR(__xludf.DUMMYFUNCTION("""COMPUTED_VALUE"""),"19CS523")</f>
        <v>19CS523</v>
      </c>
      <c r="F101" s="7" t="str">
        <f>IFERROR(__xludf.DUMMYFUNCTION("""COMPUTED_VALUE"""),"Information Retrieval")</f>
        <v>Information Retrieval</v>
      </c>
      <c r="G101" s="2" t="str">
        <f>IFERROR(__xludf.DUMMYFUNCTION("""COMPUTED_VALUE"""),"19AI410/ 19CS501/19CS413")</f>
        <v>19AI410/ 19CS501/19CS413</v>
      </c>
      <c r="H101" s="2">
        <f>IFERROR(__xludf.DUMMYFUNCTION("""COMPUTED_VALUE"""),3)</f>
        <v>3</v>
      </c>
      <c r="I101" s="2">
        <f>IFERROR(__xludf.DUMMYFUNCTION("""COMPUTED_VALUE"""),0)</f>
        <v>0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IFERROR(__xludf.DUMMYFUNCTION("""COMPUTED_VALUE"""),"Theory")</f>
        <v>Theory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 
")</f>
        <v>PE 
</v>
      </c>
      <c r="D102" s="2" t="str">
        <f>IFERROR(__xludf.DUMMYFUNCTION("""COMPUTED_VALUE"""),"CS1524")</f>
        <v>CS1524</v>
      </c>
      <c r="E102" s="2" t="str">
        <f>IFERROR(__xludf.DUMMYFUNCTION("""COMPUTED_VALUE"""),"19CS524")</f>
        <v>19CS524</v>
      </c>
      <c r="F102" s="7" t="str">
        <f>IFERROR(__xludf.DUMMYFUNCTION("""COMPUTED_VALUE"""),"Deep Learning")</f>
        <v>Deep Learning</v>
      </c>
      <c r="G102" s="2" t="str">
        <f>IFERROR(__xludf.DUMMYFUNCTION("""COMPUTED_VALUE"""),"19CS501")</f>
        <v>19CS501</v>
      </c>
      <c r="H102" s="2">
        <f>IFERROR(__xludf.DUMMYFUNCTION("""COMPUTED_VALUE"""),3)</f>
        <v>3</v>
      </c>
      <c r="I102" s="2">
        <f>IFERROR(__xludf.DUMMYFUNCTION("""COMPUTED_VALUE"""),0)</f>
        <v>0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IFERROR(__xludf.DUMMYFUNCTION("""COMPUTED_VALUE"""),"Theory")</f>
        <v>Theory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 
")</f>
        <v>PE 
</v>
      </c>
      <c r="D103" s="2" t="str">
        <f>IFERROR(__xludf.DUMMYFUNCTION("""COMPUTED_VALUE"""),"CS1526")</f>
        <v>CS1526</v>
      </c>
      <c r="E103" s="2" t="str">
        <f>IFERROR(__xludf.DUMMYFUNCTION("""COMPUTED_VALUE"""),"19CS526")</f>
        <v>19CS526</v>
      </c>
      <c r="F103" s="3" t="str">
        <f>IFERROR(__xludf.DUMMYFUNCTION("""COMPUTED_VALUE"""),"R Programming")</f>
        <v>R Programming</v>
      </c>
      <c r="G103" s="2" t="str">
        <f>IFERROR(__xludf.DUMMYFUNCTION("""COMPUTED_VALUE"""),"19CS301/19CS303")</f>
        <v>19CS301/19CS303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 
")</f>
        <v>PE 
</v>
      </c>
      <c r="D104" s="2" t="str">
        <f>IFERROR(__xludf.DUMMYFUNCTION("""COMPUTED_VALUE"""),"CS1512")</f>
        <v>CS1512</v>
      </c>
      <c r="E104" s="2" t="str">
        <f>IFERROR(__xludf.DUMMYFUNCTION("""COMPUTED_VALUE"""),"19CS512")</f>
        <v>19CS512</v>
      </c>
      <c r="F104" s="7" t="str">
        <f>IFERROR(__xludf.DUMMYFUNCTION("""COMPUTED_VALUE"""),"Soft Computing")</f>
        <v>Soft Computing</v>
      </c>
      <c r="G104" s="2" t="str">
        <f>IFERROR(__xludf.DUMMYFUNCTION("""COMPUTED_VALUE"""),"19CS501/19AI410")</f>
        <v>19CS501/19AI410</v>
      </c>
      <c r="H104" s="2">
        <f>IFERROR(__xludf.DUMMYFUNCTION("""COMPUTED_VALUE"""),3)</f>
        <v>3</v>
      </c>
      <c r="I104" s="2">
        <f>IFERROR(__xludf.DUMMYFUNCTION("""COMPUTED_VALUE"""),0)</f>
        <v>0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IFERROR(__xludf.DUMMYFUNCTION("""COMPUTED_VALUE"""),"Theory")</f>
        <v>Theory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 
")</f>
        <v>PE 
</v>
      </c>
      <c r="D105" s="2" t="str">
        <f>IFERROR(__xludf.DUMMYFUNCTION("""COMPUTED_VALUE"""),"CS1510")</f>
        <v>CS1510</v>
      </c>
      <c r="E105" s="2" t="str">
        <f>IFERROR(__xludf.DUMMYFUNCTION("""COMPUTED_VALUE"""),"19CS510")</f>
        <v>19CS510</v>
      </c>
      <c r="F105" s="7" t="str">
        <f>IFERROR(__xludf.DUMMYFUNCTION("""COMPUTED_VALUE"""),"Social Network Analysis")</f>
        <v>Social Network Analysis</v>
      </c>
      <c r="G105" s="2" t="str">
        <f>IFERROR(__xludf.DUMMYFUNCTION("""COMPUTED_VALUE"""),"19CS501/19CS413")</f>
        <v>19CS501/19CS413</v>
      </c>
      <c r="H105" s="2">
        <f>IFERROR(__xludf.DUMMYFUNCTION("""COMPUTED_VALUE"""),3)</f>
        <v>3</v>
      </c>
      <c r="I105" s="2">
        <f>IFERROR(__xludf.DUMMYFUNCTION("""COMPUTED_VALUE"""),0)</f>
        <v>0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IFERROR(__xludf.DUMMYFUNCTION("""COMPUTED_VALUE"""),"Theory")</f>
        <v>Theory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 
")</f>
        <v>PE 
</v>
      </c>
      <c r="D106" s="2" t="str">
        <f>IFERROR(__xludf.DUMMYFUNCTION("""COMPUTED_VALUE"""),"CS1504")</f>
        <v>CS1504</v>
      </c>
      <c r="E106" s="2" t="str">
        <f>IFERROR(__xludf.DUMMYFUNCTION("""COMPUTED_VALUE"""),"19CS504")</f>
        <v>19CS504</v>
      </c>
      <c r="F106" s="7" t="str">
        <f>IFERROR(__xludf.DUMMYFUNCTION("""COMPUTED_VALUE"""),"Software Project Management")</f>
        <v>Software Project Management</v>
      </c>
      <c r="G106" s="2" t="str">
        <f>IFERROR(__xludf.DUMMYFUNCTION("""COMPUTED_VALUE"""),"19CS408")</f>
        <v>19CS408</v>
      </c>
      <c r="H106" s="2">
        <f>IFERROR(__xludf.DUMMYFUNCTION("""COMPUTED_VALUE"""),3)</f>
        <v>3</v>
      </c>
      <c r="I106" s="2">
        <f>IFERROR(__xludf.DUMMYFUNCTION("""COMPUTED_VALUE"""),0)</f>
        <v>0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IFERROR(__xludf.DUMMYFUNCTION("""COMPUTED_VALUE"""),"Theory")</f>
        <v>Theory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 
")</f>
        <v>PE 
</v>
      </c>
      <c r="D107" s="2" t="str">
        <f>IFERROR(__xludf.DUMMYFUNCTION("""COMPUTED_VALUE"""),"CS1505")</f>
        <v>CS1505</v>
      </c>
      <c r="E107" s="2" t="str">
        <f>IFERROR(__xludf.DUMMYFUNCTION("""COMPUTED_VALUE"""),"19CS505")</f>
        <v>19CS505</v>
      </c>
      <c r="F107" s="7" t="str">
        <f>IFERROR(__xludf.DUMMYFUNCTION("""COMPUTED_VALUE"""),"Service Oriented Architecture")</f>
        <v>Service Oriented Architecture</v>
      </c>
      <c r="G107" s="2" t="str">
        <f>IFERROR(__xludf.DUMMYFUNCTION("""COMPUTED_VALUE"""),"-")</f>
        <v>-</v>
      </c>
      <c r="H107" s="2">
        <f>IFERROR(__xludf.DUMMYFUNCTION("""COMPUTED_VALUE"""),3)</f>
        <v>3</v>
      </c>
      <c r="I107" s="2">
        <f>IFERROR(__xludf.DUMMYFUNCTION("""COMPUTED_VALUE"""),0)</f>
        <v>0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IFERROR(__xludf.DUMMYFUNCTION("""COMPUTED_VALUE"""),"Theory")</f>
        <v>Theory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 
")</f>
        <v>PE 
</v>
      </c>
      <c r="D108" s="2" t="str">
        <f>IFERROR(__xludf.DUMMYFUNCTION("""COMPUTED_VALUE"""),"CS1503")</f>
        <v>CS1503</v>
      </c>
      <c r="E108" s="2" t="str">
        <f>IFERROR(__xludf.DUMMYFUNCTION("""COMPUTED_VALUE"""),"19CS503")</f>
        <v>19CS503</v>
      </c>
      <c r="F108" s="7" t="str">
        <f>IFERROR(__xludf.DUMMYFUNCTION("""COMPUTED_VALUE"""),"Developing Web Application in .Net")</f>
        <v>Developing Web Application in .Net</v>
      </c>
      <c r="G108" s="2" t="str">
        <f>IFERROR(__xludf.DUMMYFUNCTION("""COMPUTED_VALUE"""),"19CS404/19CS410")</f>
        <v>19CS404/19CS410</v>
      </c>
      <c r="H108" s="2">
        <f>IFERROR(__xludf.DUMMYFUNCTION("""COMPUTED_VALUE"""),3)</f>
        <v>3</v>
      </c>
      <c r="I108" s="2">
        <f>IFERROR(__xludf.DUMMYFUNCTION("""COMPUTED_VALUE"""),0)</f>
        <v>0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IFERROR(__xludf.DUMMYFUNCTION("""COMPUTED_VALUE"""),"Theory")</f>
        <v>Theory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 
")</f>
        <v>PE 
</v>
      </c>
      <c r="D109" s="2" t="str">
        <f>IFERROR(__xludf.DUMMYFUNCTION("""COMPUTED_VALUE"""),"CS1507")</f>
        <v>CS1507</v>
      </c>
      <c r="E109" s="2" t="str">
        <f>IFERROR(__xludf.DUMMYFUNCTION("""COMPUTED_VALUE"""),"19CS507")</f>
        <v>19CS507</v>
      </c>
      <c r="F109" s="7" t="str">
        <f>IFERROR(__xludf.DUMMYFUNCTION("""COMPUTED_VALUE"""),"Human Computer Interaction")</f>
        <v>Human Computer Interaction</v>
      </c>
      <c r="G109" s="2" t="str">
        <f>IFERROR(__xludf.DUMMYFUNCTION("""COMPUTED_VALUE"""),"19CS502/19CS408")</f>
        <v>19CS502/19CS408</v>
      </c>
      <c r="H109" s="2">
        <f>IFERROR(__xludf.DUMMYFUNCTION("""COMPUTED_VALUE"""),3)</f>
        <v>3</v>
      </c>
      <c r="I109" s="2">
        <f>IFERROR(__xludf.DUMMYFUNCTION("""COMPUTED_VALUE"""),0)</f>
        <v>0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IFERROR(__xludf.DUMMYFUNCTION("""COMPUTED_VALUE"""),"Theory")</f>
        <v>Theory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 
")</f>
        <v>PE 
</v>
      </c>
      <c r="D110" s="2" t="str">
        <f>IFERROR(__xludf.DUMMYFUNCTION("""COMPUTED_VALUE"""),"CS1502")</f>
        <v>CS1502</v>
      </c>
      <c r="E110" s="2" t="str">
        <f>IFERROR(__xludf.DUMMYFUNCTION("""COMPUTED_VALUE"""),"19CS502")</f>
        <v>19CS502</v>
      </c>
      <c r="F110" s="7" t="str">
        <f>IFERROR(__xludf.DUMMYFUNCTION("""COMPUTED_VALUE"""),"Computer Graphics and Multimedia")</f>
        <v>Computer Graphics and Multimedia</v>
      </c>
      <c r="G110" s="2" t="str">
        <f>IFERROR(__xludf.DUMMYFUNCTION("""COMPUTED_VALUE"""),"19CS401")</f>
        <v>19CS401</v>
      </c>
      <c r="H110" s="2">
        <f>IFERROR(__xludf.DUMMYFUNCTION("""COMPUTED_VALUE"""),3)</f>
        <v>3</v>
      </c>
      <c r="I110" s="2">
        <f>IFERROR(__xludf.DUMMYFUNCTION("""COMPUTED_VALUE"""),0)</f>
        <v>0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IFERROR(__xludf.DUMMYFUNCTION("""COMPUTED_VALUE"""),"Theory")</f>
        <v>Theory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 
")</f>
        <v>PE 
</v>
      </c>
      <c r="D111" s="2" t="str">
        <f>IFERROR(__xludf.DUMMYFUNCTION("""COMPUTED_VALUE"""),"CS1518")</f>
        <v>CS1518</v>
      </c>
      <c r="E111" s="2" t="str">
        <f>IFERROR(__xludf.DUMMYFUNCTION("""COMPUTED_VALUE"""),"19CS518")</f>
        <v>19CS518</v>
      </c>
      <c r="F111" s="7" t="str">
        <f>IFERROR(__xludf.DUMMYFUNCTION("""COMPUTED_VALUE"""),"Game Design and Development")</f>
        <v>Game Design and Development</v>
      </c>
      <c r="G111" s="2" t="str">
        <f>IFERROR(__xludf.DUMMYFUNCTION("""COMPUTED_VALUE"""),"19CS502")</f>
        <v>19CS502</v>
      </c>
      <c r="H111" s="2">
        <f>IFERROR(__xludf.DUMMYFUNCTION("""COMPUTED_VALUE"""),3)</f>
        <v>3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IFERROR(__xludf.DUMMYFUNCTION("""COMPUTED_VALUE"""),"Theory")</f>
        <v>Theory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 
")</f>
        <v>PE 
</v>
      </c>
      <c r="D112" s="2" t="str">
        <f>IFERROR(__xludf.DUMMYFUNCTION("""COMPUTED_VALUE"""),"#N/A")</f>
        <v>#N/A</v>
      </c>
      <c r="E112" s="2" t="str">
        <f>IFERROR(__xludf.DUMMYFUNCTION("""COMPUTED_VALUE"""),"#N/A")</f>
        <v>#N/A</v>
      </c>
      <c r="F112" s="3" t="str">
        <f>IFERROR(__xludf.DUMMYFUNCTION("""COMPUTED_VALUE"""),"#N/A")</f>
        <v>#N/A</v>
      </c>
      <c r="G112" s="2" t="str">
        <f>IFERROR(__xludf.DUMMYFUNCTION("""COMPUTED_VALUE"""),"#N/A")</f>
        <v>#N/A</v>
      </c>
      <c r="H112" s="2" t="str">
        <f>IFERROR(__xludf.DUMMYFUNCTION("""COMPUTED_VALUE"""),"#N/A")</f>
        <v>#N/A</v>
      </c>
      <c r="I112" s="2" t="str">
        <f>IFERROR(__xludf.DUMMYFUNCTION("""COMPUTED_VALUE"""),"#N/A")</f>
        <v>#N/A</v>
      </c>
      <c r="J112" s="2" t="str">
        <f>IFERROR(__xludf.DUMMYFUNCTION("""COMPUTED_VALUE"""),"#N/A")</f>
        <v>#N/A</v>
      </c>
      <c r="K112" s="2" t="str">
        <f>IFERROR(__xludf.DUMMYFUNCTION("""COMPUTED_VALUE"""),"#N/A")</f>
        <v>#N/A</v>
      </c>
      <c r="L112" s="2" t="str">
        <f>IFERROR(__xludf.DUMMYFUNCTION("""COMPUTED_VALUE"""),"#N/A")</f>
        <v>#N/A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 
")</f>
        <v>PE 
</v>
      </c>
      <c r="D113" s="2" t="str">
        <f>IFERROR(__xludf.DUMMYFUNCTION("""COMPUTED_VALUE"""),"EC1503")</f>
        <v>EC1503</v>
      </c>
      <c r="E113" s="2" t="str">
        <f>IFERROR(__xludf.DUMMYFUNCTION("""COMPUTED_VALUE"""),"19EC503")</f>
        <v>19EC503</v>
      </c>
      <c r="F113" s="7" t="str">
        <f>IFERROR(__xludf.DUMMYFUNCTION("""COMPUTED_VALUE"""),"Digital Image Processing")</f>
        <v>Digital Image Processing</v>
      </c>
      <c r="G113" s="2" t="str">
        <f>IFERROR(__xludf.DUMMYFUNCTION("""COMPUTED_VALUE"""),"19EC409 / EC1409")</f>
        <v>19EC409 / EC1409</v>
      </c>
      <c r="H113" s="2">
        <f>IFERROR(__xludf.DUMMYFUNCTION("""COMPUTED_VALUE"""),3)</f>
        <v>3</v>
      </c>
      <c r="I113" s="2">
        <f>IFERROR(__xludf.DUMMYFUNCTION("""COMPUTED_VALUE"""),0)</f>
        <v>0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IFERROR(__xludf.DUMMYFUNCTION("""COMPUTED_VALUE"""),"Theory")</f>
        <v>Theory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 
")</f>
        <v>PE 
</v>
      </c>
      <c r="D114" s="2" t="str">
        <f>IFERROR(__xludf.DUMMYFUNCTION("""COMPUTED_VALUE"""),"CS1531")</f>
        <v>CS1531</v>
      </c>
      <c r="E114" s="2" t="str">
        <f>IFERROR(__xludf.DUMMYFUNCTION("""COMPUTED_VALUE"""),"19CS531")</f>
        <v>19CS531</v>
      </c>
      <c r="F114" s="7" t="str">
        <f>IFERROR(__xludf.DUMMYFUNCTION("""COMPUTED_VALUE"""),"Virtual Reality")</f>
        <v>Virtual Reality</v>
      </c>
      <c r="G114" s="2" t="str">
        <f>IFERROR(__xludf.DUMMYFUNCTION("""COMPUTED_VALUE"""),"19CS401/19CS301")</f>
        <v>19CS401/19CS301</v>
      </c>
      <c r="H114" s="2">
        <f>IFERROR(__xludf.DUMMYFUNCTION("""COMPUTED_VALUE"""),3)</f>
        <v>3</v>
      </c>
      <c r="I114" s="2">
        <f>IFERROR(__xludf.DUMMYFUNCTION("""COMPUTED_VALUE"""),0)</f>
        <v>0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IFERROR(__xludf.DUMMYFUNCTION("""COMPUTED_VALUE"""),"Theory")</f>
        <v>Theory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 
")</f>
        <v>PE 
</v>
      </c>
      <c r="D115" s="2" t="str">
        <f>IFERROR(__xludf.DUMMYFUNCTION("""COMPUTED_VALUE"""),"CS1509")</f>
        <v>CS1509</v>
      </c>
      <c r="E115" s="2" t="str">
        <f>IFERROR(__xludf.DUMMYFUNCTION("""COMPUTED_VALUE"""),"19CS509")</f>
        <v>19CS509</v>
      </c>
      <c r="F115" s="7" t="str">
        <f>IFERROR(__xludf.DUMMYFUNCTION("""COMPUTED_VALUE"""),"Graph Theory and Applications")</f>
        <v>Graph Theory and Applications</v>
      </c>
      <c r="G115" s="2" t="str">
        <f>IFERROR(__xludf.DUMMYFUNCTION("""COMPUTED_VALUE"""),"19MA206")</f>
        <v>19MA206</v>
      </c>
      <c r="H115" s="2">
        <f>IFERROR(__xludf.DUMMYFUNCTION("""COMPUTED_VALUE"""),3)</f>
        <v>3</v>
      </c>
      <c r="I115" s="2">
        <f>IFERROR(__xludf.DUMMYFUNCTION("""COMPUTED_VALUE"""),0)</f>
        <v>0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IFERROR(__xludf.DUMMYFUNCTION("""COMPUTED_VALUE"""),"Theory")</f>
        <v>Theory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 
")</f>
        <v>PE 
</v>
      </c>
      <c r="D116" s="2" t="str">
        <f>IFERROR(__xludf.DUMMYFUNCTION("""COMPUTED_VALUE"""),"CS1517")</f>
        <v>CS1517</v>
      </c>
      <c r="E116" s="2" t="str">
        <f>IFERROR(__xludf.DUMMYFUNCTION("""COMPUTED_VALUE"""),"19CS517")</f>
        <v>19CS517</v>
      </c>
      <c r="F116" s="7" t="str">
        <f>IFERROR(__xludf.DUMMYFUNCTION("""COMPUTED_VALUE"""),"Mobile Computing")</f>
        <v>Mobile Computing</v>
      </c>
      <c r="G116" s="2" t="str">
        <f>IFERROR(__xludf.DUMMYFUNCTION("""COMPUTED_VALUE"""),"19CS406")</f>
        <v>19CS406</v>
      </c>
      <c r="H116" s="2">
        <f>IFERROR(__xludf.DUMMYFUNCTION("""COMPUTED_VALUE"""),3)</f>
        <v>3</v>
      </c>
      <c r="I116" s="2">
        <f>IFERROR(__xludf.DUMMYFUNCTION("""COMPUTED_VALUE"""),0)</f>
        <v>0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 
")</f>
        <v>PE 
</v>
      </c>
      <c r="D117" s="2" t="str">
        <f>IFERROR(__xludf.DUMMYFUNCTION("""COMPUTED_VALUE"""),"#N/A")</f>
        <v>#N/A</v>
      </c>
      <c r="E117" s="2" t="str">
        <f>IFERROR(__xludf.DUMMYFUNCTION("""COMPUTED_VALUE"""),"#N/A")</f>
        <v>#N/A</v>
      </c>
      <c r="F117" s="3" t="str">
        <f>IFERROR(__xludf.DUMMYFUNCTION("""COMPUTED_VALUE"""),"#N/A")</f>
        <v>#N/A</v>
      </c>
      <c r="G117" s="2" t="str">
        <f>IFERROR(__xludf.DUMMYFUNCTION("""COMPUTED_VALUE"""),"#N/A")</f>
        <v>#N/A</v>
      </c>
      <c r="H117" s="2" t="str">
        <f>IFERROR(__xludf.DUMMYFUNCTION("""COMPUTED_VALUE"""),"#N/A")</f>
        <v>#N/A</v>
      </c>
      <c r="I117" s="2" t="str">
        <f>IFERROR(__xludf.DUMMYFUNCTION("""COMPUTED_VALUE"""),"#N/A")</f>
        <v>#N/A</v>
      </c>
      <c r="J117" s="2" t="str">
        <f>IFERROR(__xludf.DUMMYFUNCTION("""COMPUTED_VALUE"""),"#N/A")</f>
        <v>#N/A</v>
      </c>
      <c r="K117" s="2" t="str">
        <f>IFERROR(__xludf.DUMMYFUNCTION("""COMPUTED_VALUE"""),"#N/A")</f>
        <v>#N/A</v>
      </c>
      <c r="L117" s="2" t="str">
        <f>IFERROR(__xludf.DUMMYFUNCTION("""COMPUTED_VALUE"""),"#N/A")</f>
        <v>#N/A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 
")</f>
        <v>PE 
</v>
      </c>
      <c r="D118" s="2" t="str">
        <f>IFERROR(__xludf.DUMMYFUNCTION("""COMPUTED_VALUE"""),"CS1508")</f>
        <v>CS1508</v>
      </c>
      <c r="E118" s="2" t="str">
        <f>IFERROR(__xludf.DUMMYFUNCTION("""COMPUTED_VALUE"""),"19CS508")</f>
        <v>19CS508</v>
      </c>
      <c r="F118" s="7" t="str">
        <f>IFERROR(__xludf.DUMMYFUNCTION("""COMPUTED_VALUE"""),"Parallel and Distributed Systems")</f>
        <v>Parallel and Distributed Systems</v>
      </c>
      <c r="G118" s="2" t="str">
        <f>IFERROR(__xludf.DUMMYFUNCTION("""COMPUTED_VALUE"""),"19CS305/19CS401")</f>
        <v>19CS305/19CS401</v>
      </c>
      <c r="H118" s="2">
        <f>IFERROR(__xludf.DUMMYFUNCTION("""COMPUTED_VALUE"""),3)</f>
        <v>3</v>
      </c>
      <c r="I118" s="2">
        <f>IFERROR(__xludf.DUMMYFUNCTION("""COMPUTED_VALUE"""),0)</f>
        <v>0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IFERROR(__xludf.DUMMYFUNCTION("""COMPUTED_VALUE"""),"Theory")</f>
        <v>Theory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 
")</f>
        <v>PE 
</v>
      </c>
      <c r="D119" s="2" t="str">
        <f>IFERROR(__xludf.DUMMYFUNCTION("""COMPUTED_VALUE"""),"CS1530")</f>
        <v>CS1530</v>
      </c>
      <c r="E119" s="2" t="str">
        <f>IFERROR(__xludf.DUMMYFUNCTION("""COMPUTED_VALUE"""),"19CS530")</f>
        <v>19CS530</v>
      </c>
      <c r="F119" s="7" t="str">
        <f>IFERROR(__xludf.DUMMYFUNCTION("""COMPUTED_VALUE"""),"Cyber Security")</f>
        <v>Cyber Security</v>
      </c>
      <c r="G119" s="2" t="str">
        <f>IFERROR(__xludf.DUMMYFUNCTION("""COMPUTED_VALUE"""),"19CS412")</f>
        <v>19CS412</v>
      </c>
      <c r="H119" s="2">
        <f>IFERROR(__xludf.DUMMYFUNCTION("""COMPUTED_VALUE"""),3)</f>
        <v>3</v>
      </c>
      <c r="I119" s="2">
        <f>IFERROR(__xludf.DUMMYFUNCTION("""COMPUTED_VALUE"""),0)</f>
        <v>0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IFERROR(__xludf.DUMMYFUNCTION("""COMPUTED_VALUE"""),"Theory")</f>
        <v>Theory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 
")</f>
        <v>PE 
</v>
      </c>
      <c r="D120" s="2" t="str">
        <f>IFERROR(__xludf.DUMMYFUNCTION("""COMPUTED_VALUE"""),"CS1514")</f>
        <v>CS1514</v>
      </c>
      <c r="E120" s="2" t="str">
        <f>IFERROR(__xludf.DUMMYFUNCTION("""COMPUTED_VALUE"""),"19CS514")</f>
        <v>19CS514</v>
      </c>
      <c r="F120" s="7" t="str">
        <f>IFERROR(__xludf.DUMMYFUNCTION("""COMPUTED_VALUE"""),"Network Management Systems")</f>
        <v>Network Management Systems</v>
      </c>
      <c r="G120" s="2" t="str">
        <f>IFERROR(__xludf.DUMMYFUNCTION("""COMPUTED_VALUE"""),"19CS406")</f>
        <v>19CS406</v>
      </c>
      <c r="H120" s="2">
        <f>IFERROR(__xludf.DUMMYFUNCTION("""COMPUTED_VALUE"""),3)</f>
        <v>3</v>
      </c>
      <c r="I120" s="2">
        <f>IFERROR(__xludf.DUMMYFUNCTION("""COMPUTED_VALUE"""),0)</f>
        <v>0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IFERROR(__xludf.DUMMYFUNCTION("""COMPUTED_VALUE"""),"Theory")</f>
        <v>Theory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 
")</f>
        <v>PE 
</v>
      </c>
      <c r="D121" s="2" t="str">
        <f>IFERROR(__xludf.DUMMYFUNCTION("""COMPUTED_VALUE"""),"CS1515")</f>
        <v>CS1515</v>
      </c>
      <c r="E121" s="2" t="str">
        <f>IFERROR(__xludf.DUMMYFUNCTION("""COMPUTED_VALUE"""),"19CS515")</f>
        <v>19CS515</v>
      </c>
      <c r="F121" s="7" t="str">
        <f>IFERROR(__xludf.DUMMYFUNCTION("""COMPUTED_VALUE"""),"Block Chain Architecture and its Use Cases")</f>
        <v>Block Chain Architecture and its Use Cases</v>
      </c>
      <c r="G121" s="2" t="str">
        <f>IFERROR(__xludf.DUMMYFUNCTION("""COMPUTED_VALUE"""),"19CS412")</f>
        <v>19CS412</v>
      </c>
      <c r="H121" s="2">
        <f>IFERROR(__xludf.DUMMYFUNCTION("""COMPUTED_VALUE"""),3)</f>
        <v>3</v>
      </c>
      <c r="I121" s="2">
        <f>IFERROR(__xludf.DUMMYFUNCTION("""COMPUTED_VALUE"""),0)</f>
        <v>0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IFERROR(__xludf.DUMMYFUNCTION("""COMPUTED_VALUE"""),"Theory")</f>
        <v>Theory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 
")</f>
        <v>PE 
</v>
      </c>
      <c r="D122" s="2" t="str">
        <f>IFERROR(__xludf.DUMMYFUNCTION("""COMPUTED_VALUE"""),"CS1513")</f>
        <v>CS1513</v>
      </c>
      <c r="E122" s="2" t="str">
        <f>IFERROR(__xludf.DUMMYFUNCTION("""COMPUTED_VALUE"""),"19CS513")</f>
        <v>19CS513</v>
      </c>
      <c r="F122" s="7" t="str">
        <f>IFERROR(__xludf.DUMMYFUNCTION("""COMPUTED_VALUE"""),"Green Computing")</f>
        <v>Green Computing</v>
      </c>
      <c r="G122" s="2" t="str">
        <f>IFERROR(__xludf.DUMMYFUNCTION("""COMPUTED_VALUE"""),"-")</f>
        <v>-</v>
      </c>
      <c r="H122" s="2">
        <f>IFERROR(__xludf.DUMMYFUNCTION("""COMPUTED_VALUE"""),3)</f>
        <v>3</v>
      </c>
      <c r="I122" s="2">
        <f>IFERROR(__xludf.DUMMYFUNCTION("""COMPUTED_VALUE"""),0)</f>
        <v>0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IFERROR(__xludf.DUMMYFUNCTION("""COMPUTED_VALUE"""),"Theory")</f>
        <v>Theory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/>
      <c r="C123" s="26" t="str">
        <f>IFERROR(__xludf.DUMMYFUNCTION("""COMPUTED_VALUE"""),"PE 
")</f>
        <v>PE 
</v>
      </c>
      <c r="D123" s="26" t="str">
        <f>IFERROR(__xludf.DUMMYFUNCTION("""COMPUTED_VALUE"""),"CS1506")</f>
        <v>CS1506</v>
      </c>
      <c r="E123" s="26" t="str">
        <f>IFERROR(__xludf.DUMMYFUNCTION("""COMPUTED_VALUE"""),"19CS506")</f>
        <v>19CS506</v>
      </c>
      <c r="F123" s="27" t="str">
        <f>IFERROR(__xludf.DUMMYFUNCTION("""COMPUTED_VALUE"""),"Multicore Architecture")</f>
        <v>Multicore Architecture</v>
      </c>
      <c r="G123" s="26" t="str">
        <f>IFERROR(__xludf.DUMMYFUNCTION("""COMPUTED_VALUE"""),"19CS305")</f>
        <v>19CS305</v>
      </c>
      <c r="H123" s="26">
        <f>IFERROR(__xludf.DUMMYFUNCTION("""COMPUTED_VALUE"""),3)</f>
        <v>3</v>
      </c>
      <c r="I123" s="26">
        <f>IFERROR(__xludf.DUMMYFUNCTION("""COMPUTED_VALUE"""),0)</f>
        <v>0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IFERROR(__xludf.DUMMYFUNCTION("""COMPUTED_VALUE"""),"Theory")</f>
        <v>Theory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/>
      <c r="C124" s="26" t="str">
        <f>IFERROR(__xludf.DUMMYFUNCTION("""COMPUTED_VALUE"""),"PE 
")</f>
        <v>PE 
</v>
      </c>
      <c r="D124" s="26" t="str">
        <f>IFERROR(__xludf.DUMMYFUNCTION("""COMPUTED_VALUE"""),"#N/A")</f>
        <v>#N/A</v>
      </c>
      <c r="E124" s="26" t="str">
        <f>IFERROR(__xludf.DUMMYFUNCTION("""COMPUTED_VALUE"""),"#N/A")</f>
        <v>#N/A</v>
      </c>
      <c r="F124" s="26" t="str">
        <f>IFERROR(__xludf.DUMMYFUNCTION("""COMPUTED_VALUE"""),"#N/A")</f>
        <v>#N/A</v>
      </c>
      <c r="G124" s="26" t="str">
        <f>IFERROR(__xludf.DUMMYFUNCTION("""COMPUTED_VALUE"""),"#N/A")</f>
        <v>#N/A</v>
      </c>
      <c r="H124" s="26" t="str">
        <f>IFERROR(__xludf.DUMMYFUNCTION("""COMPUTED_VALUE"""),"#N/A")</f>
        <v>#N/A</v>
      </c>
      <c r="I124" s="26" t="str">
        <f>IFERROR(__xludf.DUMMYFUNCTION("""COMPUTED_VALUE"""),"#N/A")</f>
        <v>#N/A</v>
      </c>
      <c r="J124" s="26" t="str">
        <f>IFERROR(__xludf.DUMMYFUNCTION("""COMPUTED_VALUE"""),"#N/A")</f>
        <v>#N/A</v>
      </c>
      <c r="K124" s="26" t="str">
        <f>IFERROR(__xludf.DUMMYFUNCTION("""COMPUTED_VALUE"""),"#N/A")</f>
        <v>#N/A</v>
      </c>
      <c r="L124" s="26" t="str">
        <f>IFERROR(__xludf.DUMMYFUNCTION("""COMPUTED_VALUE"""),"#N/A")</f>
        <v>#N/A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/>
      <c r="C125" s="26" t="str">
        <f>IFERROR(__xludf.DUMMYFUNCTION("""COMPUTED_VALUE"""),"PE 
")</f>
        <v>PE 
</v>
      </c>
      <c r="D125" s="26" t="str">
        <f>IFERROR(__xludf.DUMMYFUNCTION("""COMPUTED_VALUE"""),"CS1529")</f>
        <v>CS1529</v>
      </c>
      <c r="E125" s="26" t="str">
        <f>IFERROR(__xludf.DUMMYFUNCTION("""COMPUTED_VALUE"""),"19CS529")</f>
        <v>19CS529</v>
      </c>
      <c r="F125" s="27" t="str">
        <f>IFERROR(__xludf.DUMMYFUNCTION("""COMPUTED_VALUE"""),"Quantum Computing")</f>
        <v>Quantum Computing</v>
      </c>
      <c r="G125" s="26" t="str">
        <f>IFERROR(__xludf.DUMMYFUNCTION("""COMPUTED_VALUE"""),"19CS301/19CS303")</f>
        <v>19CS301/19CS303</v>
      </c>
      <c r="H125" s="26">
        <f>IFERROR(__xludf.DUMMYFUNCTION("""COMPUTED_VALUE"""),3)</f>
        <v>3</v>
      </c>
      <c r="I125" s="26">
        <f>IFERROR(__xludf.DUMMYFUNCTION("""COMPUTED_VALUE"""),0)</f>
        <v>0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IFERROR(__xludf.DUMMYFUNCTION("""COMPUTED_VALUE"""),"Theory")</f>
        <v>Theory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/>
      <c r="C126" s="26" t="str">
        <f>IFERROR(__xludf.DUMMYFUNCTION("""COMPUTED_VALUE"""),"PE 
")</f>
        <v>PE 
</v>
      </c>
      <c r="D126" s="26" t="str">
        <f>IFERROR(__xludf.DUMMYFUNCTION("""COMPUTED_VALUE"""),"CS1528")</f>
        <v>CS1528</v>
      </c>
      <c r="E126" s="26" t="str">
        <f>IFERROR(__xludf.DUMMYFUNCTION("""COMPUTED_VALUE"""),"19CS528")</f>
        <v>19CS528</v>
      </c>
      <c r="F126" s="27" t="str">
        <f>IFERROR(__xludf.DUMMYFUNCTION("""COMPUTED_VALUE"""),"Robotics and its Applications")</f>
        <v>Robotics and its Applications</v>
      </c>
      <c r="G126" s="26" t="str">
        <f>IFERROR(__xludf.DUMMYFUNCTION("""COMPUTED_VALUE"""),"19CS302/19EC408")</f>
        <v>19CS302/19EC408</v>
      </c>
      <c r="H126" s="26">
        <f>IFERROR(__xludf.DUMMYFUNCTION("""COMPUTED_VALUE"""),3)</f>
        <v>3</v>
      </c>
      <c r="I126" s="26">
        <f>IFERROR(__xludf.DUMMYFUNCTION("""COMPUTED_VALUE"""),0)</f>
        <v>0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IFERROR(__xludf.DUMMYFUNCTION("""COMPUTED_VALUE"""),"Theory")</f>
        <v>Theory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/>
      <c r="C127" s="26" t="str">
        <f>IFERROR(__xludf.DUMMYFUNCTION("""COMPUTED_VALUE"""),"PE 
")</f>
        <v>PE 
</v>
      </c>
      <c r="D127" s="26" t="str">
        <f>IFERROR(__xludf.DUMMYFUNCTION("""COMPUTED_VALUE"""),"CS1532")</f>
        <v>CS1532</v>
      </c>
      <c r="E127" s="26" t="str">
        <f>IFERROR(__xludf.DUMMYFUNCTION("""COMPUTED_VALUE"""),"19CS532")</f>
        <v>19CS532</v>
      </c>
      <c r="F127" s="27" t="str">
        <f>IFERROR(__xludf.DUMMYFUNCTION("""COMPUTED_VALUE"""),"Professional Readiness for Innovation, Employability and Entrepreneurship")</f>
        <v>Professional Readiness for Innovation, Employability and Entrepreneurship</v>
      </c>
      <c r="G127" s="26" t="str">
        <f>IFERROR(__xludf.DUMMYFUNCTION("""COMPUTED_VALUE"""),"-")</f>
        <v>-</v>
      </c>
      <c r="H127" s="26">
        <f>IFERROR(__xludf.DUMMYFUNCTION("""COMPUTED_VALUE"""),0)</f>
        <v>0</v>
      </c>
      <c r="I127" s="26">
        <f>IFERROR(__xludf.DUMMYFUNCTION("""COMPUTED_VALUE"""),3)</f>
        <v>3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IFERROR(__xludf.DUMMYFUNCTION("""COMPUTED_VALUE"""),"Practical (10 Expts)")</f>
        <v>Practical (10 Expts)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IFERROR(__xludf.DUMMYFUNCTION("""COMPUTED_VALUE"""),"CS1417")</f>
        <v>CS1417</v>
      </c>
      <c r="E128" s="26" t="str">
        <f>IFERROR(__xludf.DUMMYFUNCTION("""COMPUTED_VALUE"""),"19CS417")</f>
        <v>19CS417</v>
      </c>
      <c r="F128" s="27" t="str">
        <f>IFERROR(__xludf.DUMMYFUNCTION("""COMPUTED_VALUE"""),"Ethical Hacking Techniques")</f>
        <v>Ethical Hacking Techniques</v>
      </c>
      <c r="G128" s="26" t="str">
        <f>IFERROR(__xludf.DUMMYFUNCTION("""COMPUTED_VALUE"""),"-")</f>
        <v>-</v>
      </c>
      <c r="H128" s="26">
        <f>IFERROR(__xludf.DUMMYFUNCTION("""COMPUTED_VALUE"""),2)</f>
        <v>2</v>
      </c>
      <c r="I128" s="26">
        <f>IFERROR(__xludf.DUMMYFUNCTION("""COMPUTED_VALUE"""),1)</f>
        <v>1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IFERROR(__xludf.DUMMYFUNCTION("""COMPUTED_VALUE"""),"CS3553")</f>
        <v>CS3553</v>
      </c>
      <c r="E129" s="26" t="str">
        <f>IFERROR(__xludf.DUMMYFUNCTION("""COMPUTED_VALUE"""),"19AI553")</f>
        <v>19AI553</v>
      </c>
      <c r="F129" s="27" t="str">
        <f>IFERROR(__xludf.DUMMYFUNCTION("""COMPUTED_VALUE"""),"Advanced Java Web Applications")</f>
        <v>Advanced Java Web Applications</v>
      </c>
      <c r="G129" s="26" t="str">
        <f>IFERROR(__xludf.DUMMYFUNCTION("""COMPUTED_VALUE"""),"19AI307")</f>
        <v>19AI307</v>
      </c>
      <c r="H129" s="26">
        <f>IFERROR(__xludf.DUMMYFUNCTION("""COMPUTED_VALUE"""),2)</f>
        <v>2</v>
      </c>
      <c r="I129" s="26">
        <f>IFERROR(__xludf.DUMMYFUNCTION("""COMPUTED_VALUE"""),1)</f>
        <v>1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IFERROR(__xludf.DUMMYFUNCTION("""COMPUTED_VALUE"""),"CS1420")</f>
        <v>CS1420</v>
      </c>
      <c r="E130" s="26" t="str">
        <f>IFERROR(__xludf.DUMMYFUNCTION("""COMPUTED_VALUE"""),"19CS420")</f>
        <v>19CS420</v>
      </c>
      <c r="F130" s="27" t="str">
        <f>IFERROR(__xludf.DUMMYFUNCTION("""COMPUTED_VALUE"""),"Prototyping of IoT Systems")</f>
        <v>Prototyping of IoT Systems</v>
      </c>
      <c r="G130" s="26" t="str">
        <f>IFERROR(__xludf.DUMMYFUNCTION("""COMPUTED_VALUE"""),"-")</f>
        <v>-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IFERROR(__xludf.DUMMYFUNCTION("""COMPUTED_VALUE"""),"CS4508")</f>
        <v>CS4508</v>
      </c>
      <c r="E131" s="26" t="str">
        <f>IFERROR(__xludf.DUMMYFUNCTION("""COMPUTED_VALUE"""),"19AM508")</f>
        <v>19AM508</v>
      </c>
      <c r="F131" s="27" t="str">
        <f>IFERROR(__xludf.DUMMYFUNCTION("""COMPUTED_VALUE"""),"Introduction to IoT")</f>
        <v>Introduction to IoT</v>
      </c>
      <c r="G131" s="26" t="str">
        <f>IFERROR(__xludf.DUMMYFUNCTION("""COMPUTED_VALUE"""),"-")</f>
        <v>-</v>
      </c>
      <c r="H131" s="26">
        <f>IFERROR(__xludf.DUMMYFUNCTION("""COMPUTED_VALUE"""),2)</f>
        <v>2</v>
      </c>
      <c r="I131" s="26">
        <f>IFERROR(__xludf.DUMMYFUNCTION("""COMPUTED_VALUE"""),1)</f>
        <v>1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IFERROR(__xludf.DUMMYFUNCTION("""COMPUTED_VALUE"""),"TIP (6 Expts)")</f>
        <v>TIP (6 Expts)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/>
      <c r="C132" s="26" t="str">
        <f>IFERROR(__xludf.DUMMYFUNCTION("""COMPUTED_VALUE"""),"PE 
")</f>
        <v>PE 
</v>
      </c>
      <c r="D132" s="26" t="str">
        <f>IFERROR(__xludf.DUMMYFUNCTION("""COMPUTED_VALUE"""),"CS1544")</f>
        <v>CS1544</v>
      </c>
      <c r="E132" s="26" t="str">
        <f>IFERROR(__xludf.DUMMYFUNCTION("""COMPUTED_VALUE"""),"19CS544")</f>
        <v>19CS544</v>
      </c>
      <c r="F132" s="27" t="str">
        <f>IFERROR(__xludf.DUMMYFUNCTION("""COMPUTED_VALUE"""),"Realtime Operating System")</f>
        <v>Realtime Operating System</v>
      </c>
      <c r="G132" s="26" t="str">
        <f>IFERROR(__xludf.DUMMYFUNCTION("""COMPUTED_VALUE"""),"-")</f>
        <v>-</v>
      </c>
      <c r="H132" s="26">
        <f>IFERROR(__xludf.DUMMYFUNCTION("""COMPUTED_VALUE"""),2)</f>
        <v>2</v>
      </c>
      <c r="I132" s="26">
        <f>IFERROR(__xludf.DUMMYFUNCTION("""COMPUTED_VALUE"""),1)</f>
        <v>1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IFERROR(__xludf.DUMMYFUNCTION("""COMPUTED_VALUE"""),"TIP (6 Expts)")</f>
        <v>TIP (6 Expts)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IFERROR(__xludf.DUMMYFUNCTION("""COMPUTED_VALUE"""),"PE 
")</f>
        <v>PE 
</v>
      </c>
      <c r="D133" s="26" t="str">
        <f>IFERROR(__xludf.DUMMYFUNCTION("""COMPUTED_VALUE"""),"CS1542")</f>
        <v>CS1542</v>
      </c>
      <c r="E133" s="26" t="str">
        <f>IFERROR(__xludf.DUMMYFUNCTION("""COMPUTED_VALUE"""),"19CS542")</f>
        <v>19CS542</v>
      </c>
      <c r="F133" s="27" t="str">
        <f>IFERROR(__xludf.DUMMYFUNCTION("""COMPUTED_VALUE"""),"Embedded Board Design")</f>
        <v>Embedded Board Design</v>
      </c>
      <c r="G133" s="26" t="str">
        <f>IFERROR(__xludf.DUMMYFUNCTION("""COMPUTED_VALUE"""),"-")</f>
        <v>-</v>
      </c>
      <c r="H133" s="26">
        <f>IFERROR(__xludf.DUMMYFUNCTION("""COMPUTED_VALUE"""),2)</f>
        <v>2</v>
      </c>
      <c r="I133" s="26">
        <f>IFERROR(__xludf.DUMMYFUNCTION("""COMPUTED_VALUE"""),1)</f>
        <v>1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IFERROR(__xludf.DUMMYFUNCTION("""COMPUTED_VALUE"""),"TIP (6 Expts)")</f>
        <v>TIP (6 Expts)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IFERROR(__xludf.DUMMYFUNCTION("""COMPUTED_VALUE"""),"CS1545")</f>
        <v>CS1545</v>
      </c>
      <c r="E134" s="26" t="str">
        <f>IFERROR(__xludf.DUMMYFUNCTION("""COMPUTED_VALUE"""),"19CS545")</f>
        <v>19CS545</v>
      </c>
      <c r="F134" s="27" t="str">
        <f>IFERROR(__xludf.DUMMYFUNCTION("""COMPUTED_VALUE"""),"Open Source Operating System")</f>
        <v>Open Source Operating System</v>
      </c>
      <c r="G134" s="26" t="str">
        <f>IFERROR(__xludf.DUMMYFUNCTION("""COMPUTED_VALUE"""),"-")</f>
        <v>-</v>
      </c>
      <c r="H134" s="26">
        <f>IFERROR(__xludf.DUMMYFUNCTION("""COMPUTED_VALUE"""),2)</f>
        <v>2</v>
      </c>
      <c r="I134" s="26">
        <f>IFERROR(__xludf.DUMMYFUNCTION("""COMPUTED_VALUE"""),1)</f>
        <v>1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IFERROR(__xludf.DUMMYFUNCTION("""COMPUTED_VALUE"""),"CS1546")</f>
        <v>CS1546</v>
      </c>
      <c r="E135" s="26" t="str">
        <f>IFERROR(__xludf.DUMMYFUNCTION("""COMPUTED_VALUE"""),"19CS546")</f>
        <v>19CS546</v>
      </c>
      <c r="F135" s="27" t="str">
        <f>IFERROR(__xludf.DUMMYFUNCTION("""COMPUTED_VALUE"""),"Kernel Programming")</f>
        <v>Kernel Programming</v>
      </c>
      <c r="G135" s="26" t="str">
        <f>IFERROR(__xludf.DUMMYFUNCTION("""COMPUTED_VALUE"""),"-")</f>
        <v>-</v>
      </c>
      <c r="H135" s="26">
        <f>IFERROR(__xludf.DUMMYFUNCTION("""COMPUTED_VALUE"""),2)</f>
        <v>2</v>
      </c>
      <c r="I135" s="26">
        <f>IFERROR(__xludf.DUMMYFUNCTION("""COMPUTED_VALUE"""),1)</f>
        <v>1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IFERROR(__xludf.DUMMYFUNCTION("""COMPUTED_VALUE"""),"CS1418")</f>
        <v>CS1418</v>
      </c>
      <c r="E136" s="26" t="str">
        <f>IFERROR(__xludf.DUMMYFUNCTION("""COMPUTED_VALUE"""),"19CS418")</f>
        <v>19CS418</v>
      </c>
      <c r="F136" s="27" t="str">
        <f>IFERROR(__xludf.DUMMYFUNCTION("""COMPUTED_VALUE"""),"Cyber Law and Compliance")</f>
        <v>Cyber Law and Compliance</v>
      </c>
      <c r="G136" s="26" t="str">
        <f>IFERROR(__xludf.DUMMYFUNCTION("""COMPUTED_VALUE"""),"-")</f>
        <v>-</v>
      </c>
      <c r="H136" s="26">
        <f>IFERROR(__xludf.DUMMYFUNCTION("""COMPUTED_VALUE"""),3)</f>
        <v>3</v>
      </c>
      <c r="I136" s="26">
        <f>IFERROR(__xludf.DUMMYFUNCTION("""COMPUTED_VALUE"""),0)</f>
        <v>0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IFERROR(__xludf.DUMMYFUNCTION("""COMPUTED_VALUE"""),"Theory")</f>
        <v>Theory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IFERROR(__xludf.DUMMYFUNCTION("""COMPUTED_VALUE"""),"CS3543")</f>
        <v>CS3543</v>
      </c>
      <c r="E137" s="26" t="str">
        <f>IFERROR(__xludf.DUMMYFUNCTION("""COMPUTED_VALUE"""),"19AI543")</f>
        <v>19AI543</v>
      </c>
      <c r="F137" s="27" t="str">
        <f>IFERROR(__xludf.DUMMYFUNCTION("""COMPUTED_VALUE"""),"Software Testing")</f>
        <v>Software Testing</v>
      </c>
      <c r="G137" s="26" t="str">
        <f>IFERROR(__xludf.DUMMYFUNCTION("""COMPUTED_VALUE"""),"19CS301")</f>
        <v>19CS301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IFERROR(__xludf.DUMMYFUNCTION("""COMPUTED_VALUE"""),"CS3548")</f>
        <v>CS3548</v>
      </c>
      <c r="E138" s="26" t="str">
        <f>IFERROR(__xludf.DUMMYFUNCTION("""COMPUTED_VALUE"""),"19AI548")</f>
        <v>19AI548</v>
      </c>
      <c r="F138" s="27" t="str">
        <f>IFERROR(__xludf.DUMMYFUNCTION("""COMPUTED_VALUE"""),"Robot Programming")</f>
        <v>Robot Programming</v>
      </c>
      <c r="G138" s="26" t="str">
        <f>IFERROR(__xludf.DUMMYFUNCTION("""COMPUTED_VALUE"""),"-")</f>
        <v>-</v>
      </c>
      <c r="H138" s="26">
        <f>IFERROR(__xludf.DUMMYFUNCTION("""COMPUTED_VALUE"""),2)</f>
        <v>2</v>
      </c>
      <c r="I138" s="26">
        <f>IFERROR(__xludf.DUMMYFUNCTION("""COMPUTED_VALUE"""),1)</f>
        <v>1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IFERROR(__xludf.DUMMYFUNCTION("""COMPUTED_VALUE"""),"TIP (6 Expts)")</f>
        <v>TIP (6 Expts)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IFERROR(__xludf.DUMMYFUNCTION("""COMPUTED_VALUE"""),"CS3549")</f>
        <v>CS3549</v>
      </c>
      <c r="E139" s="26" t="str">
        <f>IFERROR(__xludf.DUMMYFUNCTION("""COMPUTED_VALUE"""),"19AI549")</f>
        <v>19AI549</v>
      </c>
      <c r="F139" s="27" t="str">
        <f>IFERROR(__xludf.DUMMYFUNCTION("""COMPUTED_VALUE"""),"Drone Assembly and Applications")</f>
        <v>Drone Assembly and Applications</v>
      </c>
      <c r="G139" s="26" t="str">
        <f>IFERROR(__xludf.DUMMYFUNCTION("""COMPUTED_VALUE"""),"-")</f>
        <v>-</v>
      </c>
      <c r="H139" s="26">
        <f>IFERROR(__xludf.DUMMYFUNCTION("""COMPUTED_VALUE"""),2)</f>
        <v>2</v>
      </c>
      <c r="I139" s="26">
        <f>IFERROR(__xludf.DUMMYFUNCTION("""COMPUTED_VALUE"""),1)</f>
        <v>1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IFERROR(__xludf.DUMMYFUNCTION("""COMPUTED_VALUE"""),"TIP (6 Expts)")</f>
        <v>TIP (6 Expts)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IFERROR(__xludf.DUMMYFUNCTION("""COMPUTED_VALUE"""),"CS3550")</f>
        <v>CS3550</v>
      </c>
      <c r="E140" s="26" t="str">
        <f>IFERROR(__xludf.DUMMYFUNCTION("""COMPUTED_VALUE"""),"19AI550")</f>
        <v>19AI550</v>
      </c>
      <c r="F140" s="27" t="str">
        <f>IFERROR(__xludf.DUMMYFUNCTION("""COMPUTED_VALUE"""),"Artificial Intelligence for Games")</f>
        <v>Artificial Intelligence for Games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IFERROR(__xludf.DUMMYFUNCTION("""COMPUTED_VALUE"""),"CS3551")</f>
        <v>CS3551</v>
      </c>
      <c r="E141" s="26" t="str">
        <f>IFERROR(__xludf.DUMMYFUNCTION("""COMPUTED_VALUE"""),"19AI551")</f>
        <v>19AI551</v>
      </c>
      <c r="F141" s="27" t="str">
        <f>IFERROR(__xludf.DUMMYFUNCTION("""COMPUTED_VALUE"""),"Drone Design and Control")</f>
        <v>Drone Design and Control</v>
      </c>
      <c r="G141" s="26" t="str">
        <f>IFERROR(__xludf.DUMMYFUNCTION("""COMPUTED_VALUE"""),"-")</f>
        <v>-</v>
      </c>
      <c r="H141" s="26">
        <f>IFERROR(__xludf.DUMMYFUNCTION("""COMPUTED_VALUE"""),2)</f>
        <v>2</v>
      </c>
      <c r="I141" s="26">
        <f>IFERROR(__xludf.DUMMYFUNCTION("""COMPUTED_VALUE"""),1)</f>
        <v>1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IFERROR(__xludf.DUMMYFUNCTION("""COMPUTED_VALUE"""),"CS3552")</f>
        <v>CS3552</v>
      </c>
      <c r="E142" s="26" t="str">
        <f>IFERROR(__xludf.DUMMYFUNCTION("""COMPUTED_VALUE"""),"19AI552")</f>
        <v>19AI552</v>
      </c>
      <c r="F142" s="27" t="str">
        <f>IFERROR(__xludf.DUMMYFUNCTION("""COMPUTED_VALUE"""),"Web Application User Interface Development")</f>
        <v>Web Application User Interface Development</v>
      </c>
      <c r="G142" s="26" t="str">
        <f>IFERROR(__xludf.DUMMYFUNCTION("""COMPUTED_VALUE"""),"-")</f>
        <v>-</v>
      </c>
      <c r="H142" s="26">
        <f>IFERROR(__xludf.DUMMYFUNCTION("""COMPUTED_VALUE"""),2)</f>
        <v>2</v>
      </c>
      <c r="I142" s="26">
        <f>IFERROR(__xludf.DUMMYFUNCTION("""COMPUTED_VALUE"""),1)</f>
        <v>1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IFERROR(__xludf.DUMMYFUNCTION("""COMPUTED_VALUE"""),"TIP (6 Expts)")</f>
        <v>TIP (6 Expts)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IFERROR(__xludf.DUMMYFUNCTION("""COMPUTED_VALUE"""),"CS3554")</f>
        <v>CS3554</v>
      </c>
      <c r="E143" s="26" t="str">
        <f>IFERROR(__xludf.DUMMYFUNCTION("""COMPUTED_VALUE"""),"19AI554")</f>
        <v>19AI554</v>
      </c>
      <c r="F143" s="27" t="str">
        <f>IFERROR(__xludf.DUMMYFUNCTION("""COMPUTED_VALUE"""),"Fundamentals of Large Language Models")</f>
        <v>Fundamentals of Large Language Models</v>
      </c>
      <c r="G143" s="26" t="str">
        <f>IFERROR(__xludf.DUMMYFUNCTION("""COMPUTED_VALUE"""),"-")</f>
        <v>-</v>
      </c>
      <c r="H143" s="26">
        <f>IFERROR(__xludf.DUMMYFUNCTION("""COMPUTED_VALUE"""),2)</f>
        <v>2</v>
      </c>
      <c r="I143" s="26">
        <f>IFERROR(__xludf.DUMMYFUNCTION("""COMPUTED_VALUE"""),1)</f>
        <v>1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IFERROR(__xludf.DUMMYFUNCTION("""COMPUTED_VALUE"""),"TIP (6 Expts)")</f>
        <v>TIP (6 Expts)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IFERROR(__xludf.DUMMYFUNCTION("""COMPUTED_VALUE"""),"CS3560")</f>
        <v>CS3560</v>
      </c>
      <c r="E144" s="26" t="str">
        <f>IFERROR(__xludf.DUMMYFUNCTION("""COMPUTED_VALUE"""),"19AI560")</f>
        <v>19AI560</v>
      </c>
      <c r="F144" s="26" t="str">
        <f>IFERROR(__xludf.DUMMYFUNCTION("""COMPUTED_VALUE"""),"Augmented Reality and ARCore")</f>
        <v>Augmented Reality and ARCore</v>
      </c>
      <c r="G144" s="26" t="str">
        <f>IFERROR(__xludf.DUMMYFUNCTION("""COMPUTED_VALUE"""),"-")</f>
        <v>-</v>
      </c>
      <c r="H144" s="26">
        <f>IFERROR(__xludf.DUMMYFUNCTION("""COMPUTED_VALUE"""),2)</f>
        <v>2</v>
      </c>
      <c r="I144" s="26">
        <f>IFERROR(__xludf.DUMMYFUNCTION("""COMPUTED_VALUE"""),1)</f>
        <v>1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IFERROR(__xludf.DUMMYFUNCTION("""COMPUTED_VALUE"""),"TIP (6 Expts)")</f>
        <v>TIP (6 Expts)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IFERROR(__xludf.DUMMYFUNCTION("""COMPUTED_VALUE"""),"CS3561")</f>
        <v>CS3561</v>
      </c>
      <c r="E145" s="26" t="str">
        <f>IFERROR(__xludf.DUMMYFUNCTION("""COMPUTED_VALUE"""),"19AI561")</f>
        <v>19AI561</v>
      </c>
      <c r="F145" s="26" t="str">
        <f>IFERROR(__xludf.DUMMYFUNCTION("""COMPUTED_VALUE"""),"Extended Reality")</f>
        <v>Extended Reality</v>
      </c>
      <c r="G145" s="26" t="str">
        <f>IFERROR(__xludf.DUMMYFUNCTION("""COMPUTED_VALUE"""),"CS3307")</f>
        <v>CS3307</v>
      </c>
      <c r="H145" s="26">
        <f>IFERROR(__xludf.DUMMYFUNCTION("""COMPUTED_VALUE"""),2)</f>
        <v>2</v>
      </c>
      <c r="I145" s="26">
        <f>IFERROR(__xludf.DUMMYFUNCTION("""COMPUTED_VALUE"""),1)</f>
        <v>1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IFERROR(__xludf.DUMMYFUNCTION("""COMPUTED_VALUE"""),"TIP (6 Expts)")</f>
        <v>TIP (6 Expts)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IFERROR(__xludf.DUMMYFUNCTION("""COMPUTED_VALUE"""),"CS3555")</f>
        <v>CS3555</v>
      </c>
      <c r="E146" s="26" t="str">
        <f>IFERROR(__xludf.DUMMYFUNCTION("""COMPUTED_VALUE"""),"19AI555")</f>
        <v>19AI555</v>
      </c>
      <c r="F146" s="27" t="str">
        <f>IFERROR(__xludf.DUMMYFUNCTION("""COMPUTED_VALUE"""),"Exploratory Data Analysis")</f>
        <v>Exploratory Data Analysis</v>
      </c>
      <c r="G146" s="26" t="str">
        <f>IFERROR(__xludf.DUMMYFUNCTION("""COMPUTED_VALUE"""),"-")</f>
        <v>-</v>
      </c>
      <c r="H146" s="26">
        <f>IFERROR(__xludf.DUMMYFUNCTION("""COMPUTED_VALUE"""),2)</f>
        <v>2</v>
      </c>
      <c r="I146" s="26">
        <f>IFERROR(__xludf.DUMMYFUNCTION("""COMPUTED_VALUE"""),1)</f>
        <v>1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IFERROR(__xludf.DUMMYFUNCTION("""COMPUTED_VALUE"""),"TIP (6 Expts)")</f>
        <v>TIP (6 Expts)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IFERROR(__xludf.DUMMYFUNCTION("""COMPUTED_VALUE"""),"CS3559")</f>
        <v>CS3559</v>
      </c>
      <c r="E147" s="26" t="str">
        <f>IFERROR(__xludf.DUMMYFUNCTION("""COMPUTED_VALUE"""),"19AI559")</f>
        <v>19AI559</v>
      </c>
      <c r="F147" s="27" t="str">
        <f>IFERROR(__xludf.DUMMYFUNCTION("""COMPUTED_VALUE"""),"Image and Video Analytics")</f>
        <v>Image and Video Analytics</v>
      </c>
      <c r="G147" s="26" t="str">
        <f>IFERROR(__xludf.DUMMYFUNCTION("""COMPUTED_VALUE"""),"-")</f>
        <v>-</v>
      </c>
      <c r="H147" s="26">
        <f>IFERROR(__xludf.DUMMYFUNCTION("""COMPUTED_VALUE"""),2)</f>
        <v>2</v>
      </c>
      <c r="I147" s="26">
        <f>IFERROR(__xludf.DUMMYFUNCTION("""COMPUTED_VALUE"""),1)</f>
        <v>1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IFERROR(__xludf.DUMMYFUNCTION("""COMPUTED_VALUE"""),"TIP (6 Expts)")</f>
        <v>TIP (6 Expts)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IFERROR(__xludf.DUMMYFUNCTION("""COMPUTED_VALUE"""),"CS3557")</f>
        <v>CS3557</v>
      </c>
      <c r="E148" s="26" t="str">
        <f>IFERROR(__xludf.DUMMYFUNCTION("""COMPUTED_VALUE"""),"19AI557")</f>
        <v>19AI557</v>
      </c>
      <c r="F148" s="27" t="str">
        <f>IFERROR(__xludf.DUMMYFUNCTION("""COMPUTED_VALUE"""),"Neural Networks and Deep Learning")</f>
        <v>Neural Networks and Deep Learning</v>
      </c>
      <c r="G148" s="26" t="str">
        <f>IFERROR(__xludf.DUMMYFUNCTION("""COMPUTED_VALUE"""),"-")</f>
        <v>-</v>
      </c>
      <c r="H148" s="26">
        <f>IFERROR(__xludf.DUMMYFUNCTION("""COMPUTED_VALUE"""),2)</f>
        <v>2</v>
      </c>
      <c r="I148" s="26">
        <f>IFERROR(__xludf.DUMMYFUNCTION("""COMPUTED_VALUE"""),1)</f>
        <v>1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IFERROR(__xludf.DUMMYFUNCTION("""COMPUTED_VALUE"""),"TIP (6 Expts)")</f>
        <v>TIP (6 Expts)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IFERROR(__xludf.DUMMYFUNCTION("""COMPUTED_VALUE"""),"CS3556")</f>
        <v>CS3556</v>
      </c>
      <c r="E149" s="26" t="str">
        <f>IFERROR(__xludf.DUMMYFUNCTION("""COMPUTED_VALUE"""),"19AI556")</f>
        <v>19AI556</v>
      </c>
      <c r="F149" s="27" t="str">
        <f>IFERROR(__xludf.DUMMYFUNCTION("""COMPUTED_VALUE"""),"Recommender Systems")</f>
        <v>Recommender Systems</v>
      </c>
      <c r="G149" s="26" t="str">
        <f>IFERROR(__xludf.DUMMYFUNCTION("""COMPUTED_VALUE"""),"-")</f>
        <v>-</v>
      </c>
      <c r="H149" s="26">
        <f>IFERROR(__xludf.DUMMYFUNCTION("""COMPUTED_VALUE"""),2)</f>
        <v>2</v>
      </c>
      <c r="I149" s="26">
        <f>IFERROR(__xludf.DUMMYFUNCTION("""COMPUTED_VALUE"""),1)</f>
        <v>1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IFERROR(__xludf.DUMMYFUNCTION("""COMPUTED_VALUE"""),"TIP (6 Expts)")</f>
        <v>TIP (6 Expts)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IFERROR(__xludf.DUMMYFUNCTION("""COMPUTED_VALUE"""),"CS3558")</f>
        <v>CS3558</v>
      </c>
      <c r="E150" s="26" t="str">
        <f>IFERROR(__xludf.DUMMYFUNCTION("""COMPUTED_VALUE"""),"19AI558")</f>
        <v>19AI558</v>
      </c>
      <c r="F150" s="27" t="str">
        <f>IFERROR(__xludf.DUMMYFUNCTION("""COMPUTED_VALUE"""),"Text and Speech Analysis")</f>
        <v>Text and Speech Analysis</v>
      </c>
      <c r="G150" s="26" t="str">
        <f>IFERROR(__xludf.DUMMYFUNCTION("""COMPUTED_VALUE"""),"-")</f>
        <v>-</v>
      </c>
      <c r="H150" s="26">
        <f>IFERROR(__xludf.DUMMYFUNCTION("""COMPUTED_VALUE"""),2)</f>
        <v>2</v>
      </c>
      <c r="I150" s="26">
        <f>IFERROR(__xludf.DUMMYFUNCTION("""COMPUTED_VALUE"""),1)</f>
        <v>1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IFERROR(__xludf.DUMMYFUNCTION("""COMPUTED_VALUE"""),"TIP (6 Expts)")</f>
        <v>TIP (6 Expts)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IFERROR(__xludf.DUMMYFUNCTION("""COMPUTED_VALUE"""),"CS4401")</f>
        <v>CS4401</v>
      </c>
      <c r="E151" s="26" t="str">
        <f>IFERROR(__xludf.DUMMYFUNCTION("""COMPUTED_VALUE"""),"19AM401")</f>
        <v>19AM401</v>
      </c>
      <c r="F151" s="26" t="str">
        <f>IFERROR(__xludf.DUMMYFUNCTION("""COMPUTED_VALUE"""),"Time Series Analysis and Forecasting")</f>
        <v>Time Series Analysis and Forecasting</v>
      </c>
      <c r="G151" s="26" t="str">
        <f>IFERROR(__xludf.DUMMYFUNCTION("""COMPUTED_VALUE"""),"-")</f>
        <v>-</v>
      </c>
      <c r="H151" s="26">
        <f>IFERROR(__xludf.DUMMYFUNCTION("""COMPUTED_VALUE"""),3)</f>
        <v>3</v>
      </c>
      <c r="I151" s="26">
        <f>IFERROR(__xludf.DUMMYFUNCTION("""COMPUTED_VALUE"""),1)</f>
        <v>1</v>
      </c>
      <c r="J151" s="26">
        <f>IFERROR(__xludf.DUMMYFUNCTION("""COMPUTED_VALUE"""),4)</f>
        <v>4</v>
      </c>
      <c r="K151" s="26" t="str">
        <f>IFERROR(__xludf.DUMMYFUNCTION("""COMPUTED_VALUE"""),"CGPA")</f>
        <v>CGPA</v>
      </c>
      <c r="L151" s="26" t="str">
        <f>IFERROR(__xludf.DUMMYFUNCTION("""COMPUTED_VALUE"""),"TIP (6 Expts)")</f>
        <v>TIP (6 Expts)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IFERROR(__xludf.DUMMYFUNCTION("""COMPUTED_VALUE"""),"CS4501")</f>
        <v>CS4501</v>
      </c>
      <c r="E152" s="26" t="str">
        <f>IFERROR(__xludf.DUMMYFUNCTION("""COMPUTED_VALUE"""),"19AM501")</f>
        <v>19AM501</v>
      </c>
      <c r="F152" s="26" t="str">
        <f>IFERROR(__xludf.DUMMYFUNCTION("""COMPUTED_VALUE"""),"Machine Learning for Bioinformatics")</f>
        <v>Machine Learning for Bioinformatics</v>
      </c>
      <c r="G152" s="26" t="str">
        <f>IFERROR(__xludf.DUMMYFUNCTION("""COMPUTED_VALUE"""),"-")</f>
        <v>-</v>
      </c>
      <c r="H152" s="26">
        <f>IFERROR(__xludf.DUMMYFUNCTION("""COMPUTED_VALUE"""),3)</f>
        <v>3</v>
      </c>
      <c r="I152" s="26">
        <f>IFERROR(__xludf.DUMMYFUNCTION("""COMPUTED_VALUE"""),0)</f>
        <v>0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IFERROR(__xludf.DUMMYFUNCTION("""COMPUTED_VALUE"""),"Theory")</f>
        <v>Theory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IFERROR(__xludf.DUMMYFUNCTION("""COMPUTED_VALUE"""),"CS4502")</f>
        <v>CS4502</v>
      </c>
      <c r="E153" s="26" t="str">
        <f>IFERROR(__xludf.DUMMYFUNCTION("""COMPUTED_VALUE"""),"19AM502")</f>
        <v>19AM502</v>
      </c>
      <c r="F153" s="27" t="str">
        <f>IFERROR(__xludf.DUMMYFUNCTION("""COMPUTED_VALUE"""),"Genetic Algorithms")</f>
        <v>Genetic Algorithms</v>
      </c>
      <c r="G153" s="26" t="str">
        <f>IFERROR(__xludf.DUMMYFUNCTION("""COMPUTED_VALUE"""),"-")</f>
        <v>-</v>
      </c>
      <c r="H153" s="26">
        <f>IFERROR(__xludf.DUMMYFUNCTION("""COMPUTED_VALUE"""),2)</f>
        <v>2</v>
      </c>
      <c r="I153" s="26">
        <f>IFERROR(__xludf.DUMMYFUNCTION("""COMPUTED_VALUE"""),1)</f>
        <v>1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IFERROR(__xludf.DUMMYFUNCTION("""COMPUTED_VALUE"""),"TIP (6 Expts)")</f>
        <v>TIP (6 Expts)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IFERROR(__xludf.DUMMYFUNCTION("""COMPUTED_VALUE"""),"CS4503")</f>
        <v>CS4503</v>
      </c>
      <c r="E154" s="26" t="str">
        <f>IFERROR(__xludf.DUMMYFUNCTION("""COMPUTED_VALUE"""),"19AM503")</f>
        <v>19AM503</v>
      </c>
      <c r="F154" s="26" t="str">
        <f>IFERROR(__xludf.DUMMYFUNCTION("""COMPUTED_VALUE"""),"Data Modeling")</f>
        <v>Data Modeling</v>
      </c>
      <c r="G154" s="26" t="str">
        <f>IFERROR(__xludf.DUMMYFUNCTION("""COMPUTED_VALUE"""),"-")</f>
        <v>-</v>
      </c>
      <c r="H154" s="26">
        <f>IFERROR(__xludf.DUMMYFUNCTION("""COMPUTED_VALUE"""),3)</f>
        <v>3</v>
      </c>
      <c r="I154" s="26">
        <f>IFERROR(__xludf.DUMMYFUNCTION("""COMPUTED_VALUE"""),0)</f>
        <v>0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IFERROR(__xludf.DUMMYFUNCTION("""COMPUTED_VALUE"""),"Theory")</f>
        <v>Theory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IFERROR(__xludf.DUMMYFUNCTION("""COMPUTED_VALUE"""),"CS4504")</f>
        <v>CS4504</v>
      </c>
      <c r="E155" s="26" t="str">
        <f>IFERROR(__xludf.DUMMYFUNCTION("""COMPUTED_VALUE"""),"19AM504")</f>
        <v>19AM504</v>
      </c>
      <c r="F155" s="27" t="str">
        <f>IFERROR(__xludf.DUMMYFUNCTION("""COMPUTED_VALUE"""),"Brain Computer Interaction")</f>
        <v>Brain Computer Interaction</v>
      </c>
      <c r="G155" s="26" t="str">
        <f>IFERROR(__xludf.DUMMYFUNCTION("""COMPUTED_VALUE"""),"-")</f>
        <v>-</v>
      </c>
      <c r="H155" s="26">
        <f>IFERROR(__xludf.DUMMYFUNCTION("""COMPUTED_VALUE"""),3)</f>
        <v>3</v>
      </c>
      <c r="I155" s="26">
        <f>IFERROR(__xludf.DUMMYFUNCTION("""COMPUTED_VALUE"""),0)</f>
        <v>0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IFERROR(__xludf.DUMMYFUNCTION("""COMPUTED_VALUE"""),"CS4505")</f>
        <v>CS4505</v>
      </c>
      <c r="E156" s="26" t="str">
        <f>IFERROR(__xludf.DUMMYFUNCTION("""COMPUTED_VALUE"""),"19AM505")</f>
        <v>19AM505</v>
      </c>
      <c r="F156" s="27" t="str">
        <f>IFERROR(__xludf.DUMMYFUNCTION("""COMPUTED_VALUE"""),"Statistical Learning Theory")</f>
        <v>Statistical Learning Theory</v>
      </c>
      <c r="G156" s="26" t="str">
        <f>IFERROR(__xludf.DUMMYFUNCTION("""COMPUTED_VALUE"""),"-")</f>
        <v>-</v>
      </c>
      <c r="H156" s="26">
        <f>IFERROR(__xludf.DUMMYFUNCTION("""COMPUTED_VALUE"""),2)</f>
        <v>2</v>
      </c>
      <c r="I156" s="26">
        <f>IFERROR(__xludf.DUMMYFUNCTION("""COMPUTED_VALUE"""),1)</f>
        <v>1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IFERROR(__xludf.DUMMYFUNCTION("""COMPUTED_VALUE"""),"TIP (6 Expts)")</f>
        <v>TIP (6 Expts)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IFERROR(__xludf.DUMMYFUNCTION("""COMPUTED_VALUE"""),"CS4506")</f>
        <v>CS4506</v>
      </c>
      <c r="E157" s="26" t="str">
        <f>IFERROR(__xludf.DUMMYFUNCTION("""COMPUTED_VALUE"""),"19AM506")</f>
        <v>19AM506</v>
      </c>
      <c r="F157" s="27" t="str">
        <f>IFERROR(__xludf.DUMMYFUNCTION("""COMPUTED_VALUE"""),"Sensors and Actuators for IoT")</f>
        <v>Sensors and Actuators for IoT</v>
      </c>
      <c r="G157" s="26" t="str">
        <f>IFERROR(__xludf.DUMMYFUNCTION("""COMPUTED_VALUE"""),"-")</f>
        <v>-</v>
      </c>
      <c r="H157" s="26">
        <f>IFERROR(__xludf.DUMMYFUNCTION("""COMPUTED_VALUE"""),2)</f>
        <v>2</v>
      </c>
      <c r="I157" s="26">
        <f>IFERROR(__xludf.DUMMYFUNCTION("""COMPUTED_VALUE"""),1)</f>
        <v>1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IFERROR(__xludf.DUMMYFUNCTION("""COMPUTED_VALUE"""),"TIP (6 Expts)")</f>
        <v>TIP (6 Expts)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IFERROR(__xludf.DUMMYFUNCTION("""COMPUTED_VALUE"""),"CS4507")</f>
        <v>CS4507</v>
      </c>
      <c r="E158" s="26" t="str">
        <f>IFERROR(__xludf.DUMMYFUNCTION("""COMPUTED_VALUE"""),"19AM507")</f>
        <v>19AM507</v>
      </c>
      <c r="F158" s="27" t="str">
        <f>IFERROR(__xludf.DUMMYFUNCTION("""COMPUTED_VALUE"""),"Security and Trust in IoT")</f>
        <v>Security and Trust in IoT</v>
      </c>
      <c r="G158" s="26" t="str">
        <f>IFERROR(__xludf.DUMMYFUNCTION("""COMPUTED_VALUE"""),"-")</f>
        <v>-</v>
      </c>
      <c r="H158" s="26">
        <f>IFERROR(__xludf.DUMMYFUNCTION("""COMPUTED_VALUE"""),2)</f>
        <v>2</v>
      </c>
      <c r="I158" s="26">
        <f>IFERROR(__xludf.DUMMYFUNCTION("""COMPUTED_VALUE"""),1)</f>
        <v>1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IFERROR(__xludf.DUMMYFUNCTION("""COMPUTED_VALUE"""),"TIP (6 Expts)")</f>
        <v>TIP (6 Expts)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IFERROR(__xludf.DUMMYFUNCTION("""COMPUTED_VALUE"""),"CS4509")</f>
        <v>CS4509</v>
      </c>
      <c r="E159" s="26" t="str">
        <f>IFERROR(__xludf.DUMMYFUNCTION("""COMPUTED_VALUE"""),"19AM509")</f>
        <v>19AM509</v>
      </c>
      <c r="F159" s="27" t="str">
        <f>IFERROR(__xludf.DUMMYFUNCTION("""COMPUTED_VALUE"""),"Industrial Internet of Things")</f>
        <v>Industrial Internet of Things</v>
      </c>
      <c r="G159" s="26" t="str">
        <f>IFERROR(__xludf.DUMMYFUNCTION("""COMPUTED_VALUE"""),"-")</f>
        <v>-</v>
      </c>
      <c r="H159" s="26">
        <f>IFERROR(__xludf.DUMMYFUNCTION("""COMPUTED_VALUE"""),2)</f>
        <v>2</v>
      </c>
      <c r="I159" s="26">
        <f>IFERROR(__xludf.DUMMYFUNCTION("""COMPUTED_VALUE"""),1)</f>
        <v>1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IFERROR(__xludf.DUMMYFUNCTION("""COMPUTED_VALUE"""),"TIP (6 Expts)")</f>
        <v>TIP (6 Expts)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IFERROR(__xludf.DUMMYFUNCTION("""COMPUTED_VALUE"""),"CS4510")</f>
        <v>CS4510</v>
      </c>
      <c r="E160" s="26" t="str">
        <f>IFERROR(__xludf.DUMMYFUNCTION("""COMPUTED_VALUE"""),"19AM510")</f>
        <v>19AM510</v>
      </c>
      <c r="F160" s="27" t="str">
        <f>IFERROR(__xludf.DUMMYFUNCTION("""COMPUTED_VALUE"""),"Software for Embedded Systems")</f>
        <v>Software for Embedded Systems</v>
      </c>
      <c r="G160" s="26" t="str">
        <f>IFERROR(__xludf.DUMMYFUNCTION("""COMPUTED_VALUE"""),"-")</f>
        <v>-</v>
      </c>
      <c r="H160" s="26">
        <f>IFERROR(__xludf.DUMMYFUNCTION("""COMPUTED_VALUE"""),2)</f>
        <v>2</v>
      </c>
      <c r="I160" s="26">
        <f>IFERROR(__xludf.DUMMYFUNCTION("""COMPUTED_VALUE"""),1)</f>
        <v>1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IFERROR(__xludf.DUMMYFUNCTION("""COMPUTED_VALUE"""),"TIP (6 Expts)")</f>
        <v>TIP (6 Expts)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IFERROR(__xludf.DUMMYFUNCTION("""COMPUTED_VALUE"""),"CS4511")</f>
        <v>CS4511</v>
      </c>
      <c r="E161" s="26" t="str">
        <f>IFERROR(__xludf.DUMMYFUNCTION("""COMPUTED_VALUE"""),"19AM511")</f>
        <v>19AM511</v>
      </c>
      <c r="F161" s="27" t="str">
        <f>IFERROR(__xludf.DUMMYFUNCTION("""COMPUTED_VALUE"""),"IoT Architecture and Protocols")</f>
        <v>IoT Architecture and Protocols</v>
      </c>
      <c r="G161" s="26" t="str">
        <f>IFERROR(__xludf.DUMMYFUNCTION("""COMPUTED_VALUE"""),"-")</f>
        <v>-</v>
      </c>
      <c r="H161" s="26">
        <f>IFERROR(__xludf.DUMMYFUNCTION("""COMPUTED_VALUE"""),3)</f>
        <v>3</v>
      </c>
      <c r="I161" s="26">
        <f>IFERROR(__xludf.DUMMYFUNCTION("""COMPUTED_VALUE"""),0)</f>
        <v>0</v>
      </c>
      <c r="J161" s="26">
        <f>IFERROR(__xludf.DUMMYFUNCTION("""COMPUTED_VALUE"""),3)</f>
        <v>3</v>
      </c>
      <c r="K161" s="26" t="str">
        <f>IFERROR(__xludf.DUMMYFUNCTION("""COMPUTED_VALUE"""),"CGPA")</f>
        <v>CGPA</v>
      </c>
      <c r="L161" s="26" t="str">
        <f>IFERROR(__xludf.DUMMYFUNCTION("""COMPUTED_VALUE"""),"Theory")</f>
        <v>Theory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IFERROR(__xludf.DUMMYFUNCTION("""COMPUTED_VALUE"""),"CS4512")</f>
        <v>CS4512</v>
      </c>
      <c r="E162" s="26" t="str">
        <f>IFERROR(__xludf.DUMMYFUNCTION("""COMPUTED_VALUE"""),"19AM512")</f>
        <v>19AM512</v>
      </c>
      <c r="F162" s="27" t="str">
        <f>IFERROR(__xludf.DUMMYFUNCTION("""COMPUTED_VALUE"""),"Arduino for IoT")</f>
        <v>Arduino for IoT</v>
      </c>
      <c r="G162" s="26" t="str">
        <f>IFERROR(__xludf.DUMMYFUNCTION("""COMPUTED_VALUE"""),"-")</f>
        <v>-</v>
      </c>
      <c r="H162" s="26">
        <f>IFERROR(__xludf.DUMMYFUNCTION("""COMPUTED_VALUE"""),2)</f>
        <v>2</v>
      </c>
      <c r="I162" s="26">
        <f>IFERROR(__xludf.DUMMYFUNCTION("""COMPUTED_VALUE"""),1)</f>
        <v>1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IFERROR(__xludf.DUMMYFUNCTION("""COMPUTED_VALUE"""),"TIP (6 Expts)")</f>
        <v>TIP (6 Expts)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IFERROR(__xludf.DUMMYFUNCTION("""COMPUTED_VALUE"""),"CS4513")</f>
        <v>CS4513</v>
      </c>
      <c r="E163" s="26" t="str">
        <f>IFERROR(__xludf.DUMMYFUNCTION("""COMPUTED_VALUE"""),"19AM513")</f>
        <v>19AM513</v>
      </c>
      <c r="F163" s="27" t="str">
        <f>IFERROR(__xludf.DUMMYFUNCTION("""COMPUTED_VALUE"""),"Raspberry Pi for IoT")</f>
        <v>Raspberry Pi for IoT</v>
      </c>
      <c r="G163" s="26" t="str">
        <f>IFERROR(__xludf.DUMMYFUNCTION("""COMPUTED_VALUE"""),"-")</f>
        <v>-</v>
      </c>
      <c r="H163" s="26">
        <f>IFERROR(__xludf.DUMMYFUNCTION("""COMPUTED_VALUE"""),2)</f>
        <v>2</v>
      </c>
      <c r="I163" s="26">
        <f>IFERROR(__xludf.DUMMYFUNCTION("""COMPUTED_VALUE"""),1)</f>
        <v>1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IFERROR(__xludf.DUMMYFUNCTION("""COMPUTED_VALUE"""),"TIP (6 Expts)")</f>
        <v>TIP (6 Expts)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IFERROR(__xludf.DUMMYFUNCTION("""COMPUTED_VALUE"""),"CS4514")</f>
        <v>CS4514</v>
      </c>
      <c r="E164" s="26" t="str">
        <f>IFERROR(__xludf.DUMMYFUNCTION("""COMPUTED_VALUE"""),"19AM514")</f>
        <v>19AM514</v>
      </c>
      <c r="F164" s="27" t="str">
        <f>IFERROR(__xludf.DUMMYFUNCTION("""COMPUTED_VALUE"""),"Motion Planning Techniques")</f>
        <v>Motion Planning Techniques</v>
      </c>
      <c r="G164" s="26" t="str">
        <f>IFERROR(__xludf.DUMMYFUNCTION("""COMPUTED_VALUE"""),"-")</f>
        <v>-</v>
      </c>
      <c r="H164" s="26">
        <f>IFERROR(__xludf.DUMMYFUNCTION("""COMPUTED_VALUE"""),2)</f>
        <v>2</v>
      </c>
      <c r="I164" s="26">
        <f>IFERROR(__xludf.DUMMYFUNCTION("""COMPUTED_VALUE"""),1)</f>
        <v>1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IFERROR(__xludf.DUMMYFUNCTION("""COMPUTED_VALUE"""),"TIP (6 Expts)")</f>
        <v>TIP (6 Expts)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IFERROR(__xludf.DUMMYFUNCTION("""COMPUTED_VALUE"""),"CS4515")</f>
        <v>CS4515</v>
      </c>
      <c r="E165" s="26" t="str">
        <f>IFERROR(__xludf.DUMMYFUNCTION("""COMPUTED_VALUE"""),"19AM515")</f>
        <v>19AM515</v>
      </c>
      <c r="F165" s="27" t="str">
        <f>IFERROR(__xludf.DUMMYFUNCTION("""COMPUTED_VALUE"""),"Advanced Java Programming")</f>
        <v>Advanced Java Programming</v>
      </c>
      <c r="G165" s="26" t="str">
        <f>IFERROR(__xludf.DUMMYFUNCTION("""COMPUTED_VALUE"""),"-")</f>
        <v>-</v>
      </c>
      <c r="H165" s="26">
        <f>IFERROR(__xludf.DUMMYFUNCTION("""COMPUTED_VALUE"""),2)</f>
        <v>2</v>
      </c>
      <c r="I165" s="26">
        <f>IFERROR(__xludf.DUMMYFUNCTION("""COMPUTED_VALUE"""),1)</f>
        <v>1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IFERROR(__xludf.DUMMYFUNCTION("""COMPUTED_VALUE"""),"TIP (6 Expts)")</f>
        <v>TIP (6 Expts)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IFERROR(__xludf.DUMMYFUNCTION("""COMPUTED_VALUE"""),"CS1558")</f>
        <v>CS1558</v>
      </c>
      <c r="E166" s="26" t="str">
        <f>IFERROR(__xludf.DUMMYFUNCTION("""COMPUTED_VALUE"""),"19CS558")</f>
        <v>19CS558</v>
      </c>
      <c r="F166" s="26" t="str">
        <f>IFERROR(__xludf.DUMMYFUNCTION("""COMPUTED_VALUE"""),"Data Privacy and Protection")</f>
        <v>Data Privacy and Protection</v>
      </c>
      <c r="G166" s="26" t="str">
        <f>IFERROR(__xludf.DUMMYFUNCTION("""COMPUTED_VALUE"""),"-")</f>
        <v>-</v>
      </c>
      <c r="H166" s="26">
        <f>IFERROR(__xludf.DUMMYFUNCTION("""COMPUTED_VALUE"""),2)</f>
        <v>2</v>
      </c>
      <c r="I166" s="26">
        <f>IFERROR(__xludf.DUMMYFUNCTION("""COMPUTED_VALUE"""),1)</f>
        <v>1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IFERROR(__xludf.DUMMYFUNCTION("""COMPUTED_VALUE"""),"TIP (6 Expts)")</f>
        <v>TIP (6 Expts)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IFERROR(__xludf.DUMMYFUNCTION("""COMPUTED_VALUE"""),"CS1550")</f>
        <v>CS1550</v>
      </c>
      <c r="E167" s="26" t="str">
        <f>IFERROR(__xludf.DUMMYFUNCTION("""COMPUTED_VALUE"""),"19CS550")</f>
        <v>19CS550</v>
      </c>
      <c r="F167" s="26" t="str">
        <f>IFERROR(__xludf.DUMMYFUNCTION("""COMPUTED_VALUE"""),"AI and Ethics")</f>
        <v>AI and Ethics</v>
      </c>
      <c r="G167" s="26" t="str">
        <f>IFERROR(__xludf.DUMMYFUNCTION("""COMPUTED_VALUE"""),"-")</f>
        <v>-</v>
      </c>
      <c r="H167" s="26">
        <f>IFERROR(__xludf.DUMMYFUNCTION("""COMPUTED_VALUE"""),3)</f>
        <v>3</v>
      </c>
      <c r="I167" s="26">
        <f>IFERROR(__xludf.DUMMYFUNCTION("""COMPUTED_VALUE"""),0)</f>
        <v>0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IFERROR(__xludf.DUMMYFUNCTION("""COMPUTED_VALUE"""),"Theory")</f>
        <v>Theory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IFERROR(__xludf.DUMMYFUNCTION("""COMPUTED_VALUE"""),"CS1563")</f>
        <v>CS1563</v>
      </c>
      <c r="E168" s="26" t="str">
        <f>IFERROR(__xludf.DUMMYFUNCTION("""COMPUTED_VALUE"""),"19CS563")</f>
        <v>19CS563</v>
      </c>
      <c r="F168" s="26" t="str">
        <f>IFERROR(__xludf.DUMMYFUNCTION("""COMPUTED_VALUE"""),"Bitcoin Mining")</f>
        <v>Bitcoin Mining</v>
      </c>
      <c r="G168" s="26" t="str">
        <f>IFERROR(__xludf.DUMMYFUNCTION("""COMPUTED_VALUE"""),"-")</f>
        <v>-</v>
      </c>
      <c r="H168" s="26">
        <f>IFERROR(__xludf.DUMMYFUNCTION("""COMPUTED_VALUE"""),2)</f>
        <v>2</v>
      </c>
      <c r="I168" s="26">
        <f>IFERROR(__xludf.DUMMYFUNCTION("""COMPUTED_VALUE"""),1)</f>
        <v>1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IFERROR(__xludf.DUMMYFUNCTION("""COMPUTED_VALUE"""),"TIP (6 Expts)")</f>
        <v>TIP (6 Expts)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IFERROR(__xludf.DUMMYFUNCTION("""COMPUTED_VALUE"""),"CS1561")</f>
        <v>CS1561</v>
      </c>
      <c r="E169" s="26" t="str">
        <f>IFERROR(__xludf.DUMMYFUNCTION("""COMPUTED_VALUE"""),"19CS561")</f>
        <v>19CS561</v>
      </c>
      <c r="F169" s="26" t="str">
        <f>IFERROR(__xludf.DUMMYFUNCTION("""COMPUTED_VALUE"""),"Blockchain and Fintech")</f>
        <v>Blockchain and Fintech</v>
      </c>
      <c r="G169" s="26" t="str">
        <f>IFERROR(__xludf.DUMMYFUNCTION("""COMPUTED_VALUE"""),"-")</f>
        <v>-</v>
      </c>
      <c r="H169" s="26">
        <f>IFERROR(__xludf.DUMMYFUNCTION("""COMPUTED_VALUE"""),2)</f>
        <v>2</v>
      </c>
      <c r="I169" s="26">
        <f>IFERROR(__xludf.DUMMYFUNCTION("""COMPUTED_VALUE"""),1)</f>
        <v>1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IFERROR(__xludf.DUMMYFUNCTION("""COMPUTED_VALUE"""),"TIP (6 Expts)")</f>
        <v>TIP (6 Expts)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IFERROR(__xludf.DUMMYFUNCTION("""COMPUTED_VALUE"""),"CS1559")</f>
        <v>CS1559</v>
      </c>
      <c r="E170" s="26" t="str">
        <f>IFERROR(__xludf.DUMMYFUNCTION("""COMPUTED_VALUE"""),"19CS559")</f>
        <v>19CS559</v>
      </c>
      <c r="F170" s="26" t="str">
        <f>IFERROR(__xludf.DUMMYFUNCTION("""COMPUTED_VALUE"""),"Blockchain Platforms and Its Use Cases")</f>
        <v>Blockchain Platforms and Its Use Cases</v>
      </c>
      <c r="G170" s="26" t="str">
        <f>IFERROR(__xludf.DUMMYFUNCTION("""COMPUTED_VALUE"""),"-")</f>
        <v>-</v>
      </c>
      <c r="H170" s="26">
        <f>IFERROR(__xludf.DUMMYFUNCTION("""COMPUTED_VALUE"""),2)</f>
        <v>2</v>
      </c>
      <c r="I170" s="26">
        <f>IFERROR(__xludf.DUMMYFUNCTION("""COMPUTED_VALUE"""),1)</f>
        <v>1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IFERROR(__xludf.DUMMYFUNCTION("""COMPUTED_VALUE"""),"TIP (6 Expts)")</f>
        <v>TIP (6 Expts)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IFERROR(__xludf.DUMMYFUNCTION("""COMPUTED_VALUE"""),"CS1567")</f>
        <v>CS1567</v>
      </c>
      <c r="E171" s="26" t="str">
        <f>IFERROR(__xludf.DUMMYFUNCTION("""COMPUTED_VALUE"""),"19CS567")</f>
        <v>19CS567</v>
      </c>
      <c r="F171" s="27" t="str">
        <f>IFERROR(__xludf.DUMMYFUNCTION("""COMPUTED_VALUE"""),"Cloud Native App Development")</f>
        <v>Cloud Native App Development</v>
      </c>
      <c r="G171" s="26" t="str">
        <f>IFERROR(__xludf.DUMMYFUNCTION("""COMPUTED_VALUE"""),"-")</f>
        <v>-</v>
      </c>
      <c r="H171" s="26">
        <f>IFERROR(__xludf.DUMMYFUNCTION("""COMPUTED_VALUE"""),2)</f>
        <v>2</v>
      </c>
      <c r="I171" s="26">
        <f>IFERROR(__xludf.DUMMYFUNCTION("""COMPUTED_VALUE"""),1)</f>
        <v>1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IFERROR(__xludf.DUMMYFUNCTION("""COMPUTED_VALUE"""),"TIP (6 Expts)")</f>
        <v>TIP (6 Expts)</v>
      </c>
      <c r="M171" s="26"/>
      <c r="N171" s="26"/>
      <c r="O171" s="26"/>
      <c r="P171" s="26"/>
      <c r="Q171" s="26"/>
      <c r="R171" s="26"/>
    </row>
    <row r="172" ht="13.2" spans="1:18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IFERROR(__xludf.DUMMYFUNCTION("""COMPUTED_VALUE"""),"CS1305")</f>
        <v>CS1305</v>
      </c>
      <c r="E172" s="26" t="str">
        <f>IFERROR(__xludf.DUMMYFUNCTION("""COMPUTED_VALUE"""),"19CS305")</f>
        <v>19CS305</v>
      </c>
      <c r="F172" s="27" t="str">
        <f>IFERROR(__xludf.DUMMYFUNCTION("""COMPUTED_VALUE"""),"Computer Architecture")</f>
        <v>Computer Architecture</v>
      </c>
      <c r="G172" s="26" t="str">
        <f>IFERROR(__xludf.DUMMYFUNCTION("""COMPUTED_VALUE"""),"-")</f>
        <v>-</v>
      </c>
      <c r="H172" s="26">
        <f>IFERROR(__xludf.DUMMYFUNCTION("""COMPUTED_VALUE"""),3)</f>
        <v>3</v>
      </c>
      <c r="I172" s="26">
        <f>IFERROR(__xludf.DUMMYFUNCTION("""COMPUTED_VALUE"""),0)</f>
        <v>0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IFERROR(__xludf.DUMMYFUNCTION("""COMPUTED_VALUE"""),"Theory")</f>
        <v>Theory</v>
      </c>
      <c r="M172" s="26"/>
      <c r="N172" s="26"/>
      <c r="O172" s="26"/>
      <c r="P172" s="26"/>
      <c r="Q172" s="26"/>
      <c r="R172" s="26"/>
    </row>
    <row r="173" ht="13.2" spans="1:18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IFERROR(__xludf.DUMMYFUNCTION("""COMPUTED_VALUE"""),"CS1415")</f>
        <v>CS1415</v>
      </c>
      <c r="E173" s="26" t="str">
        <f>IFERROR(__xludf.DUMMYFUNCTION("""COMPUTED_VALUE"""),"19CS415")</f>
        <v>19CS415</v>
      </c>
      <c r="F173" s="27" t="str">
        <f>IFERROR(__xludf.DUMMYFUNCTION("""COMPUTED_VALUE"""),"Cryptography")</f>
        <v>Cryptography</v>
      </c>
      <c r="G173" s="26" t="str">
        <f>IFERROR(__xludf.DUMMYFUNCTION("""COMPUTED_VALUE"""),"-")</f>
        <v>-</v>
      </c>
      <c r="H173" s="26">
        <f>IFERROR(__xludf.DUMMYFUNCTION("""COMPUTED_VALUE"""),2)</f>
        <v>2</v>
      </c>
      <c r="I173" s="26">
        <f>IFERROR(__xludf.DUMMYFUNCTION("""COMPUTED_VALUE"""),1)</f>
        <v>1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IFERROR(__xludf.DUMMYFUNCTION("""COMPUTED_VALUE"""),"TIP (6 Expts)")</f>
        <v>TIP (6 Expts)</v>
      </c>
      <c r="M173" s="26"/>
      <c r="N173" s="26"/>
      <c r="O173" s="26"/>
      <c r="P173" s="26"/>
      <c r="Q173" s="26"/>
      <c r="R173" s="26"/>
    </row>
    <row r="174" ht="13.2" spans="1:18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IFERROR(__xludf.DUMMYFUNCTION("""COMPUTED_VALUE"""),"NA")</f>
        <v>NA</v>
      </c>
      <c r="E174" s="26" t="str">
        <f>IFERROR(__xludf.DUMMYFUNCTION("""COMPUTED_VALUE"""),"19CS301")</f>
        <v>19CS301</v>
      </c>
      <c r="F174" s="27" t="str">
        <f>IFERROR(__xludf.DUMMYFUNCTION("""COMPUTED_VALUE"""),"Problem Solving and Python Programming")</f>
        <v>Problem Solving and Python Programming</v>
      </c>
      <c r="G174" s="26" t="str">
        <f>IFERROR(__xludf.DUMMYFUNCTION("""COMPUTED_VALUE"""),"-")</f>
        <v>-</v>
      </c>
      <c r="H174" s="26">
        <f>IFERROR(__xludf.DUMMYFUNCTION("""COMPUTED_VALUE"""),3)</f>
        <v>3</v>
      </c>
      <c r="I174" s="26">
        <f>IFERROR(__xludf.DUMMYFUNCTION("""COMPUTED_VALUE"""),1)</f>
        <v>1</v>
      </c>
      <c r="J174" s="26">
        <f>IFERROR(__xludf.DUMMYFUNCTION("""COMPUTED_VALUE"""),4)</f>
        <v>4</v>
      </c>
      <c r="K174" s="26" t="str">
        <f>IFERROR(__xludf.DUMMYFUNCTION("""COMPUTED_VALUE"""),"CGPA")</f>
        <v>CGPA</v>
      </c>
      <c r="L174" s="26" t="str">
        <f>IFERROR(__xludf.DUMMYFUNCTION("""COMPUTED_VALUE"""),"TIP (6 Expts)")</f>
        <v>TIP (6 Expts)</v>
      </c>
      <c r="M174" s="26"/>
      <c r="N174" s="26"/>
      <c r="O174" s="26"/>
      <c r="P174" s="26"/>
      <c r="Q174" s="26"/>
      <c r="R174" s="26"/>
    </row>
    <row r="175" ht="13.2" spans="1:18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IFERROR(__xludf.DUMMYFUNCTION("""COMPUTED_VALUE"""),"NA")</f>
        <v>NA</v>
      </c>
      <c r="E175" s="26" t="str">
        <f>IFERROR(__xludf.DUMMYFUNCTION("""COMPUTED_VALUE"""),"19CS302")</f>
        <v>19CS302</v>
      </c>
      <c r="F175" s="27" t="str">
        <f>IFERROR(__xludf.DUMMYFUNCTION("""COMPUTED_VALUE"""),"Programming in C")</f>
        <v>Programming in C</v>
      </c>
      <c r="G175" s="26" t="str">
        <f>IFERROR(__xludf.DUMMYFUNCTION("""COMPUTED_VALUE"""),"-")</f>
        <v>-</v>
      </c>
      <c r="H175" s="26">
        <f>IFERROR(__xludf.DUMMYFUNCTION("""COMPUTED_VALUE"""),2)</f>
        <v>2</v>
      </c>
      <c r="I175" s="26">
        <f>IFERROR(__xludf.DUMMYFUNCTION("""COMPUTED_VALUE"""),2)</f>
        <v>2</v>
      </c>
      <c r="J175" s="26">
        <f>IFERROR(__xludf.DUMMYFUNCTION("""COMPUTED_VALUE"""),4)</f>
        <v>4</v>
      </c>
      <c r="K175" s="26" t="str">
        <f>IFERROR(__xludf.DUMMYFUNCTION("""COMPUTED_VALUE"""),"CGPA")</f>
        <v>CGPA</v>
      </c>
      <c r="L175" s="26" t="str">
        <f>IFERROR(__xludf.DUMMYFUNCTION("""COMPUTED_VALUE"""),"TIP (10 Expts)")</f>
        <v>TIP (10 Expts)</v>
      </c>
      <c r="M175" s="26"/>
      <c r="N175" s="26"/>
      <c r="O175" s="26"/>
      <c r="P175" s="26"/>
      <c r="Q175" s="26"/>
      <c r="R175" s="26"/>
    </row>
    <row r="176" ht="13.2" spans="1:18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IFERROR(__xludf.DUMMYFUNCTION("""COMPUTED_VALUE"""),"NA")</f>
        <v>NA</v>
      </c>
      <c r="E176" s="26" t="str">
        <f>IFERROR(__xludf.DUMMYFUNCTION("""COMPUTED_VALUE"""),"19CS308")</f>
        <v>19CS308</v>
      </c>
      <c r="F176" s="27" t="str">
        <f>IFERROR(__xludf.DUMMYFUNCTION("""COMPUTED_VALUE"""),"Software Testing Laboratory")</f>
        <v>Software Testing Laboratory</v>
      </c>
      <c r="G176" s="26" t="str">
        <f>IFERROR(__xludf.DUMMYFUNCTION("""COMPUTED_VALUE"""),"19CS410/19AI401")</f>
        <v>19CS410/19AI401</v>
      </c>
      <c r="H176" s="26">
        <f>IFERROR(__xludf.DUMMYFUNCTION("""COMPUTED_VALUE"""),0)</f>
        <v>0</v>
      </c>
      <c r="I176" s="26">
        <f>IFERROR(__xludf.DUMMYFUNCTION("""COMPUTED_VALUE"""),2)</f>
        <v>2</v>
      </c>
      <c r="J176" s="26">
        <f>IFERROR(__xludf.DUMMYFUNCTION("""COMPUTED_VALUE"""),2)</f>
        <v>2</v>
      </c>
      <c r="K176" s="26" t="str">
        <f>IFERROR(__xludf.DUMMYFUNCTION("""COMPUTED_VALUE"""),"CGPA")</f>
        <v>CGPA</v>
      </c>
      <c r="L176" s="26" t="str">
        <f>IFERROR(__xludf.DUMMYFUNCTION("""COMPUTED_VALUE"""),"Practical (10 Expts)")</f>
        <v>Practical (10 Expts)</v>
      </c>
      <c r="M176" s="26"/>
      <c r="N176" s="26"/>
      <c r="O176" s="26"/>
      <c r="P176" s="26"/>
      <c r="Q176" s="26"/>
      <c r="R176" s="26"/>
    </row>
    <row r="177" ht="13.2" spans="1:18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IFERROR(__xludf.DUMMYFUNCTION("""COMPUTED_VALUE"""),"NA")</f>
        <v>NA</v>
      </c>
      <c r="E177" s="26" t="str">
        <f>IFERROR(__xludf.DUMMYFUNCTION("""COMPUTED_VALUE"""),"19CS402")</f>
        <v>19CS402</v>
      </c>
      <c r="F177" s="27" t="str">
        <f>IFERROR(__xludf.DUMMYFUNCTION("""COMPUTED_VALUE"""),"Design and Analysis of Algorithms")</f>
        <v>Design and Analysis of Algorithms</v>
      </c>
      <c r="G177" s="26" t="str">
        <f>IFERROR(__xludf.DUMMYFUNCTION("""COMPUTED_VALUE"""),"19CS401")</f>
        <v>19CS401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  <c r="P177" s="26"/>
      <c r="Q177" s="26"/>
      <c r="R177" s="26"/>
    </row>
    <row r="178" ht="13.2" spans="1:18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IFERROR(__xludf.DUMMYFUNCTION("""COMPUTED_VALUE"""),"NA")</f>
        <v>NA</v>
      </c>
      <c r="E178" s="26" t="str">
        <f>IFERROR(__xludf.DUMMYFUNCTION("""COMPUTED_VALUE"""),"19CS403")</f>
        <v>19CS403</v>
      </c>
      <c r="F178" s="27" t="str">
        <f>IFERROR(__xludf.DUMMYFUNCTION("""COMPUTED_VALUE"""),"Programming Paradigms")</f>
        <v>Programming Paradigms</v>
      </c>
      <c r="G178" s="26" t="str">
        <f>IFERROR(__xludf.DUMMYFUNCTION("""COMPUTED_VALUE"""),"19CS401")</f>
        <v>19CS401</v>
      </c>
      <c r="H178" s="26">
        <f>IFERROR(__xludf.DUMMYFUNCTION("""COMPUTED_VALUE"""),3)</f>
        <v>3</v>
      </c>
      <c r="I178" s="26">
        <f>IFERROR(__xludf.DUMMYFUNCTION("""COMPUTED_VALUE"""),1)</f>
        <v>1</v>
      </c>
      <c r="J178" s="26">
        <f>IFERROR(__xludf.DUMMYFUNCTION("""COMPUTED_VALUE"""),4)</f>
        <v>4</v>
      </c>
      <c r="K178" s="26" t="str">
        <f>IFERROR(__xludf.DUMMYFUNCTION("""COMPUTED_VALUE"""),"CGPA")</f>
        <v>CGPA</v>
      </c>
      <c r="L178" s="26" t="str">
        <f>IFERROR(__xludf.DUMMYFUNCTION("""COMPUTED_VALUE"""),"TIP (6 Expts)")</f>
        <v>TIP (6 Expts)</v>
      </c>
      <c r="M178" s="26"/>
      <c r="N178" s="26"/>
      <c r="O178" s="26"/>
      <c r="P178" s="26"/>
      <c r="Q178" s="26"/>
      <c r="R178" s="26"/>
    </row>
    <row r="179" ht="13.2" spans="1:18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IFERROR(__xludf.DUMMYFUNCTION("""COMPUTED_VALUE"""),"NA")</f>
        <v>NA</v>
      </c>
      <c r="E179" s="26" t="str">
        <f>IFERROR(__xludf.DUMMYFUNCTION("""COMPUTED_VALUE"""),"19CS410")</f>
        <v>19CS410</v>
      </c>
      <c r="F179" s="27" t="str">
        <f>IFERROR(__xludf.DUMMYFUNCTION("""COMPUTED_VALUE"""),"Web Programming")</f>
        <v>Web Programming</v>
      </c>
      <c r="G179" s="26" t="str">
        <f>IFERROR(__xludf.DUMMYFUNCTION("""COMPUTED_VALUE"""),"-")</f>
        <v>-</v>
      </c>
      <c r="H179" s="26">
        <f>IFERROR(__xludf.DUMMYFUNCTION("""COMPUTED_VALUE"""),3)</f>
        <v>3</v>
      </c>
      <c r="I179" s="26">
        <f>IFERROR(__xludf.DUMMYFUNCTION("""COMPUTED_VALUE"""),1)</f>
        <v>1</v>
      </c>
      <c r="J179" s="26">
        <f>IFERROR(__xludf.DUMMYFUNCTION("""COMPUTED_VALUE"""),4)</f>
        <v>4</v>
      </c>
      <c r="K179" s="26" t="str">
        <f>IFERROR(__xludf.DUMMYFUNCTION("""COMPUTED_VALUE"""),"CGPA")</f>
        <v>CGPA</v>
      </c>
      <c r="L179" s="26" t="str">
        <f>IFERROR(__xludf.DUMMYFUNCTION("""COMPUTED_VALUE"""),"TIP (6 Expts)")</f>
        <v>TIP (6 Expts)</v>
      </c>
      <c r="M179" s="26"/>
      <c r="N179" s="26"/>
      <c r="O179" s="26"/>
      <c r="P179" s="26"/>
      <c r="Q179" s="26"/>
      <c r="R179" s="26"/>
    </row>
    <row r="180" ht="13.2" spans="1:18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IFERROR(__xludf.DUMMYFUNCTION("""COMPUTED_VALUE"""),"CS1565")</f>
        <v>CS1565</v>
      </c>
      <c r="E180" s="26" t="str">
        <f>IFERROR(__xludf.DUMMYFUNCTION("""COMPUTED_VALUE"""),"19CS565")</f>
        <v>19CS565</v>
      </c>
      <c r="F180" s="27" t="str">
        <f>IFERROR(__xludf.DUMMYFUNCTION("""COMPUTED_VALUE"""),"Robotic Process Automation")</f>
        <v>Robotic Process Automation</v>
      </c>
      <c r="G180" s="26" t="str">
        <f>IFERROR(__xludf.DUMMYFUNCTION("""COMPUTED_VALUE"""),"-")</f>
        <v>-</v>
      </c>
      <c r="H180" s="26">
        <f>IFERROR(__xludf.DUMMYFUNCTION("""COMPUTED_VALUE"""),2)</f>
        <v>2</v>
      </c>
      <c r="I180" s="26">
        <f>IFERROR(__xludf.DUMMYFUNCTION("""COMPUTED_VALUE"""),1)</f>
        <v>1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IFERROR(__xludf.DUMMYFUNCTION("""COMPUTED_VALUE"""),"TIP (6 Expts)")</f>
        <v>TIP (6 Expts)</v>
      </c>
      <c r="M180" s="26"/>
      <c r="N180" s="26"/>
      <c r="O180" s="26"/>
      <c r="P180" s="26"/>
      <c r="Q180" s="26"/>
      <c r="R180" s="26"/>
    </row>
    <row r="181" ht="13.2" spans="1:18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IFERROR(__xludf.DUMMYFUNCTION("""COMPUTED_VALUE"""),"CS1566")</f>
        <v>CS1566</v>
      </c>
      <c r="E181" s="26" t="str">
        <f>IFERROR(__xludf.DUMMYFUNCTION("""COMPUTED_VALUE"""),"19CS566")</f>
        <v>19CS566</v>
      </c>
      <c r="F181" s="27" t="str">
        <f>IFERROR(__xludf.DUMMYFUNCTION("""COMPUTED_VALUE"""),"Software Project Management and Version Control")</f>
        <v>Software Project Management and Version Control</v>
      </c>
      <c r="G181" s="26" t="str">
        <f>IFERROR(__xludf.DUMMYFUNCTION("""COMPUTED_VALUE"""),"-")</f>
        <v>-</v>
      </c>
      <c r="H181" s="26">
        <f>IFERROR(__xludf.DUMMYFUNCTION("""COMPUTED_VALUE"""),3)</f>
        <v>3</v>
      </c>
      <c r="I181" s="26">
        <f>IFERROR(__xludf.DUMMYFUNCTION("""COMPUTED_VALUE"""),0)</f>
        <v>0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IFERROR(__xludf.DUMMYFUNCTION("""COMPUTED_VALUE"""),"Theory")</f>
        <v>Theory</v>
      </c>
      <c r="M181" s="26"/>
      <c r="N181" s="26"/>
      <c r="O181" s="26"/>
      <c r="P181" s="26"/>
      <c r="Q181" s="26"/>
      <c r="R181" s="26"/>
    </row>
    <row r="182" ht="13.2" spans="1:18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IFERROR(__xludf.DUMMYFUNCTION("""COMPUTED_VALUE"""),"CS1579")</f>
        <v>CS1579</v>
      </c>
      <c r="E182" s="26" t="str">
        <f>IFERROR(__xludf.DUMMYFUNCTION("""COMPUTED_VALUE"""),"19CS579")</f>
        <v>19CS579</v>
      </c>
      <c r="F182" s="27" t="str">
        <f>IFERROR(__xludf.DUMMYFUNCTION("""COMPUTED_VALUE"""),"Generative AI Application Development")</f>
        <v>Generative AI Application Development</v>
      </c>
      <c r="G182" s="26" t="str">
        <f>IFERROR(__xludf.DUMMYFUNCTION("""COMPUTED_VALUE"""),"-")</f>
        <v>-</v>
      </c>
      <c r="H182" s="26">
        <f>IFERROR(__xludf.DUMMYFUNCTION("""COMPUTED_VALUE"""),2)</f>
        <v>2</v>
      </c>
      <c r="I182" s="26">
        <f>IFERROR(__xludf.DUMMYFUNCTION("""COMPUTED_VALUE"""),1)</f>
        <v>1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IFERROR(__xludf.DUMMYFUNCTION("""COMPUTED_VALUE"""),"TIP (6 Expts)")</f>
        <v>TIP (6 Expts)</v>
      </c>
      <c r="M182" s="26"/>
      <c r="N182" s="26"/>
      <c r="O182" s="26"/>
      <c r="P182" s="26"/>
      <c r="Q182" s="26"/>
      <c r="R182" s="26"/>
    </row>
    <row r="183" ht="13.2" spans="1:18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IFERROR(__xludf.DUMMYFUNCTION("""COMPUTED_VALUE"""),"CS1568")</f>
        <v>CS1568</v>
      </c>
      <c r="E183" s="26" t="str">
        <f>IFERROR(__xludf.DUMMYFUNCTION("""COMPUTED_VALUE"""),"19CS568")</f>
        <v>19CS568</v>
      </c>
      <c r="F183" s="27" t="str">
        <f>IFERROR(__xludf.DUMMYFUNCTION("""COMPUTED_VALUE"""),"Fine Tuning Large Language Models")</f>
        <v>Fine Tuning Large Language Models</v>
      </c>
      <c r="G183" s="26" t="str">
        <f>IFERROR(__xludf.DUMMYFUNCTION("""COMPUTED_VALUE"""),"-")</f>
        <v>-</v>
      </c>
      <c r="H183" s="26">
        <f>IFERROR(__xludf.DUMMYFUNCTION("""COMPUTED_VALUE"""),3)</f>
        <v>3</v>
      </c>
      <c r="I183" s="26">
        <f>IFERROR(__xludf.DUMMYFUNCTION("""COMPUTED_VALUE"""),0)</f>
        <v>0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IFERROR(__xludf.DUMMYFUNCTION("""COMPUTED_VALUE"""),"Theory")</f>
        <v>Theory</v>
      </c>
      <c r="M183" s="26"/>
      <c r="N183" s="26"/>
      <c r="O183" s="26"/>
      <c r="P183" s="26"/>
      <c r="Q183" s="26"/>
      <c r="R183" s="26"/>
    </row>
    <row r="184" ht="13.2" spans="1:18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IFERROR(__xludf.DUMMYFUNCTION("""COMPUTED_VALUE"""),"CS1569")</f>
        <v>CS1569</v>
      </c>
      <c r="E184" s="26" t="str">
        <f>IFERROR(__xludf.DUMMYFUNCTION("""COMPUTED_VALUE"""),"19CS569")</f>
        <v>19CS569</v>
      </c>
      <c r="F184" s="27" t="str">
        <f>IFERROR(__xludf.DUMMYFUNCTION("""COMPUTED_VALUE"""),"Applied Data Science")</f>
        <v>Applied Data Science</v>
      </c>
      <c r="G184" s="26" t="str">
        <f>IFERROR(__xludf.DUMMYFUNCTION("""COMPUTED_VALUE"""),"-")</f>
        <v>-</v>
      </c>
      <c r="H184" s="26">
        <f>IFERROR(__xludf.DUMMYFUNCTION("""COMPUTED_VALUE"""),2)</f>
        <v>2</v>
      </c>
      <c r="I184" s="26">
        <f>IFERROR(__xludf.DUMMYFUNCTION("""COMPUTED_VALUE"""),1)</f>
        <v>1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IFERROR(__xludf.DUMMYFUNCTION("""COMPUTED_VALUE"""),"TIP (6 Expts)")</f>
        <v>TIP (6 Expts)</v>
      </c>
      <c r="M184" s="26"/>
      <c r="N184" s="26"/>
      <c r="O184" s="26"/>
      <c r="P184" s="26"/>
      <c r="Q184" s="26"/>
      <c r="R184" s="26"/>
    </row>
    <row r="185" ht="13.2" spans="1:18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IFERROR(__xludf.DUMMYFUNCTION("""COMPUTED_VALUE"""),"CS1570")</f>
        <v>CS1570</v>
      </c>
      <c r="E185" s="26" t="str">
        <f>IFERROR(__xludf.DUMMYFUNCTION("""COMPUTED_VALUE"""),"19CS570")</f>
        <v>19CS570</v>
      </c>
      <c r="F185" s="27" t="str">
        <f>IFERROR(__xludf.DUMMYFUNCTION("""COMPUTED_VALUE"""),"Entrepreneurship and Small Business Development")</f>
        <v>Entrepreneurship and Small Business Development</v>
      </c>
      <c r="G185" s="26" t="str">
        <f>IFERROR(__xludf.DUMMYFUNCTION("""COMPUTED_VALUE"""),"-")</f>
        <v>-</v>
      </c>
      <c r="H185" s="26">
        <f>IFERROR(__xludf.DUMMYFUNCTION("""COMPUTED_VALUE"""),2)</f>
        <v>2</v>
      </c>
      <c r="I185" s="26">
        <f>IFERROR(__xludf.DUMMYFUNCTION("""COMPUTED_VALUE"""),1)</f>
        <v>1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IFERROR(__xludf.DUMMYFUNCTION("""COMPUTED_VALUE"""),"TIP (6 Expts)")</f>
        <v>TIP (6 Expts)</v>
      </c>
      <c r="M185" s="26"/>
      <c r="N185" s="26"/>
      <c r="O185" s="26"/>
      <c r="P185" s="26"/>
      <c r="Q185" s="26"/>
      <c r="R185" s="26"/>
    </row>
    <row r="186" ht="13.2" spans="1:18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IFERROR(__xludf.DUMMYFUNCTION("""COMPUTED_VALUE"""),"CS1571")</f>
        <v>CS1571</v>
      </c>
      <c r="E186" s="26" t="str">
        <f>IFERROR(__xludf.DUMMYFUNCTION("""COMPUTED_VALUE"""),"19CS571")</f>
        <v>19CS571</v>
      </c>
      <c r="F186" s="27" t="str">
        <f>IFERROR(__xludf.DUMMYFUNCTION("""COMPUTED_VALUE"""),"Software Development and Operations")</f>
        <v>Software Development and Operations</v>
      </c>
      <c r="G186" s="26" t="str">
        <f>IFERROR(__xludf.DUMMYFUNCTION("""COMPUTED_VALUE"""),"-")</f>
        <v>-</v>
      </c>
      <c r="H186" s="26">
        <f>IFERROR(__xludf.DUMMYFUNCTION("""COMPUTED_VALUE"""),3)</f>
        <v>3</v>
      </c>
      <c r="I186" s="26">
        <f>IFERROR(__xludf.DUMMYFUNCTION("""COMPUTED_VALUE"""),0)</f>
        <v>0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IFERROR(__xludf.DUMMYFUNCTION("""COMPUTED_VALUE"""),"Theory")</f>
        <v>Theory</v>
      </c>
      <c r="M186" s="26"/>
      <c r="N186" s="26"/>
      <c r="O186" s="26"/>
      <c r="P186" s="26"/>
      <c r="Q186" s="26"/>
      <c r="R186" s="26"/>
    </row>
    <row r="187" ht="13.2" spans="1:18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IFERROR(__xludf.DUMMYFUNCTION("""COMPUTED_VALUE"""),"CS1572")</f>
        <v>CS1572</v>
      </c>
      <c r="E187" s="26" t="str">
        <f>IFERROR(__xludf.DUMMYFUNCTION("""COMPUTED_VALUE"""),"19CS572")</f>
        <v>19CS572</v>
      </c>
      <c r="F187" s="27" t="str">
        <f>IFERROR(__xludf.DUMMYFUNCTION("""COMPUTED_VALUE"""),"Serverless App Development")</f>
        <v>Serverless App Development</v>
      </c>
      <c r="G187" s="26" t="str">
        <f>IFERROR(__xludf.DUMMYFUNCTION("""COMPUTED_VALUE"""),"-")</f>
        <v>-</v>
      </c>
      <c r="H187" s="26">
        <f>IFERROR(__xludf.DUMMYFUNCTION("""COMPUTED_VALUE"""),3)</f>
        <v>3</v>
      </c>
      <c r="I187" s="26">
        <f>IFERROR(__xludf.DUMMYFUNCTION("""COMPUTED_VALUE"""),0)</f>
        <v>0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IFERROR(__xludf.DUMMYFUNCTION("""COMPUTED_VALUE"""),"Theory")</f>
        <v>Theory</v>
      </c>
      <c r="M187" s="26"/>
      <c r="N187" s="26"/>
      <c r="O187" s="26"/>
      <c r="P187" s="26"/>
      <c r="Q187" s="26"/>
      <c r="R187" s="26"/>
    </row>
    <row r="188" ht="13.2" spans="1:18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IFERROR(__xludf.DUMMYFUNCTION("""COMPUTED_VALUE"""),"CS1573")</f>
        <v>CS1573</v>
      </c>
      <c r="E188" s="26" t="str">
        <f>IFERROR(__xludf.DUMMYFUNCTION("""COMPUTED_VALUE"""),"19CS573")</f>
        <v>19CS573</v>
      </c>
      <c r="F188" s="27" t="str">
        <f>IFERROR(__xludf.DUMMYFUNCTION("""COMPUTED_VALUE"""),"Enterprise Cloud Architecture")</f>
        <v>Enterprise Cloud Architecture</v>
      </c>
      <c r="G188" s="26" t="str">
        <f>IFERROR(__xludf.DUMMYFUNCTION("""COMPUTED_VALUE"""),"-")</f>
        <v>-</v>
      </c>
      <c r="H188" s="26">
        <f>IFERROR(__xludf.DUMMYFUNCTION("""COMPUTED_VALUE"""),3)</f>
        <v>3</v>
      </c>
      <c r="I188" s="26">
        <f>IFERROR(__xludf.DUMMYFUNCTION("""COMPUTED_VALUE"""),0)</f>
        <v>0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IFERROR(__xludf.DUMMYFUNCTION("""COMPUTED_VALUE"""),"Theory")</f>
        <v>Theory</v>
      </c>
      <c r="M188" s="26"/>
      <c r="N188" s="26"/>
      <c r="O188" s="26"/>
      <c r="P188" s="26"/>
      <c r="Q188" s="26"/>
      <c r="R188" s="26"/>
    </row>
    <row r="189" ht="13.2" spans="1:18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IFERROR(__xludf.DUMMYFUNCTION("""COMPUTED_VALUE"""),"CS1574")</f>
        <v>CS1574</v>
      </c>
      <c r="E189" s="26" t="str">
        <f>IFERROR(__xludf.DUMMYFUNCTION("""COMPUTED_VALUE"""),"19CS574")</f>
        <v>19CS574</v>
      </c>
      <c r="F189" s="27" t="str">
        <f>IFERROR(__xludf.DUMMYFUNCTION("""COMPUTED_VALUE"""),"Advanced Class Design and Object-Oriented Techniques")</f>
        <v>Advanced Class Design and Object-Oriented Techniques</v>
      </c>
      <c r="G189" s="26" t="str">
        <f>IFERROR(__xludf.DUMMYFUNCTION("""COMPUTED_VALUE"""),"-")</f>
        <v>-</v>
      </c>
      <c r="H189" s="26">
        <f>IFERROR(__xludf.DUMMYFUNCTION("""COMPUTED_VALUE"""),3)</f>
        <v>3</v>
      </c>
      <c r="I189" s="26">
        <f>IFERROR(__xludf.DUMMYFUNCTION("""COMPUTED_VALUE"""),0)</f>
        <v>0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IFERROR(__xludf.DUMMYFUNCTION("""COMPUTED_VALUE"""),"Theory")</f>
        <v>Theory</v>
      </c>
      <c r="M189" s="26"/>
      <c r="N189" s="26"/>
      <c r="O189" s="26"/>
      <c r="P189" s="26"/>
      <c r="Q189" s="26"/>
      <c r="R189" s="26"/>
    </row>
    <row r="190" ht="13.2" spans="1:18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IFERROR(__xludf.DUMMYFUNCTION("""COMPUTED_VALUE"""),"CS1575")</f>
        <v>CS1575</v>
      </c>
      <c r="E190" s="26" t="str">
        <f>IFERROR(__xludf.DUMMYFUNCTION("""COMPUTED_VALUE"""),"19CS575")</f>
        <v>19CS575</v>
      </c>
      <c r="F190" s="27" t="str">
        <f>IFERROR(__xludf.DUMMYFUNCTION("""COMPUTED_VALUE"""),"Low-Code App Development")</f>
        <v>Low-Code App Development</v>
      </c>
      <c r="G190" s="26" t="str">
        <f>IFERROR(__xludf.DUMMYFUNCTION("""COMPUTED_VALUE"""),"-")</f>
        <v>-</v>
      </c>
      <c r="H190" s="26">
        <f>IFERROR(__xludf.DUMMYFUNCTION("""COMPUTED_VALUE"""),3)</f>
        <v>3</v>
      </c>
      <c r="I190" s="26">
        <f>IFERROR(__xludf.DUMMYFUNCTION("""COMPUTED_VALUE"""),0)</f>
        <v>0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IFERROR(__xludf.DUMMYFUNCTION("""COMPUTED_VALUE"""),"Theory")</f>
        <v>Theory</v>
      </c>
      <c r="M190" s="26"/>
      <c r="N190" s="26"/>
      <c r="O190" s="26"/>
      <c r="P190" s="26"/>
      <c r="Q190" s="26"/>
      <c r="R190" s="26"/>
    </row>
    <row r="191" ht="13.2" spans="1:18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IFERROR(__xludf.DUMMYFUNCTION("""COMPUTED_VALUE"""),"CS1577")</f>
        <v>CS1577</v>
      </c>
      <c r="E191" s="26" t="str">
        <f>IFERROR(__xludf.DUMMYFUNCTION("""COMPUTED_VALUE"""),"19CS577")</f>
        <v>19CS577</v>
      </c>
      <c r="F191" s="27" t="str">
        <f>IFERROR(__xludf.DUMMYFUNCTION("""COMPUTED_VALUE"""),"Cloud System Administration")</f>
        <v>Cloud System Administration</v>
      </c>
      <c r="G191" s="26" t="str">
        <f>IFERROR(__xludf.DUMMYFUNCTION("""COMPUTED_VALUE"""),"-")</f>
        <v>-</v>
      </c>
      <c r="H191" s="26">
        <f>IFERROR(__xludf.DUMMYFUNCTION("""COMPUTED_VALUE"""),3)</f>
        <v>3</v>
      </c>
      <c r="I191" s="26">
        <f>IFERROR(__xludf.DUMMYFUNCTION("""COMPUTED_VALUE"""),0)</f>
        <v>0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IFERROR(__xludf.DUMMYFUNCTION("""COMPUTED_VALUE"""),"Theory")</f>
        <v>Theory</v>
      </c>
      <c r="M191" s="26"/>
      <c r="N191" s="26"/>
      <c r="O191" s="26"/>
      <c r="P191" s="26"/>
      <c r="Q191" s="26"/>
      <c r="R191" s="26"/>
    </row>
    <row r="192" ht="13.2" spans="1:18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IFERROR(__xludf.DUMMYFUNCTION("""COMPUTED_VALUE"""),"CS1578")</f>
        <v>CS1578</v>
      </c>
      <c r="E192" s="26" t="str">
        <f>IFERROR(__xludf.DUMMYFUNCTION("""COMPUTED_VALUE"""),"19CS578")</f>
        <v>19CS578</v>
      </c>
      <c r="F192" s="27" t="str">
        <f>IFERROR(__xludf.DUMMYFUNCTION("""COMPUTED_VALUE"""),"Machine Learning Operations")</f>
        <v>Machine Learning Operations</v>
      </c>
      <c r="G192" s="26" t="str">
        <f>IFERROR(__xludf.DUMMYFUNCTION("""COMPUTED_VALUE"""),"-")</f>
        <v>-</v>
      </c>
      <c r="H192" s="26">
        <f>IFERROR(__xludf.DUMMYFUNCTION("""COMPUTED_VALUE"""),3)</f>
        <v>3</v>
      </c>
      <c r="I192" s="26">
        <f>IFERROR(__xludf.DUMMYFUNCTION("""COMPUTED_VALUE"""),0)</f>
        <v>0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IFERROR(__xludf.DUMMYFUNCTION("""COMPUTED_VALUE"""),"Theory")</f>
        <v>Theory</v>
      </c>
      <c r="M192" s="26"/>
      <c r="N192" s="26"/>
      <c r="O192" s="26"/>
      <c r="P192" s="26"/>
      <c r="Q192" s="26"/>
      <c r="R192" s="26"/>
    </row>
    <row r="193" ht="13.2" spans="1:18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IFERROR(__xludf.DUMMYFUNCTION("""COMPUTED_VALUE"""),"NA")</f>
        <v>NA</v>
      </c>
      <c r="E193" s="26" t="str">
        <f>IFERROR(__xludf.DUMMYFUNCTION("""COMPUTED_VALUE"""),"19CS411")</f>
        <v>19CS411</v>
      </c>
      <c r="F193" s="27" t="str">
        <f>IFERROR(__xludf.DUMMYFUNCTION("""COMPUTED_VALUE"""),"Virtualization and Cloud Computing")</f>
        <v>Virtualization and Cloud Computing</v>
      </c>
      <c r="G193" s="26" t="str">
        <f>IFERROR(__xludf.DUMMYFUNCTION("""COMPUTED_VALUE"""),"19CS406")</f>
        <v>19CS406</v>
      </c>
      <c r="H193" s="26">
        <f>IFERROR(__xludf.DUMMYFUNCTION("""COMPUTED_VALUE"""),3)</f>
        <v>3</v>
      </c>
      <c r="I193" s="26">
        <f>IFERROR(__xludf.DUMMYFUNCTION("""COMPUTED_VALUE"""),1)</f>
        <v>1</v>
      </c>
      <c r="J193" s="26">
        <f>IFERROR(__xludf.DUMMYFUNCTION("""COMPUTED_VALUE"""),4)</f>
        <v>4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  <c r="P193" s="26"/>
      <c r="Q193" s="26"/>
      <c r="R193" s="26"/>
    </row>
    <row r="194" ht="13.2" spans="1:18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IFERROR(__xludf.DUMMYFUNCTION("""COMPUTED_VALUE"""),"NA")</f>
        <v>NA</v>
      </c>
      <c r="E194" s="26" t="str">
        <f>IFERROR(__xludf.DUMMYFUNCTION("""COMPUTED_VALUE"""),"19CS412")</f>
        <v>19CS412</v>
      </c>
      <c r="F194" s="27" t="str">
        <f>IFERROR(__xludf.DUMMYFUNCTION("""COMPUTED_VALUE"""),"Cryptography and Network Security")</f>
        <v>Cryptography and Network Security</v>
      </c>
      <c r="G194" s="26" t="str">
        <f>IFERROR(__xludf.DUMMYFUNCTION("""COMPUTED_VALUE"""),"19CS406")</f>
        <v>19CS406</v>
      </c>
      <c r="H194" s="26">
        <f>IFERROR(__xludf.DUMMYFUNCTION("""COMPUTED_VALUE"""),3)</f>
        <v>3</v>
      </c>
      <c r="I194" s="26">
        <f>IFERROR(__xludf.DUMMYFUNCTION("""COMPUTED_VALUE"""),1)</f>
        <v>1</v>
      </c>
      <c r="J194" s="26">
        <f>IFERROR(__xludf.DUMMYFUNCTION("""COMPUTED_VALUE"""),4)</f>
        <v>4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  <c r="P194" s="26"/>
      <c r="Q194" s="26"/>
      <c r="R194" s="26"/>
    </row>
    <row r="195" ht="13.2" spans="1:18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IFERROR(__xludf.DUMMYFUNCTION("""COMPUTED_VALUE"""),"CS1416")</f>
        <v>CS1416</v>
      </c>
      <c r="E195" s="26" t="str">
        <f>IFERROR(__xludf.DUMMYFUNCTION("""COMPUTED_VALUE"""),"19CS416")</f>
        <v>19CS416</v>
      </c>
      <c r="F195" s="27" t="str">
        <f>IFERROR(__xludf.DUMMYFUNCTION("""COMPUTED_VALUE"""),"Cloud Security")</f>
        <v>Cloud Security</v>
      </c>
      <c r="G195" s="26" t="str">
        <f>IFERROR(__xludf.DUMMYFUNCTION("""COMPUTED_VALUE"""),"-")</f>
        <v>-</v>
      </c>
      <c r="H195" s="26">
        <f>IFERROR(__xludf.DUMMYFUNCTION("""COMPUTED_VALUE"""),2)</f>
        <v>2</v>
      </c>
      <c r="I195" s="26">
        <f>IFERROR(__xludf.DUMMYFUNCTION("""COMPUTED_VALUE"""),1)</f>
        <v>1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IFERROR(__xludf.DUMMYFUNCTION("""COMPUTED_VALUE"""),"TIP (6 Expts)")</f>
        <v>TIP (6 Expts)</v>
      </c>
      <c r="M195" s="26"/>
      <c r="N195" s="26"/>
      <c r="O195" s="26"/>
      <c r="P195" s="26"/>
      <c r="Q195" s="26"/>
      <c r="R195" s="26"/>
    </row>
    <row r="196" ht="13.2" spans="1:18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IFERROR(__xludf.DUMMYFUNCTION("""COMPUTED_VALUE"""),"CS1419")</f>
        <v>CS1419</v>
      </c>
      <c r="E196" s="26" t="str">
        <f>IFERROR(__xludf.DUMMYFUNCTION("""COMPUTED_VALUE"""),"19CS419")</f>
        <v>19CS419</v>
      </c>
      <c r="F196" s="27" t="str">
        <f>IFERROR(__xludf.DUMMYFUNCTION("""COMPUTED_VALUE"""),"Digital Forensics and Digital Investigations")</f>
        <v>Digital Forensics and Digital Investigations</v>
      </c>
      <c r="G196" s="26" t="str">
        <f>IFERROR(__xludf.DUMMYFUNCTION("""COMPUTED_VALUE"""),"-")</f>
        <v>-</v>
      </c>
      <c r="H196" s="26">
        <f>IFERROR(__xludf.DUMMYFUNCTION("""COMPUTED_VALUE"""),2)</f>
        <v>2</v>
      </c>
      <c r="I196" s="26">
        <f>IFERROR(__xludf.DUMMYFUNCTION("""COMPUTED_VALUE"""),1)</f>
        <v>1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IFERROR(__xludf.DUMMYFUNCTION("""COMPUTED_VALUE"""),"TIP (6 Expts)")</f>
        <v>TIP (6 Expts)</v>
      </c>
      <c r="M196" s="26"/>
      <c r="N196" s="26"/>
      <c r="O196" s="26"/>
      <c r="P196" s="26"/>
      <c r="Q196" s="26"/>
      <c r="R196" s="26"/>
    </row>
    <row r="197" ht="13.2" spans="1:18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IFERROR(__xludf.DUMMYFUNCTION("""COMPUTED_VALUE"""),"CS1421")</f>
        <v>CS1421</v>
      </c>
      <c r="E197" s="26" t="str">
        <f>IFERROR(__xludf.DUMMYFUNCTION("""COMPUTED_VALUE"""),"19CS421")</f>
        <v>19CS421</v>
      </c>
      <c r="F197" s="27" t="str">
        <f>IFERROR(__xludf.DUMMYFUNCTION("""COMPUTED_VALUE"""),"Edge Computing")</f>
        <v>Edge Computing</v>
      </c>
      <c r="G197" s="26" t="str">
        <f>IFERROR(__xludf.DUMMYFUNCTION("""COMPUTED_VALUE"""),"-")</f>
        <v>-</v>
      </c>
      <c r="H197" s="26">
        <f>IFERROR(__xludf.DUMMYFUNCTION("""COMPUTED_VALUE"""),2)</f>
        <v>2</v>
      </c>
      <c r="I197" s="26">
        <f>IFERROR(__xludf.DUMMYFUNCTION("""COMPUTED_VALUE"""),1)</f>
        <v>1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IFERROR(__xludf.DUMMYFUNCTION("""COMPUTED_VALUE"""),"TIP (6 Expts)")</f>
        <v>TIP (6 Expts)</v>
      </c>
      <c r="M197" s="26"/>
      <c r="N197" s="26"/>
      <c r="O197" s="26"/>
      <c r="P197" s="26"/>
      <c r="Q197" s="26"/>
      <c r="R197" s="26"/>
    </row>
    <row r="198" ht="13.2" spans="1:18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IFERROR(__xludf.DUMMYFUNCTION("""COMPUTED_VALUE"""),"CS1422")</f>
        <v>CS1422</v>
      </c>
      <c r="E198" s="26" t="str">
        <f>IFERROR(__xludf.DUMMYFUNCTION("""COMPUTED_VALUE"""),"19CS422")</f>
        <v>19CS422</v>
      </c>
      <c r="F198" s="27" t="str">
        <f>IFERROR(__xludf.DUMMYFUNCTION("""COMPUTED_VALUE"""),"Security for IoT Systems")</f>
        <v>Security for IoT Systems</v>
      </c>
      <c r="G198" s="26" t="str">
        <f>IFERROR(__xludf.DUMMYFUNCTION("""COMPUTED_VALUE"""),"-")</f>
        <v>-</v>
      </c>
      <c r="H198" s="26">
        <f>IFERROR(__xludf.DUMMYFUNCTION("""COMPUTED_VALUE"""),3)</f>
        <v>3</v>
      </c>
      <c r="I198" s="26">
        <f>IFERROR(__xludf.DUMMYFUNCTION("""COMPUTED_VALUE"""),0)</f>
        <v>0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IFERROR(__xludf.DUMMYFUNCTION("""COMPUTED_VALUE"""),"Theory")</f>
        <v>Theory</v>
      </c>
      <c r="M198" s="26"/>
      <c r="N198" s="26"/>
      <c r="O198" s="26"/>
      <c r="P198" s="26"/>
      <c r="Q198" s="26"/>
      <c r="R198" s="26"/>
    </row>
    <row r="199" ht="13.2" spans="1:18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IFERROR(__xludf.DUMMYFUNCTION("""COMPUTED_VALUE"""),"CS1516")</f>
        <v>CS1516</v>
      </c>
      <c r="E199" s="26" t="str">
        <f>IFERROR(__xludf.DUMMYFUNCTION("""COMPUTED_VALUE"""),"19CS516")</f>
        <v>19CS516</v>
      </c>
      <c r="F199" s="27" t="str">
        <f>IFERROR(__xludf.DUMMYFUNCTION("""COMPUTED_VALUE"""),"Software Testing and Quality Assurance")</f>
        <v>Software Testing and Quality Assurance</v>
      </c>
      <c r="G199" s="26" t="str">
        <f>IFERROR(__xludf.DUMMYFUNCTION("""COMPUTED_VALUE"""),"-")</f>
        <v>-</v>
      </c>
      <c r="H199" s="26">
        <f>IFERROR(__xludf.DUMMYFUNCTION("""COMPUTED_VALUE"""),3)</f>
        <v>3</v>
      </c>
      <c r="I199" s="26">
        <f>IFERROR(__xludf.DUMMYFUNCTION("""COMPUTED_VALUE"""),0)</f>
        <v>0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IFERROR(__xludf.DUMMYFUNCTION("""COMPUTED_VALUE"""),"Theory")</f>
        <v>Theory</v>
      </c>
      <c r="M199" s="26"/>
      <c r="N199" s="26"/>
      <c r="O199" s="26"/>
      <c r="P199" s="26"/>
      <c r="Q199" s="26"/>
      <c r="R199" s="26"/>
    </row>
    <row r="200" ht="13.2" spans="1:18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IFERROR(__xludf.DUMMYFUNCTION("""COMPUTED_VALUE"""),"CS1533")</f>
        <v>CS1533</v>
      </c>
      <c r="E200" s="26" t="str">
        <f>IFERROR(__xludf.DUMMYFUNCTION("""COMPUTED_VALUE"""),"19CS533")</f>
        <v>19CS533</v>
      </c>
      <c r="F200" s="27" t="str">
        <f>IFERROR(__xludf.DUMMYFUNCTION("""COMPUTED_VALUE"""),"Information Security Intelligence and Analytics using Big Data")</f>
        <v>Information Security Intelligence and Analytics using Big Data</v>
      </c>
      <c r="G200" s="26" t="str">
        <f>IFERROR(__xludf.DUMMYFUNCTION("""COMPUTED_VALUE"""),"-")</f>
        <v>-</v>
      </c>
      <c r="H200" s="26">
        <f>IFERROR(__xludf.DUMMYFUNCTION("""COMPUTED_VALUE"""),2)</f>
        <v>2</v>
      </c>
      <c r="I200" s="26">
        <f>IFERROR(__xludf.DUMMYFUNCTION("""COMPUTED_VALUE"""),1)</f>
        <v>1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IFERROR(__xludf.DUMMYFUNCTION("""COMPUTED_VALUE"""),"TIP (6 Expts)")</f>
        <v>TIP (6 Expts)</v>
      </c>
      <c r="M200" s="26"/>
      <c r="N200" s="26"/>
      <c r="O200" s="26"/>
      <c r="P200" s="26"/>
      <c r="Q200" s="26"/>
      <c r="R200" s="26"/>
    </row>
    <row r="201" ht="13.2" spans="1:18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IFERROR(__xludf.DUMMYFUNCTION("""COMPUTED_VALUE"""),"CS1534")</f>
        <v>CS1534</v>
      </c>
      <c r="E201" s="26" t="str">
        <f>IFERROR(__xludf.DUMMYFUNCTION("""COMPUTED_VALUE"""),"19CS534")</f>
        <v>19CS534</v>
      </c>
      <c r="F201" s="27" t="str">
        <f>IFERROR(__xludf.DUMMYFUNCTION("""COMPUTED_VALUE"""),"Prevention Methodology for Cybersecurity")</f>
        <v>Prevention Methodology for Cybersecurity</v>
      </c>
      <c r="G201" s="26" t="str">
        <f>IFERROR(__xludf.DUMMYFUNCTION("""COMPUTED_VALUE"""),"-")</f>
        <v>-</v>
      </c>
      <c r="H201" s="26">
        <f>IFERROR(__xludf.DUMMYFUNCTION("""COMPUTED_VALUE"""),2)</f>
        <v>2</v>
      </c>
      <c r="I201" s="26">
        <f>IFERROR(__xludf.DUMMYFUNCTION("""COMPUTED_VALUE"""),1)</f>
        <v>1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IFERROR(__xludf.DUMMYFUNCTION("""COMPUTED_VALUE"""),"TIP (6 Expts)")</f>
        <v>TIP (6 Expts)</v>
      </c>
      <c r="M201" s="26"/>
      <c r="N201" s="26"/>
      <c r="O201" s="26"/>
      <c r="P201" s="26"/>
      <c r="Q201" s="26"/>
      <c r="R201" s="26"/>
    </row>
    <row r="202" ht="13.2" spans="1:18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IFERROR(__xludf.DUMMYFUNCTION("""COMPUTED_VALUE"""),"CS1535")</f>
        <v>CS1535</v>
      </c>
      <c r="E202" s="26" t="str">
        <f>IFERROR(__xludf.DUMMYFUNCTION("""COMPUTED_VALUE"""),"19CS535")</f>
        <v>19CS535</v>
      </c>
      <c r="F202" s="27" t="str">
        <f>IFERROR(__xludf.DUMMYFUNCTION("""COMPUTED_VALUE"""),"Trusted Network Systems")</f>
        <v>Trusted Network Systems</v>
      </c>
      <c r="G202" s="26" t="str">
        <f>IFERROR(__xludf.DUMMYFUNCTION("""COMPUTED_VALUE"""),"-")</f>
        <v>-</v>
      </c>
      <c r="H202" s="26">
        <f>IFERROR(__xludf.DUMMYFUNCTION("""COMPUTED_VALUE"""),3)</f>
        <v>3</v>
      </c>
      <c r="I202" s="26">
        <f>IFERROR(__xludf.DUMMYFUNCTION("""COMPUTED_VALUE"""),0)</f>
        <v>0</v>
      </c>
      <c r="J202" s="26">
        <f>IFERROR(__xludf.DUMMYFUNCTION("""COMPUTED_VALUE"""),3)</f>
        <v>3</v>
      </c>
      <c r="K202" s="26" t="str">
        <f>IFERROR(__xludf.DUMMYFUNCTION("""COMPUTED_VALUE"""),"CGPA")</f>
        <v>CGPA</v>
      </c>
      <c r="L202" s="26" t="str">
        <f>IFERROR(__xludf.DUMMYFUNCTION("""COMPUTED_VALUE"""),"Theory")</f>
        <v>Theory</v>
      </c>
      <c r="M202" s="26"/>
      <c r="N202" s="26"/>
      <c r="O202" s="26"/>
      <c r="P202" s="26"/>
      <c r="Q202" s="26"/>
      <c r="R202" s="26"/>
    </row>
    <row r="203" ht="13.2" spans="1:18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IFERROR(__xludf.DUMMYFUNCTION("""COMPUTED_VALUE"""),"CS1536")</f>
        <v>CS1536</v>
      </c>
      <c r="E203" s="26" t="str">
        <f>IFERROR(__xludf.DUMMYFUNCTION("""COMPUTED_VALUE"""),"19CS536")</f>
        <v>19CS536</v>
      </c>
      <c r="F203" s="27" t="str">
        <f>IFERROR(__xludf.DUMMYFUNCTION("""COMPUTED_VALUE"""),"Firewalls and Intrusion Detection System")</f>
        <v>Firewalls and Intrusion Detection System</v>
      </c>
      <c r="G203" s="26" t="str">
        <f>IFERROR(__xludf.DUMMYFUNCTION("""COMPUTED_VALUE"""),"-")</f>
        <v>-</v>
      </c>
      <c r="H203" s="26">
        <f>IFERROR(__xludf.DUMMYFUNCTION("""COMPUTED_VALUE"""),2)</f>
        <v>2</v>
      </c>
      <c r="I203" s="26">
        <f>IFERROR(__xludf.DUMMYFUNCTION("""COMPUTED_VALUE"""),1)</f>
        <v>1</v>
      </c>
      <c r="J203" s="26">
        <f>IFERROR(__xludf.DUMMYFUNCTION("""COMPUTED_VALUE"""),3)</f>
        <v>3</v>
      </c>
      <c r="K203" s="26" t="str">
        <f>IFERROR(__xludf.DUMMYFUNCTION("""COMPUTED_VALUE"""),"CGPA")</f>
        <v>CGPA</v>
      </c>
      <c r="L203" s="26" t="str">
        <f>IFERROR(__xludf.DUMMYFUNCTION("""COMPUTED_VALUE"""),"TIP (6 Expts)")</f>
        <v>TIP (6 Expts)</v>
      </c>
      <c r="M203" s="26"/>
      <c r="N203" s="26"/>
      <c r="O203" s="26"/>
      <c r="P203" s="26"/>
      <c r="Q203" s="26"/>
      <c r="R203" s="26"/>
    </row>
    <row r="204" ht="13.2" spans="1:18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IFERROR(__xludf.DUMMYFUNCTION("""COMPUTED_VALUE"""),"CS1537")</f>
        <v>CS1537</v>
      </c>
      <c r="E204" s="26" t="str">
        <f>IFERROR(__xludf.DUMMYFUNCTION("""COMPUTED_VALUE"""),"19CS537")</f>
        <v>19CS537</v>
      </c>
      <c r="F204" s="27" t="str">
        <f>IFERROR(__xludf.DUMMYFUNCTION("""COMPUTED_VALUE"""),"Secure Software Engineering")</f>
        <v>Secure Software Engineering</v>
      </c>
      <c r="G204" s="26" t="str">
        <f>IFERROR(__xludf.DUMMYFUNCTION("""COMPUTED_VALUE"""),"-")</f>
        <v>-</v>
      </c>
      <c r="H204" s="26">
        <f>IFERROR(__xludf.DUMMYFUNCTION("""COMPUTED_VALUE"""),2)</f>
        <v>2</v>
      </c>
      <c r="I204" s="26">
        <f>IFERROR(__xludf.DUMMYFUNCTION("""COMPUTED_VALUE"""),1)</f>
        <v>1</v>
      </c>
      <c r="J204" s="26">
        <f>IFERROR(__xludf.DUMMYFUNCTION("""COMPUTED_VALUE"""),3)</f>
        <v>3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  <c r="P204" s="26"/>
      <c r="Q204" s="26"/>
      <c r="R204" s="26"/>
    </row>
    <row r="205" ht="13.2" spans="1:18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IFERROR(__xludf.DUMMYFUNCTION("""COMPUTED_VALUE"""),"CS1538")</f>
        <v>CS1538</v>
      </c>
      <c r="E205" s="26" t="str">
        <f>IFERROR(__xludf.DUMMYFUNCTION("""COMPUTED_VALUE"""),"19CS538")</f>
        <v>19CS538</v>
      </c>
      <c r="F205" s="27" t="str">
        <f>IFERROR(__xludf.DUMMYFUNCTION("""COMPUTED_VALUE"""),"System Security")</f>
        <v>System Security</v>
      </c>
      <c r="G205" s="26" t="str">
        <f>IFERROR(__xludf.DUMMYFUNCTION("""COMPUTED_VALUE"""),"-")</f>
        <v>-</v>
      </c>
      <c r="H205" s="26">
        <f>IFERROR(__xludf.DUMMYFUNCTION("""COMPUTED_VALUE"""),3)</f>
        <v>3</v>
      </c>
      <c r="I205" s="26">
        <f>IFERROR(__xludf.DUMMYFUNCTION("""COMPUTED_VALUE"""),0)</f>
        <v>0</v>
      </c>
      <c r="J205" s="26">
        <f>IFERROR(__xludf.DUMMYFUNCTION("""COMPUTED_VALUE"""),3)</f>
        <v>3</v>
      </c>
      <c r="K205" s="26" t="str">
        <f>IFERROR(__xludf.DUMMYFUNCTION("""COMPUTED_VALUE"""),"CGPA")</f>
        <v>CGPA</v>
      </c>
      <c r="L205" s="26" t="str">
        <f>IFERROR(__xludf.DUMMYFUNCTION("""COMPUTED_VALUE"""),"Theory")</f>
        <v>Theory</v>
      </c>
      <c r="M205" s="26"/>
      <c r="N205" s="26"/>
      <c r="O205" s="26"/>
      <c r="P205" s="26"/>
      <c r="Q205" s="26"/>
      <c r="R205" s="26"/>
    </row>
    <row r="206" ht="13.2" spans="1:18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IFERROR(__xludf.DUMMYFUNCTION("""COMPUTED_VALUE"""),"CS1539")</f>
        <v>CS1539</v>
      </c>
      <c r="E206" s="26" t="str">
        <f>IFERROR(__xludf.DUMMYFUNCTION("""COMPUTED_VALUE"""),"19CS539")</f>
        <v>19CS539</v>
      </c>
      <c r="F206" s="27" t="str">
        <f>IFERROR(__xludf.DUMMYFUNCTION("""COMPUTED_VALUE"""),"Hardware Security")</f>
        <v>Hardware Security</v>
      </c>
      <c r="G206" s="26" t="str">
        <f>IFERROR(__xludf.DUMMYFUNCTION("""COMPUTED_VALUE"""),"-")</f>
        <v>-</v>
      </c>
      <c r="H206" s="26">
        <f>IFERROR(__xludf.DUMMYFUNCTION("""COMPUTED_VALUE"""),3)</f>
        <v>3</v>
      </c>
      <c r="I206" s="26">
        <f>IFERROR(__xludf.DUMMYFUNCTION("""COMPUTED_VALUE"""),0)</f>
        <v>0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IFERROR(__xludf.DUMMYFUNCTION("""COMPUTED_VALUE"""),"Theory")</f>
        <v>Theory</v>
      </c>
      <c r="M206" s="26"/>
      <c r="N206" s="26"/>
      <c r="O206" s="26"/>
      <c r="P206" s="26"/>
      <c r="Q206" s="26"/>
      <c r="R206" s="26"/>
    </row>
    <row r="207" ht="13.2" spans="1:18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IFERROR(__xludf.DUMMYFUNCTION("""COMPUTED_VALUE"""),"CS1540")</f>
        <v>CS1540</v>
      </c>
      <c r="E207" s="26" t="str">
        <f>IFERROR(__xludf.DUMMYFUNCTION("""COMPUTED_VALUE"""),"19CS540")</f>
        <v>19CS540</v>
      </c>
      <c r="F207" s="27" t="str">
        <f>IFERROR(__xludf.DUMMYFUNCTION("""COMPUTED_VALUE"""),"Fog Computing")</f>
        <v>Fog Computing</v>
      </c>
      <c r="G207" s="26" t="str">
        <f>IFERROR(__xludf.DUMMYFUNCTION("""COMPUTED_VALUE"""),"-")</f>
        <v>-</v>
      </c>
      <c r="H207" s="26">
        <f>IFERROR(__xludf.DUMMYFUNCTION("""COMPUTED_VALUE"""),3)</f>
        <v>3</v>
      </c>
      <c r="I207" s="26">
        <f>IFERROR(__xludf.DUMMYFUNCTION("""COMPUTED_VALUE"""),0)</f>
        <v>0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IFERROR(__xludf.DUMMYFUNCTION("""COMPUTED_VALUE"""),"Theory")</f>
        <v>Theory</v>
      </c>
      <c r="M207" s="26"/>
      <c r="N207" s="26"/>
      <c r="O207" s="26"/>
      <c r="P207" s="26"/>
      <c r="Q207" s="26"/>
      <c r="R207" s="26"/>
    </row>
    <row r="208" ht="13.2" spans="1:18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IFERROR(__xludf.DUMMYFUNCTION("""COMPUTED_VALUE"""),"CS1543")</f>
        <v>CS1543</v>
      </c>
      <c r="E208" s="26" t="str">
        <f>IFERROR(__xludf.DUMMYFUNCTION("""COMPUTED_VALUE"""),"19CS543")</f>
        <v>19CS543</v>
      </c>
      <c r="F208" s="27" t="str">
        <f>IFERROR(__xludf.DUMMYFUNCTION("""COMPUTED_VALUE"""),"Embedded Board Manufacturing")</f>
        <v>Embedded Board Manufacturing</v>
      </c>
      <c r="G208" s="26" t="str">
        <f>IFERROR(__xludf.DUMMYFUNCTION("""COMPUTED_VALUE"""),"-")</f>
        <v>-</v>
      </c>
      <c r="H208" s="26">
        <f>IFERROR(__xludf.DUMMYFUNCTION("""COMPUTED_VALUE"""),2)</f>
        <v>2</v>
      </c>
      <c r="I208" s="26">
        <f>IFERROR(__xludf.DUMMYFUNCTION("""COMPUTED_VALUE"""),1)</f>
        <v>1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IFERROR(__xludf.DUMMYFUNCTION("""COMPUTED_VALUE"""),"TIP (6 Expts)")</f>
        <v>TIP (6 Expts)</v>
      </c>
      <c r="M208" s="26"/>
      <c r="N208" s="26"/>
      <c r="O208" s="26"/>
      <c r="P208" s="26"/>
      <c r="Q208" s="26"/>
      <c r="R208" s="26"/>
    </row>
    <row r="209" ht="13.2" spans="1:18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IFERROR(__xludf.DUMMYFUNCTION("""COMPUTED_VALUE"""),"CS1548")</f>
        <v>CS1548</v>
      </c>
      <c r="E209" s="26" t="str">
        <f>IFERROR(__xludf.DUMMYFUNCTION("""COMPUTED_VALUE"""),"19CS548")</f>
        <v>19CS548</v>
      </c>
      <c r="F209" s="27" t="str">
        <f>IFERROR(__xludf.DUMMYFUNCTION("""COMPUTED_VALUE"""),"Cloud Services Management")</f>
        <v>Cloud Services Management</v>
      </c>
      <c r="G209" s="26" t="str">
        <f>IFERROR(__xludf.DUMMYFUNCTION("""COMPUTED_VALUE"""),"-")</f>
        <v>-</v>
      </c>
      <c r="H209" s="26">
        <f>IFERROR(__xludf.DUMMYFUNCTION("""COMPUTED_VALUE"""),2)</f>
        <v>2</v>
      </c>
      <c r="I209" s="26">
        <f>IFERROR(__xludf.DUMMYFUNCTION("""COMPUTED_VALUE"""),1)</f>
        <v>1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IFERROR(__xludf.DUMMYFUNCTION("""COMPUTED_VALUE"""),"TIP (6 Expts)")</f>
        <v>TIP (6 Expts)</v>
      </c>
      <c r="M209" s="26"/>
      <c r="N209" s="26"/>
      <c r="O209" s="26"/>
      <c r="P209" s="26"/>
      <c r="Q209" s="26"/>
      <c r="R209" s="26"/>
    </row>
    <row r="210" ht="13.2" spans="1:18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IFERROR(__xludf.DUMMYFUNCTION("""COMPUTED_VALUE"""),"CS1549")</f>
        <v>CS1549</v>
      </c>
      <c r="E210" s="26" t="str">
        <f>IFERROR(__xludf.DUMMYFUNCTION("""COMPUTED_VALUE"""),"19CS549")</f>
        <v>19CS549</v>
      </c>
      <c r="F210" s="27" t="str">
        <f>IFERROR(__xludf.DUMMYFUNCTION("""COMPUTED_VALUE"""),"UI and UX Design")</f>
        <v>UI and UX Design</v>
      </c>
      <c r="G210" s="26" t="str">
        <f>IFERROR(__xludf.DUMMYFUNCTION("""COMPUTED_VALUE"""),"-")</f>
        <v>-</v>
      </c>
      <c r="H210" s="26">
        <f>IFERROR(__xludf.DUMMYFUNCTION("""COMPUTED_VALUE"""),2)</f>
        <v>2</v>
      </c>
      <c r="I210" s="26">
        <f>IFERROR(__xludf.DUMMYFUNCTION("""COMPUTED_VALUE"""),1)</f>
        <v>1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IFERROR(__xludf.DUMMYFUNCTION("""COMPUTED_VALUE"""),"TIP (6 Expts)")</f>
        <v>TIP (6 Expts)</v>
      </c>
      <c r="M210" s="26"/>
      <c r="N210" s="26"/>
      <c r="O210" s="26"/>
      <c r="P210" s="26"/>
      <c r="Q210" s="26"/>
      <c r="R210" s="26"/>
    </row>
    <row r="211" ht="13.2" spans="1:18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IFERROR(__xludf.DUMMYFUNCTION("""COMPUTED_VALUE"""),"CS1551")</f>
        <v>CS1551</v>
      </c>
      <c r="E211" s="26" t="str">
        <f>IFERROR(__xludf.DUMMYFUNCTION("""COMPUTED_VALUE"""),"19CS551")</f>
        <v>19CS551</v>
      </c>
      <c r="F211" s="27" t="str">
        <f>IFERROR(__xludf.DUMMYFUNCTION("""COMPUTED_VALUE"""),"Software Testing and Automation")</f>
        <v>Software Testing and Automation</v>
      </c>
      <c r="G211" s="26" t="str">
        <f>IFERROR(__xludf.DUMMYFUNCTION("""COMPUTED_VALUE"""),"-")</f>
        <v>-</v>
      </c>
      <c r="H211" s="26">
        <f>IFERROR(__xludf.DUMMYFUNCTION("""COMPUTED_VALUE"""),2)</f>
        <v>2</v>
      </c>
      <c r="I211" s="26">
        <f>IFERROR(__xludf.DUMMYFUNCTION("""COMPUTED_VALUE"""),1)</f>
        <v>1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IFERROR(__xludf.DUMMYFUNCTION("""COMPUTED_VALUE"""),"TIP (6 Expts)")</f>
        <v>TIP (6 Expts)</v>
      </c>
      <c r="M211" s="26"/>
      <c r="N211" s="26"/>
      <c r="O211" s="26"/>
      <c r="P211" s="26"/>
      <c r="Q211" s="26"/>
      <c r="R211" s="26"/>
    </row>
    <row r="212" ht="13.2" spans="1:18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IFERROR(__xludf.DUMMYFUNCTION("""COMPUTED_VALUE"""),"CS1552")</f>
        <v>CS1552</v>
      </c>
      <c r="E212" s="26" t="str">
        <f>IFERROR(__xludf.DUMMYFUNCTION("""COMPUTED_VALUE"""),"19CS552")</f>
        <v>19CS552</v>
      </c>
      <c r="F212" s="27" t="str">
        <f>IFERROR(__xludf.DUMMYFUNCTION("""COMPUTED_VALUE"""),"DevOps")</f>
        <v>DevOps</v>
      </c>
      <c r="G212" s="26" t="str">
        <f>IFERROR(__xludf.DUMMYFUNCTION("""COMPUTED_VALUE"""),"-")</f>
        <v>-</v>
      </c>
      <c r="H212" s="26">
        <f>IFERROR(__xludf.DUMMYFUNCTION("""COMPUTED_VALUE"""),2)</f>
        <v>2</v>
      </c>
      <c r="I212" s="26">
        <f>IFERROR(__xludf.DUMMYFUNCTION("""COMPUTED_VALUE"""),1)</f>
        <v>1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IFERROR(__xludf.DUMMYFUNCTION("""COMPUTED_VALUE"""),"TIP (6 Expts)")</f>
        <v>TIP (6 Expts)</v>
      </c>
      <c r="M212" s="26"/>
      <c r="N212" s="26"/>
      <c r="O212" s="26"/>
      <c r="P212" s="26"/>
      <c r="Q212" s="26"/>
      <c r="R212" s="26"/>
    </row>
    <row r="213" ht="13.2" spans="1:18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IFERROR(__xludf.DUMMYFUNCTION("""COMPUTED_VALUE"""),"CS1553")</f>
        <v>CS1553</v>
      </c>
      <c r="E213" s="26" t="str">
        <f>IFERROR(__xludf.DUMMYFUNCTION("""COMPUTED_VALUE"""),"19CS553")</f>
        <v>19CS553</v>
      </c>
      <c r="F213" s="27" t="str">
        <f>IFERROR(__xludf.DUMMYFUNCTION("""COMPUTED_VALUE"""),"Web Application Security")</f>
        <v>Web Application Security</v>
      </c>
      <c r="G213" s="26" t="str">
        <f>IFERROR(__xludf.DUMMYFUNCTION("""COMPUTED_VALUE"""),"-")</f>
        <v>-</v>
      </c>
      <c r="H213" s="26">
        <f>IFERROR(__xludf.DUMMYFUNCTION("""COMPUTED_VALUE"""),2)</f>
        <v>2</v>
      </c>
      <c r="I213" s="26">
        <f>IFERROR(__xludf.DUMMYFUNCTION("""COMPUTED_VALUE"""),1)</f>
        <v>1</v>
      </c>
      <c r="J213" s="26">
        <f>IFERROR(__xludf.DUMMYFUNCTION("""COMPUTED_VALUE"""),3)</f>
        <v>3</v>
      </c>
      <c r="K213" s="26" t="str">
        <f>IFERROR(__xludf.DUMMYFUNCTION("""COMPUTED_VALUE"""),"CGPA")</f>
        <v>CGPA</v>
      </c>
      <c r="L213" s="26" t="str">
        <f>IFERROR(__xludf.DUMMYFUNCTION("""COMPUTED_VALUE"""),"TIP (6 Expts)")</f>
        <v>TIP (6 Expts)</v>
      </c>
      <c r="M213" s="26"/>
      <c r="N213" s="26"/>
      <c r="O213" s="26"/>
      <c r="P213" s="26"/>
      <c r="Q213" s="26"/>
      <c r="R213" s="26"/>
    </row>
    <row r="214" ht="13.2" spans="1:18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IFERROR(__xludf.DUMMYFUNCTION("""COMPUTED_VALUE"""),"CS2406")</f>
        <v>CS2406</v>
      </c>
      <c r="E214" s="26" t="str">
        <f>IFERROR(__xludf.DUMMYFUNCTION("""COMPUTED_VALUE"""),"19IT406")</f>
        <v>19IT406</v>
      </c>
      <c r="F214" s="27" t="str">
        <f>IFERROR(__xludf.DUMMYFUNCTION("""COMPUTED_VALUE"""),"Grid and Cloud Computing")</f>
        <v>Grid and Cloud Computing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IFERROR(__xludf.DUMMYFUNCTION("""COMPUTED_VALUE"""),1)</f>
        <v>1</v>
      </c>
      <c r="J214" s="26">
        <f>IFERROR(__xludf.DUMMYFUNCTION("""COMPUTED_VALUE"""),4)</f>
        <v>4</v>
      </c>
      <c r="K214" s="26" t="str">
        <f>IFERROR(__xludf.DUMMYFUNCTION("""COMPUTED_VALUE"""),"CGPA")</f>
        <v>CGPA</v>
      </c>
      <c r="L214" s="26" t="str">
        <f>IFERROR(__xludf.DUMMYFUNCTION("""COMPUTED_VALUE"""),"TIP (6 Expts)")</f>
        <v>TIP (6 Expts)</v>
      </c>
      <c r="M214" s="26"/>
      <c r="N214" s="26"/>
      <c r="O214" s="26"/>
      <c r="P214" s="26"/>
      <c r="Q214" s="26"/>
      <c r="R214" s="26"/>
    </row>
    <row r="215" ht="13.2" spans="1:18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IFERROR(__xludf.DUMMYFUNCTION("""COMPUTED_VALUE"""),"CS2408")</f>
        <v>CS2408</v>
      </c>
      <c r="E215" s="26" t="str">
        <f>IFERROR(__xludf.DUMMYFUNCTION("""COMPUTED_VALUE"""),"19IT408")</f>
        <v>19IT408</v>
      </c>
      <c r="F215" s="27" t="str">
        <f>IFERROR(__xludf.DUMMYFUNCTION("""COMPUTED_VALUE"""),"Distributed Computing")</f>
        <v>Distributed Computing</v>
      </c>
      <c r="G215" s="26" t="str">
        <f>IFERROR(__xludf.DUMMYFUNCTION("""COMPUTED_VALUE"""),"-")</f>
        <v>-</v>
      </c>
      <c r="H215" s="26">
        <f>IFERROR(__xludf.DUMMYFUNCTION("""COMPUTED_VALUE"""),3)</f>
        <v>3</v>
      </c>
      <c r="I215" s="26">
        <f>IFERROR(__xludf.DUMMYFUNCTION("""COMPUTED_VALUE"""),0)</f>
        <v>0</v>
      </c>
      <c r="J215" s="26">
        <f>IFERROR(__xludf.DUMMYFUNCTION("""COMPUTED_VALUE"""),3)</f>
        <v>3</v>
      </c>
      <c r="K215" s="26" t="str">
        <f>IFERROR(__xludf.DUMMYFUNCTION("""COMPUTED_VALUE"""),"CGPA")</f>
        <v>CGPA</v>
      </c>
      <c r="L215" s="26" t="str">
        <f>IFERROR(__xludf.DUMMYFUNCTION("""COMPUTED_VALUE"""),"Theory")</f>
        <v>Theory</v>
      </c>
      <c r="M215" s="26"/>
      <c r="N215" s="26"/>
      <c r="O215" s="26"/>
      <c r="P215" s="26"/>
      <c r="Q215" s="26"/>
      <c r="R215" s="26"/>
    </row>
    <row r="216" ht="13.2" spans="1:18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IFERROR(__xludf.DUMMYFUNCTION("""COMPUTED_VALUE"""),"CS2501")</f>
        <v>CS2501</v>
      </c>
      <c r="E216" s="26" t="str">
        <f>IFERROR(__xludf.DUMMYFUNCTION("""COMPUTED_VALUE"""),"19IT501")</f>
        <v>19IT501</v>
      </c>
      <c r="F216" s="27" t="str">
        <f>IFERROR(__xludf.DUMMYFUNCTION("""COMPUTED_VALUE"""),"Information Theory and Coding Techniques")</f>
        <v>Information Theory and Coding Techniques</v>
      </c>
      <c r="G216" s="26" t="str">
        <f>IFERROR(__xludf.DUMMYFUNCTION("""COMPUTED_VALUE"""),"-")</f>
        <v>-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  <c r="P216" s="26"/>
      <c r="Q216" s="26"/>
      <c r="R216" s="26"/>
    </row>
    <row r="217" ht="13.2" spans="1:18">
      <c r="A217" s="26">
        <f>IFERROR(__xludf.DUMMYFUNCTION("""COMPUTED_VALUE"""),215)</f>
        <v>215</v>
      </c>
      <c r="B217" s="26"/>
      <c r="C217" s="26" t="str">
        <f>IFERROR(__xludf.DUMMYFUNCTION("""COMPUTED_VALUE"""),"PE")</f>
        <v>PE</v>
      </c>
      <c r="D217" s="26" t="str">
        <f>IFERROR(__xludf.DUMMYFUNCTION("""COMPUTED_VALUE"""),"CS2502")</f>
        <v>CS2502</v>
      </c>
      <c r="E217" s="26" t="str">
        <f>IFERROR(__xludf.DUMMYFUNCTION("""COMPUTED_VALUE"""),"19IT502")</f>
        <v>19IT502</v>
      </c>
      <c r="F217" s="27" t="str">
        <f>IFERROR(__xludf.DUMMYFUNCTION("""COMPUTED_VALUE"""),"Enterprise Resource Planning")</f>
        <v>Enterprise Resource Planning</v>
      </c>
      <c r="G217" s="26" t="str">
        <f>IFERROR(__xludf.DUMMYFUNCTION("""COMPUTED_VALUE"""),"-")</f>
        <v>-</v>
      </c>
      <c r="H217" s="26">
        <f>IFERROR(__xludf.DUMMYFUNCTION("""COMPUTED_VALUE"""),3)</f>
        <v>3</v>
      </c>
      <c r="I217" s="26">
        <f>IFERROR(__xludf.DUMMYFUNCTION("""COMPUTED_VALUE"""),0)</f>
        <v>0</v>
      </c>
      <c r="J217" s="26">
        <f>IFERROR(__xludf.DUMMYFUNCTION("""COMPUTED_VALUE"""),3)</f>
        <v>3</v>
      </c>
      <c r="K217" s="26" t="str">
        <f>IFERROR(__xludf.DUMMYFUNCTION("""COMPUTED_VALUE"""),"CGPA")</f>
        <v>CGPA</v>
      </c>
      <c r="L217" s="26" t="str">
        <f>IFERROR(__xludf.DUMMYFUNCTION("""COMPUTED_VALUE"""),"Theory")</f>
        <v>Theory</v>
      </c>
      <c r="M217" s="26"/>
      <c r="N217" s="26"/>
      <c r="O217" s="26"/>
      <c r="P217" s="26"/>
      <c r="Q217" s="26"/>
      <c r="R217" s="26"/>
    </row>
    <row r="218" ht="13.2" spans="1:18">
      <c r="A218" s="26">
        <f>IFERROR(__xludf.DUMMYFUNCTION("""COMPUTED_VALUE"""),216)</f>
        <v>216</v>
      </c>
      <c r="B218" s="26"/>
      <c r="C218" s="26" t="str">
        <f>IFERROR(__xludf.DUMMYFUNCTION("""COMPUTED_VALUE"""),"PE")</f>
        <v>PE</v>
      </c>
      <c r="D218" s="26" t="str">
        <f>IFERROR(__xludf.DUMMYFUNCTION("""COMPUTED_VALUE"""),"CS2503")</f>
        <v>CS2503</v>
      </c>
      <c r="E218" s="26" t="str">
        <f>IFERROR(__xludf.DUMMYFUNCTION("""COMPUTED_VALUE"""),"19IT503")</f>
        <v>19IT503</v>
      </c>
      <c r="F218" s="27" t="str">
        <f>IFERROR(__xludf.DUMMYFUNCTION("""COMPUTED_VALUE"""),"User Interface Design")</f>
        <v>User Interface Design</v>
      </c>
      <c r="G218" s="26" t="str">
        <f>IFERROR(__xludf.DUMMYFUNCTION("""COMPUTED_VALUE"""),"-")</f>
        <v>-</v>
      </c>
      <c r="H218" s="26">
        <f>IFERROR(__xludf.DUMMYFUNCTION("""COMPUTED_VALUE"""),3)</f>
        <v>3</v>
      </c>
      <c r="I218" s="26">
        <f>IFERROR(__xludf.DUMMYFUNCTION("""COMPUTED_VALUE"""),0)</f>
        <v>0</v>
      </c>
      <c r="J218" s="26">
        <f>IFERROR(__xludf.DUMMYFUNCTION("""COMPUTED_VALUE"""),3)</f>
        <v>3</v>
      </c>
      <c r="K218" s="26" t="str">
        <f>IFERROR(__xludf.DUMMYFUNCTION("""COMPUTED_VALUE"""),"CGPA")</f>
        <v>CGPA</v>
      </c>
      <c r="L218" s="26" t="str">
        <f>IFERROR(__xludf.DUMMYFUNCTION("""COMPUTED_VALUE"""),"Theory")</f>
        <v>Theory</v>
      </c>
      <c r="M218" s="26"/>
      <c r="N218" s="26"/>
      <c r="O218" s="26"/>
      <c r="P218" s="26"/>
      <c r="Q218" s="26"/>
      <c r="R218" s="26"/>
    </row>
    <row r="219" ht="13.2" spans="1:18">
      <c r="A219" s="26">
        <f>IFERROR(__xludf.DUMMYFUNCTION("""COMPUTED_VALUE"""),217)</f>
        <v>217</v>
      </c>
      <c r="B219" s="26"/>
      <c r="C219" s="26" t="str">
        <f>IFERROR(__xludf.DUMMYFUNCTION("""COMPUTED_VALUE"""),"PE")</f>
        <v>PE</v>
      </c>
      <c r="D219" s="26" t="str">
        <f>IFERROR(__xludf.DUMMYFUNCTION("""COMPUTED_VALUE"""),"CS2504")</f>
        <v>CS2504</v>
      </c>
      <c r="E219" s="26" t="str">
        <f>IFERROR(__xludf.DUMMYFUNCTION("""COMPUTED_VALUE"""),"19IT504")</f>
        <v>19IT504</v>
      </c>
      <c r="F219" s="27" t="str">
        <f>IFERROR(__xludf.DUMMYFUNCTION("""COMPUTED_VALUE"""),"Information Storage Management")</f>
        <v>Information Storage Management</v>
      </c>
      <c r="G219" s="26" t="str">
        <f>IFERROR(__xludf.DUMMYFUNCTION("""COMPUTED_VALUE"""),"-")</f>
        <v>-</v>
      </c>
      <c r="H219" s="26">
        <f>IFERROR(__xludf.DUMMYFUNCTION("""COMPUTED_VALUE"""),3)</f>
        <v>3</v>
      </c>
      <c r="I219" s="26">
        <f>IFERROR(__xludf.DUMMYFUNCTION("""COMPUTED_VALUE"""),0)</f>
        <v>0</v>
      </c>
      <c r="J219" s="26">
        <f>IFERROR(__xludf.DUMMYFUNCTION("""COMPUTED_VALUE"""),3)</f>
        <v>3</v>
      </c>
      <c r="K219" s="26" t="str">
        <f>IFERROR(__xludf.DUMMYFUNCTION("""COMPUTED_VALUE"""),"CGPA")</f>
        <v>CGPA</v>
      </c>
      <c r="L219" s="26" t="str">
        <f>IFERROR(__xludf.DUMMYFUNCTION("""COMPUTED_VALUE"""),"Theory")</f>
        <v>Theory</v>
      </c>
      <c r="M219" s="26"/>
      <c r="N219" s="26"/>
      <c r="O219" s="26"/>
      <c r="P219" s="26"/>
      <c r="Q219" s="26"/>
      <c r="R219" s="26"/>
    </row>
    <row r="220" ht="13.2" spans="1:18">
      <c r="A220" s="26">
        <f>IFERROR(__xludf.DUMMYFUNCTION("""COMPUTED_VALUE"""),218)</f>
        <v>218</v>
      </c>
      <c r="B220" s="26"/>
      <c r="C220" s="26" t="str">
        <f>IFERROR(__xludf.DUMMYFUNCTION("""COMPUTED_VALUE"""),"PE")</f>
        <v>PE</v>
      </c>
      <c r="D220" s="26" t="str">
        <f>IFERROR(__xludf.DUMMYFUNCTION("""COMPUTED_VALUE"""),"CS2505")</f>
        <v>CS2505</v>
      </c>
      <c r="E220" s="26" t="str">
        <f>IFERROR(__xludf.DUMMYFUNCTION("""COMPUTED_VALUE"""),"19IT505")</f>
        <v>19IT505</v>
      </c>
      <c r="F220" s="27" t="str">
        <f>IFERROR(__xludf.DUMMYFUNCTION("""COMPUTED_VALUE"""),"Software Design Patterns")</f>
        <v>Software Design Patterns</v>
      </c>
      <c r="G220" s="26" t="str">
        <f>IFERROR(__xludf.DUMMYFUNCTION("""COMPUTED_VALUE"""),"-")</f>
        <v>-</v>
      </c>
      <c r="H220" s="26">
        <f>IFERROR(__xludf.DUMMYFUNCTION("""COMPUTED_VALUE"""),3)</f>
        <v>3</v>
      </c>
      <c r="I220" s="26">
        <f>IFERROR(__xludf.DUMMYFUNCTION("""COMPUTED_VALUE"""),0)</f>
        <v>0</v>
      </c>
      <c r="J220" s="26">
        <f>IFERROR(__xludf.DUMMYFUNCTION("""COMPUTED_VALUE"""),3)</f>
        <v>3</v>
      </c>
      <c r="K220" s="26" t="str">
        <f>IFERROR(__xludf.DUMMYFUNCTION("""COMPUTED_VALUE"""),"CGPA")</f>
        <v>CGPA</v>
      </c>
      <c r="L220" s="26" t="str">
        <f>IFERROR(__xludf.DUMMYFUNCTION("""COMPUTED_VALUE"""),"Theory")</f>
        <v>Theory</v>
      </c>
      <c r="M220" s="26"/>
      <c r="N220" s="26"/>
      <c r="O220" s="26"/>
      <c r="P220" s="26"/>
      <c r="Q220" s="26"/>
      <c r="R220" s="26"/>
    </row>
    <row r="221" ht="13.2" spans="1:18">
      <c r="A221" s="26">
        <f>IFERROR(__xludf.DUMMYFUNCTION("""COMPUTED_VALUE"""),219)</f>
        <v>219</v>
      </c>
      <c r="B221" s="26"/>
      <c r="C221" s="26" t="str">
        <f>IFERROR(__xludf.DUMMYFUNCTION("""COMPUTED_VALUE"""),"PE")</f>
        <v>PE</v>
      </c>
      <c r="D221" s="26" t="str">
        <f>IFERROR(__xludf.DUMMYFUNCTION("""COMPUTED_VALUE"""),"CS2506")</f>
        <v>CS2506</v>
      </c>
      <c r="E221" s="26" t="str">
        <f>IFERROR(__xludf.DUMMYFUNCTION("""COMPUTED_VALUE"""),"19IT506")</f>
        <v>19IT506</v>
      </c>
      <c r="F221" s="27" t="str">
        <f>IFERROR(__xludf.DUMMYFUNCTION("""COMPUTED_VALUE"""),"E-Learning Techniques")</f>
        <v>E-Learning Techniques</v>
      </c>
      <c r="G221" s="26" t="str">
        <f>IFERROR(__xludf.DUMMYFUNCTION("""COMPUTED_VALUE"""),"-")</f>
        <v>-</v>
      </c>
      <c r="H221" s="26">
        <f>IFERROR(__xludf.DUMMYFUNCTION("""COMPUTED_VALUE"""),3)</f>
        <v>3</v>
      </c>
      <c r="I221" s="26">
        <f>IFERROR(__xludf.DUMMYFUNCTION("""COMPUTED_VALUE"""),0)</f>
        <v>0</v>
      </c>
      <c r="J221" s="26">
        <f>IFERROR(__xludf.DUMMYFUNCTION("""COMPUTED_VALUE"""),3)</f>
        <v>3</v>
      </c>
      <c r="K221" s="26" t="str">
        <f>IFERROR(__xludf.DUMMYFUNCTION("""COMPUTED_VALUE"""),"CGPA")</f>
        <v>CGPA</v>
      </c>
      <c r="L221" s="26" t="str">
        <f>IFERROR(__xludf.DUMMYFUNCTION("""COMPUTED_VALUE"""),"Theory")</f>
        <v>Theory</v>
      </c>
      <c r="M221" s="26"/>
      <c r="N221" s="26"/>
      <c r="O221" s="26"/>
      <c r="P221" s="26"/>
      <c r="Q221" s="26"/>
      <c r="R221" s="26"/>
    </row>
    <row r="222" ht="13.2" spans="1:18">
      <c r="A222" s="26">
        <f>IFERROR(__xludf.DUMMYFUNCTION("""COMPUTED_VALUE"""),220)</f>
        <v>220</v>
      </c>
      <c r="B222" s="26"/>
      <c r="C222" s="26" t="str">
        <f>IFERROR(__xludf.DUMMYFUNCTION("""COMPUTED_VALUE"""),"PE")</f>
        <v>PE</v>
      </c>
      <c r="D222" s="26" t="str">
        <f>IFERROR(__xludf.DUMMYFUNCTION("""COMPUTED_VALUE"""),"CS2508")</f>
        <v>CS2508</v>
      </c>
      <c r="E222" s="26" t="str">
        <f>IFERROR(__xludf.DUMMYFUNCTION("""COMPUTED_VALUE"""),"19IT508")</f>
        <v>19IT508</v>
      </c>
      <c r="F222" s="27" t="str">
        <f>IFERROR(__xludf.DUMMYFUNCTION("""COMPUTED_VALUE"""),"TCP/IP Design and Implementation")</f>
        <v>TCP/IP Design and Implementation</v>
      </c>
      <c r="G222" s="26" t="str">
        <f>IFERROR(__xludf.DUMMYFUNCTION("""COMPUTED_VALUE"""),"-")</f>
        <v>-</v>
      </c>
      <c r="H222" s="26">
        <f>IFERROR(__xludf.DUMMYFUNCTION("""COMPUTED_VALUE"""),3)</f>
        <v>3</v>
      </c>
      <c r="I222" s="26">
        <f>IFERROR(__xludf.DUMMYFUNCTION("""COMPUTED_VALUE"""),0)</f>
        <v>0</v>
      </c>
      <c r="J222" s="26">
        <f>IFERROR(__xludf.DUMMYFUNCTION("""COMPUTED_VALUE"""),3)</f>
        <v>3</v>
      </c>
      <c r="K222" s="26" t="str">
        <f>IFERROR(__xludf.DUMMYFUNCTION("""COMPUTED_VALUE"""),"CGPA")</f>
        <v>CGPA</v>
      </c>
      <c r="L222" s="26" t="str">
        <f>IFERROR(__xludf.DUMMYFUNCTION("""COMPUTED_VALUE"""),"Theory")</f>
        <v>Theory</v>
      </c>
      <c r="M222" s="26"/>
      <c r="N222" s="26"/>
      <c r="O222" s="26"/>
      <c r="P222" s="26"/>
      <c r="Q222" s="26"/>
      <c r="R222" s="26"/>
    </row>
    <row r="223" ht="13.2" spans="1:18">
      <c r="A223" s="26">
        <f>IFERROR(__xludf.DUMMYFUNCTION("""COMPUTED_VALUE"""),221)</f>
        <v>221</v>
      </c>
      <c r="B223" s="26"/>
      <c r="C223" s="26" t="str">
        <f>IFERROR(__xludf.DUMMYFUNCTION("""COMPUTED_VALUE"""),"PE")</f>
        <v>PE</v>
      </c>
      <c r="D223" s="26" t="str">
        <f>IFERROR(__xludf.DUMMYFUNCTION("""COMPUTED_VALUE"""),"CS2509")</f>
        <v>CS2509</v>
      </c>
      <c r="E223" s="26" t="str">
        <f>IFERROR(__xludf.DUMMYFUNCTION("""COMPUTED_VALUE"""),"19IT509")</f>
        <v>19IT509</v>
      </c>
      <c r="F223" s="27" t="str">
        <f>IFERROR(__xludf.DUMMYFUNCTION("""COMPUTED_VALUE"""),"Advanced Algorithms")</f>
        <v>Advanced Algorithms</v>
      </c>
      <c r="G223" s="26" t="str">
        <f>IFERROR(__xludf.DUMMYFUNCTION("""COMPUTED_VALUE"""),"-")</f>
        <v>-</v>
      </c>
      <c r="H223" s="26">
        <f>IFERROR(__xludf.DUMMYFUNCTION("""COMPUTED_VALUE"""),3)</f>
        <v>3</v>
      </c>
      <c r="I223" s="26">
        <f>IFERROR(__xludf.DUMMYFUNCTION("""COMPUTED_VALUE"""),0)</f>
        <v>0</v>
      </c>
      <c r="J223" s="26">
        <f>IFERROR(__xludf.DUMMYFUNCTION("""COMPUTED_VALUE"""),3)</f>
        <v>3</v>
      </c>
      <c r="K223" s="26" t="str">
        <f>IFERROR(__xludf.DUMMYFUNCTION("""COMPUTED_VALUE"""),"CGPA")</f>
        <v>CGPA</v>
      </c>
      <c r="L223" s="26" t="str">
        <f>IFERROR(__xludf.DUMMYFUNCTION("""COMPUTED_VALUE"""),"Theory")</f>
        <v>Theory</v>
      </c>
      <c r="M223" s="26"/>
      <c r="N223" s="26"/>
      <c r="O223" s="26"/>
      <c r="P223" s="26"/>
      <c r="Q223" s="26"/>
      <c r="R223" s="26"/>
    </row>
    <row r="224" ht="13.2" spans="1:18">
      <c r="A224" s="26">
        <f>IFERROR(__xludf.DUMMYFUNCTION("""COMPUTED_VALUE"""),222)</f>
        <v>222</v>
      </c>
      <c r="B224" s="26"/>
      <c r="C224" s="26" t="str">
        <f>IFERROR(__xludf.DUMMYFUNCTION("""COMPUTED_VALUE"""),"PE")</f>
        <v>PE</v>
      </c>
      <c r="D224" s="26" t="str">
        <f>IFERROR(__xludf.DUMMYFUNCTION("""COMPUTED_VALUE"""),"CS2510")</f>
        <v>CS2510</v>
      </c>
      <c r="E224" s="26" t="str">
        <f>IFERROR(__xludf.DUMMYFUNCTION("""COMPUTED_VALUE"""),"19IT510")</f>
        <v>19IT510</v>
      </c>
      <c r="F224" s="27" t="str">
        <f>IFERROR(__xludf.DUMMYFUNCTION("""COMPUTED_VALUE"""),"Ethical Hacking")</f>
        <v>Ethical Hacking</v>
      </c>
      <c r="G224" s="26" t="str">
        <f>IFERROR(__xludf.DUMMYFUNCTION("""COMPUTED_VALUE"""),"-")</f>
        <v>-</v>
      </c>
      <c r="H224" s="26">
        <f>IFERROR(__xludf.DUMMYFUNCTION("""COMPUTED_VALUE"""),3)</f>
        <v>3</v>
      </c>
      <c r="I224" s="26">
        <f>IFERROR(__xludf.DUMMYFUNCTION("""COMPUTED_VALUE"""),0)</f>
        <v>0</v>
      </c>
      <c r="J224" s="26">
        <f>IFERROR(__xludf.DUMMYFUNCTION("""COMPUTED_VALUE"""),3)</f>
        <v>3</v>
      </c>
      <c r="K224" s="26" t="str">
        <f>IFERROR(__xludf.DUMMYFUNCTION("""COMPUTED_VALUE"""),"CGPA")</f>
        <v>CGPA</v>
      </c>
      <c r="L224" s="26" t="str">
        <f>IFERROR(__xludf.DUMMYFUNCTION("""COMPUTED_VALUE"""),"Theory")</f>
        <v>Theory</v>
      </c>
      <c r="M224" s="26"/>
      <c r="N224" s="26"/>
      <c r="O224" s="26"/>
      <c r="P224" s="26"/>
      <c r="Q224" s="26"/>
      <c r="R224" s="26"/>
    </row>
    <row r="225" ht="13.2" spans="1:18">
      <c r="A225" s="26">
        <f>IFERROR(__xludf.DUMMYFUNCTION("""COMPUTED_VALUE"""),223)</f>
        <v>223</v>
      </c>
      <c r="B225" s="26"/>
      <c r="C225" s="26" t="str">
        <f>IFERROR(__xludf.DUMMYFUNCTION("""COMPUTED_VALUE"""),"PE")</f>
        <v>PE</v>
      </c>
      <c r="D225" s="26" t="str">
        <f>IFERROR(__xludf.DUMMYFUNCTION("""COMPUTED_VALUE"""),"CS2511")</f>
        <v>CS2511</v>
      </c>
      <c r="E225" s="26" t="str">
        <f>IFERROR(__xludf.DUMMYFUNCTION("""COMPUTED_VALUE"""),"19IT511")</f>
        <v>19IT511</v>
      </c>
      <c r="F225" s="27" t="str">
        <f>IFERROR(__xludf.DUMMYFUNCTION("""COMPUTED_VALUE"""),"DHTML and XML")</f>
        <v>DHTML and XML</v>
      </c>
      <c r="G225" s="26" t="str">
        <f>IFERROR(__xludf.DUMMYFUNCTION("""COMPUTED_VALUE"""),"-")</f>
        <v>-</v>
      </c>
      <c r="H225" s="26">
        <f>IFERROR(__xludf.DUMMYFUNCTION("""COMPUTED_VALUE"""),3)</f>
        <v>3</v>
      </c>
      <c r="I225" s="26">
        <f>IFERROR(__xludf.DUMMYFUNCTION("""COMPUTED_VALUE"""),0)</f>
        <v>0</v>
      </c>
      <c r="J225" s="26">
        <f>IFERROR(__xludf.DUMMYFUNCTION("""COMPUTED_VALUE"""),3)</f>
        <v>3</v>
      </c>
      <c r="K225" s="26" t="str">
        <f>IFERROR(__xludf.DUMMYFUNCTION("""COMPUTED_VALUE"""),"CGPA")</f>
        <v>CGPA</v>
      </c>
      <c r="L225" s="26" t="str">
        <f>IFERROR(__xludf.DUMMYFUNCTION("""COMPUTED_VALUE"""),"Theory")</f>
        <v>Theory</v>
      </c>
      <c r="M225" s="26"/>
      <c r="N225" s="26"/>
      <c r="O225" s="26"/>
      <c r="P225" s="26"/>
      <c r="Q225" s="26"/>
      <c r="R225" s="26"/>
    </row>
    <row r="226" ht="13.2" spans="1:18">
      <c r="A226" s="26">
        <f>IFERROR(__xludf.DUMMYFUNCTION("""COMPUTED_VALUE"""),224)</f>
        <v>224</v>
      </c>
      <c r="B226" s="26"/>
      <c r="C226" s="26" t="str">
        <f>IFERROR(__xludf.DUMMYFUNCTION("""COMPUTED_VALUE"""),"PE")</f>
        <v>PE</v>
      </c>
      <c r="D226" s="26" t="str">
        <f>IFERROR(__xludf.DUMMYFUNCTION("""COMPUTED_VALUE"""),"CS2512")</f>
        <v>CS2512</v>
      </c>
      <c r="E226" s="26" t="str">
        <f>IFERROR(__xludf.DUMMYFUNCTION("""COMPUTED_VALUE"""),"19IT512")</f>
        <v>19IT512</v>
      </c>
      <c r="F226" s="27" t="str">
        <f>IFERROR(__xludf.DUMMYFUNCTION("""COMPUTED_VALUE"""),"E-Commerce")</f>
        <v>E-Commerce</v>
      </c>
      <c r="G226" s="26" t="str">
        <f>IFERROR(__xludf.DUMMYFUNCTION("""COMPUTED_VALUE"""),"-")</f>
        <v>-</v>
      </c>
      <c r="H226" s="26">
        <f>IFERROR(__xludf.DUMMYFUNCTION("""COMPUTED_VALUE"""),3)</f>
        <v>3</v>
      </c>
      <c r="I226" s="26">
        <f>IFERROR(__xludf.DUMMYFUNCTION("""COMPUTED_VALUE"""),0)</f>
        <v>0</v>
      </c>
      <c r="J226" s="26">
        <f>IFERROR(__xludf.DUMMYFUNCTION("""COMPUTED_VALUE"""),3)</f>
        <v>3</v>
      </c>
      <c r="K226" s="26" t="str">
        <f>IFERROR(__xludf.DUMMYFUNCTION("""COMPUTED_VALUE"""),"CGPA")</f>
        <v>CGPA</v>
      </c>
      <c r="L226" s="26" t="str">
        <f>IFERROR(__xludf.DUMMYFUNCTION("""COMPUTED_VALUE"""),"Theory")</f>
        <v>Theory</v>
      </c>
      <c r="M226" s="26"/>
      <c r="N226" s="26"/>
      <c r="O226" s="26"/>
      <c r="P226" s="26"/>
      <c r="Q226" s="26"/>
      <c r="R226" s="26"/>
    </row>
    <row r="227" ht="13.2" spans="1:18">
      <c r="A227" s="26">
        <f>IFERROR(__xludf.DUMMYFUNCTION("""COMPUTED_VALUE"""),225)</f>
        <v>225</v>
      </c>
      <c r="B227" s="26"/>
      <c r="C227" s="26" t="str">
        <f>IFERROR(__xludf.DUMMYFUNCTION("""COMPUTED_VALUE"""),"PE")</f>
        <v>PE</v>
      </c>
      <c r="D227" s="26" t="str">
        <f>IFERROR(__xludf.DUMMYFUNCTION("""COMPUTED_VALUE"""),"CS2513")</f>
        <v>CS2513</v>
      </c>
      <c r="E227" s="26" t="str">
        <f>IFERROR(__xludf.DUMMYFUNCTION("""COMPUTED_VALUE"""),"19IT513")</f>
        <v>19IT513</v>
      </c>
      <c r="F227" s="27" t="str">
        <f>IFERROR(__xludf.DUMMYFUNCTION("""COMPUTED_VALUE"""),"Free Open Source Software")</f>
        <v>Free Open Source Software</v>
      </c>
      <c r="G227" s="26" t="str">
        <f>IFERROR(__xludf.DUMMYFUNCTION("""COMPUTED_VALUE"""),"-")</f>
        <v>-</v>
      </c>
      <c r="H227" s="26">
        <f>IFERROR(__xludf.DUMMYFUNCTION("""COMPUTED_VALUE"""),3)</f>
        <v>3</v>
      </c>
      <c r="I227" s="26">
        <f>IFERROR(__xludf.DUMMYFUNCTION("""COMPUTED_VALUE"""),0)</f>
        <v>0</v>
      </c>
      <c r="J227" s="26">
        <f>IFERROR(__xludf.DUMMYFUNCTION("""COMPUTED_VALUE"""),3)</f>
        <v>3</v>
      </c>
      <c r="K227" s="26" t="str">
        <f>IFERROR(__xludf.DUMMYFUNCTION("""COMPUTED_VALUE"""),"CGPA")</f>
        <v>CGPA</v>
      </c>
      <c r="L227" s="26" t="str">
        <f>IFERROR(__xludf.DUMMYFUNCTION("""COMPUTED_VALUE"""),"Theory")</f>
        <v>Theory</v>
      </c>
      <c r="M227" s="26"/>
      <c r="N227" s="26"/>
      <c r="O227" s="26"/>
      <c r="P227" s="26"/>
      <c r="Q227" s="26"/>
      <c r="R227" s="26"/>
    </row>
    <row r="228" ht="13.2" spans="1:18">
      <c r="A228" s="26">
        <f>IFERROR(__xludf.DUMMYFUNCTION("""COMPUTED_VALUE"""),226)</f>
        <v>226</v>
      </c>
      <c r="B228" s="26"/>
      <c r="C228" s="26" t="str">
        <f>IFERROR(__xludf.DUMMYFUNCTION("""COMPUTED_VALUE"""),"PE")</f>
        <v>PE</v>
      </c>
      <c r="D228" s="26" t="str">
        <f>IFERROR(__xludf.DUMMYFUNCTION("""COMPUTED_VALUE"""),"CS2514")</f>
        <v>CS2514</v>
      </c>
      <c r="E228" s="26" t="str">
        <f>IFERROR(__xludf.DUMMYFUNCTION("""COMPUTED_VALUE"""),"19IT514")</f>
        <v>19IT514</v>
      </c>
      <c r="F228" s="27" t="str">
        <f>IFERROR(__xludf.DUMMYFUNCTION("""COMPUTED_VALUE"""),"Real Time Operating Systems")</f>
        <v>Real Time Operating Systems</v>
      </c>
      <c r="G228" s="26" t="str">
        <f>IFERROR(__xludf.DUMMYFUNCTION("""COMPUTED_VALUE"""),"-")</f>
        <v>-</v>
      </c>
      <c r="H228" s="26">
        <f>IFERROR(__xludf.DUMMYFUNCTION("""COMPUTED_VALUE"""),3)</f>
        <v>3</v>
      </c>
      <c r="I228" s="26">
        <f>IFERROR(__xludf.DUMMYFUNCTION("""COMPUTED_VALUE"""),0)</f>
        <v>0</v>
      </c>
      <c r="J228" s="26">
        <f>IFERROR(__xludf.DUMMYFUNCTION("""COMPUTED_VALUE"""),3)</f>
        <v>3</v>
      </c>
      <c r="K228" s="26" t="str">
        <f>IFERROR(__xludf.DUMMYFUNCTION("""COMPUTED_VALUE"""),"CGPA")</f>
        <v>CGPA</v>
      </c>
      <c r="L228" s="26" t="str">
        <f>IFERROR(__xludf.DUMMYFUNCTION("""COMPUTED_VALUE"""),"Theory")</f>
        <v>Theory</v>
      </c>
      <c r="M228" s="26"/>
      <c r="N228" s="26"/>
      <c r="O228" s="26"/>
      <c r="P228" s="26"/>
      <c r="Q228" s="26"/>
      <c r="R228" s="26"/>
    </row>
    <row r="229" ht="13.2" spans="1:18">
      <c r="A229" s="26">
        <f>IFERROR(__xludf.DUMMYFUNCTION("""COMPUTED_VALUE"""),227)</f>
        <v>227</v>
      </c>
      <c r="B229" s="26"/>
      <c r="C229" s="26" t="str">
        <f>IFERROR(__xludf.DUMMYFUNCTION("""COMPUTED_VALUE"""),"PE")</f>
        <v>PE</v>
      </c>
      <c r="D229" s="26" t="str">
        <f>IFERROR(__xludf.DUMMYFUNCTION("""COMPUTED_VALUE"""),"CS2515")</f>
        <v>CS2515</v>
      </c>
      <c r="E229" s="26" t="str">
        <f>IFERROR(__xludf.DUMMYFUNCTION("""COMPUTED_VALUE"""),"19IT515")</f>
        <v>19IT515</v>
      </c>
      <c r="F229" s="27" t="str">
        <f>IFERROR(__xludf.DUMMYFUNCTION("""COMPUTED_VALUE"""),"Software Agents")</f>
        <v>Software Agents</v>
      </c>
      <c r="G229" s="26" t="str">
        <f>IFERROR(__xludf.DUMMYFUNCTION("""COMPUTED_VALUE"""),"-")</f>
        <v>-</v>
      </c>
      <c r="H229" s="26">
        <f>IFERROR(__xludf.DUMMYFUNCTION("""COMPUTED_VALUE"""),3)</f>
        <v>3</v>
      </c>
      <c r="I229" s="26">
        <f>IFERROR(__xludf.DUMMYFUNCTION("""COMPUTED_VALUE"""),0)</f>
        <v>0</v>
      </c>
      <c r="J229" s="26">
        <f>IFERROR(__xludf.DUMMYFUNCTION("""COMPUTED_VALUE"""),3)</f>
        <v>3</v>
      </c>
      <c r="K229" s="26" t="str">
        <f>IFERROR(__xludf.DUMMYFUNCTION("""COMPUTED_VALUE"""),"CGPA")</f>
        <v>CGPA</v>
      </c>
      <c r="L229" s="26" t="str">
        <f>IFERROR(__xludf.DUMMYFUNCTION("""COMPUTED_VALUE"""),"Theory")</f>
        <v>Theory</v>
      </c>
      <c r="M229" s="26"/>
      <c r="N229" s="26"/>
      <c r="O229" s="26"/>
      <c r="P229" s="26"/>
      <c r="Q229" s="26"/>
      <c r="R229" s="26"/>
    </row>
    <row r="230" ht="13.2" spans="1:18">
      <c r="A230" s="26">
        <f>IFERROR(__xludf.DUMMYFUNCTION("""COMPUTED_VALUE"""),228)</f>
        <v>228</v>
      </c>
      <c r="B230" s="26"/>
      <c r="C230" s="26" t="str">
        <f>IFERROR(__xludf.DUMMYFUNCTION("""COMPUTED_VALUE"""),"PE")</f>
        <v>PE</v>
      </c>
      <c r="D230" s="26" t="str">
        <f>IFERROR(__xludf.DUMMYFUNCTION("""COMPUTED_VALUE"""),"CS2516")</f>
        <v>CS2516</v>
      </c>
      <c r="E230" s="26" t="str">
        <f>IFERROR(__xludf.DUMMYFUNCTION("""COMPUTED_VALUE"""),"19IT516")</f>
        <v>19IT516</v>
      </c>
      <c r="F230" s="27" t="str">
        <f>IFERROR(__xludf.DUMMYFUNCTION("""COMPUTED_VALUE"""),"Business Intelligence and Analytics")</f>
        <v>Business Intelligence and Analytics</v>
      </c>
      <c r="G230" s="26" t="str">
        <f>IFERROR(__xludf.DUMMYFUNCTION("""COMPUTED_VALUE"""),"-")</f>
        <v>-</v>
      </c>
      <c r="H230" s="26">
        <f>IFERROR(__xludf.DUMMYFUNCTION("""COMPUTED_VALUE"""),3)</f>
        <v>3</v>
      </c>
      <c r="I230" s="26">
        <f>IFERROR(__xludf.DUMMYFUNCTION("""COMPUTED_VALUE"""),0)</f>
        <v>0</v>
      </c>
      <c r="J230" s="26">
        <f>IFERROR(__xludf.DUMMYFUNCTION("""COMPUTED_VALUE"""),3)</f>
        <v>3</v>
      </c>
      <c r="K230" s="26" t="str">
        <f>IFERROR(__xludf.DUMMYFUNCTION("""COMPUTED_VALUE"""),"CGPA")</f>
        <v>CGPA</v>
      </c>
      <c r="L230" s="26" t="str">
        <f>IFERROR(__xludf.DUMMYFUNCTION("""COMPUTED_VALUE"""),"Theory")</f>
        <v>Theory</v>
      </c>
      <c r="M230" s="26"/>
      <c r="N230" s="26"/>
      <c r="O230" s="26"/>
      <c r="P230" s="26"/>
      <c r="Q230" s="26"/>
      <c r="R230" s="26"/>
    </row>
    <row r="231" ht="13.2" spans="1:18">
      <c r="A231" s="26">
        <f>IFERROR(__xludf.DUMMYFUNCTION("""COMPUTED_VALUE"""),229)</f>
        <v>229</v>
      </c>
      <c r="B231" s="26"/>
      <c r="C231" s="26" t="str">
        <f>IFERROR(__xludf.DUMMYFUNCTION("""COMPUTED_VALUE"""),"PE")</f>
        <v>PE</v>
      </c>
      <c r="D231" s="26" t="str">
        <f>IFERROR(__xludf.DUMMYFUNCTION("""COMPUTED_VALUE"""),"CS1557")</f>
        <v>CS1557</v>
      </c>
      <c r="E231" s="26" t="str">
        <f>IFERROR(__xludf.DUMMYFUNCTION("""COMPUTED_VALUE"""),"19CS557")</f>
        <v>19CS557</v>
      </c>
      <c r="F231" s="26" t="str">
        <f>IFERROR(__xludf.DUMMYFUNCTION("""COMPUTED_VALUE"""),"Software Defined Networks")</f>
        <v>Software Defined Networks</v>
      </c>
      <c r="G231" s="26" t="str">
        <f>IFERROR(__xludf.DUMMYFUNCTION("""COMPUTED_VALUE"""),"-")</f>
        <v>-</v>
      </c>
      <c r="H231" s="26">
        <f>IFERROR(__xludf.DUMMYFUNCTION("""COMPUTED_VALUE"""),2)</f>
        <v>2</v>
      </c>
      <c r="I231" s="26">
        <f>IFERROR(__xludf.DUMMYFUNCTION("""COMPUTED_VALUE"""),1)</f>
        <v>1</v>
      </c>
      <c r="J231" s="26">
        <f>IFERROR(__xludf.DUMMYFUNCTION("""COMPUTED_VALUE"""),3)</f>
        <v>3</v>
      </c>
      <c r="K231" s="26" t="str">
        <f>IFERROR(__xludf.DUMMYFUNCTION("""COMPUTED_VALUE"""),"CGPA")</f>
        <v>CGPA</v>
      </c>
      <c r="L231" s="26" t="str">
        <f>IFERROR(__xludf.DUMMYFUNCTION("""COMPUTED_VALUE"""),"TIP (6 Expts)")</f>
        <v>TIP (6 Expts)</v>
      </c>
      <c r="M231" s="26"/>
      <c r="N231" s="26"/>
      <c r="O231" s="26"/>
      <c r="P231" s="26"/>
      <c r="Q231" s="26"/>
      <c r="R231" s="26"/>
    </row>
    <row r="232" ht="13.2" spans="1:18">
      <c r="A232" s="26">
        <f>IFERROR(__xludf.DUMMYFUNCTION("""COMPUTED_VALUE"""),230)</f>
        <v>230</v>
      </c>
      <c r="B232" s="26"/>
      <c r="C232" s="26" t="str">
        <f>IFERROR(__xludf.DUMMYFUNCTION("""COMPUTED_VALUE"""),"PE")</f>
        <v>PE</v>
      </c>
      <c r="D232" s="26" t="str">
        <f>IFERROR(__xludf.DUMMYFUNCTION("""COMPUTED_VALUE"""),"CS1556")</f>
        <v>CS1556</v>
      </c>
      <c r="E232" s="26" t="str">
        <f>IFERROR(__xludf.DUMMYFUNCTION("""COMPUTED_VALUE"""),"19CS556")</f>
        <v>19CS556</v>
      </c>
      <c r="F232" s="27" t="str">
        <f>IFERROR(__xludf.DUMMYFUNCTION("""COMPUTED_VALUE"""),"Core Computing Concepts")</f>
        <v>Core Computing Concepts</v>
      </c>
      <c r="G232" s="26" t="str">
        <f>IFERROR(__xludf.DUMMYFUNCTION("""COMPUTED_VALUE"""),"-")</f>
        <v>-</v>
      </c>
      <c r="H232" s="26">
        <f>IFERROR(__xludf.DUMMYFUNCTION("""COMPUTED_VALUE"""),2)</f>
        <v>2</v>
      </c>
      <c r="I232" s="26">
        <f>IFERROR(__xludf.DUMMYFUNCTION("""COMPUTED_VALUE"""),1)</f>
        <v>1</v>
      </c>
      <c r="J232" s="26">
        <f>IFERROR(__xludf.DUMMYFUNCTION("""COMPUTED_VALUE"""),3)</f>
        <v>3</v>
      </c>
      <c r="K232" s="26" t="str">
        <f>IFERROR(__xludf.DUMMYFUNCTION("""COMPUTED_VALUE"""),"CGPA")</f>
        <v>CGPA</v>
      </c>
      <c r="L232" s="26" t="str">
        <f>IFERROR(__xludf.DUMMYFUNCTION("""COMPUTED_VALUE"""),"TIP (6 Expts)")</f>
        <v>TIP (6 Expts)</v>
      </c>
      <c r="M232" s="26"/>
      <c r="N232" s="26"/>
      <c r="O232" s="26"/>
      <c r="P232" s="26"/>
      <c r="Q232" s="26"/>
      <c r="R232" s="26"/>
    </row>
    <row r="233" ht="13.2" spans="1:18">
      <c r="A233" s="26">
        <f>IFERROR(__xludf.DUMMYFUNCTION("""COMPUTED_VALUE"""),231)</f>
        <v>231</v>
      </c>
      <c r="B233" s="26"/>
      <c r="C233" s="26" t="str">
        <f>IFERROR(__xludf.DUMMYFUNCTION("""COMPUTED_VALUE"""),"PE")</f>
        <v>PE</v>
      </c>
      <c r="D233" s="26" t="str">
        <f>IFERROR(__xludf.DUMMYFUNCTION("""COMPUTED_VALUE"""),"CS1547")</f>
        <v>CS1547</v>
      </c>
      <c r="E233" s="26" t="str">
        <f>IFERROR(__xludf.DUMMYFUNCTION("""COMPUTED_VALUE"""),"19CS547")</f>
        <v>19CS547</v>
      </c>
      <c r="F233" s="27" t="str">
        <f>IFERROR(__xludf.DUMMYFUNCTION("""COMPUTED_VALUE"""),"Fundamentals of Cryptocurrency")</f>
        <v>Fundamentals of Cryptocurrency</v>
      </c>
      <c r="G233" s="26" t="str">
        <f>IFERROR(__xludf.DUMMYFUNCTION("""COMPUTED_VALUE"""),"-")</f>
        <v>-</v>
      </c>
      <c r="H233" s="26">
        <f>IFERROR(__xludf.DUMMYFUNCTION("""COMPUTED_VALUE"""),3)</f>
        <v>3</v>
      </c>
      <c r="I233" s="26">
        <f>IFERROR(__xludf.DUMMYFUNCTION("""COMPUTED_VALUE"""),0)</f>
        <v>0</v>
      </c>
      <c r="J233" s="26">
        <f>IFERROR(__xludf.DUMMYFUNCTION("""COMPUTED_VALUE"""),3)</f>
        <v>3</v>
      </c>
      <c r="K233" s="26" t="str">
        <f>IFERROR(__xludf.DUMMYFUNCTION("""COMPUTED_VALUE"""),"CGPA")</f>
        <v>CGPA</v>
      </c>
      <c r="L233" s="26" t="str">
        <f>IFERROR(__xludf.DUMMYFUNCTION("""COMPUTED_VALUE"""),"Theory")</f>
        <v>Theory</v>
      </c>
      <c r="M233" s="26"/>
      <c r="N233" s="26"/>
      <c r="O233" s="26"/>
      <c r="P233" s="26"/>
      <c r="Q233" s="26"/>
      <c r="R233" s="26"/>
    </row>
    <row r="234" ht="13.2" spans="1:18">
      <c r="A234" s="26">
        <f>IFERROR(__xludf.DUMMYFUNCTION("""COMPUTED_VALUE"""),232)</f>
        <v>232</v>
      </c>
      <c r="B234" s="26"/>
      <c r="C234" s="26" t="str">
        <f>IFERROR(__xludf.DUMMYFUNCTION("""COMPUTED_VALUE"""),"PE")</f>
        <v>PE</v>
      </c>
      <c r="D234" s="26" t="str">
        <f>IFERROR(__xludf.DUMMYFUNCTION("""COMPUTED_VALUE"""),"CS1554")</f>
        <v>CS1554</v>
      </c>
      <c r="E234" s="26" t="str">
        <f>IFERROR(__xludf.DUMMYFUNCTION("""COMPUTED_VALUE"""),"19CS554")</f>
        <v>19CS554</v>
      </c>
      <c r="F234" s="26" t="str">
        <f>IFERROR(__xludf.DUMMYFUNCTION("""COMPUTED_VALUE"""),"Stream Processing")</f>
        <v>Stream Processing</v>
      </c>
      <c r="G234" s="26" t="str">
        <f>IFERROR(__xludf.DUMMYFUNCTION("""COMPUTED_VALUE"""),"-")</f>
        <v>-</v>
      </c>
      <c r="H234" s="26">
        <f>IFERROR(__xludf.DUMMYFUNCTION("""COMPUTED_VALUE"""),2)</f>
        <v>2</v>
      </c>
      <c r="I234" s="26">
        <f>IFERROR(__xludf.DUMMYFUNCTION("""COMPUTED_VALUE"""),1)</f>
        <v>1</v>
      </c>
      <c r="J234" s="26">
        <f>IFERROR(__xludf.DUMMYFUNCTION("""COMPUTED_VALUE"""),3)</f>
        <v>3</v>
      </c>
      <c r="K234" s="26" t="str">
        <f>IFERROR(__xludf.DUMMYFUNCTION("""COMPUTED_VALUE"""),"CGPA")</f>
        <v>CGPA</v>
      </c>
      <c r="L234" s="26" t="str">
        <f>IFERROR(__xludf.DUMMYFUNCTION("""COMPUTED_VALUE"""),"TIP (6 Expts)")</f>
        <v>TIP (6 Expts)</v>
      </c>
      <c r="M234" s="26"/>
      <c r="N234" s="26"/>
      <c r="O234" s="26"/>
      <c r="P234" s="26"/>
      <c r="Q234" s="26"/>
      <c r="R234" s="26"/>
    </row>
    <row r="235" ht="13.2" spans="1:18">
      <c r="A235" s="26">
        <f>IFERROR(__xludf.DUMMYFUNCTION("""COMPUTED_VALUE"""),233)</f>
        <v>233</v>
      </c>
      <c r="B235" s="26"/>
      <c r="C235" s="26" t="str">
        <f>IFERROR(__xludf.DUMMYFUNCTION("""COMPUTED_VALUE"""),"PE")</f>
        <v>PE</v>
      </c>
      <c r="D235" s="26" t="str">
        <f>IFERROR(__xludf.DUMMYFUNCTION("""COMPUTED_VALUE"""),"CS1560")</f>
        <v>CS1560</v>
      </c>
      <c r="E235" s="26" t="str">
        <f>IFERROR(__xludf.DUMMYFUNCTION("""COMPUTED_VALUE"""),"19CS560")</f>
        <v>19CS560</v>
      </c>
      <c r="F235" s="26" t="str">
        <f>IFERROR(__xludf.DUMMYFUNCTION("""COMPUTED_VALUE"""),"Smart Contract and Solidity")</f>
        <v>Smart Contract and Solidity</v>
      </c>
      <c r="G235" s="26" t="str">
        <f>IFERROR(__xludf.DUMMYFUNCTION("""COMPUTED_VALUE"""),"-")</f>
        <v>-</v>
      </c>
      <c r="H235" s="26">
        <f>IFERROR(__xludf.DUMMYFUNCTION("""COMPUTED_VALUE"""),2)</f>
        <v>2</v>
      </c>
      <c r="I235" s="26">
        <f>IFERROR(__xludf.DUMMYFUNCTION("""COMPUTED_VALUE"""),1)</f>
        <v>1</v>
      </c>
      <c r="J235" s="26">
        <f>IFERROR(__xludf.DUMMYFUNCTION("""COMPUTED_VALUE"""),3)</f>
        <v>3</v>
      </c>
      <c r="K235" s="26" t="str">
        <f>IFERROR(__xludf.DUMMYFUNCTION("""COMPUTED_VALUE"""),"CGPA")</f>
        <v>CGPA</v>
      </c>
      <c r="L235" s="26" t="str">
        <f>IFERROR(__xludf.DUMMYFUNCTION("""COMPUTED_VALUE"""),"TIP (6 Expts)")</f>
        <v>TIP (6 Expts)</v>
      </c>
      <c r="M235" s="26"/>
      <c r="N235" s="26"/>
      <c r="O235" s="26"/>
      <c r="P235" s="26"/>
      <c r="Q235" s="26"/>
      <c r="R235" s="26"/>
    </row>
    <row r="236" ht="13.2" spans="1:18">
      <c r="A236" s="26">
        <f>IFERROR(__xludf.DUMMYFUNCTION("""COMPUTED_VALUE"""),234)</f>
        <v>234</v>
      </c>
      <c r="B236" s="26"/>
      <c r="C236" s="26" t="str">
        <f>IFERROR(__xludf.DUMMYFUNCTION("""COMPUTED_VALUE"""),"OE")</f>
        <v>OE</v>
      </c>
      <c r="D236" s="26" t="str">
        <f>IFERROR(__xludf.DUMMYFUNCTION("""COMPUTED_VALUE"""),"XXXXXX")</f>
        <v>XXXXXX</v>
      </c>
      <c r="E236" s="26" t="str">
        <f>IFERROR(__xludf.DUMMYFUNCTION("""COMPUTED_VALUE"""),"19XXXXX")</f>
        <v>19XXXXX</v>
      </c>
      <c r="F236" s="26" t="str">
        <f>IFERROR(__xludf.DUMMYFUNCTION("""COMPUTED_VALUE"""),"Open Electives")</f>
        <v>Open Electives</v>
      </c>
      <c r="G236" s="26" t="str">
        <f>IFERROR(__xludf.DUMMYFUNCTION("""COMPUTED_VALUE"""),"-")</f>
        <v>-</v>
      </c>
      <c r="H236" s="26">
        <f>IFERROR(__xludf.DUMMYFUNCTION("""COMPUTED_VALUE"""),0)</f>
        <v>0</v>
      </c>
      <c r="I236" s="26">
        <f>IFERROR(__xludf.DUMMYFUNCTION("""COMPUTED_VALUE"""),0)</f>
        <v>0</v>
      </c>
      <c r="J236" s="26">
        <f>IFERROR(__xludf.DUMMYFUNCTION("""COMPUTED_VALUE"""),0)</f>
        <v>0</v>
      </c>
      <c r="K236" s="26" t="str">
        <f>IFERROR(__xludf.DUMMYFUNCTION("""COMPUTED_VALUE"""),"CGPA")</f>
        <v>CGPA</v>
      </c>
      <c r="L236" s="26" t="str">
        <f>IFERROR(__xludf.DUMMYFUNCTION("""COMPUTED_VALUE"""),"Theory")</f>
        <v>Theory</v>
      </c>
      <c r="M236" s="26"/>
      <c r="N236" s="26"/>
      <c r="O236" s="26"/>
      <c r="P236" s="26"/>
      <c r="Q236" s="26"/>
      <c r="R236" s="26"/>
    </row>
    <row r="237" ht="13.2" spans="1:18">
      <c r="A237" s="26">
        <f>IFERROR(__xludf.DUMMYFUNCTION("""COMPUTED_VALUE"""),235)</f>
        <v>235</v>
      </c>
      <c r="B237" s="26"/>
      <c r="C237" s="26" t="str">
        <f>IFERROR(__xludf.DUMMYFUNCTION("""COMPUTED_VALUE"""),"OE")</f>
        <v>OE</v>
      </c>
      <c r="D237" s="26" t="str">
        <f>IFERROR(__xludf.DUMMYFUNCTION("""COMPUTED_VALUE"""),"XXXXXX")</f>
        <v>XXXXXX</v>
      </c>
      <c r="E237" s="26" t="str">
        <f>IFERROR(__xludf.DUMMYFUNCTION("""COMPUTED_VALUE"""),"19XXXXX")</f>
        <v>19XXXXX</v>
      </c>
      <c r="F237" s="26" t="str">
        <f>IFERROR(__xludf.DUMMYFUNCTION("""COMPUTED_VALUE"""),"Online Courses")</f>
        <v>Online Courses</v>
      </c>
      <c r="G237" s="26" t="str">
        <f>IFERROR(__xludf.DUMMYFUNCTION("""COMPUTED_VALUE"""),"-")</f>
        <v>-</v>
      </c>
      <c r="H237" s="26">
        <f>IFERROR(__xludf.DUMMYFUNCTION("""COMPUTED_VALUE"""),0)</f>
        <v>0</v>
      </c>
      <c r="I237" s="26">
        <f>IFERROR(__xludf.DUMMYFUNCTION("""COMPUTED_VALUE"""),0)</f>
        <v>0</v>
      </c>
      <c r="J237" s="26">
        <f>IFERROR(__xludf.DUMMYFUNCTION("""COMPUTED_VALUE"""),0)</f>
        <v>0</v>
      </c>
      <c r="K237" s="26" t="str">
        <f>IFERROR(__xludf.DUMMYFUNCTION("""COMPUTED_VALUE"""),"CGPA")</f>
        <v>CGPA</v>
      </c>
      <c r="L237" s="26" t="str">
        <f>IFERROR(__xludf.DUMMYFUNCTION("""COMPUTED_VALUE"""),"Experiential Learning")</f>
        <v>Experiential Learning</v>
      </c>
      <c r="M237" s="26"/>
      <c r="N237" s="26"/>
      <c r="O237" s="26"/>
      <c r="P237" s="26"/>
      <c r="Q237" s="26"/>
      <c r="R237" s="26"/>
    </row>
    <row r="238" ht="13.2" spans="1:18">
      <c r="A238" s="26">
        <f>IFERROR(__xludf.DUMMYFUNCTION("""COMPUTED_VALUE"""),236)</f>
        <v>236</v>
      </c>
      <c r="B238" s="26"/>
      <c r="C238" s="26" t="str">
        <f>IFERROR(__xludf.DUMMYFUNCTION("""COMPUTED_VALUE"""),"EEC")</f>
        <v>EEC</v>
      </c>
      <c r="D238" s="26" t="str">
        <f>IFERROR(__xludf.DUMMYFUNCTION("""COMPUTED_VALUE"""),"CS3701")</f>
        <v>CS3701</v>
      </c>
      <c r="E238" s="26" t="str">
        <f>IFERROR(__xludf.DUMMYFUNCTION("""COMPUTED_VALUE"""),"19AI701")</f>
        <v>19AI701</v>
      </c>
      <c r="F238" s="27" t="str">
        <f>IFERROR(__xludf.DUMMYFUNCTION("""COMPUTED_VALUE"""),"Mini Project")</f>
        <v>Mini Project</v>
      </c>
      <c r="G238" s="26" t="str">
        <f>IFERROR(__xludf.DUMMYFUNCTION("""COMPUTED_VALUE"""),"-")</f>
        <v>-</v>
      </c>
      <c r="H238" s="26">
        <f>IFERROR(__xludf.DUMMYFUNCTION("""COMPUTED_VALUE"""),0)</f>
        <v>0</v>
      </c>
      <c r="I238" s="26">
        <f>IFERROR(__xludf.DUMMYFUNCTION("""COMPUTED_VALUE"""),2)</f>
        <v>2</v>
      </c>
      <c r="J238" s="26">
        <f>IFERROR(__xludf.DUMMYFUNCTION("""COMPUTED_VALUE"""),2)</f>
        <v>2</v>
      </c>
      <c r="K238" s="26" t="str">
        <f>IFERROR(__xludf.DUMMYFUNCTION("""COMPUTED_VALUE"""),"CGPA")</f>
        <v>CGPA</v>
      </c>
      <c r="L238" s="26" t="str">
        <f>IFERROR(__xludf.DUMMYFUNCTION("""COMPUTED_VALUE"""),"Project (Int Only)")</f>
        <v>Project (Int Only)</v>
      </c>
      <c r="M238" s="26"/>
      <c r="N238" s="26"/>
      <c r="O238" s="26"/>
      <c r="P238" s="26"/>
      <c r="Q238" s="26"/>
      <c r="R238" s="26"/>
    </row>
    <row r="239" ht="13.2" spans="1:18">
      <c r="A239" s="26">
        <f>IFERROR(__xludf.DUMMYFUNCTION("""COMPUTED_VALUE"""),237)</f>
        <v>237</v>
      </c>
      <c r="B239" s="26"/>
      <c r="C239" s="26" t="str">
        <f>IFERROR(__xludf.DUMMYFUNCTION("""COMPUTED_VALUE"""),"EEC")</f>
        <v>EEC</v>
      </c>
      <c r="D239" s="26" t="str">
        <f>IFERROR(__xludf.DUMMYFUNCTION("""COMPUTED_VALUE"""),"CS3702")</f>
        <v>CS3702</v>
      </c>
      <c r="E239" s="26" t="str">
        <f>IFERROR(__xludf.DUMMYFUNCTION("""COMPUTED_VALUE"""),"19AI702")</f>
        <v>19AI702</v>
      </c>
      <c r="F239" s="27" t="str">
        <f>IFERROR(__xludf.DUMMYFUNCTION("""COMPUTED_VALUE"""),"Project Work I")</f>
        <v>Project Work I</v>
      </c>
      <c r="G239" s="26" t="str">
        <f>IFERROR(__xludf.DUMMYFUNCTION("""COMPUTED_VALUE"""),"-")</f>
        <v>-</v>
      </c>
      <c r="H239" s="26">
        <f>IFERROR(__xludf.DUMMYFUNCTION("""COMPUTED_VALUE"""),0)</f>
        <v>0</v>
      </c>
      <c r="I239" s="26">
        <f>IFERROR(__xludf.DUMMYFUNCTION("""COMPUTED_VALUE"""),2)</f>
        <v>2</v>
      </c>
      <c r="J239" s="26">
        <f>IFERROR(__xludf.DUMMYFUNCTION("""COMPUTED_VALUE"""),2)</f>
        <v>2</v>
      </c>
      <c r="K239" s="26" t="str">
        <f>IFERROR(__xludf.DUMMYFUNCTION("""COMPUTED_VALUE"""),"CGPA")</f>
        <v>CGPA</v>
      </c>
      <c r="L239" s="26" t="str">
        <f>IFERROR(__xludf.DUMMYFUNCTION("""COMPUTED_VALUE"""),"Practical (10 Expts)")</f>
        <v>Practical (10 Expts)</v>
      </c>
      <c r="M239" s="26"/>
      <c r="N239" s="26"/>
      <c r="O239" s="26"/>
      <c r="P239" s="26"/>
      <c r="Q239" s="26"/>
      <c r="R239" s="26"/>
    </row>
    <row r="240" ht="13.2" spans="1:18">
      <c r="A240" s="26">
        <f>IFERROR(__xludf.DUMMYFUNCTION("""COMPUTED_VALUE"""),238)</f>
        <v>238</v>
      </c>
      <c r="B240" s="26"/>
      <c r="C240" s="26" t="str">
        <f>IFERROR(__xludf.DUMMYFUNCTION("""COMPUTED_VALUE"""),"EEC")</f>
        <v>EEC</v>
      </c>
      <c r="D240" s="26" t="str">
        <f>IFERROR(__xludf.DUMMYFUNCTION("""COMPUTED_VALUE"""),"CS3703")</f>
        <v>CS3703</v>
      </c>
      <c r="E240" s="26" t="str">
        <f>IFERROR(__xludf.DUMMYFUNCTION("""COMPUTED_VALUE"""),"19AI703")</f>
        <v>19AI703</v>
      </c>
      <c r="F240" s="27" t="str">
        <f>IFERROR(__xludf.DUMMYFUNCTION("""COMPUTED_VALUE"""),"Project Work II")</f>
        <v>Project Work II</v>
      </c>
      <c r="G240" s="26" t="str">
        <f>IFERROR(__xludf.DUMMYFUNCTION("""COMPUTED_VALUE"""),"19AI702")</f>
        <v>19AI702</v>
      </c>
      <c r="H240" s="26">
        <f>IFERROR(__xludf.DUMMYFUNCTION("""COMPUTED_VALUE"""),0)</f>
        <v>0</v>
      </c>
      <c r="I240" s="26">
        <f>IFERROR(__xludf.DUMMYFUNCTION("""COMPUTED_VALUE"""),6)</f>
        <v>6</v>
      </c>
      <c r="J240" s="26">
        <f>IFERROR(__xludf.DUMMYFUNCTION("""COMPUTED_VALUE"""),6)</f>
        <v>6</v>
      </c>
      <c r="K240" s="26" t="str">
        <f>IFERROR(__xludf.DUMMYFUNCTION("""COMPUTED_VALUE"""),"CGPA")</f>
        <v>CGPA</v>
      </c>
      <c r="L240" s="26" t="str">
        <f>IFERROR(__xludf.DUMMYFUNCTION("""COMPUTED_VALUE"""),"Project")</f>
        <v>Project</v>
      </c>
      <c r="M240" s="26"/>
      <c r="N240" s="26"/>
      <c r="O240" s="26"/>
      <c r="P240" s="26"/>
      <c r="Q240" s="26"/>
      <c r="R240" s="26"/>
    </row>
    <row r="241" ht="13.2" spans="1:18">
      <c r="A241" s="26">
        <f>IFERROR(__xludf.DUMMYFUNCTION("""COMPUTED_VALUE"""),239)</f>
        <v>239</v>
      </c>
      <c r="B241" s="26" t="str">
        <f>IFERROR(__xludf.DUMMYFUNCTION("""COMPUTED_VALUE"""),"Any 1")</f>
        <v>Any 1</v>
      </c>
      <c r="C241" s="26" t="str">
        <f>IFERROR(__xludf.DUMMYFUNCTION("""COMPUTED_VALUE"""),"EEC")</f>
        <v>EEC</v>
      </c>
      <c r="D241" s="26" t="str">
        <f>IFERROR(__xludf.DUMMYFUNCTION("""COMPUTED_VALUE"""),"NA")</f>
        <v>NA</v>
      </c>
      <c r="E241" s="26" t="str">
        <f>IFERROR(__xludf.DUMMYFUNCTION("""COMPUTED_VALUE"""),"19EY701")</f>
        <v>19EY701</v>
      </c>
      <c r="F241" s="27" t="str">
        <f>IFERROR(__xludf.DUMMYFUNCTION("""COMPUTED_VALUE"""),"Softskills")</f>
        <v>Softskills</v>
      </c>
      <c r="G241" s="26" t="str">
        <f>IFERROR(__xludf.DUMMYFUNCTION("""COMPUTED_VALUE"""),"-")</f>
        <v>-</v>
      </c>
      <c r="H241" s="26">
        <f>IFERROR(__xludf.DUMMYFUNCTION("""COMPUTED_VALUE"""),0)</f>
        <v>0</v>
      </c>
      <c r="I241" s="26">
        <f>IFERROR(__xludf.DUMMYFUNCTION("""COMPUTED_VALUE"""),1)</f>
        <v>1</v>
      </c>
      <c r="J241" s="26">
        <f>IFERROR(__xludf.DUMMYFUNCTION("""COMPUTED_VALUE"""),1)</f>
        <v>1</v>
      </c>
      <c r="K241" s="26" t="str">
        <f>IFERROR(__xludf.DUMMYFUNCTION("""COMPUTED_VALUE"""),"CGPA")</f>
        <v>CGPA</v>
      </c>
      <c r="L241" s="26" t="str">
        <f>IFERROR(__xludf.DUMMYFUNCTION("""COMPUTED_VALUE"""),"Practical (6 Expts)")</f>
        <v>Practical (6 Expts)</v>
      </c>
      <c r="M241" s="26"/>
      <c r="N241" s="26"/>
      <c r="O241" s="26"/>
      <c r="P241" s="26"/>
      <c r="Q241" s="26"/>
      <c r="R241" s="26"/>
    </row>
    <row r="242" ht="13.2" spans="1:18">
      <c r="A242" s="26">
        <f>IFERROR(__xludf.DUMMYFUNCTION("""COMPUTED_VALUE"""),240)</f>
        <v>240</v>
      </c>
      <c r="B242" s="26" t="str">
        <f>IFERROR(__xludf.DUMMYFUNCTION("""COMPUTED_VALUE"""),"Any 1")</f>
        <v>Any 1</v>
      </c>
      <c r="C242" s="26" t="str">
        <f>IFERROR(__xludf.DUMMYFUNCTION("""COMPUTED_VALUE"""),"EEC")</f>
        <v>EEC</v>
      </c>
      <c r="D242" s="26" t="str">
        <f>IFERROR(__xludf.DUMMYFUNCTION("""COMPUTED_VALUE"""),"SH6708")</f>
        <v>SH6708</v>
      </c>
      <c r="E242" s="26" t="str">
        <f>IFERROR(__xludf.DUMMYFUNCTION("""COMPUTED_VALUE"""),"19EY708")</f>
        <v>19EY708</v>
      </c>
      <c r="F242" s="27" t="str">
        <f>IFERROR(__xludf.DUMMYFUNCTION("""COMPUTED_VALUE"""),"Career Development Skills")</f>
        <v>Career Development Skills</v>
      </c>
      <c r="G242" s="26" t="str">
        <f>IFERROR(__xludf.DUMMYFUNCTION("""COMPUTED_VALUE"""),"NIL")</f>
        <v>NIL</v>
      </c>
      <c r="H242" s="26">
        <f>IFERROR(__xludf.DUMMYFUNCTION("""COMPUTED_VALUE"""),1)</f>
        <v>1</v>
      </c>
      <c r="I242" s="26">
        <f>IFERROR(__xludf.DUMMYFUNCTION("""COMPUTED_VALUE"""),0)</f>
        <v>0</v>
      </c>
      <c r="J242" s="26">
        <f>IFERROR(__xludf.DUMMYFUNCTION("""COMPUTED_VALUE"""),1)</f>
        <v>1</v>
      </c>
      <c r="K242" s="26" t="str">
        <f>IFERROR(__xludf.DUMMYFUNCTION("""COMPUTED_VALUE"""),"CGPA")</f>
        <v>CGPA</v>
      </c>
      <c r="L242" s="26" t="str">
        <f>IFERROR(__xludf.DUMMYFUNCTION("""COMPUTED_VALUE"""),"Theory (Int Only)")</f>
        <v>Theory (Int Only)</v>
      </c>
      <c r="M242" s="26"/>
      <c r="N242" s="26"/>
      <c r="O242" s="26"/>
      <c r="P242" s="26"/>
      <c r="Q242" s="26"/>
      <c r="R242" s="26"/>
    </row>
    <row r="243" ht="13.2" spans="1:18">
      <c r="A243" s="26">
        <f>IFERROR(__xludf.DUMMYFUNCTION("""COMPUTED_VALUE"""),241)</f>
        <v>241</v>
      </c>
      <c r="B243" s="26" t="str">
        <f>IFERROR(__xludf.DUMMYFUNCTION("""COMPUTED_VALUE"""),"Any 1")</f>
        <v>Any 1</v>
      </c>
      <c r="C243" s="26" t="str">
        <f>IFERROR(__xludf.DUMMYFUNCTION("""COMPUTED_VALUE"""),"EEC")</f>
        <v>EEC</v>
      </c>
      <c r="D243" s="26" t="str">
        <f>IFERROR(__xludf.DUMMYFUNCTION("""COMPUTED_VALUE"""),"NA")</f>
        <v>NA</v>
      </c>
      <c r="E243" s="26" t="str">
        <f>IFERROR(__xludf.DUMMYFUNCTION("""COMPUTED_VALUE"""),"19EY702")</f>
        <v>19EY702</v>
      </c>
      <c r="F243" s="27" t="str">
        <f>IFERROR(__xludf.DUMMYFUNCTION("""COMPUTED_VALUE"""),"Creative Skills for Communication")</f>
        <v>Creative Skills for Communication</v>
      </c>
      <c r="G243" s="26" t="str">
        <f>IFERROR(__xludf.DUMMYFUNCTION("""COMPUTED_VALUE"""),"-")</f>
        <v>-</v>
      </c>
      <c r="H243" s="26">
        <f>IFERROR(__xludf.DUMMYFUNCTION("""COMPUTED_VALUE"""),0)</f>
        <v>0</v>
      </c>
      <c r="I243" s="26">
        <f>IFERROR(__xludf.DUMMYFUNCTION("""COMPUTED_VALUE"""),1)</f>
        <v>1</v>
      </c>
      <c r="J243" s="26">
        <f>IFERROR(__xludf.DUMMYFUNCTION("""COMPUTED_VALUE"""),1)</f>
        <v>1</v>
      </c>
      <c r="K243" s="26" t="str">
        <f>IFERROR(__xludf.DUMMYFUNCTION("""COMPUTED_VALUE"""),"CGPA")</f>
        <v>CGPA</v>
      </c>
      <c r="L243" s="26" t="str">
        <f>IFERROR(__xludf.DUMMYFUNCTION("""COMPUTED_VALUE"""),"Practical (6 Expts)")</f>
        <v>Practical (6 Expts)</v>
      </c>
      <c r="M243" s="26"/>
      <c r="N243" s="26"/>
      <c r="O243" s="26"/>
      <c r="P243" s="26"/>
      <c r="Q243" s="26"/>
      <c r="R243" s="26"/>
    </row>
    <row r="244" ht="13.2" spans="1:18">
      <c r="A244" s="26">
        <f>IFERROR(__xludf.DUMMYFUNCTION("""COMPUTED_VALUE"""),242)</f>
        <v>242</v>
      </c>
      <c r="B244" s="26" t="str">
        <f>IFERROR(__xludf.DUMMYFUNCTION("""COMPUTED_VALUE"""),"Any 1")</f>
        <v>Any 1</v>
      </c>
      <c r="C244" s="26" t="str">
        <f>IFERROR(__xludf.DUMMYFUNCTION("""COMPUTED_VALUE"""),"EEC")</f>
        <v>EEC</v>
      </c>
      <c r="D244" s="26" t="str">
        <f>IFERROR(__xludf.DUMMYFUNCTION("""COMPUTED_VALUE"""),"SH6709")</f>
        <v>SH6709</v>
      </c>
      <c r="E244" s="26" t="str">
        <f>IFERROR(__xludf.DUMMYFUNCTION("""COMPUTED_VALUE"""),"19EY709")</f>
        <v>19EY709</v>
      </c>
      <c r="F244" s="27" t="str">
        <f>IFERROR(__xludf.DUMMYFUNCTION("""COMPUTED_VALUE"""),"Reasoning Ability")</f>
        <v>Reasoning Ability</v>
      </c>
      <c r="G244" s="26" t="str">
        <f>IFERROR(__xludf.DUMMYFUNCTION("""COMPUTED_VALUE"""),"NIL")</f>
        <v>NIL</v>
      </c>
      <c r="H244" s="26">
        <f>IFERROR(__xludf.DUMMYFUNCTION("""COMPUTED_VALUE"""),1)</f>
        <v>1</v>
      </c>
      <c r="I244" s="26">
        <f>IFERROR(__xludf.DUMMYFUNCTION("""COMPUTED_VALUE"""),0)</f>
        <v>0</v>
      </c>
      <c r="J244" s="26">
        <f>IFERROR(__xludf.DUMMYFUNCTION("""COMPUTED_VALUE"""),1)</f>
        <v>1</v>
      </c>
      <c r="K244" s="26" t="str">
        <f>IFERROR(__xludf.DUMMYFUNCTION("""COMPUTED_VALUE"""),"CGPA")</f>
        <v>CGPA</v>
      </c>
      <c r="L244" s="26" t="str">
        <f>IFERROR(__xludf.DUMMYFUNCTION("""COMPUTED_VALUE"""),"Theory (Int Only)")</f>
        <v>Theory (Int Only)</v>
      </c>
      <c r="M244" s="26"/>
      <c r="N244" s="26"/>
      <c r="O244" s="26"/>
      <c r="P244" s="26"/>
      <c r="Q244" s="26"/>
      <c r="R244" s="26"/>
    </row>
    <row r="245" ht="13.2" spans="1:18">
      <c r="A245" s="26">
        <f>IFERROR(__xludf.DUMMYFUNCTION("""COMPUTED_VALUE"""),243)</f>
        <v>243</v>
      </c>
      <c r="B245" s="26" t="str">
        <f>IFERROR(__xludf.DUMMYFUNCTION("""COMPUTED_VALUE"""),"Option 1")</f>
        <v>Option 1</v>
      </c>
      <c r="C245" s="26" t="str">
        <f>IFERROR(__xludf.DUMMYFUNCTION("""COMPUTED_VALUE"""),"EEC")</f>
        <v>EEC</v>
      </c>
      <c r="D245" s="26" t="str">
        <f>IFERROR(__xludf.DUMMYFUNCTION("""COMPUTED_VALUE"""),"NA")</f>
        <v>NA</v>
      </c>
      <c r="E245" s="26" t="str">
        <f>IFERROR(__xludf.DUMMYFUNCTION("""COMPUTED_VALUE"""),"19EY703")</f>
        <v>19EY703</v>
      </c>
      <c r="F245" s="27" t="str">
        <f>IFERROR(__xludf.DUMMYFUNCTION("""COMPUTED_VALUE"""),"System of Numerical and Logical Terminologies")</f>
        <v>System of Numerical and Logical Terminologies</v>
      </c>
      <c r="G245" s="26" t="str">
        <f>IFERROR(__xludf.DUMMYFUNCTION("""COMPUTED_VALUE"""),"-")</f>
        <v>-</v>
      </c>
      <c r="H245" s="26">
        <f>IFERROR(__xludf.DUMMYFUNCTION("""COMPUTED_VALUE"""),0)</f>
        <v>0</v>
      </c>
      <c r="I245" s="26">
        <f>IFERROR(__xludf.DUMMYFUNCTION("""COMPUTED_VALUE"""),1)</f>
        <v>1</v>
      </c>
      <c r="J245" s="26">
        <f>IFERROR(__xludf.DUMMYFUNCTION("""COMPUTED_VALUE"""),1)</f>
        <v>1</v>
      </c>
      <c r="K245" s="26" t="str">
        <f>IFERROR(__xludf.DUMMYFUNCTION("""COMPUTED_VALUE"""),"CGPA")</f>
        <v>CGPA</v>
      </c>
      <c r="L245" s="26" t="str">
        <f>IFERROR(__xludf.DUMMYFUNCTION("""COMPUTED_VALUE"""),"Practical (6 Expts)")</f>
        <v>Practical (6 Expts)</v>
      </c>
      <c r="M245" s="26"/>
      <c r="N245" s="26"/>
      <c r="O245" s="26"/>
      <c r="P245" s="26"/>
      <c r="Q245" s="26"/>
      <c r="R245" s="26"/>
    </row>
    <row r="246" ht="13.2" spans="1:18">
      <c r="A246" s="26">
        <f>IFERROR(__xludf.DUMMYFUNCTION("""COMPUTED_VALUE"""),244)</f>
        <v>244</v>
      </c>
      <c r="B246" s="26" t="str">
        <f>IFERROR(__xludf.DUMMYFUNCTION("""COMPUTED_VALUE"""),"Option 1")</f>
        <v>Option 1</v>
      </c>
      <c r="C246" s="26" t="str">
        <f>IFERROR(__xludf.DUMMYFUNCTION("""COMPUTED_VALUE"""),"EEC")</f>
        <v>EEC</v>
      </c>
      <c r="D246" s="26" t="str">
        <f>IFERROR(__xludf.DUMMYFUNCTION("""COMPUTED_VALUE"""),"NA")</f>
        <v>NA</v>
      </c>
      <c r="E246" s="26" t="str">
        <f>IFERROR(__xludf.DUMMYFUNCTION("""COMPUTED_VALUE"""),"19EY704")</f>
        <v>19EY704</v>
      </c>
      <c r="F246" s="27" t="str">
        <f>IFERROR(__xludf.DUMMYFUNCTION("""COMPUTED_VALUE"""),"Advanced Quantitative and Logical Reasoning")</f>
        <v>Advanced Quantitative and Logical Reasoning</v>
      </c>
      <c r="G246" s="26" t="str">
        <f>IFERROR(__xludf.DUMMYFUNCTION("""COMPUTED_VALUE"""),"-")</f>
        <v>-</v>
      </c>
      <c r="H246" s="26">
        <f>IFERROR(__xludf.DUMMYFUNCTION("""COMPUTED_VALUE"""),0)</f>
        <v>0</v>
      </c>
      <c r="I246" s="26">
        <f>IFERROR(__xludf.DUMMYFUNCTION("""COMPUTED_VALUE"""),1)</f>
        <v>1</v>
      </c>
      <c r="J246" s="26">
        <f>IFERROR(__xludf.DUMMYFUNCTION("""COMPUTED_VALUE"""),1)</f>
        <v>1</v>
      </c>
      <c r="K246" s="26" t="str">
        <f>IFERROR(__xludf.DUMMYFUNCTION("""COMPUTED_VALUE"""),"CGPA")</f>
        <v>CGPA</v>
      </c>
      <c r="L246" s="26" t="str">
        <f>IFERROR(__xludf.DUMMYFUNCTION("""COMPUTED_VALUE"""),"Practical (6 Expts)")</f>
        <v>Practical (6 Expts)</v>
      </c>
      <c r="M246" s="26"/>
      <c r="N246" s="26"/>
      <c r="O246" s="26"/>
      <c r="P246" s="26"/>
      <c r="Q246" s="26"/>
      <c r="R246" s="26"/>
    </row>
    <row r="247" ht="13.2" spans="1:18">
      <c r="A247" s="26">
        <f>IFERROR(__xludf.DUMMYFUNCTION("""COMPUTED_VALUE"""),245)</f>
        <v>245</v>
      </c>
      <c r="B247" s="26" t="str">
        <f>IFERROR(__xludf.DUMMYFUNCTION("""COMPUTED_VALUE"""),"Option 2")</f>
        <v>Option 2</v>
      </c>
      <c r="C247" s="26" t="str">
        <f>IFERROR(__xludf.DUMMYFUNCTION("""COMPUTED_VALUE"""),"EEC")</f>
        <v>EEC</v>
      </c>
      <c r="D247" s="26" t="str">
        <f>IFERROR(__xludf.DUMMYFUNCTION("""COMPUTED_VALUE"""),"SH6710")</f>
        <v>SH6710</v>
      </c>
      <c r="E247" s="26" t="str">
        <f>IFERROR(__xludf.DUMMYFUNCTION("""COMPUTED_VALUE"""),"19EY710")</f>
        <v>19EY710</v>
      </c>
      <c r="F247" s="27" t="str">
        <f>IFERROR(__xludf.DUMMYFUNCTION("""COMPUTED_VALUE"""),"Quantitative Ability I")</f>
        <v>Quantitative Ability I</v>
      </c>
      <c r="G247" s="26" t="str">
        <f>IFERROR(__xludf.DUMMYFUNCTION("""COMPUTED_VALUE"""),"NIL")</f>
        <v>NIL</v>
      </c>
      <c r="H247" s="26">
        <f>IFERROR(__xludf.DUMMYFUNCTION("""COMPUTED_VALUE"""),1)</f>
        <v>1</v>
      </c>
      <c r="I247" s="26">
        <f>IFERROR(__xludf.DUMMYFUNCTION("""COMPUTED_VALUE"""),0)</f>
        <v>0</v>
      </c>
      <c r="J247" s="26">
        <f>IFERROR(__xludf.DUMMYFUNCTION("""COMPUTED_VALUE"""),1)</f>
        <v>1</v>
      </c>
      <c r="K247" s="26" t="str">
        <f>IFERROR(__xludf.DUMMYFUNCTION("""COMPUTED_VALUE"""),"CGPA")</f>
        <v>CGPA</v>
      </c>
      <c r="L247" s="26" t="str">
        <f>IFERROR(__xludf.DUMMYFUNCTION("""COMPUTED_VALUE"""),"Theory (Int Only)")</f>
        <v>Theory (Int Only)</v>
      </c>
      <c r="M247" s="26"/>
      <c r="N247" s="26"/>
      <c r="O247" s="26"/>
      <c r="P247" s="26"/>
      <c r="Q247" s="26"/>
      <c r="R247" s="26"/>
    </row>
    <row r="248" ht="13.2" spans="1:18">
      <c r="A248" s="26">
        <f>IFERROR(__xludf.DUMMYFUNCTION("""COMPUTED_VALUE"""),246)</f>
        <v>246</v>
      </c>
      <c r="B248" s="26" t="str">
        <f>IFERROR(__xludf.DUMMYFUNCTION("""COMPUTED_VALUE"""),"Option 2")</f>
        <v>Option 2</v>
      </c>
      <c r="C248" s="26" t="str">
        <f>IFERROR(__xludf.DUMMYFUNCTION("""COMPUTED_VALUE"""),"EEC")</f>
        <v>EEC</v>
      </c>
      <c r="D248" s="26" t="str">
        <f>IFERROR(__xludf.DUMMYFUNCTION("""COMPUTED_VALUE"""),"SH6711")</f>
        <v>SH6711</v>
      </c>
      <c r="E248" s="26" t="str">
        <f>IFERROR(__xludf.DUMMYFUNCTION("""COMPUTED_VALUE"""),"19EY711")</f>
        <v>19EY711</v>
      </c>
      <c r="F248" s="27" t="str">
        <f>IFERROR(__xludf.DUMMYFUNCTION("""COMPUTED_VALUE"""),"Quantitative Ability II")</f>
        <v>Quantitative Ability II</v>
      </c>
      <c r="G248" s="26" t="str">
        <f>IFERROR(__xludf.DUMMYFUNCTION("""COMPUTED_VALUE"""),"SH6710 /19EY710")</f>
        <v>SH6710 /19EY710</v>
      </c>
      <c r="H248" s="26">
        <f>IFERROR(__xludf.DUMMYFUNCTION("""COMPUTED_VALUE"""),1)</f>
        <v>1</v>
      </c>
      <c r="I248" s="26">
        <f>IFERROR(__xludf.DUMMYFUNCTION("""COMPUTED_VALUE"""),0)</f>
        <v>0</v>
      </c>
      <c r="J248" s="26">
        <f>IFERROR(__xludf.DUMMYFUNCTION("""COMPUTED_VALUE"""),1)</f>
        <v>1</v>
      </c>
      <c r="K248" s="26" t="str">
        <f>IFERROR(__xludf.DUMMYFUNCTION("""COMPUTED_VALUE"""),"CGPA")</f>
        <v>CGPA</v>
      </c>
      <c r="L248" s="26" t="str">
        <f>IFERROR(__xludf.DUMMYFUNCTION("""COMPUTED_VALUE"""),"Theory (Int Only)")</f>
        <v>Theory (Int Only)</v>
      </c>
      <c r="M248" s="26"/>
      <c r="N248" s="26"/>
      <c r="O248" s="26"/>
      <c r="P248" s="26"/>
      <c r="Q248" s="26"/>
      <c r="R248" s="26"/>
    </row>
    <row r="249" ht="13.2" spans="1:18">
      <c r="A249" s="26">
        <f>IFERROR(__xludf.DUMMYFUNCTION("""COMPUTED_VALUE"""),247)</f>
        <v>247</v>
      </c>
      <c r="B249" s="26" t="str">
        <f>IFERROR(__xludf.DUMMYFUNCTION("""COMPUTED_VALUE"""),"Any 1")</f>
        <v>Any 1</v>
      </c>
      <c r="C249" s="26" t="str">
        <f>IFERROR(__xludf.DUMMYFUNCTION("""COMPUTED_VALUE"""),"EEC")</f>
        <v>EEC</v>
      </c>
      <c r="D249" s="26" t="str">
        <f>IFERROR(__xludf.DUMMYFUNCTION("""COMPUTED_VALUE"""),"NA")</f>
        <v>NA</v>
      </c>
      <c r="E249" s="26" t="str">
        <f>IFERROR(__xludf.DUMMYFUNCTION("""COMPUTED_VALUE"""),"19EY705")</f>
        <v>19EY705</v>
      </c>
      <c r="F249" s="27" t="str">
        <f>IFERROR(__xludf.DUMMYFUNCTION("""COMPUTED_VALUE"""),"Employment Enhancement Skills")</f>
        <v>Employment Enhancement Skills</v>
      </c>
      <c r="G249" s="26" t="str">
        <f>IFERROR(__xludf.DUMMYFUNCTION("""COMPUTED_VALUE"""),"-")</f>
        <v>-</v>
      </c>
      <c r="H249" s="26">
        <f>IFERROR(__xludf.DUMMYFUNCTION("""COMPUTED_VALUE"""),0)</f>
        <v>0</v>
      </c>
      <c r="I249" s="26">
        <f>IFERROR(__xludf.DUMMYFUNCTION("""COMPUTED_VALUE"""),1)</f>
        <v>1</v>
      </c>
      <c r="J249" s="26">
        <f>IFERROR(__xludf.DUMMYFUNCTION("""COMPUTED_VALUE"""),1)</f>
        <v>1</v>
      </c>
      <c r="K249" s="26" t="str">
        <f>IFERROR(__xludf.DUMMYFUNCTION("""COMPUTED_VALUE"""),"CGPA")</f>
        <v>CGPA</v>
      </c>
      <c r="L249" s="26" t="str">
        <f>IFERROR(__xludf.DUMMYFUNCTION("""COMPUTED_VALUE"""),"Practical (6 Expts)")</f>
        <v>Practical (6 Expts)</v>
      </c>
      <c r="M249" s="26"/>
      <c r="N249" s="26"/>
      <c r="O249" s="26"/>
      <c r="P249" s="26"/>
      <c r="Q249" s="26"/>
      <c r="R249" s="26"/>
    </row>
    <row r="250" ht="13.2" spans="1:18">
      <c r="A250" s="26">
        <f>IFERROR(__xludf.DUMMYFUNCTION("""COMPUTED_VALUE"""),248)</f>
        <v>248</v>
      </c>
      <c r="B250" s="26" t="str">
        <f>IFERROR(__xludf.DUMMYFUNCTION("""COMPUTED_VALUE"""),"Any 1")</f>
        <v>Any 1</v>
      </c>
      <c r="C250" s="26" t="str">
        <f>IFERROR(__xludf.DUMMYFUNCTION("""COMPUTED_VALUE"""),"EEC")</f>
        <v>EEC</v>
      </c>
      <c r="D250" s="26" t="str">
        <f>IFERROR(__xludf.DUMMYFUNCTION("""COMPUTED_VALUE"""),"SH6712")</f>
        <v>SH6712</v>
      </c>
      <c r="E250" s="26" t="str">
        <f>IFERROR(__xludf.DUMMYFUNCTION("""COMPUTED_VALUE"""),"19EY712")</f>
        <v>19EY712</v>
      </c>
      <c r="F250" s="27" t="str">
        <f>IFERROR(__xludf.DUMMYFUNCTION("""COMPUTED_VALUE"""),"Employment Enrichment Skills")</f>
        <v>Employment Enrichment Skills</v>
      </c>
      <c r="G250" s="26" t="str">
        <f>IFERROR(__xludf.DUMMYFUNCTION("""COMPUTED_VALUE"""),"19EY702 / 19EY709 / SH6709")</f>
        <v>19EY702 / 19EY709 / SH6709</v>
      </c>
      <c r="H250" s="26">
        <f>IFERROR(__xludf.DUMMYFUNCTION("""COMPUTED_VALUE"""),1)</f>
        <v>1</v>
      </c>
      <c r="I250" s="26">
        <f>IFERROR(__xludf.DUMMYFUNCTION("""COMPUTED_VALUE"""),0)</f>
        <v>0</v>
      </c>
      <c r="J250" s="26">
        <f>IFERROR(__xludf.DUMMYFUNCTION("""COMPUTED_VALUE"""),1)</f>
        <v>1</v>
      </c>
      <c r="K250" s="26" t="str">
        <f>IFERROR(__xludf.DUMMYFUNCTION("""COMPUTED_VALUE"""),"CGPA")</f>
        <v>CGPA</v>
      </c>
      <c r="L250" s="26" t="str">
        <f>IFERROR(__xludf.DUMMYFUNCTION("""COMPUTED_VALUE"""),"Theory (Int Only)")</f>
        <v>Theory (Int Only)</v>
      </c>
      <c r="M250" s="26"/>
      <c r="N250" s="26"/>
      <c r="O250" s="26"/>
      <c r="P250" s="26"/>
      <c r="Q250" s="26"/>
      <c r="R250" s="26"/>
    </row>
    <row r="251" ht="13.2" spans="1:18">
      <c r="A251" s="26">
        <f>IFERROR(__xludf.DUMMYFUNCTION("""COMPUTED_VALUE"""),249)</f>
        <v>249</v>
      </c>
      <c r="B251" s="26" t="str">
        <f>IFERROR(__xludf.DUMMYFUNCTION("""COMPUTED_VALUE"""),"Any 1")</f>
        <v>Any 1</v>
      </c>
      <c r="C251" s="26" t="str">
        <f>IFERROR(__xludf.DUMMYFUNCTION("""COMPUTED_VALUE"""),"EEC")</f>
        <v>EEC</v>
      </c>
      <c r="D251" s="26" t="str">
        <f>IFERROR(__xludf.DUMMYFUNCTION("""COMPUTED_VALUE"""),"NA")</f>
        <v>NA</v>
      </c>
      <c r="E251" s="26" t="str">
        <f>IFERROR(__xludf.DUMMYFUNCTION("""COMPUTED_VALUE"""),"19EY706")</f>
        <v>19EY706</v>
      </c>
      <c r="F251" s="27" t="str">
        <f>IFERROR(__xludf.DUMMYFUNCTION("""COMPUTED_VALUE"""),"Company Specific Assessments For Employability")</f>
        <v>Company Specific Assessments For Employability</v>
      </c>
      <c r="G251" s="26" t="str">
        <f>IFERROR(__xludf.DUMMYFUNCTION("""COMPUTED_VALUE"""),"-")</f>
        <v>-</v>
      </c>
      <c r="H251" s="26">
        <f>IFERROR(__xludf.DUMMYFUNCTION("""COMPUTED_VALUE"""),0)</f>
        <v>0</v>
      </c>
      <c r="I251" s="26">
        <f>IFERROR(__xludf.DUMMYFUNCTION("""COMPUTED_VALUE"""),1)</f>
        <v>1</v>
      </c>
      <c r="J251" s="26">
        <f>IFERROR(__xludf.DUMMYFUNCTION("""COMPUTED_VALUE"""),1)</f>
        <v>1</v>
      </c>
      <c r="K251" s="26" t="str">
        <f>IFERROR(__xludf.DUMMYFUNCTION("""COMPUTED_VALUE"""),"CGPA")</f>
        <v>CGPA</v>
      </c>
      <c r="L251" s="26" t="str">
        <f>IFERROR(__xludf.DUMMYFUNCTION("""COMPUTED_VALUE"""),"Practical (6 Expts)")</f>
        <v>Practical (6 Expts)</v>
      </c>
      <c r="M251" s="26"/>
      <c r="N251" s="26"/>
      <c r="O251" s="26"/>
      <c r="P251" s="26"/>
      <c r="Q251" s="26"/>
      <c r="R251" s="26"/>
    </row>
    <row r="252" ht="13.2" spans="1:18">
      <c r="A252" s="26">
        <f>IFERROR(__xludf.DUMMYFUNCTION("""COMPUTED_VALUE"""),250)</f>
        <v>250</v>
      </c>
      <c r="B252" s="26" t="str">
        <f>IFERROR(__xludf.DUMMYFUNCTION("""COMPUTED_VALUE"""),"Any 1")</f>
        <v>Any 1</v>
      </c>
      <c r="C252" s="26"/>
      <c r="D252" s="26" t="str">
        <f>IFERROR(__xludf.DUMMYFUNCTION("""COMPUTED_VALUE"""),"SH6713")</f>
        <v>SH6713</v>
      </c>
      <c r="E252" s="26" t="str">
        <f>IFERROR(__xludf.DUMMYFUNCTION("""COMPUTED_VALUE"""),"19EY713")</f>
        <v>19EY713</v>
      </c>
      <c r="F252" s="27" t="str">
        <f>IFERROR(__xludf.DUMMYFUNCTION("""COMPUTED_VALUE"""),"Placement Readiness Assessment")</f>
        <v>Placement Readiness Assessment</v>
      </c>
      <c r="G252" s="26" t="str">
        <f>IFERROR(__xludf.DUMMYFUNCTION("""COMPUTED_VALUE"""),"19EY704 / 19EY711/SH6711")</f>
        <v>19EY704 / 19EY711/SH6711</v>
      </c>
      <c r="H252" s="26">
        <f>IFERROR(__xludf.DUMMYFUNCTION("""COMPUTED_VALUE"""),1)</f>
        <v>1</v>
      </c>
      <c r="I252" s="26">
        <f>IFERROR(__xludf.DUMMYFUNCTION("""COMPUTED_VALUE"""),0)</f>
        <v>0</v>
      </c>
      <c r="J252" s="26">
        <f>IFERROR(__xludf.DUMMYFUNCTION("""COMPUTED_VALUE"""),1)</f>
        <v>1</v>
      </c>
      <c r="K252" s="26" t="str">
        <f>IFERROR(__xludf.DUMMYFUNCTION("""COMPUTED_VALUE"""),"CGPA")</f>
        <v>CGPA</v>
      </c>
      <c r="L252" s="26" t="str">
        <f>IFERROR(__xludf.DUMMYFUNCTION("""COMPUTED_VALUE"""),"Theory (Int Only)")</f>
        <v>Theory (Int Only)</v>
      </c>
      <c r="M252" s="26"/>
      <c r="N252" s="26"/>
      <c r="O252" s="26"/>
      <c r="P252" s="26"/>
      <c r="Q252" s="26"/>
      <c r="R252" s="26"/>
    </row>
    <row r="253" ht="13.2" spans="1:18">
      <c r="A253" s="26">
        <f>IFERROR(__xludf.DUMMYFUNCTION("""COMPUTED_VALUE"""),251)</f>
        <v>251</v>
      </c>
      <c r="B253" s="26"/>
      <c r="C253" s="26" t="str">
        <f>IFERROR(__xludf.DUMMYFUNCTION("""COMPUTED_VALUE"""),"EEC")</f>
        <v>EEC</v>
      </c>
      <c r="D253" s="26" t="str">
        <f>IFERROR(__xludf.DUMMYFUNCTION("""COMPUTED_VALUE"""),"SH6707")</f>
        <v>SH6707</v>
      </c>
      <c r="E253" s="26" t="str">
        <f>IFERROR(__xludf.DUMMYFUNCTION("""COMPUTED_VALUE"""),"19EY707")</f>
        <v>19EY707</v>
      </c>
      <c r="F253" s="27" t="str">
        <f>IFERROR(__xludf.DUMMYFUNCTION("""COMPUTED_VALUE"""),"Paper Publication")</f>
        <v>Paper Publication</v>
      </c>
      <c r="G253" s="26" t="str">
        <f>IFERROR(__xludf.DUMMYFUNCTION("""COMPUTED_VALUE"""),"-")</f>
        <v>-</v>
      </c>
      <c r="H253" s="26">
        <f>IFERROR(__xludf.DUMMYFUNCTION("""COMPUTED_VALUE"""),0)</f>
        <v>0</v>
      </c>
      <c r="I253" s="26">
        <f>IFERROR(__xludf.DUMMYFUNCTION("""COMPUTED_VALUE"""),0)</f>
        <v>0</v>
      </c>
      <c r="J253" s="26">
        <f>IFERROR(__xludf.DUMMYFUNCTION("""COMPUTED_VALUE"""),1)</f>
        <v>1</v>
      </c>
      <c r="K253" s="26" t="str">
        <f>IFERROR(__xludf.DUMMYFUNCTION("""COMPUTED_VALUE"""),"NON-CGPA")</f>
        <v>NON-CGPA</v>
      </c>
      <c r="L253" s="26" t="str">
        <f>IFERROR(__xludf.DUMMYFUNCTION("""COMPUTED_VALUE"""),"Experiential Learning (Int Only)")</f>
        <v>Experiential Learning (Int Only)</v>
      </c>
      <c r="M253" s="26"/>
      <c r="N253" s="26"/>
      <c r="O253" s="26"/>
      <c r="P253" s="26"/>
      <c r="Q253" s="26"/>
      <c r="R253" s="26"/>
    </row>
    <row r="254" ht="13.2" spans="1:18">
      <c r="A254" s="26">
        <f>IFERROR(__xludf.DUMMYFUNCTION("""COMPUTED_VALUE"""),252)</f>
        <v>252</v>
      </c>
      <c r="B254" s="26"/>
      <c r="C254" s="26" t="str">
        <f>IFERROR(__xludf.DUMMYFUNCTION("""COMPUTED_VALUE"""),"MC")</f>
        <v>MC</v>
      </c>
      <c r="D254" s="26" t="str">
        <f>IFERROR(__xludf.DUMMYFUNCTION("""COMPUTED_VALUE"""),"NA")</f>
        <v>NA</v>
      </c>
      <c r="E254" s="26" t="str">
        <f>IFERROR(__xludf.DUMMYFUNCTION("""COMPUTED_VALUE"""),"19MC801")</f>
        <v>19MC801</v>
      </c>
      <c r="F254" s="27" t="str">
        <f>IFERROR(__xludf.DUMMYFUNCTION("""COMPUTED_VALUE"""),"Professional Ethics")</f>
        <v>Professional Ethics</v>
      </c>
      <c r="G254" s="26" t="str">
        <f>IFERROR(__xludf.DUMMYFUNCTION("""COMPUTED_VALUE"""),"-")</f>
        <v>-</v>
      </c>
      <c r="H254" s="26">
        <f>IFERROR(__xludf.DUMMYFUNCTION("""COMPUTED_VALUE"""),0)</f>
        <v>0</v>
      </c>
      <c r="I254" s="26">
        <f>IFERROR(__xludf.DUMMYFUNCTION("""COMPUTED_VALUE"""),0)</f>
        <v>0</v>
      </c>
      <c r="J254" s="26">
        <f>IFERROR(__xludf.DUMMYFUNCTION("""COMPUTED_VALUE"""),0)</f>
        <v>0</v>
      </c>
      <c r="K254" s="26" t="str">
        <f>IFERROR(__xludf.DUMMYFUNCTION("""COMPUTED_VALUE"""),"NON - CGPA")</f>
        <v>NON - CGPA</v>
      </c>
      <c r="L254" s="26" t="str">
        <f>IFERROR(__xludf.DUMMYFUNCTION("""COMPUTED_VALUE"""),"Theory (Int Only)")</f>
        <v>Theory (Int Only)</v>
      </c>
      <c r="M254" s="26"/>
      <c r="N254" s="26"/>
      <c r="O254" s="26"/>
      <c r="P254" s="26"/>
      <c r="Q254" s="26"/>
      <c r="R254" s="26"/>
    </row>
    <row r="255" ht="13.2" spans="1:18">
      <c r="A255" s="26">
        <f>IFERROR(__xludf.DUMMYFUNCTION("""COMPUTED_VALUE"""),253)</f>
        <v>253</v>
      </c>
      <c r="B255" s="26"/>
      <c r="C255" s="26" t="str">
        <f>IFERROR(__xludf.DUMMYFUNCTION("""COMPUTED_VALUE"""),"MC")</f>
        <v>MC</v>
      </c>
      <c r="D255" s="26" t="str">
        <f>IFERROR(__xludf.DUMMYFUNCTION("""COMPUTED_VALUE"""),"NA")</f>
        <v>NA</v>
      </c>
      <c r="E255" s="26" t="str">
        <f>IFERROR(__xludf.DUMMYFUNCTION("""COMPUTED_VALUE"""),"19MC802")</f>
        <v>19MC802</v>
      </c>
      <c r="F255" s="27" t="str">
        <f>IFERROR(__xludf.DUMMYFUNCTION("""COMPUTED_VALUE"""),"Environmental Science")</f>
        <v>Environmental Science</v>
      </c>
      <c r="G255" s="26" t="str">
        <f>IFERROR(__xludf.DUMMYFUNCTION("""COMPUTED_VALUE"""),"-")</f>
        <v>-</v>
      </c>
      <c r="H255" s="26">
        <f>IFERROR(__xludf.DUMMYFUNCTION("""COMPUTED_VALUE"""),0)</f>
        <v>0</v>
      </c>
      <c r="I255" s="26">
        <f>IFERROR(__xludf.DUMMYFUNCTION("""COMPUTED_VALUE"""),0)</f>
        <v>0</v>
      </c>
      <c r="J255" s="26">
        <f>IFERROR(__xludf.DUMMYFUNCTION("""COMPUTED_VALUE"""),0)</f>
        <v>0</v>
      </c>
      <c r="K255" s="26" t="str">
        <f>IFERROR(__xludf.DUMMYFUNCTION("""COMPUTED_VALUE"""),"CGPA")</f>
        <v>CGPA</v>
      </c>
      <c r="L255" s="26" t="str">
        <f>IFERROR(__xludf.DUMMYFUNCTION("""COMPUTED_VALUE"""),"Theory (Int Only)")</f>
        <v>Theory (Int Only)</v>
      </c>
      <c r="M255" s="26"/>
      <c r="N255" s="26"/>
      <c r="O255" s="26"/>
      <c r="P255" s="26"/>
      <c r="Q255" s="26"/>
      <c r="R255" s="26"/>
    </row>
    <row r="256" ht="13.2" spans="1:18">
      <c r="A256" s="26">
        <f>IFERROR(__xludf.DUMMYFUNCTION("""COMPUTED_VALUE"""),254)</f>
        <v>254</v>
      </c>
      <c r="B256" s="26"/>
      <c r="C256" s="26" t="str">
        <f>IFERROR(__xludf.DUMMYFUNCTION("""COMPUTED_VALUE"""),"MC")</f>
        <v>MC</v>
      </c>
      <c r="D256" s="26" t="str">
        <f>IFERROR(__xludf.DUMMYFUNCTION("""COMPUTED_VALUE"""),"NA")</f>
        <v>NA</v>
      </c>
      <c r="E256" s="26" t="str">
        <f>IFERROR(__xludf.DUMMYFUNCTION("""COMPUTED_VALUE"""),"19MC803")</f>
        <v>19MC803</v>
      </c>
      <c r="F256" s="27" t="str">
        <f>IFERROR(__xludf.DUMMYFUNCTION("""COMPUTED_VALUE"""),"Constitution of India")</f>
        <v>Constitution of India</v>
      </c>
      <c r="G256" s="26" t="str">
        <f>IFERROR(__xludf.DUMMYFUNCTION("""COMPUTED_VALUE"""),"-")</f>
        <v>-</v>
      </c>
      <c r="H256" s="26">
        <f>IFERROR(__xludf.DUMMYFUNCTION("""COMPUTED_VALUE"""),0)</f>
        <v>0</v>
      </c>
      <c r="I256" s="26">
        <f>IFERROR(__xludf.DUMMYFUNCTION("""COMPUTED_VALUE"""),0)</f>
        <v>0</v>
      </c>
      <c r="J256" s="26">
        <f>IFERROR(__xludf.DUMMYFUNCTION("""COMPUTED_VALUE"""),0)</f>
        <v>0</v>
      </c>
      <c r="K256" s="26" t="str">
        <f>IFERROR(__xludf.DUMMYFUNCTION("""COMPUTED_VALUE"""),"CGPA")</f>
        <v>CGPA</v>
      </c>
      <c r="L256" s="26" t="str">
        <f>IFERROR(__xludf.DUMMYFUNCTION("""COMPUTED_VALUE"""),"Theory (Int Only)")</f>
        <v>Theory (Int Only)</v>
      </c>
      <c r="M256" s="26"/>
      <c r="N256" s="26"/>
      <c r="O256" s="26"/>
      <c r="P256" s="26"/>
      <c r="Q256" s="26"/>
      <c r="R256" s="26"/>
    </row>
    <row r="257" ht="13.2" spans="1:18">
      <c r="A257" s="26">
        <f>IFERROR(__xludf.DUMMYFUNCTION("""COMPUTED_VALUE"""),255)</f>
        <v>255</v>
      </c>
      <c r="B257" s="26"/>
      <c r="C257" s="26" t="str">
        <f>IFERROR(__xludf.DUMMYFUNCTION("""COMPUTED_VALUE"""),"MC")</f>
        <v>MC</v>
      </c>
      <c r="D257" s="26" t="str">
        <f>IFERROR(__xludf.DUMMYFUNCTION("""COMPUTED_VALUE"""),"NA")</f>
        <v>NA</v>
      </c>
      <c r="E257" s="26" t="str">
        <f>IFERROR(__xludf.DUMMYFUNCTION("""COMPUTED_VALUE"""),"19MC804")</f>
        <v>19MC804</v>
      </c>
      <c r="F257" s="26" t="str">
        <f>IFERROR(__xludf.DUMMYFUNCTION("""COMPUTED_VALUE"""),"Internship/Entrepreneurship/Consultancy")</f>
        <v>Internship/Entrepreneurship/Consultancy</v>
      </c>
      <c r="G257" s="26" t="str">
        <f>IFERROR(__xludf.DUMMYFUNCTION("""COMPUTED_VALUE"""),"-")</f>
        <v>-</v>
      </c>
      <c r="H257" s="26">
        <f>IFERROR(__xludf.DUMMYFUNCTION("""COMPUTED_VALUE"""),0)</f>
        <v>0</v>
      </c>
      <c r="I257" s="26">
        <f>IFERROR(__xludf.DUMMYFUNCTION("""COMPUTED_VALUE"""),0)</f>
        <v>0</v>
      </c>
      <c r="J257" s="26">
        <f>IFERROR(__xludf.DUMMYFUNCTION("""COMPUTED_VALUE"""),2)</f>
        <v>2</v>
      </c>
      <c r="K257" s="26" t="str">
        <f>IFERROR(__xludf.DUMMYFUNCTION("""COMPUTED_VALUE"""),"NON-CGPA")</f>
        <v>NON-CGPA</v>
      </c>
      <c r="L257" s="26" t="str">
        <f>IFERROR(__xludf.DUMMYFUNCTION("""COMPUTED_VALUE"""),"Experiential Learning (Int Only)")</f>
        <v>Experiential Learning (Int Only)</v>
      </c>
      <c r="M257" s="26"/>
      <c r="N257" s="26"/>
      <c r="O257" s="26"/>
      <c r="P257" s="26"/>
      <c r="Q257" s="26"/>
      <c r="R257" s="26"/>
    </row>
    <row r="258" ht="13.2" spans="1:18">
      <c r="A258" s="26">
        <f>IFERROR(__xludf.DUMMYFUNCTION("""COMPUTED_VALUE"""),256)</f>
        <v>256</v>
      </c>
      <c r="B258" s="26"/>
      <c r="C258" s="26" t="str">
        <f>IFERROR(__xludf.DUMMYFUNCTION("""COMPUTED_VALUE"""),"MC")</f>
        <v>MC</v>
      </c>
      <c r="D258" s="26" t="str">
        <f>IFERROR(__xludf.DUMMYFUNCTION("""COMPUTED_VALUE"""),"NA")</f>
        <v>NA</v>
      </c>
      <c r="E258" s="26" t="str">
        <f>IFERROR(__xludf.DUMMYFUNCTION("""COMPUTED_VALUE"""),"19MC805")</f>
        <v>19MC805</v>
      </c>
      <c r="F258" s="27" t="str">
        <f>IFERROR(__xludf.DUMMYFUNCTION("""COMPUTED_VALUE"""),"Inplant Training")</f>
        <v>Inplant Training</v>
      </c>
      <c r="G258" s="26" t="str">
        <f>IFERROR(__xludf.DUMMYFUNCTION("""COMPUTED_VALUE"""),"-")</f>
        <v>-</v>
      </c>
      <c r="H258" s="26">
        <f>IFERROR(__xludf.DUMMYFUNCTION("""COMPUTED_VALUE"""),0)</f>
        <v>0</v>
      </c>
      <c r="I258" s="26">
        <f>IFERROR(__xludf.DUMMYFUNCTION("""COMPUTED_VALUE"""),0)</f>
        <v>0</v>
      </c>
      <c r="J258" s="26">
        <f>IFERROR(__xludf.DUMMYFUNCTION("""COMPUTED_VALUE"""),1)</f>
        <v>1</v>
      </c>
      <c r="K258" s="26" t="str">
        <f>IFERROR(__xludf.DUMMYFUNCTION("""COMPUTED_VALUE"""),"Non - CGPA")</f>
        <v>Non - CGPA</v>
      </c>
      <c r="L258" s="26" t="str">
        <f>IFERROR(__xludf.DUMMYFUNCTION("""COMPUTED_VALUE"""),"Experiential Learning (Int Only)")</f>
        <v>Experiential Learning (Int Only)</v>
      </c>
      <c r="M258" s="26"/>
      <c r="N258" s="26"/>
      <c r="O258" s="26"/>
      <c r="P258" s="26"/>
      <c r="Q258" s="26"/>
      <c r="R258" s="26"/>
    </row>
    <row r="259" ht="13.2" spans="1:18">
      <c r="A259" s="26">
        <f>IFERROR(__xludf.DUMMYFUNCTION("""COMPUTED_VALUE"""),257)</f>
        <v>257</v>
      </c>
      <c r="B259" s="26" t="str">
        <f>IFERROR(__xludf.DUMMYFUNCTION("""COMPUTED_VALUE"""),"Any 1")</f>
        <v>Any 1</v>
      </c>
      <c r="C259" s="26" t="str">
        <f>IFERROR(__xludf.DUMMYFUNCTION("""COMPUTED_VALUE"""),"MC")</f>
        <v>MC</v>
      </c>
      <c r="D259" s="26" t="str">
        <f>IFERROR(__xludf.DUMMYFUNCTION("""COMPUTED_VALUE"""),"SH6803")</f>
        <v>SH6803</v>
      </c>
      <c r="E259" s="26" t="str">
        <f>IFERROR(__xludf.DUMMYFUNCTION("""COMPUTED_VALUE"""),"19MC807")</f>
        <v>19MC807</v>
      </c>
      <c r="F259" s="26" t="str">
        <f>IFERROR(__xludf.DUMMYFUNCTION("""COMPUTED_VALUE"""),"National Service Scheme")</f>
        <v>National Service Scheme</v>
      </c>
      <c r="G259" s="26" t="str">
        <f>IFERROR(__xludf.DUMMYFUNCTION("""COMPUTED_VALUE"""),"-")</f>
        <v>-</v>
      </c>
      <c r="H259" s="26">
        <f>IFERROR(__xludf.DUMMYFUNCTION("""COMPUTED_VALUE"""),0)</f>
        <v>0</v>
      </c>
      <c r="I259" s="26">
        <f>IFERROR(__xludf.DUMMYFUNCTION("""COMPUTED_VALUE"""),0)</f>
        <v>0</v>
      </c>
      <c r="J259" s="26">
        <f>IFERROR(__xludf.DUMMYFUNCTION("""COMPUTED_VALUE"""),0)</f>
        <v>0</v>
      </c>
      <c r="K259" s="26" t="str">
        <f>IFERROR(__xludf.DUMMYFUNCTION("""COMPUTED_VALUE"""),"NON-CGPA")</f>
        <v>NON-CGPA</v>
      </c>
      <c r="L259" s="26" t="str">
        <f>IFERROR(__xludf.DUMMYFUNCTION("""COMPUTED_VALUE"""),"Experiential Learning (Int Only)")</f>
        <v>Experiential Learning (Int Only)</v>
      </c>
      <c r="M259" s="26"/>
      <c r="N259" s="26"/>
      <c r="O259" s="26"/>
      <c r="P259" s="26"/>
      <c r="Q259" s="26"/>
      <c r="R259" s="26"/>
    </row>
    <row r="260" ht="13.2" spans="1:18">
      <c r="A260" s="26">
        <f>IFERROR(__xludf.DUMMYFUNCTION("""COMPUTED_VALUE"""),258)</f>
        <v>258</v>
      </c>
      <c r="B260" s="26" t="str">
        <f>IFERROR(__xludf.DUMMYFUNCTION("""COMPUTED_VALUE"""),"Any 1")</f>
        <v>Any 1</v>
      </c>
      <c r="C260" s="26" t="str">
        <f>IFERROR(__xludf.DUMMYFUNCTION("""COMPUTED_VALUE"""),"MC")</f>
        <v>MC</v>
      </c>
      <c r="D260" s="26" t="str">
        <f>IFERROR(__xludf.DUMMYFUNCTION("""COMPUTED_VALUE"""),"SH8807")</f>
        <v>SH8807</v>
      </c>
      <c r="E260" s="26" t="str">
        <f>IFERROR(__xludf.DUMMYFUNCTION("""COMPUTED_VALUE"""),"19MC808")</f>
        <v>19MC808</v>
      </c>
      <c r="F260" s="26" t="str">
        <f>IFERROR(__xludf.DUMMYFUNCTION("""COMPUTED_VALUE"""),"National Sports Organization ")</f>
        <v>National Sports Organization </v>
      </c>
      <c r="G260" s="26" t="str">
        <f>IFERROR(__xludf.DUMMYFUNCTION("""COMPUTED_VALUE"""),"-")</f>
        <v>-</v>
      </c>
      <c r="H260" s="26">
        <f>IFERROR(__xludf.DUMMYFUNCTION("""COMPUTED_VALUE"""),0)</f>
        <v>0</v>
      </c>
      <c r="I260" s="26">
        <f>IFERROR(__xludf.DUMMYFUNCTION("""COMPUTED_VALUE"""),0)</f>
        <v>0</v>
      </c>
      <c r="J260" s="26">
        <f>IFERROR(__xludf.DUMMYFUNCTION("""COMPUTED_VALUE"""),0)</f>
        <v>0</v>
      </c>
      <c r="K260" s="26" t="str">
        <f>IFERROR(__xludf.DUMMYFUNCTION("""COMPUTED_VALUE"""),"NON-CGPA")</f>
        <v>NON-CGPA</v>
      </c>
      <c r="L260" s="26" t="str">
        <f>IFERROR(__xludf.DUMMYFUNCTION("""COMPUTED_VALUE"""),"Experiential Learning (Int Only)")</f>
        <v>Experiential Learning (Int Only)</v>
      </c>
      <c r="M260" s="26"/>
      <c r="N260" s="26"/>
      <c r="O260" s="26"/>
      <c r="P260" s="26"/>
      <c r="Q260" s="26"/>
      <c r="R260" s="26"/>
    </row>
    <row r="261" ht="13.2" spans="1:18">
      <c r="A261" s="26">
        <f>IFERROR(__xludf.DUMMYFUNCTION("""COMPUTED_VALUE"""),259)</f>
        <v>259</v>
      </c>
      <c r="B261" s="26" t="str">
        <f>IFERROR(__xludf.DUMMYFUNCTION("""COMPUTED_VALUE"""),"Any 1")</f>
        <v>Any 1</v>
      </c>
      <c r="C261" s="26" t="str">
        <f>IFERROR(__xludf.DUMMYFUNCTION("""COMPUTED_VALUE"""),"MC")</f>
        <v>MC</v>
      </c>
      <c r="D261" s="26" t="str">
        <f>IFERROR(__xludf.DUMMYFUNCTION("""COMPUTED_VALUE"""),"SH8808")</f>
        <v>SH8808</v>
      </c>
      <c r="E261" s="26" t="str">
        <f>IFERROR(__xludf.DUMMYFUNCTION("""COMPUTED_VALUE"""),"19MC809")</f>
        <v>19MC809</v>
      </c>
      <c r="F261" s="26" t="str">
        <f>IFERROR(__xludf.DUMMYFUNCTION("""COMPUTED_VALUE"""),"Youth Red Cross")</f>
        <v>Youth Red Cross</v>
      </c>
      <c r="G261" s="26" t="str">
        <f>IFERROR(__xludf.DUMMYFUNCTION("""COMPUTED_VALUE"""),"-")</f>
        <v>-</v>
      </c>
      <c r="H261" s="26">
        <f>IFERROR(__xludf.DUMMYFUNCTION("""COMPUTED_VALUE"""),0)</f>
        <v>0</v>
      </c>
      <c r="I261" s="26">
        <f>IFERROR(__xludf.DUMMYFUNCTION("""COMPUTED_VALUE"""),0)</f>
        <v>0</v>
      </c>
      <c r="J261" s="26">
        <f>IFERROR(__xludf.DUMMYFUNCTION("""COMPUTED_VALUE"""),0)</f>
        <v>0</v>
      </c>
      <c r="K261" s="26" t="str">
        <f>IFERROR(__xludf.DUMMYFUNCTION("""COMPUTED_VALUE"""),"NON-CGPA")</f>
        <v>NON-CGPA</v>
      </c>
      <c r="L261" s="26" t="str">
        <f>IFERROR(__xludf.DUMMYFUNCTION("""COMPUTED_VALUE"""),"Experiential Learning (Int Only)")</f>
        <v>Experiential Learning (Int Only)</v>
      </c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  <row r="832" ht="13.2" spans="1:18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</row>
    <row r="833" ht="13.2" spans="1:18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</row>
    <row r="834" ht="13.2" spans="1:18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</row>
    <row r="835" ht="13.2" spans="1:18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</row>
    <row r="836" ht="13.2" spans="1:18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</row>
    <row r="837" ht="13.2" spans="1:18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</row>
    <row r="838" ht="13.2" spans="1:1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</row>
    <row r="839" ht="13.2" spans="1:18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</row>
    <row r="840" ht="13.2" spans="1:18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</row>
    <row r="841" ht="13.2" spans="1:18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</row>
    <row r="842" ht="13.2" spans="1:18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</row>
    <row r="843" ht="13.2" spans="1:18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</row>
    <row r="844" ht="13.2" spans="1:18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</row>
    <row r="845" ht="13.2" spans="1:18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</row>
    <row r="846" ht="13.2" spans="1:18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</row>
    <row r="847" ht="13.2" spans="1:18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</row>
    <row r="848" ht="13.2" spans="1:1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</row>
    <row r="849" ht="13.2" spans="1:18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</row>
    <row r="850" ht="13.2" spans="1:18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</row>
    <row r="851" ht="13.2" spans="1:18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</row>
    <row r="852" ht="13.2" spans="1:18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</row>
    <row r="853" ht="13.2" spans="1:18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</row>
    <row r="854" ht="13.2" spans="1:18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</row>
    <row r="855" ht="13.2" spans="1:18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</row>
    <row r="856" ht="13.2" spans="1:18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ht="13.2" spans="1:18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ht="13.2" spans="1:1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ht="13.2" spans="1:18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ht="13.2" spans="1:18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ht="13.2" spans="1:18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ht="13.2" spans="1:18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</row>
    <row r="863" ht="13.2" spans="1:18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</row>
    <row r="864" ht="13.2" spans="1:18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</row>
    <row r="865" ht="13.2" spans="1:18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</row>
    <row r="866" ht="13.2" spans="1:18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</row>
    <row r="867" ht="13.2" spans="1:18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</row>
    <row r="868" ht="13.2" spans="1:1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</row>
    <row r="869" ht="13.2" spans="1:18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ht="13.2" spans="1:18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</row>
    <row r="871" ht="13.2" spans="1:18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</row>
    <row r="872" ht="13.2" spans="1:18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</row>
    <row r="873" ht="13.2" spans="1:18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</row>
    <row r="874" ht="13.2" spans="1:18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</row>
    <row r="875" ht="13.2" spans="1:18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</row>
    <row r="876" ht="13.2" spans="1:18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</row>
    <row r="877" ht="13.2" spans="1:18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</row>
    <row r="878" ht="13.2" spans="1:1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ht="13.2" spans="1:18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</row>
    <row r="880" ht="13.2" spans="1:18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</row>
    <row r="881" ht="13.2" spans="1:18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</row>
    <row r="882" ht="13.2" spans="1:18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</row>
    <row r="883" ht="13.2" spans="1:18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</row>
    <row r="884" ht="13.2" spans="1:18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</row>
    <row r="885" ht="13.2" spans="1:18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</row>
    <row r="886" ht="13.2" spans="1:18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</row>
    <row r="887" ht="13.2" spans="1:18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</row>
    <row r="888" ht="13.2" spans="1:1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</row>
    <row r="889" ht="13.2" spans="1:18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</row>
    <row r="890" ht="13.2" spans="1:18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</row>
    <row r="891" ht="13.2" spans="1:18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</row>
    <row r="892" ht="13.2" spans="1:18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</row>
    <row r="893" ht="13.2" spans="1:18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</row>
    <row r="894" ht="13.2" spans="1:18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</row>
    <row r="895" ht="13.2" spans="1:18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</row>
    <row r="896" ht="13.2" spans="1:18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ht="13.2" spans="1:18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</row>
    <row r="898" ht="13.2" spans="1:1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</row>
    <row r="899" ht="13.2" spans="1:18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</row>
    <row r="900" ht="13.2" spans="1:18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</row>
    <row r="901" ht="13.2" spans="1:18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</row>
    <row r="902" ht="13.2" spans="1:18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</row>
    <row r="903" ht="13.2" spans="1:18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</row>
    <row r="904" ht="13.2" spans="1:18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</row>
    <row r="905" ht="13.2" spans="1:18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</row>
    <row r="906" ht="13.2" spans="1:18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</row>
    <row r="907" ht="13.2" spans="1:18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</row>
    <row r="908" ht="13.2" spans="1:1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</row>
    <row r="909" ht="13.2" spans="1:18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</row>
    <row r="910" ht="13.2" spans="1:18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</row>
    <row r="911" ht="13.2" spans="1:18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Probability and Queueing Models&quot;)"/>
    <hyperlink ref="F12" r:id="rId11" display="=IFERROR(@__xludf.DUMMYFUNCTION(&quot;&quot;&quot;COMPUTED_VALUE&quot;&quot;&quot;),&quot;Transforms and Its Applications&quot;)"/>
    <hyperlink ref="F13" r:id="rId12" display="=IFERROR(@__xludf.DUMMYFUNCTION(&quot;&quot;&quot;COMPUTED_VALUE&quot;&quot;&quot;),&quot;Mathematics for Artificial Intelligence&quot;)"/>
    <hyperlink ref="F14" r:id="rId13" display="=IFERROR(@__xludf.DUMMYFUNCTION(&quot;&quot;&quot;COMPUTED_VALUE&quot;&quot;&quot;),&quot;Linear Algebra Laboratory&quot;)"/>
    <hyperlink ref="F15" r:id="rId14" display="=IFERROR(@__xludf.DUMMYFUNCTION(&quot;&quot;&quot;COMPUTED_VALUE&quot;&quot;&quot;),&quot;Physics for Quantum Computing&quot;)"/>
    <hyperlink ref="F16" r:id="rId15" display="=IFERROR(@__xludf.DUMMYFUNCTION(&quot;&quot;&quot;COMPUTED_VALUE&quot;&quot;&quot;),&quot;Principles of Chemistry in Engineering&quot;)"/>
    <hyperlink ref="F17" r:id="rId16" display="=IFERROR(@__xludf.DUMMYFUNCTION(&quot;&quot;&quot;COMPUTED_VALUE&quot;&quot;&quot;),&quot;Python Programming&quot;)"/>
    <hyperlink ref="F18" r:id="rId17" display="=IFERROR(@__xludf.DUMMYFUNCTION(&quot;&quot;&quot;COMPUTED_VALUE&quot;&quot;&quot;),&quot;Engineering Design and Modelling&quot;)"/>
    <hyperlink ref="F19" r:id="rId18" display="=IFERROR(@__xludf.DUMMYFUNCTION(&quot;&quot;&quot;COMPUTED_VALUE&quot;&quot;&quot;),&quot;Engineering Mechanics and Product Development&quot;)"/>
    <hyperlink ref="F20" r:id="rId19" display="=IFERROR(@__xludf.DUMMYFUNCTION(&quot;&quot;&quot;COMPUTED_VALUE&quot;&quot;&quot;),&quot;Object Oriented Programming using C++&quot;)"/>
    <hyperlink ref="F21" r:id="rId20" display="=IFERROR(@__xludf.DUMMYFUNCTION(&quot;&quot;&quot;COMPUTED_VALUE&quot;&quot;&quot;),&quot;Object Oriented Programming using Java&quot;)"/>
    <hyperlink ref="F22" r:id="rId21" display="=IFERROR(@__xludf.DUMMYFUNCTION(&quot;&quot;&quot;COMPUTED_VALUE&quot;&quot;&quot;),&quot;Object Oriented Programming using C#&quot;)"/>
    <hyperlink ref="F23" r:id="rId22" display="=IFERROR(@__xludf.DUMMYFUNCTION(&quot;&quot;&quot;COMPUTED_VALUE&quot;&quot;&quot;),&quot;Digital Electronics&quot;)"/>
    <hyperlink ref="F24" r:id="rId23" display="=IFERROR(@__xludf.DUMMYFUNCTION(&quot;&quot;&quot;COMPUTED_VALUE&quot;&quot;&quot;),&quot;Basic Electrical Electronics and Measurement Engineering&quot;)"/>
    <hyperlink ref="F25" r:id="rId24" display="=IFERROR(@__xludf.DUMMYFUNCTION(&quot;&quot;&quot;COMPUTED_VALUE&quot;&quot;&quot;),&quot;Programming Microcontrollers&quot;)"/>
    <hyperlink ref="F26" r:id="rId25" display="=IFERROR(@__xludf.DUMMYFUNCTION(&quot;&quot;&quot;COMPUTED_VALUE&quot;&quot;&quot;),&quot;Fundamentals of C Programming&quot;)"/>
    <hyperlink ref="F27" r:id="rId26" display="=IFERROR(@__xludf.DUMMYFUNCTION(&quot;&quot;&quot;COMPUTED_VALUE&quot;&quot;&quot;),&quot;Advanced C Programming&quot;)"/>
    <hyperlink ref="F28" r:id="rId27" display="=IFERROR(@__xludf.DUMMYFUNCTION(&quot;&quot;&quot;COMPUTED_VALUE&quot;&quot;&quot;),&quot;Statistics and Numerical Methods&quot;)"/>
    <hyperlink ref="F29" r:id="rId28" display="=IFERROR(@__xludf.DUMMYFUNCTION(&quot;&quot;&quot;COMPUTED_VALUE&quot;&quot;&quot;),&quot;Data Structures&quot;)"/>
    <hyperlink ref="F30" r:id="rId29" display="=IFERROR(@__xludf.DUMMYFUNCTION(&quot;&quot;&quot;COMPUTED_VALUE&quot;&quot;&quot;),&quot;Analysis of Algorithms&quot;)"/>
    <hyperlink ref="F31" r:id="rId30" display="=IFERROR(@__xludf.DUMMYFUNCTION(&quot;&quot;&quot;COMPUTED_VALUE&quot;&quot;&quot;),&quot;Fundamentals of Artificial Intelligence&quot;)"/>
    <hyperlink ref="F32" r:id="rId31" display="=IFERROR(@__xludf.DUMMYFUNCTION(&quot;&quot;&quot;COMPUTED_VALUE&quot;&quot;&quot;),&quot;Digital Image Processing Techniques&quot;)"/>
    <hyperlink ref="F33" r:id="rId32" display="=IFERROR(@__xludf.DUMMYFUNCTION(&quot;&quot;&quot;COMPUTED_VALUE&quot;&quot;&quot;),&quot;Fundamentals of Web Technology&quot;)"/>
    <hyperlink ref="F34" r:id="rId33" display="=IFERROR(@__xludf.DUMMYFUNCTION(&quot;&quot;&quot;COMPUTED_VALUE&quot;&quot;&quot;),&quot;Web Technology Laboratory&quot;)"/>
    <hyperlink ref="F35" r:id="rId34" display="=IFERROR(@__xludf.DUMMYFUNCTION(&quot;&quot;&quot;COMPUTED_VALUE&quot;&quot;&quot;),&quot;Fundamentals of Web Application Development&quot;)"/>
    <hyperlink ref="F37" r:id="rId35" display="=IFERROR(@__xludf.DUMMYFUNCTION(&quot;&quot;&quot;COMPUTED_VALUE&quot;&quot;&quot;),&quot;Operating System&quot;)"/>
    <hyperlink ref="F38" r:id="rId36" display="=IFERROR(@__xludf.DUMMYFUNCTION(&quot;&quot;&quot;COMPUTED_VALUE&quot;&quot;&quot;),&quot;Computer Networks&quot;)"/>
    <hyperlink ref="F39" r:id="rId37" display="=IFERROR(@__xludf.DUMMYFUNCTION(&quot;&quot;&quot;COMPUTED_VALUE&quot;&quot;&quot;),&quot;Introduction to Data Science&quot;)"/>
    <hyperlink ref="F40" r:id="rId38" display="=IFERROR(@__xludf.DUMMYFUNCTION(&quot;&quot;&quot;COMPUTED_VALUE&quot;&quot;&quot;),&quot;Applied Artificial Intelligence&quot;)"/>
    <hyperlink ref="F41" r:id="rId39" display="=IFERROR(@__xludf.DUMMYFUNCTION(&quot;&quot;&quot;COMPUTED_VALUE&quot;&quot;&quot;),&quot;Parallel Computing Architecture&quot;)"/>
    <hyperlink ref="F42" r:id="rId40" display="=IFERROR(@__xludf.DUMMYFUNCTION(&quot;&quot;&quot;COMPUTED_VALUE&quot;&quot;&quot;),&quot;Introduction to Machine Learning&quot;)"/>
    <hyperlink ref="F43" r:id="rId41" display="=IFERROR(@__xludf.DUMMYFUNCTION(&quot;&quot;&quot;COMPUTED_VALUE&quot;&quot;&quot;),&quot;Neural Networks&quot;)"/>
    <hyperlink ref="F44" r:id="rId42" display="=IFERROR(@__xludf.DUMMYFUNCTION(&quot;&quot;&quot;COMPUTED_VALUE&quot;&quot;&quot;),&quot;Web Data Mining&quot;)"/>
    <hyperlink ref="F45" r:id="rId43" display="=IFERROR(@__xludf.DUMMYFUNCTION(&quot;&quot;&quot;COMPUTED_VALUE&quot;&quot;&quot;),&quot;Deep Learning and its Applications&quot;)"/>
    <hyperlink ref="F46" r:id="rId44" display="=IFERROR(@__xludf.DUMMYFUNCTION(&quot;&quot;&quot;COMPUTED_VALUE&quot;&quot;&quot;),&quot;Software Engineering&quot;)"/>
    <hyperlink ref="F47" r:id="rId45" display="=IFERROR(@__xludf.DUMMYFUNCTION(&quot;&quot;&quot;COMPUTED_VALUE&quot;&quot;&quot;),&quot;Compiler Design&quot;)"/>
    <hyperlink ref="F49" r:id="rId46" display="=IFERROR(@__xludf.DUMMYFUNCTION(&quot;&quot;&quot;COMPUTED_VALUE&quot;&quot;&quot;),&quot;Information Security and Access Control&quot;)"/>
    <hyperlink ref="F50" r:id="rId47" display="=IFERROR(@__xludf.DUMMYFUNCTION(&quot;&quot;&quot;COMPUTED_VALUE&quot;&quot;&quot;),&quot;Security Assessment and Risk Analysis&quot;)"/>
    <hyperlink ref="F51" r:id="rId48" display="=IFERROR(@__xludf.DUMMYFUNCTION(&quot;&quot;&quot;COMPUTED_VALUE&quot;&quot;&quot;),&quot;Advanced Graph Theory and Applications&quot;)"/>
    <hyperlink ref="F52" r:id="rId49" display="=IFERROR(@__xludf.DUMMYFUNCTION(&quot;&quot;&quot;COMPUTED_VALUE&quot;&quot;&quot;),&quot;Advanced Data Structures&quot;)"/>
    <hyperlink ref="F53" r:id="rId50" display="=IFERROR(@__xludf.DUMMYFUNCTION(&quot;&quot;&quot;COMPUTED_VALUE&quot;&quot;&quot;),&quot;Applied Natural Language Processing&quot;)"/>
    <hyperlink ref="F54" r:id="rId51" display="=IFERROR(@__xludf.DUMMYFUNCTION(&quot;&quot;&quot;COMPUTED_VALUE&quot;&quot;&quot;),&quot;Computer Vision&quot;)"/>
    <hyperlink ref="F55" r:id="rId52" display="=IFERROR(@__xludf.DUMMYFUNCTION(&quot;&quot;&quot;COMPUTED_VALUE&quot;&quot;&quot;),&quot;Control of Robotic Systems&quot;)"/>
    <hyperlink ref="F56" r:id="rId53" display="=IFERROR(@__xludf.DUMMYFUNCTION(&quot;&quot;&quot;COMPUTED_VALUE&quot;&quot;&quot;),&quot;Cryptography and Security&quot;)"/>
    <hyperlink ref="F57" r:id="rId54" display="=IFERROR(@__xludf.DUMMYFUNCTION(&quot;&quot;&quot;COMPUTED_VALUE&quot;&quot;&quot;),&quot;Information Theory for Cyber Security&quot;)"/>
    <hyperlink ref="F58" r:id="rId55" display="=IFERROR(@__xludf.DUMMYFUNCTION(&quot;&quot;&quot;COMPUTED_VALUE&quot;&quot;&quot;),&quot;Introduction to Robotics&quot;)"/>
    <hyperlink ref="F59" r:id="rId56" display="=IFERROR(@__xludf.DUMMYFUNCTION(&quot;&quot;&quot;COMPUTED_VALUE&quot;&quot;&quot;),&quot;Kinematics and Dynamics of Robots&quot;)"/>
    <hyperlink ref="F60" r:id="rId57" display="=IFERROR(@__xludf.DUMMYFUNCTION(&quot;&quot;&quot;COMPUTED_VALUE&quot;&quot;&quot;),&quot;Mobile Robotics&quot;)"/>
    <hyperlink ref="F62" r:id="rId58" display="=IFERROR(@__xludf.DUMMYFUNCTION(&quot;&quot;&quot;COMPUTED_VALUE&quot;&quot;&quot;),&quot;Robotic Sensors&quot;)"/>
    <hyperlink ref="F63" r:id="rId59" display="=IFERROR(@__xludf.DUMMYFUNCTION(&quot;&quot;&quot;COMPUTED_VALUE&quot;&quot;&quot;),&quot;Steganography and Digital Watermarking&quot;)"/>
    <hyperlink ref="F65" r:id="rId60" display="=IFERROR(@__xludf.DUMMYFUNCTION(&quot;&quot;&quot;COMPUTED_VALUE&quot;&quot;&quot;),&quot;Special Topics in Artificial Intelligence&quot;)"/>
    <hyperlink ref="F67" r:id="rId61" display="=IFERROR(@__xludf.DUMMYFUNCTION(&quot;&quot;&quot;COMPUTED_VALUE&quot;&quot;&quot;),&quot;Computer Graphics for Virtual Reality&quot;)"/>
    <hyperlink ref="F68" r:id="rId62" display="=IFERROR(@__xludf.DUMMYFUNCTION(&quot;&quot;&quot;COMPUTED_VALUE&quot;&quot;&quot;),&quot;Mathematical Modelling and Computer Aided Engineering&quot;)"/>
    <hyperlink ref="F69" r:id="rId63" display="=IFERROR(@__xludf.DUMMYFUNCTION(&quot;&quot;&quot;COMPUTED_VALUE&quot;&quot;&quot;),&quot;Concepts of Virtual And Augmented Reality&quot;)"/>
    <hyperlink ref="F70" r:id="rId64" display="=IFERROR(@__xludf.DUMMYFUNCTION(&quot;&quot;&quot;COMPUTED_VALUE&quot;&quot;&quot;),&quot;Mobile VR And AI In Unity&quot;)"/>
    <hyperlink ref="F71" r:id="rId65" display="=IFERROR(@__xludf.DUMMYFUNCTION(&quot;&quot;&quot;COMPUTED_VALUE&quot;&quot;&quot;),&quot;Scientific and Engineering Data Visualization&quot;)"/>
    <hyperlink ref="F72" r:id="rId66" display="=IFERROR(@__xludf.DUMMYFUNCTION(&quot;&quot;&quot;COMPUTED_VALUE&quot;&quot;&quot;),&quot;Mobile User Interface Development&quot;)"/>
    <hyperlink ref="F73" r:id="rId67" display="=IFERROR(@__xludf.DUMMYFUNCTION(&quot;&quot;&quot;COMPUTED_VALUE&quot;&quot;&quot;),&quot;Programming Mobile Devices&quot;)"/>
    <hyperlink ref="F74" r:id="rId68" display="=IFERROR(@__xludf.DUMMYFUNCTION(&quot;&quot;&quot;COMPUTED_VALUE&quot;&quot;&quot;),&quot;Cloud Computing&quot;)"/>
    <hyperlink ref="F75" r:id="rId69" display="=IFERROR(@__xludf.DUMMYFUNCTION(&quot;&quot;&quot;COMPUTED_VALUE&quot;&quot;&quot;),&quot;Agile Software Development&quot;)"/>
    <hyperlink ref="F76" r:id="rId70" display="=IFERROR(@__xludf.DUMMYFUNCTION(&quot;&quot;&quot;COMPUTED_VALUE&quot;&quot;&quot;),&quot;NoSQL Database Design&quot;)"/>
    <hyperlink ref="F77" r:id="rId71" display="=IFERROR(@__xludf.DUMMYFUNCTION(&quot;&quot;&quot;COMPUTED_VALUE&quot;&quot;&quot;),&quot;Virtualization and Containerization&quot;)"/>
    <hyperlink ref="F78" r:id="rId72" display="=IFERROR(@__xludf.DUMMYFUNCTION(&quot;&quot;&quot;COMPUTED_VALUE&quot;&quot;&quot;),&quot;Game Programming&quot;)"/>
    <hyperlink ref="F79" r:id="rId73" display="=IFERROR(@__xludf.DUMMYFUNCTION(&quot;&quot;&quot;COMPUTED_VALUE&quot;&quot;&quot;),&quot;Modern Web Application Development&quot;)"/>
    <hyperlink ref="F80" r:id="rId74" display="=IFERROR(@__xludf.DUMMYFUNCTION(&quot;&quot;&quot;COMPUTED_VALUE&quot;&quot;&quot;),&quot;Web Server Programming&quot;)"/>
    <hyperlink ref="F81" r:id="rId75" display="=IFERROR(@__xludf.DUMMYFUNCTION(&quot;&quot;&quot;COMPUTED_VALUE&quot;&quot;&quot;),&quot;Self Driving Car&quot;)"/>
    <hyperlink ref="F82" r:id="rId76" display="=IFERROR(@__xludf.DUMMYFUNCTION(&quot;&quot;&quot;COMPUTED_VALUE&quot;&quot;&quot;),&quot;Smart Manufacturing Technology&quot;)"/>
    <hyperlink ref="F83" r:id="rId77" display="=IFERROR(@__xludf.DUMMYFUNCTION(&quot;&quot;&quot;COMPUTED_VALUE&quot;&quot;&quot;),&quot;Big Data Mining and Analysis&quot;)"/>
    <hyperlink ref="F84" r:id="rId78" display="=IFERROR(@__xludf.DUMMYFUNCTION(&quot;&quot;&quot;COMPUTED_VALUE&quot;&quot;&quot;),&quot;Business Analytics&quot;)"/>
    <hyperlink ref="F85" r:id="rId79" display="=IFERROR(@__xludf.DUMMYFUNCTION(&quot;&quot;&quot;COMPUTED_VALUE&quot;&quot;&quot;),&quot;Cognitive Systems&quot;)"/>
    <hyperlink ref="F86" r:id="rId80" display="=IFERROR(@__xludf.DUMMYFUNCTION(&quot;&quot;&quot;COMPUTED_VALUE&quot;&quot;&quot;),&quot;Distributed Database&quot;)"/>
    <hyperlink ref="F87" r:id="rId81" display="=IFERROR(@__xludf.DUMMYFUNCTION(&quot;&quot;&quot;COMPUTED_VALUE&quot;&quot;&quot;),&quot;Data Mining and Warehousing&quot;)"/>
    <hyperlink ref="F88" r:id="rId82" display="=IFERROR(@__xludf.DUMMYFUNCTION(&quot;&quot;&quot;COMPUTED_VALUE&quot;&quot;&quot;),&quot;Expert Systems&quot;)"/>
    <hyperlink ref="F89" r:id="rId83" display="=IFERROR(@__xludf.DUMMYFUNCTION(&quot;&quot;&quot;COMPUTED_VALUE&quot;&quot;&quot;),&quot;Knowledge Engineering&quot;)"/>
    <hyperlink ref="F90" r:id="rId84" display="=IFERROR(@__xludf.DUMMYFUNCTION(&quot;&quot;&quot;COMPUTED_VALUE&quot;&quot;&quot;),&quot;Mobile Database&quot;)"/>
    <hyperlink ref="F91" r:id="rId85" display="=IFERROR(@__xludf.DUMMYFUNCTION(&quot;&quot;&quot;COMPUTED_VALUE&quot;&quot;&quot;),&quot;Multimedia Database&quot;)"/>
    <hyperlink ref="F92" r:id="rId86" display="=IFERROR(@__xludf.DUMMYFUNCTION(&quot;&quot;&quot;COMPUTED_VALUE&quot;&quot;&quot;),&quot;Video Processing&quot;)"/>
    <hyperlink ref="F93" r:id="rId87" display="=IFERROR(@__xludf.DUMMYFUNCTION(&quot;&quot;&quot;COMPUTED_VALUE&quot;&quot;&quot;),&quot;Blockchain for Business&quot;)"/>
    <hyperlink ref="F94" r:id="rId88" display="=IFERROR(@__xludf.DUMMYFUNCTION(&quot;&quot;&quot;COMPUTED_VALUE&quot;&quot;&quot;),&quot;Theory of Computation&quot;)"/>
    <hyperlink ref="F95" r:id="rId89" display="=IFERROR(@__xludf.DUMMYFUNCTION(&quot;&quot;&quot;COMPUTED_VALUE&quot;&quot;&quot;),&quot;Machine Learning&quot;)"/>
    <hyperlink ref="F96" r:id="rId90" display="=IFERROR(@__xludf.DUMMYFUNCTION(&quot;&quot;&quot;COMPUTED_VALUE&quot;&quot;&quot;),&quot;Natural Language Processing&quot;)"/>
    <hyperlink ref="F97" r:id="rId91" display="=IFERROR(@__xludf.DUMMYFUNCTION(&quot;&quot;&quot;COMPUTED_VALUE&quot;&quot;&quot;),&quot;Data Science&quot;)"/>
    <hyperlink ref="F98" r:id="rId92" display="=IFERROR(@__xludf.DUMMYFUNCTION(&quot;&quot;&quot;COMPUTED_VALUE&quot;&quot;&quot;),&quot;Big Data Analytics&quot;)"/>
    <hyperlink ref="F99" r:id="rId93" display="=IFERROR(@__xludf.DUMMYFUNCTION(&quot;&quot;&quot;COMPUTED_VALUE&quot;&quot;&quot;),&quot;Data Warehousing and Data Mining&quot;)"/>
    <hyperlink ref="F100" r:id="rId94" display="=IFERROR(@__xludf.DUMMYFUNCTION(&quot;&quot;&quot;COMPUTED_VALUE&quot;&quot;&quot;),&quot;Advanced Database Management System&quot;)"/>
    <hyperlink ref="F101" r:id="rId95" display="=IFERROR(@__xludf.DUMMYFUNCTION(&quot;&quot;&quot;COMPUTED_VALUE&quot;&quot;&quot;),&quot;Information Retrieval&quot;)"/>
    <hyperlink ref="F102" r:id="rId96" display="=IFERROR(@__xludf.DUMMYFUNCTION(&quot;&quot;&quot;COMPUTED_VALUE&quot;&quot;&quot;),&quot;Deep Learning&quot;)"/>
    <hyperlink ref="F104" r:id="rId97" display="=IFERROR(@__xludf.DUMMYFUNCTION(&quot;&quot;&quot;COMPUTED_VALUE&quot;&quot;&quot;),&quot;Soft Computing&quot;)"/>
    <hyperlink ref="F105" r:id="rId98" display="=IFERROR(@__xludf.DUMMYFUNCTION(&quot;&quot;&quot;COMPUTED_VALUE&quot;&quot;&quot;),&quot;Social Network Analysis&quot;)"/>
    <hyperlink ref="F106" r:id="rId99" display="=IFERROR(@__xludf.DUMMYFUNCTION(&quot;&quot;&quot;COMPUTED_VALUE&quot;&quot;&quot;),&quot;Software Project Management&quot;)"/>
    <hyperlink ref="F107" r:id="rId100" display="=IFERROR(@__xludf.DUMMYFUNCTION(&quot;&quot;&quot;COMPUTED_VALUE&quot;&quot;&quot;),&quot;Service Oriented Architecture&quot;)"/>
    <hyperlink ref="F108" r:id="rId101" display="=IFERROR(@__xludf.DUMMYFUNCTION(&quot;&quot;&quot;COMPUTED_VALUE&quot;&quot;&quot;),&quot;Developing Web Application in .Net&quot;)"/>
    <hyperlink ref="F109" r:id="rId102" display="=IFERROR(@__xludf.DUMMYFUNCTION(&quot;&quot;&quot;COMPUTED_VALUE&quot;&quot;&quot;),&quot;Human Computer Interaction&quot;)"/>
    <hyperlink ref="F110" r:id="rId103" display="=IFERROR(@__xludf.DUMMYFUNCTION(&quot;&quot;&quot;COMPUTED_VALUE&quot;&quot;&quot;),&quot;Computer Graphics and Multimedia&quot;)"/>
    <hyperlink ref="F111" r:id="rId104" display="=IFERROR(@__xludf.DUMMYFUNCTION(&quot;&quot;&quot;COMPUTED_VALUE&quot;&quot;&quot;),&quot;Game Design and Development&quot;)"/>
    <hyperlink ref="F113" r:id="rId105" display="=IFERROR(@__xludf.DUMMYFUNCTION(&quot;&quot;&quot;COMPUTED_VALUE&quot;&quot;&quot;),&quot;Digital Image Processing&quot;)"/>
    <hyperlink ref="F114" r:id="rId106" display="=IFERROR(@__xludf.DUMMYFUNCTION(&quot;&quot;&quot;COMPUTED_VALUE&quot;&quot;&quot;),&quot;Virtual Reality&quot;)"/>
    <hyperlink ref="F115" r:id="rId107" display="=IFERROR(@__xludf.DUMMYFUNCTION(&quot;&quot;&quot;COMPUTED_VALUE&quot;&quot;&quot;),&quot;Graph Theory and Applications&quot;)"/>
    <hyperlink ref="F116" r:id="rId108" display="=IFERROR(@__xludf.DUMMYFUNCTION(&quot;&quot;&quot;COMPUTED_VALUE&quot;&quot;&quot;),&quot;Mobile Computing&quot;)"/>
    <hyperlink ref="F118" r:id="rId109" display="=IFERROR(@__xludf.DUMMYFUNCTION(&quot;&quot;&quot;COMPUTED_VALUE&quot;&quot;&quot;),&quot;Parallel and Distributed Systems&quot;)"/>
    <hyperlink ref="F119" r:id="rId110" display="=IFERROR(@__xludf.DUMMYFUNCTION(&quot;&quot;&quot;COMPUTED_VALUE&quot;&quot;&quot;),&quot;Cyber Security&quot;)"/>
    <hyperlink ref="F120" r:id="rId111" display="=IFERROR(@__xludf.DUMMYFUNCTION(&quot;&quot;&quot;COMPUTED_VALUE&quot;&quot;&quot;),&quot;Network Management Systems&quot;)"/>
    <hyperlink ref="F121" r:id="rId112" display="=IFERROR(@__xludf.DUMMYFUNCTION(&quot;&quot;&quot;COMPUTED_VALUE&quot;&quot;&quot;),&quot;Block Chain Architecture and its Use Cases&quot;)"/>
    <hyperlink ref="F122" r:id="rId113" display="=IFERROR(@__xludf.DUMMYFUNCTION(&quot;&quot;&quot;COMPUTED_VALUE&quot;&quot;&quot;),&quot;Green Computing&quot;)"/>
    <hyperlink ref="F123" r:id="rId114" display="=IFERROR(@__xludf.DUMMYFUNCTION(&quot;&quot;&quot;COMPUTED_VALUE&quot;&quot;&quot;),&quot;Multicore Architecture&quot;)"/>
    <hyperlink ref="F125" r:id="rId115" display="=IFERROR(@__xludf.DUMMYFUNCTION(&quot;&quot;&quot;COMPUTED_VALUE&quot;&quot;&quot;),&quot;Quantum Computing&quot;)"/>
    <hyperlink ref="F126" r:id="rId116" display="=IFERROR(@__xludf.DUMMYFUNCTION(&quot;&quot;&quot;COMPUTED_VALUE&quot;&quot;&quot;),&quot;Robotics and its Applications&quot;)"/>
    <hyperlink ref="F127" r:id="rId117" display="=IFERROR(@__xludf.DUMMYFUNCTION(&quot;&quot;&quot;COMPUTED_VALUE&quot;&quot;&quot;),&quot;Professional Readiness for Innovation, Employability and Entrepreneurship&quot;)"/>
    <hyperlink ref="F128" r:id="rId118" display="=IFERROR(@__xludf.DUMMYFUNCTION(&quot;&quot;&quot;COMPUTED_VALUE&quot;&quot;&quot;),&quot;Ethical Hacking Techniques&quot;)"/>
    <hyperlink ref="F129" r:id="rId119" display="=IFERROR(@__xludf.DUMMYFUNCTION(&quot;&quot;&quot;COMPUTED_VALUE&quot;&quot;&quot;),&quot;Advanced Java Web Applications&quot;)"/>
    <hyperlink ref="F130" r:id="rId120" display="=IFERROR(@__xludf.DUMMYFUNCTION(&quot;&quot;&quot;COMPUTED_VALUE&quot;&quot;&quot;),&quot;Prototyping of IoT Systems&quot;)"/>
    <hyperlink ref="F131" r:id="rId121" display="=IFERROR(@__xludf.DUMMYFUNCTION(&quot;&quot;&quot;COMPUTED_VALUE&quot;&quot;&quot;),&quot;Introduction to IoT&quot;)"/>
    <hyperlink ref="F132" r:id="rId122" display="=IFERROR(@__xludf.DUMMYFUNCTION(&quot;&quot;&quot;COMPUTED_VALUE&quot;&quot;&quot;),&quot;Realtime Operating System&quot;)"/>
    <hyperlink ref="F133" r:id="rId123" display="=IFERROR(@__xludf.DUMMYFUNCTION(&quot;&quot;&quot;COMPUTED_VALUE&quot;&quot;&quot;),&quot;Embedded Board Design&quot;)"/>
    <hyperlink ref="F134" r:id="rId124" display="=IFERROR(@__xludf.DUMMYFUNCTION(&quot;&quot;&quot;COMPUTED_VALUE&quot;&quot;&quot;),&quot;Open Source Operating System&quot;)"/>
    <hyperlink ref="F135" r:id="rId125" display="=IFERROR(@__xludf.DUMMYFUNCTION(&quot;&quot;&quot;COMPUTED_VALUE&quot;&quot;&quot;),&quot;Kernel Programming&quot;)"/>
    <hyperlink ref="F136" r:id="rId126" display="=IFERROR(@__xludf.DUMMYFUNCTION(&quot;&quot;&quot;COMPUTED_VALUE&quot;&quot;&quot;),&quot;Cyber Law and Compliance&quot;)"/>
    <hyperlink ref="F137" r:id="rId127" display="=IFERROR(@__xludf.DUMMYFUNCTION(&quot;&quot;&quot;COMPUTED_VALUE&quot;&quot;&quot;),&quot;Software Testing&quot;)"/>
    <hyperlink ref="F138" r:id="rId128" display="=IFERROR(@__xludf.DUMMYFUNCTION(&quot;&quot;&quot;COMPUTED_VALUE&quot;&quot;&quot;),&quot;Robot Programming&quot;)"/>
    <hyperlink ref="F139" r:id="rId129" display="=IFERROR(@__xludf.DUMMYFUNCTION(&quot;&quot;&quot;COMPUTED_VALUE&quot;&quot;&quot;),&quot;Drone Assembly and Applications&quot;)"/>
    <hyperlink ref="F140" r:id="rId130" display="=IFERROR(@__xludf.DUMMYFUNCTION(&quot;&quot;&quot;COMPUTED_VALUE&quot;&quot;&quot;),&quot;Artificial Intelligence for Games&quot;)"/>
    <hyperlink ref="F141" r:id="rId131" display="=IFERROR(@__xludf.DUMMYFUNCTION(&quot;&quot;&quot;COMPUTED_VALUE&quot;&quot;&quot;),&quot;Drone Design and Control&quot;)"/>
    <hyperlink ref="F142" r:id="rId132" display="=IFERROR(@__xludf.DUMMYFUNCTION(&quot;&quot;&quot;COMPUTED_VALUE&quot;&quot;&quot;),&quot;Web Application User Interface Development&quot;)"/>
    <hyperlink ref="F143" r:id="rId133" display="=IFERROR(@__xludf.DUMMYFUNCTION(&quot;&quot;&quot;COMPUTED_VALUE&quot;&quot;&quot;),&quot;Fundamentals of Large Language Models&quot;)"/>
    <hyperlink ref="F146" r:id="rId134" display="=IFERROR(@__xludf.DUMMYFUNCTION(&quot;&quot;&quot;COMPUTED_VALUE&quot;&quot;&quot;),&quot;Exploratory Data Analysis&quot;)"/>
    <hyperlink ref="F147" r:id="rId135" display="=IFERROR(@__xludf.DUMMYFUNCTION(&quot;&quot;&quot;COMPUTED_VALUE&quot;&quot;&quot;),&quot;Image and Video Analytics&quot;)"/>
    <hyperlink ref="F148" r:id="rId136" display="=IFERROR(@__xludf.DUMMYFUNCTION(&quot;&quot;&quot;COMPUTED_VALUE&quot;&quot;&quot;),&quot;Neural Networks and Deep Learning&quot;)"/>
    <hyperlink ref="F149" r:id="rId137" display="=IFERROR(@__xludf.DUMMYFUNCTION(&quot;&quot;&quot;COMPUTED_VALUE&quot;&quot;&quot;),&quot;Recommender Systems&quot;)"/>
    <hyperlink ref="F150" r:id="rId138" display="=IFERROR(@__xludf.DUMMYFUNCTION(&quot;&quot;&quot;COMPUTED_VALUE&quot;&quot;&quot;),&quot;Text and Speech Analysis&quot;)"/>
    <hyperlink ref="F153" r:id="rId139" display="=IFERROR(@__xludf.DUMMYFUNCTION(&quot;&quot;&quot;COMPUTED_VALUE&quot;&quot;&quot;),&quot;Genetic Algorithms&quot;)"/>
    <hyperlink ref="F155" r:id="rId140" display="=IFERROR(@__xludf.DUMMYFUNCTION(&quot;&quot;&quot;COMPUTED_VALUE&quot;&quot;&quot;),&quot;Brain Computer Interaction&quot;)"/>
    <hyperlink ref="F156" r:id="rId141" display="=IFERROR(@__xludf.DUMMYFUNCTION(&quot;&quot;&quot;COMPUTED_VALUE&quot;&quot;&quot;),&quot;Statistical Learning Theory&quot;)"/>
    <hyperlink ref="F157" r:id="rId142" display="=IFERROR(@__xludf.DUMMYFUNCTION(&quot;&quot;&quot;COMPUTED_VALUE&quot;&quot;&quot;),&quot;Sensors and Actuators for IoT&quot;)"/>
    <hyperlink ref="F158" r:id="rId143" display="=IFERROR(@__xludf.DUMMYFUNCTION(&quot;&quot;&quot;COMPUTED_VALUE&quot;&quot;&quot;),&quot;Security and Trust in IoT&quot;)"/>
    <hyperlink ref="F159" r:id="rId144" display="=IFERROR(@__xludf.DUMMYFUNCTION(&quot;&quot;&quot;COMPUTED_VALUE&quot;&quot;&quot;),&quot;Industrial Internet of Things&quot;)"/>
    <hyperlink ref="F160" r:id="rId145" display="=IFERROR(@__xludf.DUMMYFUNCTION(&quot;&quot;&quot;COMPUTED_VALUE&quot;&quot;&quot;),&quot;Software for Embedded Systems&quot;)"/>
    <hyperlink ref="F161" r:id="rId146" display="=IFERROR(@__xludf.DUMMYFUNCTION(&quot;&quot;&quot;COMPUTED_VALUE&quot;&quot;&quot;),&quot;IoT Architecture and Protocols&quot;)"/>
    <hyperlink ref="F162" r:id="rId147" display="=IFERROR(@__xludf.DUMMYFUNCTION(&quot;&quot;&quot;COMPUTED_VALUE&quot;&quot;&quot;),&quot;Arduino for IoT&quot;)"/>
    <hyperlink ref="F163" r:id="rId148" display="=IFERROR(@__xludf.DUMMYFUNCTION(&quot;&quot;&quot;COMPUTED_VALUE&quot;&quot;&quot;),&quot;Raspberry Pi for IoT&quot;)"/>
    <hyperlink ref="F164" r:id="rId149" display="=IFERROR(@__xludf.DUMMYFUNCTION(&quot;&quot;&quot;COMPUTED_VALUE&quot;&quot;&quot;),&quot;Motion Planning Techniques&quot;)"/>
    <hyperlink ref="F165" r:id="rId150" display="=IFERROR(@__xludf.DUMMYFUNCTION(&quot;&quot;&quot;COMPUTED_VALUE&quot;&quot;&quot;),&quot;Advanced Java Programming&quot;)"/>
    <hyperlink ref="F171" r:id="rId151" display="=IFERROR(@__xludf.DUMMYFUNCTION(&quot;&quot;&quot;COMPUTED_VALUE&quot;&quot;&quot;),&quot;Cloud Native App Development&quot;)"/>
    <hyperlink ref="F172" r:id="rId152" display="=IFERROR(@__xludf.DUMMYFUNCTION(&quot;&quot;&quot;COMPUTED_VALUE&quot;&quot;&quot;),&quot;Computer Architecture&quot;)"/>
    <hyperlink ref="F173" r:id="rId153" display="=IFERROR(@__xludf.DUMMYFUNCTION(&quot;&quot;&quot;COMPUTED_VALUE&quot;&quot;&quot;),&quot;Cryptography&quot;)"/>
    <hyperlink ref="F174" r:id="rId154" display="=IFERROR(@__xludf.DUMMYFUNCTION(&quot;&quot;&quot;COMPUTED_VALUE&quot;&quot;&quot;),&quot;Problem Solving and Python Programming&quot;)"/>
    <hyperlink ref="F175" r:id="rId155" display="=IFERROR(@__xludf.DUMMYFUNCTION(&quot;&quot;&quot;COMPUTED_VALUE&quot;&quot;&quot;),&quot;Programming in C&quot;)"/>
    <hyperlink ref="F176" r:id="rId156" display="=IFERROR(@__xludf.DUMMYFUNCTION(&quot;&quot;&quot;COMPUTED_VALUE&quot;&quot;&quot;),&quot;Software Testing Laboratory&quot;)"/>
    <hyperlink ref="F177" r:id="rId157" display="=IFERROR(@__xludf.DUMMYFUNCTION(&quot;&quot;&quot;COMPUTED_VALUE&quot;&quot;&quot;),&quot;Design and Analysis of Algorithms&quot;)"/>
    <hyperlink ref="F178" r:id="rId158" display="=IFERROR(@__xludf.DUMMYFUNCTION(&quot;&quot;&quot;COMPUTED_VALUE&quot;&quot;&quot;),&quot;Programming Paradigms&quot;)"/>
    <hyperlink ref="F179" r:id="rId159" display="=IFERROR(@__xludf.DUMMYFUNCTION(&quot;&quot;&quot;COMPUTED_VALUE&quot;&quot;&quot;),&quot;Web Programming&quot;)"/>
    <hyperlink ref="F180" r:id="rId160" display="=IFERROR(@__xludf.DUMMYFUNCTION(&quot;&quot;&quot;COMPUTED_VALUE&quot;&quot;&quot;),&quot;Robotic Process Automation&quot;)"/>
    <hyperlink ref="F181" r:id="rId161" display="=IFERROR(@__xludf.DUMMYFUNCTION(&quot;&quot;&quot;COMPUTED_VALUE&quot;&quot;&quot;),&quot;Software Project Management and Version Control&quot;)"/>
    <hyperlink ref="F182" r:id="rId162" display="=IFERROR(@__xludf.DUMMYFUNCTION(&quot;&quot;&quot;COMPUTED_VALUE&quot;&quot;&quot;),&quot;Generative AI Application Development&quot;)"/>
    <hyperlink ref="F183" r:id="rId163" display="=IFERROR(@__xludf.DUMMYFUNCTION(&quot;&quot;&quot;COMPUTED_VALUE&quot;&quot;&quot;),&quot;Fine Tuning Large Language Models&quot;)"/>
    <hyperlink ref="F184" r:id="rId164" display="=IFERROR(@__xludf.DUMMYFUNCTION(&quot;&quot;&quot;COMPUTED_VALUE&quot;&quot;&quot;),&quot;Applied Data Science&quot;)"/>
    <hyperlink ref="F185" r:id="rId165" display="=IFERROR(@__xludf.DUMMYFUNCTION(&quot;&quot;&quot;COMPUTED_VALUE&quot;&quot;&quot;),&quot;Entrepreneurship and Small Business Development&quot;)"/>
    <hyperlink ref="F186" r:id="rId166" display="=IFERROR(@__xludf.DUMMYFUNCTION(&quot;&quot;&quot;COMPUTED_VALUE&quot;&quot;&quot;),&quot;Software Development and Operations&quot;)"/>
    <hyperlink ref="F187" r:id="rId167" display="=IFERROR(@__xludf.DUMMYFUNCTION(&quot;&quot;&quot;COMPUTED_VALUE&quot;&quot;&quot;),&quot;Serverless App Development&quot;)"/>
    <hyperlink ref="F188" r:id="rId168" display="=IFERROR(@__xludf.DUMMYFUNCTION(&quot;&quot;&quot;COMPUTED_VALUE&quot;&quot;&quot;),&quot;Enterprise Cloud Architecture&quot;)"/>
    <hyperlink ref="F189" r:id="rId169" display="=IFERROR(@__xludf.DUMMYFUNCTION(&quot;&quot;&quot;COMPUTED_VALUE&quot;&quot;&quot;),&quot;Advanced Class Design and Object-Oriented Techniques&quot;)"/>
    <hyperlink ref="F190" r:id="rId170" display="=IFERROR(@__xludf.DUMMYFUNCTION(&quot;&quot;&quot;COMPUTED_VALUE&quot;&quot;&quot;),&quot;Low-Code App Development&quot;)"/>
    <hyperlink ref="F191" r:id="rId171" display="=IFERROR(@__xludf.DUMMYFUNCTION(&quot;&quot;&quot;COMPUTED_VALUE&quot;&quot;&quot;),&quot;Cloud System Administration&quot;)"/>
    <hyperlink ref="F192" r:id="rId172" display="=IFERROR(@__xludf.DUMMYFUNCTION(&quot;&quot;&quot;COMPUTED_VALUE&quot;&quot;&quot;),&quot;Machine Learning Operations&quot;)"/>
    <hyperlink ref="F193" r:id="rId173" display="=IFERROR(@__xludf.DUMMYFUNCTION(&quot;&quot;&quot;COMPUTED_VALUE&quot;&quot;&quot;),&quot;Virtualization and Cloud Computing&quot;)"/>
    <hyperlink ref="F194" r:id="rId174" display="=IFERROR(@__xludf.DUMMYFUNCTION(&quot;&quot;&quot;COMPUTED_VALUE&quot;&quot;&quot;),&quot;Cryptography and Network Security&quot;)"/>
    <hyperlink ref="F195" r:id="rId175" display="=IFERROR(@__xludf.DUMMYFUNCTION(&quot;&quot;&quot;COMPUTED_VALUE&quot;&quot;&quot;),&quot;Cloud Security&quot;)"/>
    <hyperlink ref="F196" r:id="rId153" display="=IFERROR(@__xludf.DUMMYFUNCTION(&quot;&quot;&quot;COMPUTED_VALUE&quot;&quot;&quot;),&quot;Digital Forensics and Digital Investigations&quot;)"/>
    <hyperlink ref="F197" r:id="rId176" display="=IFERROR(@__xludf.DUMMYFUNCTION(&quot;&quot;&quot;COMPUTED_VALUE&quot;&quot;&quot;),&quot;Edge Computing&quot;)"/>
    <hyperlink ref="F198" r:id="rId177" display="=IFERROR(@__xludf.DUMMYFUNCTION(&quot;&quot;&quot;COMPUTED_VALUE&quot;&quot;&quot;),&quot;Security for IoT Systems&quot;)"/>
    <hyperlink ref="F199" r:id="rId178" display="=IFERROR(@__xludf.DUMMYFUNCTION(&quot;&quot;&quot;COMPUTED_VALUE&quot;&quot;&quot;),&quot;Software Testing and Quality Assurance&quot;)"/>
    <hyperlink ref="F200" r:id="rId179" display="=IFERROR(@__xludf.DUMMYFUNCTION(&quot;&quot;&quot;COMPUTED_VALUE&quot;&quot;&quot;),&quot;Information Security Intelligence and Analytics using Big Data&quot;)"/>
    <hyperlink ref="F201" r:id="rId180" display="=IFERROR(@__xludf.DUMMYFUNCTION(&quot;&quot;&quot;COMPUTED_VALUE&quot;&quot;&quot;),&quot;Prevention Methodology for Cybersecurity&quot;)"/>
    <hyperlink ref="F202" r:id="rId181" display="=IFERROR(@__xludf.DUMMYFUNCTION(&quot;&quot;&quot;COMPUTED_VALUE&quot;&quot;&quot;),&quot;Trusted Network Systems&quot;)"/>
    <hyperlink ref="F203" r:id="rId182" display="=IFERROR(@__xludf.DUMMYFUNCTION(&quot;&quot;&quot;COMPUTED_VALUE&quot;&quot;&quot;),&quot;Firewalls and Intrusion Detection System&quot;)"/>
    <hyperlink ref="F204" r:id="rId183" display="=IFERROR(@__xludf.DUMMYFUNCTION(&quot;&quot;&quot;COMPUTED_VALUE&quot;&quot;&quot;),&quot;Secure Software Engineering&quot;)"/>
    <hyperlink ref="F205" r:id="rId184" display="=IFERROR(@__xludf.DUMMYFUNCTION(&quot;&quot;&quot;COMPUTED_VALUE&quot;&quot;&quot;),&quot;System Security&quot;)"/>
    <hyperlink ref="F206" r:id="rId185" display="=IFERROR(@__xludf.DUMMYFUNCTION(&quot;&quot;&quot;COMPUTED_VALUE&quot;&quot;&quot;),&quot;Hardware Security&quot;)"/>
    <hyperlink ref="F207" r:id="rId186" display="=IFERROR(@__xludf.DUMMYFUNCTION(&quot;&quot;&quot;COMPUTED_VALUE&quot;&quot;&quot;),&quot;Fog Computing&quot;)"/>
    <hyperlink ref="F208" r:id="rId180" display="=IFERROR(@__xludf.DUMMYFUNCTION(&quot;&quot;&quot;COMPUTED_VALUE&quot;&quot;&quot;),&quot;Embedded Board Manufacturing&quot;)"/>
    <hyperlink ref="F209" r:id="rId187" display="=IFERROR(@__xludf.DUMMYFUNCTION(&quot;&quot;&quot;COMPUTED_VALUE&quot;&quot;&quot;),&quot;Cloud Services Management&quot;)"/>
    <hyperlink ref="F210" r:id="rId188" display="=IFERROR(@__xludf.DUMMYFUNCTION(&quot;&quot;&quot;COMPUTED_VALUE&quot;&quot;&quot;),&quot;UI and UX Design&quot;)"/>
    <hyperlink ref="F211" r:id="rId189" display="=IFERROR(@__xludf.DUMMYFUNCTION(&quot;&quot;&quot;COMPUTED_VALUE&quot;&quot;&quot;),&quot;Software Testing and Automation&quot;)"/>
    <hyperlink ref="F212" r:id="rId190" display="=IFERROR(@__xludf.DUMMYFUNCTION(&quot;&quot;&quot;COMPUTED_VALUE&quot;&quot;&quot;),&quot;DevOps&quot;)"/>
    <hyperlink ref="F213" r:id="rId191" display="=IFERROR(@__xludf.DUMMYFUNCTION(&quot;&quot;&quot;COMPUTED_VALUE&quot;&quot;&quot;),&quot;Web Application Security&quot;)"/>
    <hyperlink ref="F214" r:id="rId192" display="=IFERROR(@__xludf.DUMMYFUNCTION(&quot;&quot;&quot;COMPUTED_VALUE&quot;&quot;&quot;),&quot;Grid and Cloud Computing&quot;)"/>
    <hyperlink ref="F215" r:id="rId193" display="=IFERROR(@__xludf.DUMMYFUNCTION(&quot;&quot;&quot;COMPUTED_VALUE&quot;&quot;&quot;),&quot;Distributed Computing&quot;)"/>
    <hyperlink ref="F216" r:id="rId194" display="=IFERROR(@__xludf.DUMMYFUNCTION(&quot;&quot;&quot;COMPUTED_VALUE&quot;&quot;&quot;),&quot;Information Theory and Coding Techniques&quot;)"/>
    <hyperlink ref="F217" r:id="rId195" display="=IFERROR(@__xludf.DUMMYFUNCTION(&quot;&quot;&quot;COMPUTED_VALUE&quot;&quot;&quot;),&quot;Enterprise Resource Planning&quot;)"/>
    <hyperlink ref="F218" r:id="rId196" display="=IFERROR(@__xludf.DUMMYFUNCTION(&quot;&quot;&quot;COMPUTED_VALUE&quot;&quot;&quot;),&quot;User Interface Design&quot;)"/>
    <hyperlink ref="F219" r:id="rId197" display="=IFERROR(@__xludf.DUMMYFUNCTION(&quot;&quot;&quot;COMPUTED_VALUE&quot;&quot;&quot;),&quot;Information Storage Management&quot;)"/>
    <hyperlink ref="F220" r:id="rId198" display="=IFERROR(@__xludf.DUMMYFUNCTION(&quot;&quot;&quot;COMPUTED_VALUE&quot;&quot;&quot;),&quot;Software Design Patterns&quot;)"/>
    <hyperlink ref="F221" r:id="rId199" display="=IFERROR(@__xludf.DUMMYFUNCTION(&quot;&quot;&quot;COMPUTED_VALUE&quot;&quot;&quot;),&quot;E-Learning Techniques&quot;)"/>
    <hyperlink ref="F222" r:id="rId200" display="=IFERROR(@__xludf.DUMMYFUNCTION(&quot;&quot;&quot;COMPUTED_VALUE&quot;&quot;&quot;),&quot;TCP/IP Design and Implementation&quot;)"/>
    <hyperlink ref="F223" r:id="rId201" display="=IFERROR(@__xludf.DUMMYFUNCTION(&quot;&quot;&quot;COMPUTED_VALUE&quot;&quot;&quot;),&quot;Advanced Algorithms&quot;)"/>
    <hyperlink ref="F224" r:id="rId202" display="=IFERROR(@__xludf.DUMMYFUNCTION(&quot;&quot;&quot;COMPUTED_VALUE&quot;&quot;&quot;),&quot;Ethical Hacking&quot;)"/>
    <hyperlink ref="F225" r:id="rId203" display="=IFERROR(@__xludf.DUMMYFUNCTION(&quot;&quot;&quot;COMPUTED_VALUE&quot;&quot;&quot;),&quot;DHTML and XML&quot;)"/>
    <hyperlink ref="F226" r:id="rId204" display="=IFERROR(@__xludf.DUMMYFUNCTION(&quot;&quot;&quot;COMPUTED_VALUE&quot;&quot;&quot;),&quot;E-Commerce&quot;)"/>
    <hyperlink ref="F227" r:id="rId205" display="=IFERROR(@__xludf.DUMMYFUNCTION(&quot;&quot;&quot;COMPUTED_VALUE&quot;&quot;&quot;),&quot;Free Open Source Software&quot;)"/>
    <hyperlink ref="F228" r:id="rId206" display="=IFERROR(@__xludf.DUMMYFUNCTION(&quot;&quot;&quot;COMPUTED_VALUE&quot;&quot;&quot;),&quot;Real Time Operating Systems&quot;)"/>
    <hyperlink ref="F229" r:id="rId207" display="=IFERROR(@__xludf.DUMMYFUNCTION(&quot;&quot;&quot;COMPUTED_VALUE&quot;&quot;&quot;),&quot;Software Agents&quot;)"/>
    <hyperlink ref="F230" r:id="rId208" display="=IFERROR(@__xludf.DUMMYFUNCTION(&quot;&quot;&quot;COMPUTED_VALUE&quot;&quot;&quot;),&quot;Business Intelligence and Analytics&quot;)"/>
    <hyperlink ref="F232" r:id="rId209" display="=IFERROR(@__xludf.DUMMYFUNCTION(&quot;&quot;&quot;COMPUTED_VALUE&quot;&quot;&quot;),&quot;Core Computing Concepts&quot;)"/>
    <hyperlink ref="F233" r:id="rId210" display="=IFERROR(@__xludf.DUMMYFUNCTION(&quot;&quot;&quot;COMPUTED_VALUE&quot;&quot;&quot;),&quot;Fundamentals of Cryptocurrency&quot;)"/>
    <hyperlink ref="F238" r:id="rId211" display="=IFERROR(@__xludf.DUMMYFUNCTION(&quot;&quot;&quot;COMPUTED_VALUE&quot;&quot;&quot;),&quot;Mini Project&quot;)"/>
    <hyperlink ref="F239" r:id="rId212" display="=IFERROR(@__xludf.DUMMYFUNCTION(&quot;&quot;&quot;COMPUTED_VALUE&quot;&quot;&quot;),&quot;Project Work I&quot;)"/>
    <hyperlink ref="F240" r:id="rId213" display="=IFERROR(@__xludf.DUMMYFUNCTION(&quot;&quot;&quot;COMPUTED_VALUE&quot;&quot;&quot;),&quot;Project Work II&quot;)"/>
    <hyperlink ref="F241" r:id="rId214" display="=IFERROR(@__xludf.DUMMYFUNCTION(&quot;&quot;&quot;COMPUTED_VALUE&quot;&quot;&quot;),&quot;Softskills&quot;)"/>
    <hyperlink ref="F242" r:id="rId215" display="=IFERROR(@__xludf.DUMMYFUNCTION(&quot;&quot;&quot;COMPUTED_VALUE&quot;&quot;&quot;),&quot;Career Development Skills&quot;)"/>
    <hyperlink ref="F243" r:id="rId216" display="=IFERROR(@__xludf.DUMMYFUNCTION(&quot;&quot;&quot;COMPUTED_VALUE&quot;&quot;&quot;),&quot;Creative Skills for Communication&quot;)"/>
    <hyperlink ref="F244" r:id="rId217" display="=IFERROR(@__xludf.DUMMYFUNCTION(&quot;&quot;&quot;COMPUTED_VALUE&quot;&quot;&quot;),&quot;Reasoning Ability&quot;)"/>
    <hyperlink ref="F245" r:id="rId218" display="=IFERROR(@__xludf.DUMMYFUNCTION(&quot;&quot;&quot;COMPUTED_VALUE&quot;&quot;&quot;),&quot;System of Numerical and Logical Terminologies&quot;)"/>
    <hyperlink ref="F246" r:id="rId219" display="=IFERROR(@__xludf.DUMMYFUNCTION(&quot;&quot;&quot;COMPUTED_VALUE&quot;&quot;&quot;),&quot;Advanced Quantitative and Logical Reasoning&quot;)"/>
    <hyperlink ref="F247" r:id="rId220" display="=IFERROR(@__xludf.DUMMYFUNCTION(&quot;&quot;&quot;COMPUTED_VALUE&quot;&quot;&quot;),&quot;Quantitative Ability I&quot;)"/>
    <hyperlink ref="F248" r:id="rId221" display="=IFERROR(@__xludf.DUMMYFUNCTION(&quot;&quot;&quot;COMPUTED_VALUE&quot;&quot;&quot;),&quot;Quantitative Ability II&quot;)"/>
    <hyperlink ref="F249" r:id="rId222" display="=IFERROR(@__xludf.DUMMYFUNCTION(&quot;&quot;&quot;COMPUTED_VALUE&quot;&quot;&quot;),&quot;Employment Enhancement Skills&quot;)"/>
    <hyperlink ref="F250" r:id="rId223" display="=IFERROR(@__xludf.DUMMYFUNCTION(&quot;&quot;&quot;COMPUTED_VALUE&quot;&quot;&quot;),&quot;Employment Enrichment Skills&quot;)"/>
    <hyperlink ref="F251" r:id="rId224" display="=IFERROR(@__xludf.DUMMYFUNCTION(&quot;&quot;&quot;COMPUTED_VALUE&quot;&quot;&quot;),&quot;Company Specific Assessments For Employability&quot;)"/>
    <hyperlink ref="F252" r:id="rId225" display="=IFERROR(@__xludf.DUMMYFUNCTION(&quot;&quot;&quot;COMPUTED_VALUE&quot;&quot;&quot;),&quot;Placement Readiness Assessment&quot;)"/>
    <hyperlink ref="F253" r:id="rId226" display="=IFERROR(@__xludf.DUMMYFUNCTION(&quot;&quot;&quot;COMPUTED_VALUE&quot;&quot;&quot;),&quot;Paper Publication&quot;)"/>
    <hyperlink ref="F254" r:id="rId227" display="=IFERROR(@__xludf.DUMMYFUNCTION(&quot;&quot;&quot;COMPUTED_VALUE&quot;&quot;&quot;),&quot;Professional Ethics&quot;)"/>
    <hyperlink ref="F255" r:id="rId228" display="=IFERROR(@__xludf.DUMMYFUNCTION(&quot;&quot;&quot;COMPUTED_VALUE&quot;&quot;&quot;),&quot;Environmental Science&quot;)"/>
    <hyperlink ref="F256" r:id="rId229" display="=IFERROR(@__xludf.DUMMYFUNCTION(&quot;&quot;&quot;COMPUTED_VALUE&quot;&quot;&quot;),&quot;Constitution of India&quot;)"/>
    <hyperlink ref="F258" r:id="rId230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1000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IMPORTRANGE(""https://docs.google.com/spreadsheets/d/1UvPg-G_Bj-UNhLC2uL8tntfYsnld_PABqE3impzOchM/edAI&amp;DS"", ""R2024-AI&amp;DS!A:A""),
IMPORTRANGE(""https://docs.google.com/spreadsheets/d/1UvPg-G_Bj-UNhLC2uL8tntfYsnld_PABqE3impzOchM/edAI&amp;DS"", "&amp;"""R2024-AI&amp;DS!D:D""),
IMPORTRANGE(""https://docs.google.com/spreadsheets/d/1UvPg-G_Bj-UNhLC2uL8tntfYsnld_PABqE3impzOchM/edAI&amp;DS"", ""R2024-AI&amp;DS!E:E""),
IMPORTRANGE(""https://docs.google.com/spreadsheets/d/1UvPg-G_Bj-UNhLC2uL8tntfYsnld_PABqE3impzOchM/edAI"&amp;"&amp;DS"", ""R2024-AI&amp;DS!F:F""),
IMPORTRANGE(""https://docs.google.com/spreadsheets/d/1UvPg-G_Bj-UNhLC2uL8tntfYsnld_PABqE3impzOchM/edAI&amp;DS"", ""R2024-AI&amp;DS!G:G""),
IMPORTRANGE(""https://docs.google.com/spreadsheets/d/1UvPg-G_Bj-UNhLC2uL8tntfYsnld_PABqE3impzOc"&amp;"hM/edAI&amp;DS"", ""R2024-AI&amp;DS!I:I""),
IMPORTRANGE(""https://docs.google.com/spreadsheets/d/1UvPg-G_Bj-UNhLC2uL8tntfYsnld_PABqE3impzOchM/edAI&amp;DS"", ""R2024-AI&amp;DS!N:N""),
IMPORTRANGE(""https://docs.google.com/spreadsheets/d/1UvPg-G_Bj-UNhLC2uL8tntfYsnld_PABqE"&amp;"3impzOchM/edAI&amp;DS"", ""R2024-AI&amp;DS!O:O""),
IMPORTRANGE(""https://docs.google.com/spreadsheets/d/1UvPg-G_Bj-UNhLC2uL8tntfYsnld_PABqE3impzOchM/edAI&amp;DS"", ""R2024-AI&amp;DS!P:P""),
IMPORTRANGE(""https://docs.google.com/spreadsheets/d/1UvPg-G_Bj-UNhLC2uL8tntfYsnl"&amp;"d_PABqE3impzOchM/edAI&amp;DS"", ""R2024-AI&amp;DS!Q:Q""),
IMPORTRANGE(""https://docs.google.com/spreadsheets/d/1UvPg-G_Bj-UNhLC2uL8tntfYsnld_PABqE3impzOchM/edAI&amp;DS"", ""R2024-AI&amp;DS!R:R""),
IMPORTRANGE(""https://docs.google.com/spreadsheets/d/1UvPg-G_Bj-UNhLC2uL8t"&amp;"ntfYsnld_PABqE3impzOchM/edAI&amp;DS"", ""R2024-AI&amp;DS!S:S""),
IMPORTRANGE(""https://docs.google.com/spreadsheets/d/1UvPg-G_Bj-UNhLC2uL8tntfYsnld_PABqE3impzOchM/edAI&amp;DS"", ""R2024-AI&amp;DS!V:V""),
IMPORTRANGE(""https://docs.google.com/spreadsheets/d/1UvPg-G_Bj-UNh"&amp;"LC2uL8tntfYsnld_PABqE3impzOchM/edAI&amp;DS"", ""R2024-AI&amp;DS!X:X""),
IMPORTRANGE(""https://docs.google.com/spreadsheets/d/1UvPg-G_Bj-UNhLC2uL8tntfYsnld_PABqE3impzOchM/edAI&amp;DS"", ""R2024-AI&amp;DS!Y:Y"")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IFERROR(__xludf.DUMMYFUNCTION("""COMPUTED_VALUE"""),14)</f>
        <v>14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IFERROR(__xludf.DUMMYFUNCTION("""COMPUTED_VALUE"""),23)</f>
        <v>23</v>
      </c>
      <c r="O4" s="20">
        <f>IFERROR(__xludf.DUMMYFUNCTION("""COMPUTED_VALUE"""),16)</f>
        <v>16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IFERROR(__xludf.DUMMYFUNCTION("""COMPUTED_VALUE"""),28)</f>
        <v>28</v>
      </c>
      <c r="O5" s="20">
        <f>IFERROR(__xludf.DUMMYFUNCTION("""COMPUTED_VALUE"""),15)</f>
        <v>15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IFERROR(__xludf.DUMMYFUNCTION("""COMPUTED_VALUE"""),48)</f>
        <v>48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IFERROR(__xludf.DUMMYFUNCTION("""COMPUTED_VALUE"""),15)</f>
        <v>15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IFERROR(__xludf.DUMMYFUNCTION("""COMPUTED_VALUE"""),4)</f>
        <v>4</v>
      </c>
      <c r="O10" s="20">
        <f>IFERROR(__xludf.DUMMYFUNCTION("""COMPUTED_VALUE"""),4)</f>
        <v>4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IFERROR(__xludf.DUMMYFUNCTION("""COMPUTED_VALUE"""),"SH7801")</f>
        <v>SH7801</v>
      </c>
      <c r="E11" s="2" t="str">
        <f>IFERROR(__xludf.DUMMYFUNCTION("""COMPUTED_VALUE"""),"NA")</f>
        <v>NA</v>
      </c>
      <c r="F11" s="7" t="str">
        <f>IFERROR(__xludf.DUMMYFUNCTION("""COMPUTED_VALUE"""),"Human Values and Professional Ethics")</f>
        <v>Human Values and Professional Ethics</v>
      </c>
      <c r="G11" s="2" t="str">
        <f>IFERROR(__xludf.DUMMYFUNCTION("""COMPUTED_VALUE"""),"-")</f>
        <v>-</v>
      </c>
      <c r="H11" s="2">
        <f>IFERROR(__xludf.DUMMYFUNCTION("""COMPUTED_VALUE"""),2)</f>
        <v>2</v>
      </c>
      <c r="I11" s="2">
        <f>IFERROR(__xludf.DUMMYFUNCTION("""COMPUTED_VALUE"""),0)</f>
        <v>0</v>
      </c>
      <c r="J11" s="2">
        <f>IFERROR(__xludf.DUMMYFUNCTION("""COMPUTED_VALUE"""),2)</f>
        <v>2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IFERROR(__xludf.DUMMYFUNCTION("""COMPUTED_VALUE"""),169)</f>
        <v>169</v>
      </c>
      <c r="O11" s="23">
        <f>IFERROR(__xludf.DUMMYFUNCTION("""COMPUTED_VALUE"""),129)</f>
        <v>129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IFERROR(__xludf.DUMMYFUNCTION("""COMPUTED_VALUE"""),"SH2222")</f>
        <v>SH2222</v>
      </c>
      <c r="E12" s="2" t="str">
        <f>IFERROR(__xludf.DUMMYFUNCTION("""COMPUTED_VALUE"""),"19MA222")</f>
        <v>19MA222</v>
      </c>
      <c r="F12" s="7" t="str">
        <f>IFERROR(__xludf.DUMMYFUNCTION("""COMPUTED_VALUE"""),"Probability and Queueing Models")</f>
        <v>Probability and Queueing Models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IFERROR(__xludf.DUMMYFUNCTION("""COMPUTED_VALUE"""),"SH2219")</f>
        <v>SH2219</v>
      </c>
      <c r="E13" s="2" t="str">
        <f>IFERROR(__xludf.DUMMYFUNCTION("""COMPUTED_VALUE"""),"19MA219")</f>
        <v>19MA219</v>
      </c>
      <c r="F13" s="7" t="str">
        <f>IFERROR(__xludf.DUMMYFUNCTION("""COMPUTED_VALUE"""),"Transforms and Its Applications")</f>
        <v>Transforms and Its Applications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IFERROR(__xludf.DUMMYFUNCTION("""COMPUTED_VALUE"""),"SH2220")</f>
        <v>SH2220</v>
      </c>
      <c r="E14" s="2" t="str">
        <f>IFERROR(__xludf.DUMMYFUNCTION("""COMPUTED_VALUE"""),"19MA220")</f>
        <v>19MA220</v>
      </c>
      <c r="F14" s="7" t="str">
        <f>IFERROR(__xludf.DUMMYFUNCTION("""COMPUTED_VALUE"""),"Mathematics for Artificial Intelligence")</f>
        <v>Mathematics for Artificial Intelligence</v>
      </c>
      <c r="G14" s="2" t="str">
        <f>IFERROR(__xludf.DUMMYFUNCTION("""COMPUTED_VALUE"""),"-")</f>
        <v>-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IFERROR(__xludf.DUMMYFUNCTION("""COMPUTED_VALUE"""),"SH2221")</f>
        <v>SH2221</v>
      </c>
      <c r="E15" s="2" t="str">
        <f>IFERROR(__xludf.DUMMYFUNCTION("""COMPUTED_VALUE"""),"19MA221")</f>
        <v>19MA221</v>
      </c>
      <c r="F15" s="7" t="str">
        <f>IFERROR(__xludf.DUMMYFUNCTION("""COMPUTED_VALUE"""),"Linear Algebra Laboratory")</f>
        <v>Linear Algebra Laboratory</v>
      </c>
      <c r="G15" s="2" t="str">
        <f>IFERROR(__xludf.DUMMYFUNCTION("""COMPUTED_VALUE"""),"-")</f>
        <v>-</v>
      </c>
      <c r="H15" s="2">
        <f>IFERROR(__xludf.DUMMYFUNCTION("""COMPUTED_VALUE"""),0)</f>
        <v>0</v>
      </c>
      <c r="I15" s="2">
        <f>IFERROR(__xludf.DUMMYFUNCTION("""COMPUTED_VALUE"""),2)</f>
        <v>2</v>
      </c>
      <c r="J15" s="2">
        <f>IFERROR(__xludf.DUMMYFUNCTION("""COMPUTED_VALUE"""),2)</f>
        <v>2</v>
      </c>
      <c r="K15" s="2" t="str">
        <f>IFERROR(__xludf.DUMMYFUNCTION("""COMPUTED_VALUE"""),"CGPA")</f>
        <v>CGPA</v>
      </c>
      <c r="L15" s="2" t="str">
        <f>IFERROR(__xludf.DUMMYFUNCTION("""COMPUTED_VALUE"""),"Practical (10 Expts)")</f>
        <v>Practical (10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IFERROR(__xludf.DUMMYFUNCTION("""COMPUTED_VALUE"""),"BS")</f>
        <v>BS</v>
      </c>
      <c r="D16" s="2" t="str">
        <f>IFERROR(__xludf.DUMMYFUNCTION("""COMPUTED_VALUE"""),"SH3214")</f>
        <v>SH3214</v>
      </c>
      <c r="E16" s="2" t="str">
        <f>IFERROR(__xludf.DUMMYFUNCTION("""COMPUTED_VALUE"""),"NA")</f>
        <v>NA</v>
      </c>
      <c r="F16" s="7" t="str">
        <f>IFERROR(__xludf.DUMMYFUNCTION("""COMPUTED_VALUE"""),"Physics for Quantum Computing")</f>
        <v>Physics for Quantum Computing</v>
      </c>
      <c r="G16" s="2" t="str">
        <f>IFERROR(__xludf.DUMMYFUNCTION("""COMPUTED_VALUE"""),"-")</f>
        <v>-</v>
      </c>
      <c r="H16" s="2">
        <f>IFERROR(__xludf.DUMMYFUNCTION("""COMPUTED_VALUE"""),2)</f>
        <v>2</v>
      </c>
      <c r="I16" s="2">
        <f>IFERROR(__xludf.DUMMYFUNCTION("""COMPUTED_VALUE"""),1)</f>
        <v>1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IFERROR(__xludf.DUMMYFUNCTION("""COMPUTED_VALUE"""),"SH4205")</f>
        <v>SH4205</v>
      </c>
      <c r="E17" s="2" t="str">
        <f>IFERROR(__xludf.DUMMYFUNCTION("""COMPUTED_VALUE"""),"19CY205")</f>
        <v>19CY205</v>
      </c>
      <c r="F17" s="7" t="str">
        <f>IFERROR(__xludf.DUMMYFUNCTION("""COMPUTED_VALUE"""),"Principles of Chemistry in Engineering")</f>
        <v>Principles of Chemistry in Engineering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IFERROR(__xludf.DUMMYFUNCTION("""COMPUTED_VALUE"""),"BS")</f>
        <v>BS</v>
      </c>
      <c r="D18" s="2" t="str">
        <f>IFERROR(__xludf.DUMMYFUNCTION("""COMPUTED_VALUE"""),"SH4801")</f>
        <v>SH4801</v>
      </c>
      <c r="E18" s="2" t="str">
        <f>IFERROR(__xludf.DUMMYFUNCTION("""COMPUTED_VALUE"""),"NA")</f>
        <v>NA</v>
      </c>
      <c r="F18" s="7" t="str">
        <f>IFERROR(__xludf.DUMMYFUNCTION("""COMPUTED_VALUE"""),"Environmental Sciences and Sustainability")</f>
        <v>Environmental Sciences and Sustainability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IFERROR(__xludf.DUMMYFUNCTION("""COMPUTED_VALUE"""),0)</f>
        <v>0</v>
      </c>
      <c r="J18" s="2">
        <f>IFERROR(__xludf.DUMMYFUNCTION("""COMPUTED_VALUE"""),2)</f>
        <v>2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IFERROR(__xludf.DUMMYFUNCTION("""COMPUTED_VALUE"""),"CS3301")</f>
        <v>CS3301</v>
      </c>
      <c r="E19" s="2" t="str">
        <f>IFERROR(__xludf.DUMMYFUNCTION("""COMPUTED_VALUE"""),"19AI301")</f>
        <v>19AI301</v>
      </c>
      <c r="F19" s="7" t="str">
        <f>IFERROR(__xludf.DUMMYFUNCTION("""COMPUTED_VALUE"""),"Python Programming")</f>
        <v>Python Programming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IFERROR(__xludf.DUMMYFUNCTION("""COMPUTED_VALUE"""),"CS3302")</f>
        <v>CS3302</v>
      </c>
      <c r="E20" s="2" t="str">
        <f>IFERROR(__xludf.DUMMYFUNCTION("""COMPUTED_VALUE"""),"19AI302")</f>
        <v>19AI302</v>
      </c>
      <c r="F20" s="7" t="str">
        <f>IFERROR(__xludf.DUMMYFUNCTION("""COMPUTED_VALUE"""),"Engineering Design and Modelling")</f>
        <v>Engineering Design and Modelling</v>
      </c>
      <c r="G20" s="2" t="str">
        <f>IFERROR(__xludf.DUMMYFUNCTION("""COMPUTED_VALUE"""),"-")</f>
        <v>-</v>
      </c>
      <c r="H20" s="2">
        <f>IFERROR(__xludf.DUMMYFUNCTION("""COMPUTED_VALUE"""),0)</f>
        <v>0</v>
      </c>
      <c r="I20" s="2">
        <f>IFERROR(__xludf.DUMMYFUNCTION("""COMPUTED_VALUE"""),3)</f>
        <v>3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IFERROR(__xludf.DUMMYFUNCTION("""COMPUTED_VALUE"""),"Practical (10 Expts)")</f>
        <v>Practical (10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IFERROR(__xludf.DUMMYFUNCTION("""COMPUTED_VALUE"""),"CS3303")</f>
        <v>CS3303</v>
      </c>
      <c r="E21" s="2" t="str">
        <f>IFERROR(__xludf.DUMMYFUNCTION("""COMPUTED_VALUE"""),"19AI303")</f>
        <v>19AI303</v>
      </c>
      <c r="F21" s="7" t="str">
        <f>IFERROR(__xludf.DUMMYFUNCTION("""COMPUTED_VALUE"""),"Engineering Mechanics and Product Development")</f>
        <v>Engineering Mechanics and Product Development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IFERROR(__xludf.DUMMYFUNCTION("""COMPUTED_VALUE"""),"CS3306")</f>
        <v>CS3306</v>
      </c>
      <c r="E22" s="2" t="str">
        <f>IFERROR(__xludf.DUMMYFUNCTION("""COMPUTED_VALUE"""),"19AI306")</f>
        <v>19AI306</v>
      </c>
      <c r="F22" s="7" t="str">
        <f>IFERROR(__xludf.DUMMYFUNCTION("""COMPUTED_VALUE"""),"Object Oriented Programming using C++")</f>
        <v>Object Oriented Programming using C++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IFERROR(__xludf.DUMMYFUNCTION("""COMPUTED_VALUE"""),"CS3307")</f>
        <v>CS3307</v>
      </c>
      <c r="E23" s="2" t="str">
        <f>IFERROR(__xludf.DUMMYFUNCTION("""COMPUTED_VALUE"""),"19AI307")</f>
        <v>19AI307</v>
      </c>
      <c r="F23" s="7" t="str">
        <f>IFERROR(__xludf.DUMMYFUNCTION("""COMPUTED_VALUE"""),"Object Oriented Programming using Java")</f>
        <v>Object Oriented Programming using Java</v>
      </c>
      <c r="G23" s="2" t="str">
        <f>IFERROR(__xludf.DUMMYFUNCTION("""COMPUTED_VALUE"""),"19AI304")</f>
        <v>19AI304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IFERROR(__xludf.DUMMYFUNCTION("""COMPUTED_VALUE"""),"CS3308")</f>
        <v>CS3308</v>
      </c>
      <c r="E24" s="2" t="str">
        <f>IFERROR(__xludf.DUMMYFUNCTION("""COMPUTED_VALUE"""),"19AI308")</f>
        <v>19AI308</v>
      </c>
      <c r="F24" s="7" t="str">
        <f>IFERROR(__xludf.DUMMYFUNCTION("""COMPUTED_VALUE"""),"Object Oriented Programming using C#")</f>
        <v>Object Oriented Programming using C#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 t="str">
        <f>IFERROR(__xludf.DUMMYFUNCTION("""COMPUTED_VALUE"""),"Exempted for LE")</f>
        <v>Exempted for LE</v>
      </c>
      <c r="C25" s="2" t="str">
        <f>IFERROR(__xludf.DUMMYFUNCTION("""COMPUTED_VALUE"""),"ES")</f>
        <v>ES</v>
      </c>
      <c r="D25" s="2" t="str">
        <f>IFERROR(__xludf.DUMMYFUNCTION("""COMPUTED_VALUE"""),"EC2404")</f>
        <v>EC2404</v>
      </c>
      <c r="E25" s="2" t="str">
        <f>IFERROR(__xludf.DUMMYFUNCTION("""COMPUTED_VALUE"""),"19EE404")</f>
        <v>19EE404</v>
      </c>
      <c r="F25" s="7" t="str">
        <f>IFERROR(__xludf.DUMMYFUNCTION("""COMPUTED_VALUE"""),"Digital Electronics")</f>
        <v>Digital Electronics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 t="str">
        <f>IFERROR(__xludf.DUMMYFUNCTION("""COMPUTED_VALUE"""),"Exempted for LE")</f>
        <v>Exempted for LE</v>
      </c>
      <c r="C26" s="2" t="str">
        <f>IFERROR(__xludf.DUMMYFUNCTION("""COMPUTED_VALUE"""),"ES")</f>
        <v>ES</v>
      </c>
      <c r="D26" s="2" t="str">
        <f>IFERROR(__xludf.DUMMYFUNCTION("""COMPUTED_VALUE"""),"EC2305")</f>
        <v>EC2305</v>
      </c>
      <c r="E26" s="2" t="str">
        <f>IFERROR(__xludf.DUMMYFUNCTION("""COMPUTED_VALUE"""),"19EE305")</f>
        <v>19EE305</v>
      </c>
      <c r="F26" s="7" t="str">
        <f>IFERROR(__xludf.DUMMYFUNCTION("""COMPUTED_VALUE"""),"Basic Electrical, Electronics and Measurement Engineering")</f>
        <v>Basic Electrical, Electronics and Measurement Engineering</v>
      </c>
      <c r="G26" s="2" t="str">
        <f>IFERROR(__xludf.DUMMYFUNCTION("""COMPUTED_VALUE"""),"-")</f>
        <v>-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IFERROR(__xludf.DUMMYFUNCTION("""COMPUTED_VALUE"""),"EC2309")</f>
        <v>EC2309</v>
      </c>
      <c r="E27" s="2" t="str">
        <f>IFERROR(__xludf.DUMMYFUNCTION("""COMPUTED_VALUE"""),"19EE309")</f>
        <v>19EE309</v>
      </c>
      <c r="F27" s="7" t="str">
        <f>IFERROR(__xludf.DUMMYFUNCTION("""COMPUTED_VALUE"""),"Programming Microcontrollers")</f>
        <v>Programming Microcontrollers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IFERROR(__xludf.DUMMYFUNCTION("""COMPUTED_VALUE"""),"ES")</f>
        <v>ES</v>
      </c>
      <c r="D28" s="2" t="str">
        <f>IFERROR(__xludf.DUMMYFUNCTION("""COMPUTED_VALUE"""),"CS3304")</f>
        <v>CS3304</v>
      </c>
      <c r="E28" s="2" t="str">
        <f>IFERROR(__xludf.DUMMYFUNCTION("""COMPUTED_VALUE"""),"19AI304")</f>
        <v>19AI304</v>
      </c>
      <c r="F28" s="7" t="str">
        <f>IFERROR(__xludf.DUMMYFUNCTION("""COMPUTED_VALUE"""),"Fundamentals of C Programming")</f>
        <v>Fundamentals of C Programming</v>
      </c>
      <c r="G28" s="2" t="str">
        <f>IFERROR(__xludf.DUMMYFUNCTION("""COMPUTED_VALUE"""),"-")</f>
        <v>-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IFERROR(__xludf.DUMMYFUNCTION("""COMPUTED_VALUE"""),"ES")</f>
        <v>ES</v>
      </c>
      <c r="D29" s="2" t="str">
        <f>IFERROR(__xludf.DUMMYFUNCTION("""COMPUTED_VALUE"""),"CS3305")</f>
        <v>CS3305</v>
      </c>
      <c r="E29" s="2" t="str">
        <f>IFERROR(__xludf.DUMMYFUNCTION("""COMPUTED_VALUE"""),"19AI305")</f>
        <v>19AI305</v>
      </c>
      <c r="F29" s="7" t="str">
        <f>IFERROR(__xludf.DUMMYFUNCTION("""COMPUTED_VALUE"""),"Advanced C Programming")</f>
        <v>Advanced C Programming</v>
      </c>
      <c r="G29" s="2" t="str">
        <f>IFERROR(__xludf.DUMMYFUNCTION("""COMPUTED_VALUE"""),"19AI304 / CS3304")</f>
        <v>19AI304 / CS3304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IFERROR(__xludf.DUMMYFUNCTION("""COMPUTED_VALUE"""),"SH2211")</f>
        <v>SH2211</v>
      </c>
      <c r="E30" s="2" t="str">
        <f>IFERROR(__xludf.DUMMYFUNCTION("""COMPUTED_VALUE"""),"19MA211")</f>
        <v>19MA211</v>
      </c>
      <c r="F30" s="7" t="str">
        <f>IFERROR(__xludf.DUMMYFUNCTION("""COMPUTED_VALUE"""),"Statistics and Numerical Methods")</f>
        <v>Statistics and Numerical Methods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IFERROR(__xludf.DUMMYFUNCTION("""COMPUTED_VALUE"""),"CS1404")</f>
        <v>CS1404</v>
      </c>
      <c r="E31" s="2" t="str">
        <f>IFERROR(__xludf.DUMMYFUNCTION("""COMPUTED_VALUE"""),"19CS404")</f>
        <v>19CS404</v>
      </c>
      <c r="F31" s="3" t="str">
        <f>IFERROR(__xludf.DUMMYFUNCTION("""COMPUTED_VALUE"""),"Database Management System and its Applications")</f>
        <v>Database Management System and its Applications</v>
      </c>
      <c r="G31" s="2" t="str">
        <f>IFERROR(__xludf.DUMMYFUNCTION("""COMPUTED_VALUE"""),"19AI301/19AI304/19CS301/19CS302/19CS303")</f>
        <v>19AI301/19AI304/19CS301/19CS302/19CS303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IFERROR(__xludf.DUMMYFUNCTION("""COMPUTED_VALUE"""),"CS3408")</f>
        <v>CS3408</v>
      </c>
      <c r="E32" s="2" t="str">
        <f>IFERROR(__xludf.DUMMYFUNCTION("""COMPUTED_VALUE"""),"19AI408")</f>
        <v>19AI408</v>
      </c>
      <c r="F32" s="7" t="str">
        <f>IFERROR(__xludf.DUMMYFUNCTION("""COMPUTED_VALUE"""),"Data Structures")</f>
        <v>Data Structures</v>
      </c>
      <c r="G32" s="2" t="str">
        <f>IFERROR(__xludf.DUMMYFUNCTION("""COMPUTED_VALUE"""),"19AI304 / CS3304")</f>
        <v>19AI304 / CS3304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IFERROR(__xludf.DUMMYFUNCTION("""COMPUTED_VALUE"""),"CS3404")</f>
        <v>CS3404</v>
      </c>
      <c r="E33" s="2" t="str">
        <f>IFERROR(__xludf.DUMMYFUNCTION("""COMPUTED_VALUE"""),"19AI404")</f>
        <v>19AI404</v>
      </c>
      <c r="F33" s="7" t="str">
        <f>IFERROR(__xludf.DUMMYFUNCTION("""COMPUTED_VALUE"""),"Analysis of Algorithms")</f>
        <v>Analysis of Algorithms</v>
      </c>
      <c r="G33" s="2" t="str">
        <f>IFERROR(__xludf.DUMMYFUNCTION("""COMPUTED_VALUE"""),"19AI301")</f>
        <v>19AI301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IFERROR(__xludf.DUMMYFUNCTION("""COMPUTED_VALUE"""),"CS3405")</f>
        <v>CS3405</v>
      </c>
      <c r="E34" s="2" t="str">
        <f>IFERROR(__xludf.DUMMYFUNCTION("""COMPUTED_VALUE"""),"19AI405")</f>
        <v>19AI405</v>
      </c>
      <c r="F34" s="7" t="str">
        <f>IFERROR(__xludf.DUMMYFUNCTION("""COMPUTED_VALUE"""),"Fundamentals of Artificial Intelligence")</f>
        <v>Fundamentals of Artificial Intelligence</v>
      </c>
      <c r="G34" s="2" t="str">
        <f>IFERROR(__xludf.DUMMYFUNCTION("""COMPUTED_VALUE"""),"19CS301")</f>
        <v>19CS301</v>
      </c>
      <c r="H34" s="2">
        <f>IFERROR(__xludf.DUMMYFUNCTION("""COMPUTED_VALUE"""),2)</f>
        <v>2</v>
      </c>
      <c r="I34" s="2">
        <f>IFERROR(__xludf.DUMMYFUNCTION("""COMPUTED_VALUE"""),1)</f>
        <v>1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 t="str">
        <f>IFERROR(__xludf.DUMMYFUNCTION("""COMPUTED_VALUE"""),"Exempted for LE")</f>
        <v>Exempted for LE</v>
      </c>
      <c r="C35" s="2" t="str">
        <f>IFERROR(__xludf.DUMMYFUNCTION("""COMPUTED_VALUE"""),"PC")</f>
        <v>PC</v>
      </c>
      <c r="D35" s="2" t="str">
        <f>IFERROR(__xludf.DUMMYFUNCTION("""COMPUTED_VALUE"""),"CS3406")</f>
        <v>CS3406</v>
      </c>
      <c r="E35" s="2" t="str">
        <f>IFERROR(__xludf.DUMMYFUNCTION("""COMPUTED_VALUE"""),"19AI406")</f>
        <v>19AI406</v>
      </c>
      <c r="F35" s="7" t="str">
        <f>IFERROR(__xludf.DUMMYFUNCTION("""COMPUTED_VALUE"""),"Digital Image Processing Techniques")</f>
        <v>Digital Image Processing Techniques</v>
      </c>
      <c r="G35" s="2" t="str">
        <f>IFERROR(__xludf.DUMMYFUNCTION("""COMPUTED_VALUE"""),"-")</f>
        <v>-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 t="str">
        <f>IFERROR(__xludf.DUMMYFUNCTION("""COMPUTED_VALUE"""),"Exempted for LE")</f>
        <v>Exempted for LE</v>
      </c>
      <c r="C36" s="2" t="str">
        <f>IFERROR(__xludf.DUMMYFUNCTION("""COMPUTED_VALUE"""),"PC")</f>
        <v>PC</v>
      </c>
      <c r="D36" s="2" t="str">
        <f>IFERROR(__xludf.DUMMYFUNCTION("""COMPUTED_VALUE"""),"CS1405")</f>
        <v>CS1405</v>
      </c>
      <c r="E36" s="2" t="str">
        <f>IFERROR(__xludf.DUMMYFUNCTION("""COMPUTED_VALUE"""),"19CS405")</f>
        <v>19CS405</v>
      </c>
      <c r="F36" s="7" t="str">
        <f>IFERROR(__xludf.DUMMYFUNCTION("""COMPUTED_VALUE"""),"Operating System")</f>
        <v>Operating System</v>
      </c>
      <c r="G36" s="2" t="str">
        <f>IFERROR(__xludf.DUMMYFUNCTION("""COMPUTED_VALUE"""),"-")</f>
        <v>-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 t="str">
        <f>IFERROR(__xludf.DUMMYFUNCTION("""COMPUTED_VALUE"""),"Exempted for LE")</f>
        <v>Exempted for LE</v>
      </c>
      <c r="C37" s="2" t="str">
        <f>IFERROR(__xludf.DUMMYFUNCTION("""COMPUTED_VALUE"""),"PC")</f>
        <v>PC</v>
      </c>
      <c r="D37" s="2" t="str">
        <f>IFERROR(__xludf.DUMMYFUNCTION("""COMPUTED_VALUE"""),"CS1406")</f>
        <v>CS1406</v>
      </c>
      <c r="E37" s="2" t="str">
        <f>IFERROR(__xludf.DUMMYFUNCTION("""COMPUTED_VALUE"""),"19CS406")</f>
        <v>19CS406</v>
      </c>
      <c r="F37" s="7" t="str">
        <f>IFERROR(__xludf.DUMMYFUNCTION("""COMPUTED_VALUE"""),"Computer Networks")</f>
        <v>Computer Networks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IFERROR(__xludf.DUMMYFUNCTION("""COMPUTED_VALUE"""),"CS3414")</f>
        <v>CS3414</v>
      </c>
      <c r="E38" s="2" t="str">
        <f>IFERROR(__xludf.DUMMYFUNCTION("""COMPUTED_VALUE"""),"19AI414")</f>
        <v>19AI414</v>
      </c>
      <c r="F38" s="7" t="str">
        <f>IFERROR(__xludf.DUMMYFUNCTION("""COMPUTED_VALUE"""),"Fundamentals of Web Application Development")</f>
        <v>Fundamentals of Web Application Development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IFERROR(__xludf.DUMMYFUNCTION("""COMPUTED_VALUE"""),2)</f>
        <v>2</v>
      </c>
      <c r="J38" s="2">
        <f>IFERROR(__xludf.DUMMYFUNCTION("""COMPUTED_VALUE"""),5)</f>
        <v>5</v>
      </c>
      <c r="K38" s="2" t="str">
        <f>IFERROR(__xludf.DUMMYFUNCTION("""COMPUTED_VALUE"""),"CGPA")</f>
        <v>CGPA</v>
      </c>
      <c r="L38" s="2" t="str">
        <f>IFERROR(__xludf.DUMMYFUNCTION("""COMPUTED_VALUE"""),"TIP (10 Expts)")</f>
        <v>TIP (10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IFERROR(__xludf.DUMMYFUNCTION("""COMPUTED_VALUE"""),"CS3407")</f>
        <v>CS3407</v>
      </c>
      <c r="E39" s="2" t="str">
        <f>IFERROR(__xludf.DUMMYFUNCTION("""COMPUTED_VALUE"""),"19AI407")</f>
        <v>19AI407</v>
      </c>
      <c r="F39" s="7" t="str">
        <f>IFERROR(__xludf.DUMMYFUNCTION("""COMPUTED_VALUE"""),"Parallel Computing Architecture")</f>
        <v>Parallel Computing Architecture</v>
      </c>
      <c r="G39" s="2" t="str">
        <f>IFERROR(__xludf.DUMMYFUNCTION("""COMPUTED_VALUE"""),"-")</f>
        <v>-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IFERROR(__xludf.DUMMYFUNCTION("""COMPUTED_VALUE"""),"CS3403")</f>
        <v>CS3403</v>
      </c>
      <c r="E40" s="2" t="str">
        <f>IFERROR(__xludf.DUMMYFUNCTION("""COMPUTED_VALUE"""),"19AI403")</f>
        <v>19AI403</v>
      </c>
      <c r="F40" s="7" t="str">
        <f>IFERROR(__xludf.DUMMYFUNCTION("""COMPUTED_VALUE"""),"Introduction to Data Science")</f>
        <v>Introduction to Data Science</v>
      </c>
      <c r="G40" s="2" t="str">
        <f>IFERROR(__xludf.DUMMYFUNCTION("""COMPUTED_VALUE"""),"19CS301")</f>
        <v>19CS301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IFERROR(__xludf.DUMMYFUNCTION("""COMPUTED_VALUE"""),"CS3409")</f>
        <v>CS3409</v>
      </c>
      <c r="E41" s="2" t="str">
        <f>IFERROR(__xludf.DUMMYFUNCTION("""COMPUTED_VALUE"""),"19AI409")</f>
        <v>19AI409</v>
      </c>
      <c r="F41" s="7" t="str">
        <f>IFERROR(__xludf.DUMMYFUNCTION("""COMPUTED_VALUE"""),"Applied Artificial Intelligence")</f>
        <v>Applied Artificial Intelligence</v>
      </c>
      <c r="G41" s="2" t="str">
        <f>IFERROR(__xludf.DUMMYFUNCTION("""COMPUTED_VALUE"""),"19AI405/19CS301")</f>
        <v>19AI405/19CS301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IFERROR(__xludf.DUMMYFUNCTION("""COMPUTED_VALUE"""),"CS3410")</f>
        <v>CS3410</v>
      </c>
      <c r="E42" s="2" t="str">
        <f>IFERROR(__xludf.DUMMYFUNCTION("""COMPUTED_VALUE"""),"19AI410")</f>
        <v>19AI410</v>
      </c>
      <c r="F42" s="7" t="str">
        <f>IFERROR(__xludf.DUMMYFUNCTION("""COMPUTED_VALUE"""),"Introduction to Machine Learning")</f>
        <v>Introduction to Machine Learning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IFERROR(__xludf.DUMMYFUNCTION("""COMPUTED_VALUE"""),"CS3411")</f>
        <v>CS3411</v>
      </c>
      <c r="E43" s="2" t="str">
        <f>IFERROR(__xludf.DUMMYFUNCTION("""COMPUTED_VALUE"""),"19AI411")</f>
        <v>19AI411</v>
      </c>
      <c r="F43" s="7" t="str">
        <f>IFERROR(__xludf.DUMMYFUNCTION("""COMPUTED_VALUE"""),"Neural Networks")</f>
        <v>Neural Networks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IFERROR(__xludf.DUMMYFUNCTION("""COMPUTED_VALUE"""),"CS3412")</f>
        <v>CS3412</v>
      </c>
      <c r="E44" s="2" t="str">
        <f>IFERROR(__xludf.DUMMYFUNCTION("""COMPUTED_VALUE"""),"19AI412")</f>
        <v>19AI412</v>
      </c>
      <c r="F44" s="7" t="str">
        <f>IFERROR(__xludf.DUMMYFUNCTION("""COMPUTED_VALUE"""),"Web Data Mining")</f>
        <v>Web Data Mining</v>
      </c>
      <c r="G44" s="2" t="str">
        <f>IFERROR(__xludf.DUMMYFUNCTION("""COMPUTED_VALUE"""),"-")</f>
        <v>-</v>
      </c>
      <c r="H44" s="2">
        <f>IFERROR(__xludf.DUMMYFUNCTION("""COMPUTED_VALUE"""),3)</f>
        <v>3</v>
      </c>
      <c r="I44" s="2">
        <f>IFERROR(__xludf.DUMMYFUNCTION("""COMPUTED_VALUE"""),1)</f>
        <v>1</v>
      </c>
      <c r="J44" s="2">
        <f>IFERROR(__xludf.DUMMYFUNCTION("""COMPUTED_VALUE"""),4)</f>
        <v>4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IFERROR(__xludf.DUMMYFUNCTION("""COMPUTED_VALUE"""),"CS3413")</f>
        <v>CS3413</v>
      </c>
      <c r="E45" s="2" t="str">
        <f>IFERROR(__xludf.DUMMYFUNCTION("""COMPUTED_VALUE"""),"19AI413")</f>
        <v>19AI413</v>
      </c>
      <c r="F45" s="7" t="str">
        <f>IFERROR(__xludf.DUMMYFUNCTION("""COMPUTED_VALUE"""),"Deep Learning and its Applications")</f>
        <v>Deep Learning and its Applications</v>
      </c>
      <c r="G45" s="2" t="str">
        <f>IFERROR(__xludf.DUMMYFUNCTION("""COMPUTED_VALUE"""),"-")</f>
        <v>-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IFERROR(__xludf.DUMMYFUNCTION("""COMPUTED_VALUE"""),"CS1407")</f>
        <v>CS1407</v>
      </c>
      <c r="E46" s="2" t="str">
        <f>IFERROR(__xludf.DUMMYFUNCTION("""COMPUTED_VALUE"""),"19CS407")</f>
        <v>19CS407</v>
      </c>
      <c r="F46" s="7" t="str">
        <f>IFERROR(__xludf.DUMMYFUNCTION("""COMPUTED_VALUE"""),"Theory of Computation")</f>
        <v>Theory of Computation</v>
      </c>
      <c r="G46" s="2" t="str">
        <f>IFERROR(__xludf.DUMMYFUNCTION("""COMPUTED_VALUE"""),"19MA206")</f>
        <v>19MA206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IFERROR(__xludf.DUMMYFUNCTION("""COMPUTED_VALUE"""),"CS1408")</f>
        <v>CS1408</v>
      </c>
      <c r="E47" s="2" t="str">
        <f>IFERROR(__xludf.DUMMYFUNCTION("""COMPUTED_VALUE"""),"19CS408")</f>
        <v>19CS408</v>
      </c>
      <c r="F47" s="7" t="str">
        <f>IFERROR(__xludf.DUMMYFUNCTION("""COMPUTED_VALUE"""),"Software Engineering")</f>
        <v>Software Engineering</v>
      </c>
      <c r="G47" s="2" t="str">
        <f>IFERROR(__xludf.DUMMYFUNCTION("""COMPUTED_VALUE"""),"-")</f>
        <v>-</v>
      </c>
      <c r="H47" s="2">
        <f>IFERROR(__xludf.DUMMYFUNCTION("""COMPUTED_VALUE"""),3)</f>
        <v>3</v>
      </c>
      <c r="I47" s="2">
        <f>IFERROR(__xludf.DUMMYFUNCTION("""COMPUTED_VALUE"""),1)</f>
        <v>1</v>
      </c>
      <c r="J47" s="2">
        <f>IFERROR(__xludf.DUMMYFUNCTION("""COMPUTED_VALUE"""),4)</f>
        <v>4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IFERROR(__xludf.DUMMYFUNCTION("""COMPUTED_VALUE"""),"CS1409")</f>
        <v>CS1409</v>
      </c>
      <c r="E48" s="2" t="str">
        <f>IFERROR(__xludf.DUMMYFUNCTION("""COMPUTED_VALUE"""),"19CS409")</f>
        <v>19CS409</v>
      </c>
      <c r="F48" s="7" t="str">
        <f>IFERROR(__xludf.DUMMYFUNCTION("""COMPUTED_VALUE"""),"Compiler Design")</f>
        <v>Compiler Design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IFERROR(__xludf.DUMMYFUNCTION("""COMPUTED_VALUE"""),1)</f>
        <v>1</v>
      </c>
      <c r="J48" s="2">
        <f>IFERROR(__xludf.DUMMYFUNCTION("""COMPUTED_VALUE"""),4)</f>
        <v>4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IFERROR(__xludf.DUMMYFUNCTION("""COMPUTED_VALUE"""),"CS1414")</f>
        <v>CS1414</v>
      </c>
      <c r="E49" s="2" t="str">
        <f>IFERROR(__xludf.DUMMYFUNCTION("""COMPUTED_VALUE"""),"19CS414")</f>
        <v>19CS414</v>
      </c>
      <c r="F49" s="7" t="str">
        <f>IFERROR(__xludf.DUMMYFUNCTION("""COMPUTED_VALUE"""),"Mobile Application Development")</f>
        <v>Mobile Application Development</v>
      </c>
      <c r="G49" s="2" t="str">
        <f>IFERROR(__xludf.DUMMYFUNCTION("""COMPUTED_VALUE"""),"19CS404/19CS410")</f>
        <v>19CS404/19CS410</v>
      </c>
      <c r="H49" s="2">
        <f>IFERROR(__xludf.DUMMYFUNCTION("""COMPUTED_VALUE"""),1)</f>
        <v>1</v>
      </c>
      <c r="I49" s="2">
        <f>IFERROR(__xludf.DUMMYFUNCTION("""COMPUTED_VALUE"""),2)</f>
        <v>2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 (Int Only) and Practical (10 Expts)")</f>
        <v>Theory (Int Only) and Practical (10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IFERROR(__xludf.DUMMYFUNCTION("""COMPUTED_VALUE"""),"EC1408")</f>
        <v>EC1408</v>
      </c>
      <c r="E50" s="2" t="str">
        <f>IFERROR(__xludf.DUMMYFUNCTION("""COMPUTED_VALUE"""),"19EC408")</f>
        <v>19EC408</v>
      </c>
      <c r="F50" s="7" t="str">
        <f>IFERROR(__xludf.DUMMYFUNCTION("""COMPUTED_VALUE"""),"Microprocessor and Microcontroller")</f>
        <v>Microprocessor and Microcontroller</v>
      </c>
      <c r="G50" s="2" t="str">
        <f>IFERROR(__xludf.DUMMYFUNCTION("""COMPUTED_VALUE"""),"19EC303 / EC1801")</f>
        <v>19EC303 / EC1801</v>
      </c>
      <c r="H50" s="2">
        <f>IFERROR(__xludf.DUMMYFUNCTION("""COMPUTED_VALUE"""),3)</f>
        <v>3</v>
      </c>
      <c r="I50" s="2">
        <f>IFERROR(__xludf.DUMMYFUNCTION("""COMPUTED_VALUE"""),1)</f>
        <v>1</v>
      </c>
      <c r="J50" s="2">
        <f>IFERROR(__xludf.DUMMYFUNCTION("""COMPUTED_VALUE"""),4)</f>
        <v>4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 
")</f>
        <v>PE 
</v>
      </c>
      <c r="D51" s="2" t="str">
        <f>IFERROR(__xludf.DUMMYFUNCTION("""COMPUTED_VALUE"""),"CS3530")</f>
        <v>CS3530</v>
      </c>
      <c r="E51" s="2" t="str">
        <f>IFERROR(__xludf.DUMMYFUNCTION("""COMPUTED_VALUE"""),"19AI530")</f>
        <v>19AI530</v>
      </c>
      <c r="F51" s="7" t="str">
        <f>IFERROR(__xludf.DUMMYFUNCTION("""COMPUTED_VALUE"""),"Control of Robotic Systems")</f>
        <v>Control of Robotic Systems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 
")</f>
        <v>PE 
</v>
      </c>
      <c r="D52" s="2" t="str">
        <f>IFERROR(__xludf.DUMMYFUNCTION("""COMPUTED_VALUE"""),"CS3531")</f>
        <v>CS3531</v>
      </c>
      <c r="E52" s="2" t="str">
        <f>IFERROR(__xludf.DUMMYFUNCTION("""COMPUTED_VALUE"""),"19AI531")</f>
        <v>19AI531</v>
      </c>
      <c r="F52" s="7" t="str">
        <f>IFERROR(__xludf.DUMMYFUNCTION("""COMPUTED_VALUE"""),"Cryptography and Security")</f>
        <v>Cryptography and Security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 
")</f>
        <v>PE 
</v>
      </c>
      <c r="D53" s="2" t="str">
        <f>IFERROR(__xludf.DUMMYFUNCTION("""COMPUTED_VALUE"""),"CS3532")</f>
        <v>CS3532</v>
      </c>
      <c r="E53" s="2" t="str">
        <f>IFERROR(__xludf.DUMMYFUNCTION("""COMPUTED_VALUE"""),"19AI532")</f>
        <v>19AI532</v>
      </c>
      <c r="F53" s="7" t="str">
        <f>IFERROR(__xludf.DUMMYFUNCTION("""COMPUTED_VALUE"""),"Information Theory for Cyber Security")</f>
        <v>Information Theory for Cyber Security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 
")</f>
        <v>PE 
</v>
      </c>
      <c r="D54" s="2" t="str">
        <f>IFERROR(__xludf.DUMMYFUNCTION("""COMPUTED_VALUE"""),"CS3533")</f>
        <v>CS3533</v>
      </c>
      <c r="E54" s="2" t="str">
        <f>IFERROR(__xludf.DUMMYFUNCTION("""COMPUTED_VALUE"""),"19AI533")</f>
        <v>19AI533</v>
      </c>
      <c r="F54" s="7" t="str">
        <f>IFERROR(__xludf.DUMMYFUNCTION("""COMPUTED_VALUE"""),"Introduction to Robotics")</f>
        <v>Introduction to Robotics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 
")</f>
        <v>PE 
</v>
      </c>
      <c r="D55" s="2" t="str">
        <f>IFERROR(__xludf.DUMMYFUNCTION("""COMPUTED_VALUE"""),"CS3534")</f>
        <v>CS3534</v>
      </c>
      <c r="E55" s="2" t="str">
        <f>IFERROR(__xludf.DUMMYFUNCTION("""COMPUTED_VALUE"""),"19AI534")</f>
        <v>19AI534</v>
      </c>
      <c r="F55" s="7" t="str">
        <f>IFERROR(__xludf.DUMMYFUNCTION("""COMPUTED_VALUE"""),"Kinematics and Dynamics of Robots")</f>
        <v>Kinematics and Dynamics of Robots</v>
      </c>
      <c r="G55" s="2" t="str">
        <f>IFERROR(__xludf.DUMMYFUNCTION("""COMPUTED_VALUE"""),"-")</f>
        <v>-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 
")</f>
        <v>PE 
</v>
      </c>
      <c r="D56" s="2" t="str">
        <f>IFERROR(__xludf.DUMMYFUNCTION("""COMPUTED_VALUE"""),"CS3504")</f>
        <v>CS3504</v>
      </c>
      <c r="E56" s="2" t="str">
        <f>IFERROR(__xludf.DUMMYFUNCTION("""COMPUTED_VALUE"""),"19AI504")</f>
        <v>19AI504</v>
      </c>
      <c r="F56" s="7" t="str">
        <f>IFERROR(__xludf.DUMMYFUNCTION("""COMPUTED_VALUE"""),"Mobile Robotics")</f>
        <v>Mobile Robotics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 
")</f>
        <v>PE 
</v>
      </c>
      <c r="D57" s="2" t="str">
        <f>IFERROR(__xludf.DUMMYFUNCTION("""COMPUTED_VALUE"""),"CS3505")</f>
        <v>CS3505</v>
      </c>
      <c r="E57" s="2" t="str">
        <f>IFERROR(__xludf.DUMMYFUNCTION("""COMPUTED_VALUE"""),"19AI505")</f>
        <v>19AI505</v>
      </c>
      <c r="F57" s="3" t="str">
        <f>IFERROR(__xludf.DUMMYFUNCTION("""COMPUTED_VALUE"""),"Reinforcement Learning")</f>
        <v>Reinforcement Learning</v>
      </c>
      <c r="G57" s="2" t="str">
        <f>IFERROR(__xludf.DUMMYFUNCTION("""COMPUTED_VALUE"""),"19CS301")</f>
        <v>19CS301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 
")</f>
        <v>PE 
</v>
      </c>
      <c r="D58" s="2" t="str">
        <f>IFERROR(__xludf.DUMMYFUNCTION("""COMPUTED_VALUE"""),"CS3535")</f>
        <v>CS3535</v>
      </c>
      <c r="E58" s="2" t="str">
        <f>IFERROR(__xludf.DUMMYFUNCTION("""COMPUTED_VALUE"""),"19AI535")</f>
        <v>19AI535</v>
      </c>
      <c r="F58" s="7" t="str">
        <f>IFERROR(__xludf.DUMMYFUNCTION("""COMPUTED_VALUE"""),"Robotic Sensors")</f>
        <v>Robotic Sensors</v>
      </c>
      <c r="G58" s="2" t="str">
        <f>IFERROR(__xludf.DUMMYFUNCTION("""COMPUTED_VALUE"""),"-")</f>
        <v>-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 
")</f>
        <v>PE 
</v>
      </c>
      <c r="D59" s="2" t="str">
        <f>IFERROR(__xludf.DUMMYFUNCTION("""COMPUTED_VALUE"""),"CS3536")</f>
        <v>CS3536</v>
      </c>
      <c r="E59" s="2" t="str">
        <f>IFERROR(__xludf.DUMMYFUNCTION("""COMPUTED_VALUE"""),"19AI536")</f>
        <v>19AI536</v>
      </c>
      <c r="F59" s="7" t="str">
        <f>IFERROR(__xludf.DUMMYFUNCTION("""COMPUTED_VALUE"""),"Steganography and Digital Watermarking")</f>
        <v>Steganography and Digital Watermarking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 
")</f>
        <v>PE 
</v>
      </c>
      <c r="D60" s="2" t="str">
        <f>IFERROR(__xludf.DUMMYFUNCTION("""COMPUTED_VALUE"""),"CS3506")</f>
        <v>CS3506</v>
      </c>
      <c r="E60" s="2" t="str">
        <f>IFERROR(__xludf.DUMMYFUNCTION("""COMPUTED_VALUE"""),"19AI506")</f>
        <v>19AI506</v>
      </c>
      <c r="F60" s="3" t="str">
        <f>IFERROR(__xludf.DUMMYFUNCTION("""COMPUTED_VALUE"""),"Speech Analysis and Processing")</f>
        <v>Speech Analysis and Processing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 
")</f>
        <v>PE 
</v>
      </c>
      <c r="D61" s="2" t="str">
        <f>IFERROR(__xludf.DUMMYFUNCTION("""COMPUTED_VALUE"""),"CS3507")</f>
        <v>CS3507</v>
      </c>
      <c r="E61" s="2" t="str">
        <f>IFERROR(__xludf.DUMMYFUNCTION("""COMPUTED_VALUE"""),"19AI507")</f>
        <v>19AI507</v>
      </c>
      <c r="F61" s="7" t="str">
        <f>IFERROR(__xludf.DUMMYFUNCTION("""COMPUTED_VALUE"""),"Special Topics in Artificial Intelligence")</f>
        <v>Special Topics in Artificial Intelligence</v>
      </c>
      <c r="G61" s="2" t="str">
        <f>IFERROR(__xludf.DUMMYFUNCTION("""COMPUTED_VALUE"""),"-")</f>
        <v>-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 
")</f>
        <v>PE 
</v>
      </c>
      <c r="D62" s="2" t="str">
        <f>IFERROR(__xludf.DUMMYFUNCTION("""COMPUTED_VALUE"""),"CS3508")</f>
        <v>CS3508</v>
      </c>
      <c r="E62" s="2" t="str">
        <f>IFERROR(__xludf.DUMMYFUNCTION("""COMPUTED_VALUE"""),"19AI508")</f>
        <v>19AI508</v>
      </c>
      <c r="F62" s="3" t="str">
        <f>IFERROR(__xludf.DUMMYFUNCTION("""COMPUTED_VALUE"""),"Soft Computing Techniques")</f>
        <v>Soft Computing Techniques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 
")</f>
        <v>PE 
</v>
      </c>
      <c r="D63" s="2" t="str">
        <f>IFERROR(__xludf.DUMMYFUNCTION("""COMPUTED_VALUE"""),"CS3537")</f>
        <v>CS3537</v>
      </c>
      <c r="E63" s="2" t="str">
        <f>IFERROR(__xludf.DUMMYFUNCTION("""COMPUTED_VALUE"""),"19AI537")</f>
        <v>19AI537</v>
      </c>
      <c r="F63" s="7" t="str">
        <f>IFERROR(__xludf.DUMMYFUNCTION("""COMPUTED_VALUE"""),"Computer Graphics for Virtual Reality")</f>
        <v>Computer Graphics for Virtual Reality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 
")</f>
        <v>PE 
</v>
      </c>
      <c r="D64" s="2" t="str">
        <f>IFERROR(__xludf.DUMMYFUNCTION("""COMPUTED_VALUE"""),"CS3538")</f>
        <v>CS3538</v>
      </c>
      <c r="E64" s="2" t="str">
        <f>IFERROR(__xludf.DUMMYFUNCTION("""COMPUTED_VALUE"""),"19AI538")</f>
        <v>19AI538</v>
      </c>
      <c r="F64" s="7" t="str">
        <f>IFERROR(__xludf.DUMMYFUNCTION("""COMPUTED_VALUE"""),"Mathematical Modelling and Computer Aided Engineering")</f>
        <v>Mathematical Modelling and Computer Aided Engineering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 
")</f>
        <v>PE 
</v>
      </c>
      <c r="D65" s="2" t="str">
        <f>IFERROR(__xludf.DUMMYFUNCTION("""COMPUTED_VALUE"""),"CS3509")</f>
        <v>CS3509</v>
      </c>
      <c r="E65" s="2" t="str">
        <f>IFERROR(__xludf.DUMMYFUNCTION("""COMPUTED_VALUE"""),"19AI509")</f>
        <v>19AI509</v>
      </c>
      <c r="F65" s="7" t="str">
        <f>IFERROR(__xludf.DUMMYFUNCTION("""COMPUTED_VALUE"""),"Concepts of Virtual And Augmented Reality")</f>
        <v>Concepts of Virtual And Augmented Reality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 
")</f>
        <v>PE 
</v>
      </c>
      <c r="D66" s="2" t="str">
        <f>IFERROR(__xludf.DUMMYFUNCTION("""COMPUTED_VALUE"""),"CS3510")</f>
        <v>CS3510</v>
      </c>
      <c r="E66" s="2" t="str">
        <f>IFERROR(__xludf.DUMMYFUNCTION("""COMPUTED_VALUE"""),"19AI510")</f>
        <v>19AI510</v>
      </c>
      <c r="F66" s="7" t="str">
        <f>IFERROR(__xludf.DUMMYFUNCTION("""COMPUTED_VALUE"""),"Mobile VR And AI In Unity")</f>
        <v>Mobile VR And AI In Unity</v>
      </c>
      <c r="G66" s="2" t="str">
        <f>IFERROR(__xludf.DUMMYFUNCTION("""COMPUTED_VALUE"""),"19AI410/19CS302")</f>
        <v>19AI410/19CS302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 
")</f>
        <v>PE 
</v>
      </c>
      <c r="D67" s="2" t="str">
        <f>IFERROR(__xludf.DUMMYFUNCTION("""COMPUTED_VALUE"""),"CS3511")</f>
        <v>CS3511</v>
      </c>
      <c r="E67" s="2" t="str">
        <f>IFERROR(__xludf.DUMMYFUNCTION("""COMPUTED_VALUE"""),"19AI511")</f>
        <v>19AI511</v>
      </c>
      <c r="F67" s="7" t="str">
        <f>IFERROR(__xludf.DUMMYFUNCTION("""COMPUTED_VALUE"""),"Scientific and Engineering Data Visualization")</f>
        <v>Scientific and Engineering Data Visualization</v>
      </c>
      <c r="G67" s="2" t="str">
        <f>IFERROR(__xludf.DUMMYFUNCTION("""COMPUTED_VALUE"""),"-")</f>
        <v>-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 
")</f>
        <v>PE 
</v>
      </c>
      <c r="D68" s="2" t="str">
        <f>IFERROR(__xludf.DUMMYFUNCTION("""COMPUTED_VALUE"""),"CS3539")</f>
        <v>CS3539</v>
      </c>
      <c r="E68" s="2" t="str">
        <f>IFERROR(__xludf.DUMMYFUNCTION("""COMPUTED_VALUE"""),"19AI539")</f>
        <v>19AI539</v>
      </c>
      <c r="F68" s="7" t="str">
        <f>IFERROR(__xludf.DUMMYFUNCTION("""COMPUTED_VALUE"""),"Mobile User Interface Development")</f>
        <v>Mobile User Interface Development</v>
      </c>
      <c r="G68" s="2" t="str">
        <f>IFERROR(__xludf.DUMMYFUNCTION("""COMPUTED_VALUE"""),"19CS401")</f>
        <v>19CS401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 
")</f>
        <v>PE 
</v>
      </c>
      <c r="D69" s="2" t="str">
        <f>IFERROR(__xludf.DUMMYFUNCTION("""COMPUTED_VALUE"""),"CS3540")</f>
        <v>CS3540</v>
      </c>
      <c r="E69" s="2" t="str">
        <f>IFERROR(__xludf.DUMMYFUNCTION("""COMPUTED_VALUE"""),"19AI540")</f>
        <v>19AI540</v>
      </c>
      <c r="F69" s="7" t="str">
        <f>IFERROR(__xludf.DUMMYFUNCTION("""COMPUTED_VALUE"""),"Programming Mobile Devices")</f>
        <v>Programming Mobile Devices</v>
      </c>
      <c r="G69" s="2" t="str">
        <f>IFERROR(__xludf.DUMMYFUNCTION("""COMPUTED_VALUE"""),"19CS401")</f>
        <v>19CS401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 
")</f>
        <v>PE 
</v>
      </c>
      <c r="D70" s="2" t="str">
        <f>IFERROR(__xludf.DUMMYFUNCTION("""COMPUTED_VALUE"""),"CS3541")</f>
        <v>CS3541</v>
      </c>
      <c r="E70" s="2" t="str">
        <f>IFERROR(__xludf.DUMMYFUNCTION("""COMPUTED_VALUE"""),"19AI541")</f>
        <v>19AI541</v>
      </c>
      <c r="F70" s="7" t="str">
        <f>IFERROR(__xludf.DUMMYFUNCTION("""COMPUTED_VALUE"""),"Cloud Computing")</f>
        <v>Cloud Computing</v>
      </c>
      <c r="G70" s="2" t="str">
        <f>IFERROR(__xludf.DUMMYFUNCTION("""COMPUTED_VALUE"""),"19CS406")</f>
        <v>19CS406</v>
      </c>
      <c r="H70" s="2">
        <f>IFERROR(__xludf.DUMMYFUNCTION("""COMPUTED_VALUE"""),3)</f>
        <v>3</v>
      </c>
      <c r="I70" s="2">
        <f>IFERROR(__xludf.DUMMYFUNCTION("""COMPUTED_VALUE"""),1)</f>
        <v>1</v>
      </c>
      <c r="J70" s="2">
        <f>IFERROR(__xludf.DUMMYFUNCTION("""COMPUTED_VALUE"""),4)</f>
        <v>4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 
")</f>
        <v>PE 
</v>
      </c>
      <c r="D71" s="2" t="str">
        <f>IFERROR(__xludf.DUMMYFUNCTION("""COMPUTED_VALUE"""),"CS3542")</f>
        <v>CS3542</v>
      </c>
      <c r="E71" s="2" t="str">
        <f>IFERROR(__xludf.DUMMYFUNCTION("""COMPUTED_VALUE"""),"19AI542")</f>
        <v>19AI542</v>
      </c>
      <c r="F71" s="7" t="str">
        <f>IFERROR(__xludf.DUMMYFUNCTION("""COMPUTED_VALUE"""),"Agile Software Development")</f>
        <v>Agile Software Development</v>
      </c>
      <c r="G71" s="2" t="str">
        <f>IFERROR(__xludf.DUMMYFUNCTION("""COMPUTED_VALUE"""),"19CS301")</f>
        <v>19CS301</v>
      </c>
      <c r="H71" s="2">
        <f>IFERROR(__xludf.DUMMYFUNCTION("""COMPUTED_VALUE"""),3)</f>
        <v>3</v>
      </c>
      <c r="I71" s="2">
        <f>IFERROR(__xludf.DUMMYFUNCTION("""COMPUTED_VALUE"""),1)</f>
        <v>1</v>
      </c>
      <c r="J71" s="2">
        <f>IFERROR(__xludf.DUMMYFUNCTION("""COMPUTED_VALUE"""),4)</f>
        <v>4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 
")</f>
        <v>PE 
</v>
      </c>
      <c r="D72" s="2" t="str">
        <f>IFERROR(__xludf.DUMMYFUNCTION("""COMPUTED_VALUE"""),"CS3512")</f>
        <v>CS3512</v>
      </c>
      <c r="E72" s="2" t="str">
        <f>IFERROR(__xludf.DUMMYFUNCTION("""COMPUTED_VALUE"""),"19AI512")</f>
        <v>19AI512</v>
      </c>
      <c r="F72" s="7" t="str">
        <f>IFERROR(__xludf.DUMMYFUNCTION("""COMPUTED_VALUE"""),"NoSQL Database Design")</f>
        <v>NoSQL Database Design</v>
      </c>
      <c r="G72" s="2" t="str">
        <f>IFERROR(__xludf.DUMMYFUNCTION("""COMPUTED_VALUE"""),"19CS301")</f>
        <v>19CS301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 
")</f>
        <v>PE 
</v>
      </c>
      <c r="D73" s="2" t="str">
        <f>IFERROR(__xludf.DUMMYFUNCTION("""COMPUTED_VALUE"""),"CS3544")</f>
        <v>CS3544</v>
      </c>
      <c r="E73" s="2" t="str">
        <f>IFERROR(__xludf.DUMMYFUNCTION("""COMPUTED_VALUE"""),"19AI544")</f>
        <v>19AI544</v>
      </c>
      <c r="F73" s="7" t="str">
        <f>IFERROR(__xludf.DUMMYFUNCTION("""COMPUTED_VALUE"""),"Virtualization and Containerization")</f>
        <v>Virtualization and Containerization</v>
      </c>
      <c r="G73" s="2" t="str">
        <f>IFERROR(__xludf.DUMMYFUNCTION("""COMPUTED_VALUE"""),"19CS405/19CS406")</f>
        <v>19CS405/19CS406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 
")</f>
        <v>PE 
</v>
      </c>
      <c r="D74" s="2" t="str">
        <f>IFERROR(__xludf.DUMMYFUNCTION("""COMPUTED_VALUE"""),"CS3513")</f>
        <v>CS3513</v>
      </c>
      <c r="E74" s="2" t="str">
        <f>IFERROR(__xludf.DUMMYFUNCTION("""COMPUTED_VALUE"""),"19AI513")</f>
        <v>19AI513</v>
      </c>
      <c r="F74" s="7" t="str">
        <f>IFERROR(__xludf.DUMMYFUNCTION("""COMPUTED_VALUE"""),"Game Programming")</f>
        <v>Game Programming</v>
      </c>
      <c r="G74" s="2" t="str">
        <f>IFERROR(__xludf.DUMMYFUNCTION("""COMPUTED_VALUE"""),"19CS401")</f>
        <v>19CS401</v>
      </c>
      <c r="H74" s="2">
        <f>IFERROR(__xludf.DUMMYFUNCTION("""COMPUTED_VALUE"""),2)</f>
        <v>2</v>
      </c>
      <c r="I74" s="2">
        <f>IFERROR(__xludf.DUMMYFUNCTION("""COMPUTED_VALUE"""),2)</f>
        <v>2</v>
      </c>
      <c r="J74" s="2">
        <f>IFERROR(__xludf.DUMMYFUNCTION("""COMPUTED_VALUE"""),4)</f>
        <v>4</v>
      </c>
      <c r="K74" s="2" t="str">
        <f>IFERROR(__xludf.DUMMYFUNCTION("""COMPUTED_VALUE"""),"CGPA")</f>
        <v>CGPA</v>
      </c>
      <c r="L74" s="2" t="str">
        <f>IFERROR(__xludf.DUMMYFUNCTION("""COMPUTED_VALUE"""),"TIP (10 Expts)")</f>
        <v>TIP (10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 
")</f>
        <v>PE 
</v>
      </c>
      <c r="D75" s="2" t="str">
        <f>IFERROR(__xludf.DUMMYFUNCTION("""COMPUTED_VALUE"""),"CS3545")</f>
        <v>CS3545</v>
      </c>
      <c r="E75" s="2" t="str">
        <f>IFERROR(__xludf.DUMMYFUNCTION("""COMPUTED_VALUE"""),"19AI545")</f>
        <v>19AI545</v>
      </c>
      <c r="F75" s="7" t="str">
        <f>IFERROR(__xludf.DUMMYFUNCTION("""COMPUTED_VALUE"""),"Modern Web Application Development")</f>
        <v>Modern Web Application Development</v>
      </c>
      <c r="G75" s="2" t="str">
        <f>IFERROR(__xludf.DUMMYFUNCTION("""COMPUTED_VALUE"""),"19CS410")</f>
        <v>19CS410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 
")</f>
        <v>PE 
</v>
      </c>
      <c r="D76" s="2" t="str">
        <f>IFERROR(__xludf.DUMMYFUNCTION("""COMPUTED_VALUE"""),"CS3546")</f>
        <v>CS3546</v>
      </c>
      <c r="E76" s="2" t="str">
        <f>IFERROR(__xludf.DUMMYFUNCTION("""COMPUTED_VALUE"""),"19AI546")</f>
        <v>19AI546</v>
      </c>
      <c r="F76" s="7" t="str">
        <f>IFERROR(__xludf.DUMMYFUNCTION("""COMPUTED_VALUE"""),"Web Server Programming")</f>
        <v>Web Server Programming</v>
      </c>
      <c r="G76" s="2" t="str">
        <f>IFERROR(__xludf.DUMMYFUNCTION("""COMPUTED_VALUE"""),"19CS401")</f>
        <v>19CS401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 
")</f>
        <v>PE 
</v>
      </c>
      <c r="D77" s="2" t="str">
        <f>IFERROR(__xludf.DUMMYFUNCTION("""COMPUTED_VALUE"""),"CS3514")</f>
        <v>CS3514</v>
      </c>
      <c r="E77" s="2" t="str">
        <f>IFERROR(__xludf.DUMMYFUNCTION("""COMPUTED_VALUE"""),"19AI514")</f>
        <v>19AI514</v>
      </c>
      <c r="F77" s="7" t="str">
        <f>IFERROR(__xludf.DUMMYFUNCTION("""COMPUTED_VALUE"""),"Self Driving Car")</f>
        <v>Self Driving Car</v>
      </c>
      <c r="G77" s="2" t="str">
        <f>IFERROR(__xludf.DUMMYFUNCTION("""COMPUTED_VALUE"""),"19CS301/19AI410")</f>
        <v>19CS301/19AI410</v>
      </c>
      <c r="H77" s="2">
        <f>IFERROR(__xludf.DUMMYFUNCTION("""COMPUTED_VALUE"""),2)</f>
        <v>2</v>
      </c>
      <c r="I77" s="2">
        <f>IFERROR(__xludf.DUMMYFUNCTION("""COMPUTED_VALUE"""),2)</f>
        <v>2</v>
      </c>
      <c r="J77" s="2">
        <f>IFERROR(__xludf.DUMMYFUNCTION("""COMPUTED_VALUE"""),4)</f>
        <v>4</v>
      </c>
      <c r="K77" s="2" t="str">
        <f>IFERROR(__xludf.DUMMYFUNCTION("""COMPUTED_VALUE"""),"CGPA")</f>
        <v>CGPA</v>
      </c>
      <c r="L77" s="2" t="str">
        <f>IFERROR(__xludf.DUMMYFUNCTION("""COMPUTED_VALUE"""),"TIP (10 Expts)")</f>
        <v>TIP (10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 
")</f>
        <v>PE 
</v>
      </c>
      <c r="D78" s="2" t="str">
        <f>IFERROR(__xludf.DUMMYFUNCTION("""COMPUTED_VALUE"""),"CS3515")</f>
        <v>CS3515</v>
      </c>
      <c r="E78" s="2" t="str">
        <f>IFERROR(__xludf.DUMMYFUNCTION("""COMPUTED_VALUE"""),"19AI515")</f>
        <v>19AI515</v>
      </c>
      <c r="F78" s="7" t="str">
        <f>IFERROR(__xludf.DUMMYFUNCTION("""COMPUTED_VALUE"""),"Smart Manufacturing Technology")</f>
        <v>Smart Manufacturing Technology</v>
      </c>
      <c r="G78" s="2" t="str">
        <f>IFERROR(__xludf.DUMMYFUNCTION("""COMPUTED_VALUE"""),"-")</f>
        <v>-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 
")</f>
        <v>PE 
</v>
      </c>
      <c r="D79" s="2" t="str">
        <f>IFERROR(__xludf.DUMMYFUNCTION("""COMPUTED_VALUE"""),"CS3516")</f>
        <v>CS3516</v>
      </c>
      <c r="E79" s="2" t="str">
        <f>IFERROR(__xludf.DUMMYFUNCTION("""COMPUTED_VALUE"""),"19AI516")</f>
        <v>19AI516</v>
      </c>
      <c r="F79" s="7" t="str">
        <f>IFERROR(__xludf.DUMMYFUNCTION("""COMPUTED_VALUE"""),"Big Data Mining and Analysis")</f>
        <v>Big Data Mining and Analysis</v>
      </c>
      <c r="G79" s="2" t="str">
        <f>IFERROR(__xludf.DUMMYFUNCTION("""COMPUTED_VALUE"""),"19AI408/ 19CS410/19IT405")</f>
        <v>19AI408/ 19CS410/19IT405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 
")</f>
        <v>PE 
</v>
      </c>
      <c r="D80" s="2" t="str">
        <f>IFERROR(__xludf.DUMMYFUNCTION("""COMPUTED_VALUE"""),"CS3517")</f>
        <v>CS3517</v>
      </c>
      <c r="E80" s="2" t="str">
        <f>IFERROR(__xludf.DUMMYFUNCTION("""COMPUTED_VALUE"""),"19AI517")</f>
        <v>19AI517</v>
      </c>
      <c r="F80" s="7" t="str">
        <f>IFERROR(__xludf.DUMMYFUNCTION("""COMPUTED_VALUE"""),"Business Analytics")</f>
        <v>Business Analytics</v>
      </c>
      <c r="G80" s="2" t="str">
        <f>IFERROR(__xludf.DUMMYFUNCTION("""COMPUTED_VALUE"""),"-")</f>
        <v>-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 
")</f>
        <v>PE 
</v>
      </c>
      <c r="D81" s="2" t="str">
        <f>IFERROR(__xludf.DUMMYFUNCTION("""COMPUTED_VALUE"""),"CS3518")</f>
        <v>CS3518</v>
      </c>
      <c r="E81" s="2" t="str">
        <f>IFERROR(__xludf.DUMMYFUNCTION("""COMPUTED_VALUE"""),"19AI518")</f>
        <v>19AI518</v>
      </c>
      <c r="F81" s="7" t="str">
        <f>IFERROR(__xludf.DUMMYFUNCTION("""COMPUTED_VALUE"""),"Cognitive Systems")</f>
        <v>Cognitive Systems</v>
      </c>
      <c r="G81" s="2" t="str">
        <f>IFERROR(__xludf.DUMMYFUNCTION("""COMPUTED_VALUE"""),"-")</f>
        <v>-</v>
      </c>
      <c r="H81" s="2">
        <f>IFERROR(__xludf.DUMMYFUNCTION("""COMPUTED_VALUE"""),3)</f>
        <v>3</v>
      </c>
      <c r="I81" s="2">
        <f>IFERROR(__xludf.DUMMYFUNCTION("""COMPUTED_VALUE"""),0)</f>
        <v>0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IFERROR(__xludf.DUMMYFUNCTION("""COMPUTED_VALUE"""),"Theory")</f>
        <v>Theory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 
")</f>
        <v>PE 
</v>
      </c>
      <c r="D82" s="2" t="str">
        <f>IFERROR(__xludf.DUMMYFUNCTION("""COMPUTED_VALUE"""),"CS3519")</f>
        <v>CS3519</v>
      </c>
      <c r="E82" s="2" t="str">
        <f>IFERROR(__xludf.DUMMYFUNCTION("""COMPUTED_VALUE"""),"19AI519")</f>
        <v>19AI519</v>
      </c>
      <c r="F82" s="7" t="str">
        <f>IFERROR(__xludf.DUMMYFUNCTION("""COMPUTED_VALUE"""),"Distributed Database")</f>
        <v>Distributed Database</v>
      </c>
      <c r="G82" s="2" t="str">
        <f>IFERROR(__xludf.DUMMYFUNCTION("""COMPUTED_VALUE"""),"19CS404")</f>
        <v>19CS404</v>
      </c>
      <c r="H82" s="2">
        <f>IFERROR(__xludf.DUMMYFUNCTION("""COMPUTED_VALUE"""),3)</f>
        <v>3</v>
      </c>
      <c r="I82" s="2">
        <f>IFERROR(__xludf.DUMMYFUNCTION("""COMPUTED_VALUE"""),0)</f>
        <v>0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IFERROR(__xludf.DUMMYFUNCTION("""COMPUTED_VALUE"""),"Theory")</f>
        <v>Theory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 
")</f>
        <v>PE 
</v>
      </c>
      <c r="D83" s="2" t="str">
        <f>IFERROR(__xludf.DUMMYFUNCTION("""COMPUTED_VALUE"""),"CS3520")</f>
        <v>CS3520</v>
      </c>
      <c r="E83" s="2" t="str">
        <f>IFERROR(__xludf.DUMMYFUNCTION("""COMPUTED_VALUE"""),"19AI520")</f>
        <v>19AI520</v>
      </c>
      <c r="F83" s="7" t="str">
        <f>IFERROR(__xludf.DUMMYFUNCTION("""COMPUTED_VALUE"""),"Data Mining and Warehousing")</f>
        <v>Data Mining and Warehousing</v>
      </c>
      <c r="G83" s="2" t="str">
        <f>IFERROR(__xludf.DUMMYFUNCTION("""COMPUTED_VALUE"""),"-")</f>
        <v>-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 
")</f>
        <v>PE 
</v>
      </c>
      <c r="D84" s="2" t="str">
        <f>IFERROR(__xludf.DUMMYFUNCTION("""COMPUTED_VALUE"""),"CS3521")</f>
        <v>CS3521</v>
      </c>
      <c r="E84" s="2" t="str">
        <f>IFERROR(__xludf.DUMMYFUNCTION("""COMPUTED_VALUE"""),"19AI521")</f>
        <v>19AI521</v>
      </c>
      <c r="F84" s="7" t="str">
        <f>IFERROR(__xludf.DUMMYFUNCTION("""COMPUTED_VALUE"""),"Expert Systems")</f>
        <v>Expert Systems</v>
      </c>
      <c r="G84" s="2" t="str">
        <f>IFERROR(__xludf.DUMMYFUNCTION("""COMPUTED_VALUE"""),"-")</f>
        <v>-</v>
      </c>
      <c r="H84" s="2">
        <f>IFERROR(__xludf.DUMMYFUNCTION("""COMPUTED_VALUE"""),3)</f>
        <v>3</v>
      </c>
      <c r="I84" s="2">
        <f>IFERROR(__xludf.DUMMYFUNCTION("""COMPUTED_VALUE"""),0)</f>
        <v>0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IFERROR(__xludf.DUMMYFUNCTION("""COMPUTED_VALUE"""),"Theory")</f>
        <v>Theory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 
")</f>
        <v>PE 
</v>
      </c>
      <c r="D85" s="2" t="str">
        <f>IFERROR(__xludf.DUMMYFUNCTION("""COMPUTED_VALUE"""),"CS3522")</f>
        <v>CS3522</v>
      </c>
      <c r="E85" s="2" t="str">
        <f>IFERROR(__xludf.DUMMYFUNCTION("""COMPUTED_VALUE"""),"19AI522")</f>
        <v>19AI522</v>
      </c>
      <c r="F85" s="7" t="str">
        <f>IFERROR(__xludf.DUMMYFUNCTION("""COMPUTED_VALUE"""),"Knowledge Engineering")</f>
        <v>Knowledge Engineering</v>
      </c>
      <c r="G85" s="2" t="str">
        <f>IFERROR(__xludf.DUMMYFUNCTION("""COMPUTED_VALUE"""),"19CS410")</f>
        <v>19CS410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 
")</f>
        <v>PE 
</v>
      </c>
      <c r="D86" s="2" t="str">
        <f>IFERROR(__xludf.DUMMYFUNCTION("""COMPUTED_VALUE"""),"CS3523")</f>
        <v>CS3523</v>
      </c>
      <c r="E86" s="2" t="str">
        <f>IFERROR(__xludf.DUMMYFUNCTION("""COMPUTED_VALUE"""),"19AI523")</f>
        <v>19AI523</v>
      </c>
      <c r="F86" s="7" t="str">
        <f>IFERROR(__xludf.DUMMYFUNCTION("""COMPUTED_VALUE"""),"Mobile Database")</f>
        <v>Mobile Database</v>
      </c>
      <c r="G86" s="2" t="str">
        <f>IFERROR(__xludf.DUMMYFUNCTION("""COMPUTED_VALUE"""),"-")</f>
        <v>-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 
")</f>
        <v>PE 
</v>
      </c>
      <c r="D87" s="2" t="str">
        <f>IFERROR(__xludf.DUMMYFUNCTION("""COMPUTED_VALUE"""),"CS3524")</f>
        <v>CS3524</v>
      </c>
      <c r="E87" s="2" t="str">
        <f>IFERROR(__xludf.DUMMYFUNCTION("""COMPUTED_VALUE"""),"19AI524")</f>
        <v>19AI524</v>
      </c>
      <c r="F87" s="7" t="str">
        <f>IFERROR(__xludf.DUMMYFUNCTION("""COMPUTED_VALUE"""),"Multimedia Database")</f>
        <v>Multimedia Database</v>
      </c>
      <c r="G87" s="2" t="str">
        <f>IFERROR(__xludf.DUMMYFUNCTION("""COMPUTED_VALUE"""),"19CS410")</f>
        <v>19CS410</v>
      </c>
      <c r="H87" s="2">
        <f>IFERROR(__xludf.DUMMYFUNCTION("""COMPUTED_VALUE"""),3)</f>
        <v>3</v>
      </c>
      <c r="I87" s="2">
        <f>IFERROR(__xludf.DUMMYFUNCTION("""COMPUTED_VALUE"""),0)</f>
        <v>0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IFERROR(__xludf.DUMMYFUNCTION("""COMPUTED_VALUE"""),"Theory")</f>
        <v>Theory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 
")</f>
        <v>PE 
</v>
      </c>
      <c r="D88" s="2" t="str">
        <f>IFERROR(__xludf.DUMMYFUNCTION("""COMPUTED_VALUE"""),"CS3525")</f>
        <v>CS3525</v>
      </c>
      <c r="E88" s="2" t="str">
        <f>IFERROR(__xludf.DUMMYFUNCTION("""COMPUTED_VALUE"""),"19AI525")</f>
        <v>19AI525</v>
      </c>
      <c r="F88" s="7" t="str">
        <f>IFERROR(__xludf.DUMMYFUNCTION("""COMPUTED_VALUE"""),"Video Processing")</f>
        <v>Video Processing</v>
      </c>
      <c r="G88" s="2" t="str">
        <f>IFERROR(__xludf.DUMMYFUNCTION("""COMPUTED_VALUE"""),"19CS301")</f>
        <v>19CS301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 
")</f>
        <v>PE 
</v>
      </c>
      <c r="D89" s="2" t="str">
        <f>IFERROR(__xludf.DUMMYFUNCTION("""COMPUTED_VALUE"""),"CS3547")</f>
        <v>CS3547</v>
      </c>
      <c r="E89" s="2" t="str">
        <f>IFERROR(__xludf.DUMMYFUNCTION("""COMPUTED_VALUE"""),"19AI547")</f>
        <v>19AI547</v>
      </c>
      <c r="F89" s="7" t="str">
        <f>IFERROR(__xludf.DUMMYFUNCTION("""COMPUTED_VALUE"""),"Blockchain for Business")</f>
        <v>Blockchain for Business</v>
      </c>
      <c r="G89" s="2" t="str">
        <f>IFERROR(__xludf.DUMMYFUNCTION("""COMPUTED_VALUE"""),"19CS301")</f>
        <v>19CS301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 
")</f>
        <v>PE 
</v>
      </c>
      <c r="D90" s="2" t="str">
        <f>IFERROR(__xludf.DUMMYFUNCTION("""COMPUTED_VALUE"""),"CS1501")</f>
        <v>CS1501</v>
      </c>
      <c r="E90" s="2" t="str">
        <f>IFERROR(__xludf.DUMMYFUNCTION("""COMPUTED_VALUE"""),"19CS501")</f>
        <v>19CS501</v>
      </c>
      <c r="F90" s="7" t="str">
        <f>IFERROR(__xludf.DUMMYFUNCTION("""COMPUTED_VALUE"""),"Machine Learning")</f>
        <v>Machine Learning</v>
      </c>
      <c r="G90" s="2" t="str">
        <f>IFERROR(__xludf.DUMMYFUNCTION("""COMPUTED_VALUE"""),"19MA212/ 19MA218")</f>
        <v>19MA212/ 19MA218</v>
      </c>
      <c r="H90" s="2">
        <f>IFERROR(__xludf.DUMMYFUNCTION("""COMPUTED_VALUE"""),3)</f>
        <v>3</v>
      </c>
      <c r="I90" s="2">
        <f>IFERROR(__xludf.DUMMYFUNCTION("""COMPUTED_VALUE"""),0)</f>
        <v>0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IFERROR(__xludf.DUMMYFUNCTION("""COMPUTED_VALUE"""),"Theory")</f>
        <v>Theory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 
")</f>
        <v>PE 
</v>
      </c>
      <c r="D91" s="2" t="str">
        <f>IFERROR(__xludf.DUMMYFUNCTION("""COMPUTED_VALUE"""),"CS1511")</f>
        <v>CS1511</v>
      </c>
      <c r="E91" s="2" t="str">
        <f>IFERROR(__xludf.DUMMYFUNCTION("""COMPUTED_VALUE"""),"19CS511")</f>
        <v>19CS511</v>
      </c>
      <c r="F91" s="7" t="str">
        <f>IFERROR(__xludf.DUMMYFUNCTION("""COMPUTED_VALUE"""),"Natural Language Processing")</f>
        <v>Natural Language Processing</v>
      </c>
      <c r="G91" s="2" t="str">
        <f>IFERROR(__xludf.DUMMYFUNCTION("""COMPUTED_VALUE"""),"19MA201")</f>
        <v>19MA201</v>
      </c>
      <c r="H91" s="2">
        <f>IFERROR(__xludf.DUMMYFUNCTION("""COMPUTED_VALUE"""),3)</f>
        <v>3</v>
      </c>
      <c r="I91" s="2">
        <f>IFERROR(__xludf.DUMMYFUNCTION("""COMPUTED_VALUE"""),0)</f>
        <v>0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IFERROR(__xludf.DUMMYFUNCTION("""COMPUTED_VALUE"""),"Theory")</f>
        <v>Theory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 
")</f>
        <v>PE 
</v>
      </c>
      <c r="D92" s="2" t="str">
        <f>IFERROR(__xludf.DUMMYFUNCTION("""COMPUTED_VALUE"""),"CS1519")</f>
        <v>CS1519</v>
      </c>
      <c r="E92" s="2" t="str">
        <f>IFERROR(__xludf.DUMMYFUNCTION("""COMPUTED_VALUE"""),"19CS519")</f>
        <v>19CS519</v>
      </c>
      <c r="F92" s="7" t="str">
        <f>IFERROR(__xludf.DUMMYFUNCTION("""COMPUTED_VALUE"""),"Data Science")</f>
        <v>Data Science</v>
      </c>
      <c r="G92" s="2" t="str">
        <f>IFERROR(__xludf.DUMMYFUNCTION("""COMPUTED_VALUE"""),"19CS301/19CS501")</f>
        <v>19CS301/19CS501</v>
      </c>
      <c r="H92" s="2">
        <f>IFERROR(__xludf.DUMMYFUNCTION("""COMPUTED_VALUE"""),3)</f>
        <v>3</v>
      </c>
      <c r="I92" s="2">
        <f>IFERROR(__xludf.DUMMYFUNCTION("""COMPUTED_VALUE"""),0)</f>
        <v>0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IFERROR(__xludf.DUMMYFUNCTION("""COMPUTED_VALUE"""),"Theory")</f>
        <v>Theory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 
")</f>
        <v>PE 
</v>
      </c>
      <c r="D93" s="2" t="str">
        <f>IFERROR(__xludf.DUMMYFUNCTION("""COMPUTED_VALUE"""),"CS1520")</f>
        <v>CS1520</v>
      </c>
      <c r="E93" s="2" t="str">
        <f>IFERROR(__xludf.DUMMYFUNCTION("""COMPUTED_VALUE"""),"19CS520")</f>
        <v>19CS520</v>
      </c>
      <c r="F93" s="7" t="str">
        <f>IFERROR(__xludf.DUMMYFUNCTION("""COMPUTED_VALUE"""),"Big Data Analytics")</f>
        <v>Big Data Analytics</v>
      </c>
      <c r="G93" s="2" t="str">
        <f>IFERROR(__xludf.DUMMYFUNCTION("""COMPUTED_VALUE"""),"19CS411/19CS519")</f>
        <v>19CS411/19CS519</v>
      </c>
      <c r="H93" s="2">
        <f>IFERROR(__xludf.DUMMYFUNCTION("""COMPUTED_VALUE"""),3)</f>
        <v>3</v>
      </c>
      <c r="I93" s="2">
        <f>IFERROR(__xludf.DUMMYFUNCTION("""COMPUTED_VALUE"""),0)</f>
        <v>0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IFERROR(__xludf.DUMMYFUNCTION("""COMPUTED_VALUE"""),"Theory")</f>
        <v>Theory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 
")</f>
        <v>PE 
</v>
      </c>
      <c r="D94" s="2" t="str">
        <f>IFERROR(__xludf.DUMMYFUNCTION("""COMPUTED_VALUE"""),"CS1521")</f>
        <v>CS1521</v>
      </c>
      <c r="E94" s="2" t="str">
        <f>IFERROR(__xludf.DUMMYFUNCTION("""COMPUTED_VALUE"""),"19CS521")</f>
        <v>19CS521</v>
      </c>
      <c r="F94" s="7" t="str">
        <f>IFERROR(__xludf.DUMMYFUNCTION("""COMPUTED_VALUE"""),"Data Warehousing and Data Mining")</f>
        <v>Data Warehousing and Data Mining</v>
      </c>
      <c r="G94" s="2" t="str">
        <f>IFERROR(__xludf.DUMMYFUNCTION("""COMPUTED_VALUE"""),"19CS404")</f>
        <v>19CS404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 
")</f>
        <v>PE 
</v>
      </c>
      <c r="D95" s="2" t="str">
        <f>IFERROR(__xludf.DUMMYFUNCTION("""COMPUTED_VALUE"""),"CS1522")</f>
        <v>CS1522</v>
      </c>
      <c r="E95" s="2" t="str">
        <f>IFERROR(__xludf.DUMMYFUNCTION("""COMPUTED_VALUE"""),"19CS522")</f>
        <v>19CS522</v>
      </c>
      <c r="F95" s="7" t="str">
        <f>IFERROR(__xludf.DUMMYFUNCTION("""COMPUTED_VALUE"""),"Advanced Database Management System")</f>
        <v>Advanced Database Management System</v>
      </c>
      <c r="G95" s="2" t="str">
        <f>IFERROR(__xludf.DUMMYFUNCTION("""COMPUTED_VALUE"""),"19CS404")</f>
        <v>19CS404</v>
      </c>
      <c r="H95" s="2">
        <f>IFERROR(__xludf.DUMMYFUNCTION("""COMPUTED_VALUE"""),3)</f>
        <v>3</v>
      </c>
      <c r="I95" s="2">
        <f>IFERROR(__xludf.DUMMYFUNCTION("""COMPUTED_VALUE"""),1)</f>
        <v>1</v>
      </c>
      <c r="J95" s="2">
        <f>IFERROR(__xludf.DUMMYFUNCTION("""COMPUTED_VALUE"""),4)</f>
        <v>4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 
")</f>
        <v>PE 
</v>
      </c>
      <c r="D96" s="2" t="str">
        <f>IFERROR(__xludf.DUMMYFUNCTION("""COMPUTED_VALUE"""),"CS1523")</f>
        <v>CS1523</v>
      </c>
      <c r="E96" s="2" t="str">
        <f>IFERROR(__xludf.DUMMYFUNCTION("""COMPUTED_VALUE"""),"19CS523")</f>
        <v>19CS523</v>
      </c>
      <c r="F96" s="7" t="str">
        <f>IFERROR(__xludf.DUMMYFUNCTION("""COMPUTED_VALUE"""),"Information Retrieval")</f>
        <v>Information Retrieval</v>
      </c>
      <c r="G96" s="2" t="str">
        <f>IFERROR(__xludf.DUMMYFUNCTION("""COMPUTED_VALUE"""),"19AI410/ 19CS501/19CS413")</f>
        <v>19AI410/ 19CS501/19CS413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 
")</f>
        <v>PE 
</v>
      </c>
      <c r="D97" s="2" t="str">
        <f>IFERROR(__xludf.DUMMYFUNCTION("""COMPUTED_VALUE"""),"CS1524")</f>
        <v>CS1524</v>
      </c>
      <c r="E97" s="2" t="str">
        <f>IFERROR(__xludf.DUMMYFUNCTION("""COMPUTED_VALUE"""),"19CS524")</f>
        <v>19CS524</v>
      </c>
      <c r="F97" s="7" t="str">
        <f>IFERROR(__xludf.DUMMYFUNCTION("""COMPUTED_VALUE"""),"Deep Learning")</f>
        <v>Deep Learning</v>
      </c>
      <c r="G97" s="2" t="str">
        <f>IFERROR(__xludf.DUMMYFUNCTION("""COMPUTED_VALUE"""),"19CS501")</f>
        <v>19CS501</v>
      </c>
      <c r="H97" s="2">
        <f>IFERROR(__xludf.DUMMYFUNCTION("""COMPUTED_VALUE"""),3)</f>
        <v>3</v>
      </c>
      <c r="I97" s="2">
        <f>IFERROR(__xludf.DUMMYFUNCTION("""COMPUTED_VALUE"""),0)</f>
        <v>0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IFERROR(__xludf.DUMMYFUNCTION("""COMPUTED_VALUE"""),"Theory")</f>
        <v>Theory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 
")</f>
        <v>PE 
</v>
      </c>
      <c r="D98" s="2" t="str">
        <f>IFERROR(__xludf.DUMMYFUNCTION("""COMPUTED_VALUE"""),"CS1526")</f>
        <v>CS1526</v>
      </c>
      <c r="E98" s="2" t="str">
        <f>IFERROR(__xludf.DUMMYFUNCTION("""COMPUTED_VALUE"""),"19CS526")</f>
        <v>19CS526</v>
      </c>
      <c r="F98" s="3" t="str">
        <f>IFERROR(__xludf.DUMMYFUNCTION("""COMPUTED_VALUE"""),"R Programming")</f>
        <v>R Programming</v>
      </c>
      <c r="G98" s="2" t="str">
        <f>IFERROR(__xludf.DUMMYFUNCTION("""COMPUTED_VALUE"""),"19CS301/19CS303")</f>
        <v>19CS301/19CS303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 
")</f>
        <v>PE 
</v>
      </c>
      <c r="D99" s="2" t="str">
        <f>IFERROR(__xludf.DUMMYFUNCTION("""COMPUTED_VALUE"""),"CS1512")</f>
        <v>CS1512</v>
      </c>
      <c r="E99" s="2" t="str">
        <f>IFERROR(__xludf.DUMMYFUNCTION("""COMPUTED_VALUE"""),"19CS512")</f>
        <v>19CS512</v>
      </c>
      <c r="F99" s="7" t="str">
        <f>IFERROR(__xludf.DUMMYFUNCTION("""COMPUTED_VALUE"""),"Soft Computing")</f>
        <v>Soft Computing</v>
      </c>
      <c r="G99" s="2" t="str">
        <f>IFERROR(__xludf.DUMMYFUNCTION("""COMPUTED_VALUE"""),"19CS501/19AI410")</f>
        <v>19CS501/19AI410</v>
      </c>
      <c r="H99" s="2">
        <f>IFERROR(__xludf.DUMMYFUNCTION("""COMPUTED_VALUE"""),3)</f>
        <v>3</v>
      </c>
      <c r="I99" s="2">
        <f>IFERROR(__xludf.DUMMYFUNCTION("""COMPUTED_VALUE"""),0)</f>
        <v>0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IFERROR(__xludf.DUMMYFUNCTION("""COMPUTED_VALUE"""),"Theory")</f>
        <v>Theory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 
")</f>
        <v>PE 
</v>
      </c>
      <c r="D100" s="2" t="str">
        <f>IFERROR(__xludf.DUMMYFUNCTION("""COMPUTED_VALUE"""),"CS1510")</f>
        <v>CS1510</v>
      </c>
      <c r="E100" s="2" t="str">
        <f>IFERROR(__xludf.DUMMYFUNCTION("""COMPUTED_VALUE"""),"19CS510")</f>
        <v>19CS510</v>
      </c>
      <c r="F100" s="7" t="str">
        <f>IFERROR(__xludf.DUMMYFUNCTION("""COMPUTED_VALUE"""),"Social Network Analysis")</f>
        <v>Social Network Analysis</v>
      </c>
      <c r="G100" s="2" t="str">
        <f>IFERROR(__xludf.DUMMYFUNCTION("""COMPUTED_VALUE"""),"19CS501/19CS413")</f>
        <v>19CS501/19CS413</v>
      </c>
      <c r="H100" s="2">
        <f>IFERROR(__xludf.DUMMYFUNCTION("""COMPUTED_VALUE"""),3)</f>
        <v>3</v>
      </c>
      <c r="I100" s="2">
        <f>IFERROR(__xludf.DUMMYFUNCTION("""COMPUTED_VALUE"""),0)</f>
        <v>0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IFERROR(__xludf.DUMMYFUNCTION("""COMPUTED_VALUE"""),"Theory")</f>
        <v>Theory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 
")</f>
        <v>PE 
</v>
      </c>
      <c r="D101" s="2" t="str">
        <f>IFERROR(__xludf.DUMMYFUNCTION("""COMPUTED_VALUE"""),"CS1504")</f>
        <v>CS1504</v>
      </c>
      <c r="E101" s="2" t="str">
        <f>IFERROR(__xludf.DUMMYFUNCTION("""COMPUTED_VALUE"""),"19CS504")</f>
        <v>19CS504</v>
      </c>
      <c r="F101" s="7" t="str">
        <f>IFERROR(__xludf.DUMMYFUNCTION("""COMPUTED_VALUE"""),"Software Project Management")</f>
        <v>Software Project Management</v>
      </c>
      <c r="G101" s="2" t="str">
        <f>IFERROR(__xludf.DUMMYFUNCTION("""COMPUTED_VALUE"""),"19CS408")</f>
        <v>19CS408</v>
      </c>
      <c r="H101" s="2">
        <f>IFERROR(__xludf.DUMMYFUNCTION("""COMPUTED_VALUE"""),3)</f>
        <v>3</v>
      </c>
      <c r="I101" s="2">
        <f>IFERROR(__xludf.DUMMYFUNCTION("""COMPUTED_VALUE"""),0)</f>
        <v>0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IFERROR(__xludf.DUMMYFUNCTION("""COMPUTED_VALUE"""),"Theory")</f>
        <v>Theory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 
")</f>
        <v>PE 
</v>
      </c>
      <c r="D102" s="2" t="str">
        <f>IFERROR(__xludf.DUMMYFUNCTION("""COMPUTED_VALUE"""),"CS1505")</f>
        <v>CS1505</v>
      </c>
      <c r="E102" s="2" t="str">
        <f>IFERROR(__xludf.DUMMYFUNCTION("""COMPUTED_VALUE"""),"19CS505")</f>
        <v>19CS505</v>
      </c>
      <c r="F102" s="7" t="str">
        <f>IFERROR(__xludf.DUMMYFUNCTION("""COMPUTED_VALUE"""),"Service Oriented Architecture")</f>
        <v>Service Oriented Architecture</v>
      </c>
      <c r="G102" s="2" t="str">
        <f>IFERROR(__xludf.DUMMYFUNCTION("""COMPUTED_VALUE"""),"-")</f>
        <v>-</v>
      </c>
      <c r="H102" s="2">
        <f>IFERROR(__xludf.DUMMYFUNCTION("""COMPUTED_VALUE"""),3)</f>
        <v>3</v>
      </c>
      <c r="I102" s="2">
        <f>IFERROR(__xludf.DUMMYFUNCTION("""COMPUTED_VALUE"""),0)</f>
        <v>0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IFERROR(__xludf.DUMMYFUNCTION("""COMPUTED_VALUE"""),"Theory")</f>
        <v>Theory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 
")</f>
        <v>PE 
</v>
      </c>
      <c r="D103" s="2" t="str">
        <f>IFERROR(__xludf.DUMMYFUNCTION("""COMPUTED_VALUE"""),"CS1503")</f>
        <v>CS1503</v>
      </c>
      <c r="E103" s="2" t="str">
        <f>IFERROR(__xludf.DUMMYFUNCTION("""COMPUTED_VALUE"""),"19CS503")</f>
        <v>19CS503</v>
      </c>
      <c r="F103" s="7" t="str">
        <f>IFERROR(__xludf.DUMMYFUNCTION("""COMPUTED_VALUE"""),"Developing Web Application in .Net")</f>
        <v>Developing Web Application in .Net</v>
      </c>
      <c r="G103" s="2" t="str">
        <f>IFERROR(__xludf.DUMMYFUNCTION("""COMPUTED_VALUE"""),"19CS404/19CS410")</f>
        <v>19CS404/19CS410</v>
      </c>
      <c r="H103" s="2">
        <f>IFERROR(__xludf.DUMMYFUNCTION("""COMPUTED_VALUE"""),3)</f>
        <v>3</v>
      </c>
      <c r="I103" s="2">
        <f>IFERROR(__xludf.DUMMYFUNCTION("""COMPUTED_VALUE"""),0)</f>
        <v>0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IFERROR(__xludf.DUMMYFUNCTION("""COMPUTED_VALUE"""),"Theory")</f>
        <v>Theory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 
")</f>
        <v>PE 
</v>
      </c>
      <c r="D104" s="2" t="str">
        <f>IFERROR(__xludf.DUMMYFUNCTION("""COMPUTED_VALUE"""),"CS1507")</f>
        <v>CS1507</v>
      </c>
      <c r="E104" s="2" t="str">
        <f>IFERROR(__xludf.DUMMYFUNCTION("""COMPUTED_VALUE"""),"19CS507")</f>
        <v>19CS507</v>
      </c>
      <c r="F104" s="7" t="str">
        <f>IFERROR(__xludf.DUMMYFUNCTION("""COMPUTED_VALUE"""),"Human Computer Interaction")</f>
        <v>Human Computer Interaction</v>
      </c>
      <c r="G104" s="2" t="str">
        <f>IFERROR(__xludf.DUMMYFUNCTION("""COMPUTED_VALUE"""),"19CS502/19CS408")</f>
        <v>19CS502/19CS408</v>
      </c>
      <c r="H104" s="2">
        <f>IFERROR(__xludf.DUMMYFUNCTION("""COMPUTED_VALUE"""),3)</f>
        <v>3</v>
      </c>
      <c r="I104" s="2">
        <f>IFERROR(__xludf.DUMMYFUNCTION("""COMPUTED_VALUE"""),0)</f>
        <v>0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IFERROR(__xludf.DUMMYFUNCTION("""COMPUTED_VALUE"""),"Theory")</f>
        <v>Theory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 
")</f>
        <v>PE 
</v>
      </c>
      <c r="D105" s="2" t="str">
        <f>IFERROR(__xludf.DUMMYFUNCTION("""COMPUTED_VALUE"""),"CS1502")</f>
        <v>CS1502</v>
      </c>
      <c r="E105" s="2" t="str">
        <f>IFERROR(__xludf.DUMMYFUNCTION("""COMPUTED_VALUE"""),"19CS502")</f>
        <v>19CS502</v>
      </c>
      <c r="F105" s="7" t="str">
        <f>IFERROR(__xludf.DUMMYFUNCTION("""COMPUTED_VALUE"""),"Computer Graphics and Multimedia")</f>
        <v>Computer Graphics and Multimedia</v>
      </c>
      <c r="G105" s="2" t="str">
        <f>IFERROR(__xludf.DUMMYFUNCTION("""COMPUTED_VALUE"""),"19CS401")</f>
        <v>19CS401</v>
      </c>
      <c r="H105" s="2">
        <f>IFERROR(__xludf.DUMMYFUNCTION("""COMPUTED_VALUE"""),3)</f>
        <v>3</v>
      </c>
      <c r="I105" s="2">
        <f>IFERROR(__xludf.DUMMYFUNCTION("""COMPUTED_VALUE"""),0)</f>
        <v>0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IFERROR(__xludf.DUMMYFUNCTION("""COMPUTED_VALUE"""),"Theory")</f>
        <v>Theory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 
")</f>
        <v>PE 
</v>
      </c>
      <c r="D106" s="2" t="str">
        <f>IFERROR(__xludf.DUMMYFUNCTION("""COMPUTED_VALUE"""),"CS1518")</f>
        <v>CS1518</v>
      </c>
      <c r="E106" s="2" t="str">
        <f>IFERROR(__xludf.DUMMYFUNCTION("""COMPUTED_VALUE"""),"19CS518")</f>
        <v>19CS518</v>
      </c>
      <c r="F106" s="7" t="str">
        <f>IFERROR(__xludf.DUMMYFUNCTION("""COMPUTED_VALUE"""),"Game Design and Development")</f>
        <v>Game Design and Development</v>
      </c>
      <c r="G106" s="2" t="str">
        <f>IFERROR(__xludf.DUMMYFUNCTION("""COMPUTED_VALUE"""),"19CS502")</f>
        <v>19CS502</v>
      </c>
      <c r="H106" s="2">
        <f>IFERROR(__xludf.DUMMYFUNCTION("""COMPUTED_VALUE"""),3)</f>
        <v>3</v>
      </c>
      <c r="I106" s="2">
        <f>IFERROR(__xludf.DUMMYFUNCTION("""COMPUTED_VALUE"""),0)</f>
        <v>0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IFERROR(__xludf.DUMMYFUNCTION("""COMPUTED_VALUE"""),"Theory")</f>
        <v>Theory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 
")</f>
        <v>PE 
</v>
      </c>
      <c r="D107" s="2" t="str">
        <f>IFERROR(__xludf.DUMMYFUNCTION("""COMPUTED_VALUE"""),"#N/A")</f>
        <v>#N/A</v>
      </c>
      <c r="E107" s="2" t="str">
        <f>IFERROR(__xludf.DUMMYFUNCTION("""COMPUTED_VALUE"""),"#N/A")</f>
        <v>#N/A</v>
      </c>
      <c r="F107" s="3" t="str">
        <f>IFERROR(__xludf.DUMMYFUNCTION("""COMPUTED_VALUE"""),"#N/A")</f>
        <v>#N/A</v>
      </c>
      <c r="G107" s="2" t="str">
        <f>IFERROR(__xludf.DUMMYFUNCTION("""COMPUTED_VALUE"""),"#N/A")</f>
        <v>#N/A</v>
      </c>
      <c r="H107" s="2" t="str">
        <f>IFERROR(__xludf.DUMMYFUNCTION("""COMPUTED_VALUE"""),"#N/A")</f>
        <v>#N/A</v>
      </c>
      <c r="I107" s="2" t="str">
        <f>IFERROR(__xludf.DUMMYFUNCTION("""COMPUTED_VALUE"""),"#N/A")</f>
        <v>#N/A</v>
      </c>
      <c r="J107" s="2" t="str">
        <f>IFERROR(__xludf.DUMMYFUNCTION("""COMPUTED_VALUE"""),"#N/A")</f>
        <v>#N/A</v>
      </c>
      <c r="K107" s="2" t="str">
        <f>IFERROR(__xludf.DUMMYFUNCTION("""COMPUTED_VALUE"""),"#N/A")</f>
        <v>#N/A</v>
      </c>
      <c r="L107" s="2" t="str">
        <f>IFERROR(__xludf.DUMMYFUNCTION("""COMPUTED_VALUE"""),"#N/A")</f>
        <v>#N/A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 
")</f>
        <v>PE 
</v>
      </c>
      <c r="D108" s="2" t="str">
        <f>IFERROR(__xludf.DUMMYFUNCTION("""COMPUTED_VALUE"""),"EC1503")</f>
        <v>EC1503</v>
      </c>
      <c r="E108" s="2" t="str">
        <f>IFERROR(__xludf.DUMMYFUNCTION("""COMPUTED_VALUE"""),"19EC503")</f>
        <v>19EC503</v>
      </c>
      <c r="F108" s="7" t="str">
        <f>IFERROR(__xludf.DUMMYFUNCTION("""COMPUTED_VALUE"""),"Digital Image Processing")</f>
        <v>Digital Image Processing</v>
      </c>
      <c r="G108" s="2" t="str">
        <f>IFERROR(__xludf.DUMMYFUNCTION("""COMPUTED_VALUE"""),"19EC409 / EC1409")</f>
        <v>19EC409 / EC1409</v>
      </c>
      <c r="H108" s="2">
        <f>IFERROR(__xludf.DUMMYFUNCTION("""COMPUTED_VALUE"""),3)</f>
        <v>3</v>
      </c>
      <c r="I108" s="2">
        <f>IFERROR(__xludf.DUMMYFUNCTION("""COMPUTED_VALUE"""),0)</f>
        <v>0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IFERROR(__xludf.DUMMYFUNCTION("""COMPUTED_VALUE"""),"Theory")</f>
        <v>Theory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 
")</f>
        <v>PE 
</v>
      </c>
      <c r="D109" s="2" t="str">
        <f>IFERROR(__xludf.DUMMYFUNCTION("""COMPUTED_VALUE"""),"CS1531")</f>
        <v>CS1531</v>
      </c>
      <c r="E109" s="2" t="str">
        <f>IFERROR(__xludf.DUMMYFUNCTION("""COMPUTED_VALUE"""),"19CS531")</f>
        <v>19CS531</v>
      </c>
      <c r="F109" s="7" t="str">
        <f>IFERROR(__xludf.DUMMYFUNCTION("""COMPUTED_VALUE"""),"Virtual Reality")</f>
        <v>Virtual Reality</v>
      </c>
      <c r="G109" s="2" t="str">
        <f>IFERROR(__xludf.DUMMYFUNCTION("""COMPUTED_VALUE"""),"19CS401/19CS301")</f>
        <v>19CS401/19CS301</v>
      </c>
      <c r="H109" s="2">
        <f>IFERROR(__xludf.DUMMYFUNCTION("""COMPUTED_VALUE"""),3)</f>
        <v>3</v>
      </c>
      <c r="I109" s="2">
        <f>IFERROR(__xludf.DUMMYFUNCTION("""COMPUTED_VALUE"""),0)</f>
        <v>0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IFERROR(__xludf.DUMMYFUNCTION("""COMPUTED_VALUE"""),"Theory")</f>
        <v>Theory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 
")</f>
        <v>PE 
</v>
      </c>
      <c r="D110" s="2" t="str">
        <f>IFERROR(__xludf.DUMMYFUNCTION("""COMPUTED_VALUE"""),"CS1509")</f>
        <v>CS1509</v>
      </c>
      <c r="E110" s="2" t="str">
        <f>IFERROR(__xludf.DUMMYFUNCTION("""COMPUTED_VALUE"""),"19CS509")</f>
        <v>19CS509</v>
      </c>
      <c r="F110" s="7" t="str">
        <f>IFERROR(__xludf.DUMMYFUNCTION("""COMPUTED_VALUE"""),"Graph Theory and Applications")</f>
        <v>Graph Theory and Applications</v>
      </c>
      <c r="G110" s="2" t="str">
        <f>IFERROR(__xludf.DUMMYFUNCTION("""COMPUTED_VALUE"""),"19MA206")</f>
        <v>19MA206</v>
      </c>
      <c r="H110" s="2">
        <f>IFERROR(__xludf.DUMMYFUNCTION("""COMPUTED_VALUE"""),3)</f>
        <v>3</v>
      </c>
      <c r="I110" s="2">
        <f>IFERROR(__xludf.DUMMYFUNCTION("""COMPUTED_VALUE"""),0)</f>
        <v>0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IFERROR(__xludf.DUMMYFUNCTION("""COMPUTED_VALUE"""),"Theory")</f>
        <v>Theory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 
")</f>
        <v>PE 
</v>
      </c>
      <c r="D111" s="2" t="str">
        <f>IFERROR(__xludf.DUMMYFUNCTION("""COMPUTED_VALUE"""),"CS1517")</f>
        <v>CS1517</v>
      </c>
      <c r="E111" s="2" t="str">
        <f>IFERROR(__xludf.DUMMYFUNCTION("""COMPUTED_VALUE"""),"19CS517")</f>
        <v>19CS517</v>
      </c>
      <c r="F111" s="7" t="str">
        <f>IFERROR(__xludf.DUMMYFUNCTION("""COMPUTED_VALUE"""),"Mobile Computing")</f>
        <v>Mobile Computing</v>
      </c>
      <c r="G111" s="2" t="str">
        <f>IFERROR(__xludf.DUMMYFUNCTION("""COMPUTED_VALUE"""),"19CS406")</f>
        <v>19CS406</v>
      </c>
      <c r="H111" s="2">
        <f>IFERROR(__xludf.DUMMYFUNCTION("""COMPUTED_VALUE"""),3)</f>
        <v>3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IFERROR(__xludf.DUMMYFUNCTION("""COMPUTED_VALUE"""),"Theory")</f>
        <v>Theory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 
")</f>
        <v>PE 
</v>
      </c>
      <c r="D112" s="2" t="str">
        <f>IFERROR(__xludf.DUMMYFUNCTION("""COMPUTED_VALUE"""),"NA")</f>
        <v>NA</v>
      </c>
      <c r="E112" s="2" t="str">
        <f>IFERROR(__xludf.DUMMYFUNCTION("""COMPUTED_VALUE"""),"19EC508")</f>
        <v>19EC508</v>
      </c>
      <c r="F112" s="7" t="str">
        <f>IFERROR(__xludf.DUMMYFUNCTION("""COMPUTED_VALUE"""),"Ad Hoc and Wireless Sensor Networks")</f>
        <v>Ad Hoc and Wireless Sensor Networks</v>
      </c>
      <c r="G112" s="2" t="str">
        <f>IFERROR(__xludf.DUMMYFUNCTION("""COMPUTED_VALUE"""),"19EC412")</f>
        <v>19EC412</v>
      </c>
      <c r="H112" s="2">
        <f>IFERROR(__xludf.DUMMYFUNCTION("""COMPUTED_VALUE"""),3)</f>
        <v>3</v>
      </c>
      <c r="I112" s="2">
        <f>IFERROR(__xludf.DUMMYFUNCTION("""COMPUTED_VALUE"""),0)</f>
        <v>0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IFERROR(__xludf.DUMMYFUNCTION("""COMPUTED_VALUE"""),"Theory")</f>
        <v>Theory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 
")</f>
        <v>PE 
</v>
      </c>
      <c r="D113" s="2" t="str">
        <f>IFERROR(__xludf.DUMMYFUNCTION("""COMPUTED_VALUE"""),"CS1508")</f>
        <v>CS1508</v>
      </c>
      <c r="E113" s="2" t="str">
        <f>IFERROR(__xludf.DUMMYFUNCTION("""COMPUTED_VALUE"""),"19CS508")</f>
        <v>19CS508</v>
      </c>
      <c r="F113" s="7" t="str">
        <f>IFERROR(__xludf.DUMMYFUNCTION("""COMPUTED_VALUE"""),"Parallel and Distributed Systems")</f>
        <v>Parallel and Distributed Systems</v>
      </c>
      <c r="G113" s="2" t="str">
        <f>IFERROR(__xludf.DUMMYFUNCTION("""COMPUTED_VALUE"""),"19CS305/19CS401")</f>
        <v>19CS305/19CS401</v>
      </c>
      <c r="H113" s="2">
        <f>IFERROR(__xludf.DUMMYFUNCTION("""COMPUTED_VALUE"""),3)</f>
        <v>3</v>
      </c>
      <c r="I113" s="2">
        <f>IFERROR(__xludf.DUMMYFUNCTION("""COMPUTED_VALUE"""),0)</f>
        <v>0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IFERROR(__xludf.DUMMYFUNCTION("""COMPUTED_VALUE"""),"Theory")</f>
        <v>Theory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 
")</f>
        <v>PE 
</v>
      </c>
      <c r="D114" s="2" t="str">
        <f>IFERROR(__xludf.DUMMYFUNCTION("""COMPUTED_VALUE"""),"CS1530")</f>
        <v>CS1530</v>
      </c>
      <c r="E114" s="2" t="str">
        <f>IFERROR(__xludf.DUMMYFUNCTION("""COMPUTED_VALUE"""),"19CS530")</f>
        <v>19CS530</v>
      </c>
      <c r="F114" s="7" t="str">
        <f>IFERROR(__xludf.DUMMYFUNCTION("""COMPUTED_VALUE"""),"Cyber Security")</f>
        <v>Cyber Security</v>
      </c>
      <c r="G114" s="2" t="str">
        <f>IFERROR(__xludf.DUMMYFUNCTION("""COMPUTED_VALUE"""),"19CS412")</f>
        <v>19CS412</v>
      </c>
      <c r="H114" s="2">
        <f>IFERROR(__xludf.DUMMYFUNCTION("""COMPUTED_VALUE"""),3)</f>
        <v>3</v>
      </c>
      <c r="I114" s="2">
        <f>IFERROR(__xludf.DUMMYFUNCTION("""COMPUTED_VALUE"""),0)</f>
        <v>0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IFERROR(__xludf.DUMMYFUNCTION("""COMPUTED_VALUE"""),"Theory")</f>
        <v>Theory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 
")</f>
        <v>PE 
</v>
      </c>
      <c r="D115" s="2" t="str">
        <f>IFERROR(__xludf.DUMMYFUNCTION("""COMPUTED_VALUE"""),"CS1514")</f>
        <v>CS1514</v>
      </c>
      <c r="E115" s="2" t="str">
        <f>IFERROR(__xludf.DUMMYFUNCTION("""COMPUTED_VALUE"""),"19CS514")</f>
        <v>19CS514</v>
      </c>
      <c r="F115" s="7" t="str">
        <f>IFERROR(__xludf.DUMMYFUNCTION("""COMPUTED_VALUE"""),"Network Management Systems")</f>
        <v>Network Management Systems</v>
      </c>
      <c r="G115" s="2" t="str">
        <f>IFERROR(__xludf.DUMMYFUNCTION("""COMPUTED_VALUE"""),"19CS406")</f>
        <v>19CS406</v>
      </c>
      <c r="H115" s="2">
        <f>IFERROR(__xludf.DUMMYFUNCTION("""COMPUTED_VALUE"""),3)</f>
        <v>3</v>
      </c>
      <c r="I115" s="2">
        <f>IFERROR(__xludf.DUMMYFUNCTION("""COMPUTED_VALUE"""),0)</f>
        <v>0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IFERROR(__xludf.DUMMYFUNCTION("""COMPUTED_VALUE"""),"Theory")</f>
        <v>Theory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 
")</f>
        <v>PE 
</v>
      </c>
      <c r="D116" s="2" t="str">
        <f>IFERROR(__xludf.DUMMYFUNCTION("""COMPUTED_VALUE"""),"CS1515")</f>
        <v>CS1515</v>
      </c>
      <c r="E116" s="2" t="str">
        <f>IFERROR(__xludf.DUMMYFUNCTION("""COMPUTED_VALUE"""),"19CS515")</f>
        <v>19CS515</v>
      </c>
      <c r="F116" s="7" t="str">
        <f>IFERROR(__xludf.DUMMYFUNCTION("""COMPUTED_VALUE"""),"Block Chain Architecture and its Use Cases")</f>
        <v>Block Chain Architecture and its Use Cases</v>
      </c>
      <c r="G116" s="2" t="str">
        <f>IFERROR(__xludf.DUMMYFUNCTION("""COMPUTED_VALUE"""),"19CS412")</f>
        <v>19CS412</v>
      </c>
      <c r="H116" s="2">
        <f>IFERROR(__xludf.DUMMYFUNCTION("""COMPUTED_VALUE"""),3)</f>
        <v>3</v>
      </c>
      <c r="I116" s="2">
        <f>IFERROR(__xludf.DUMMYFUNCTION("""COMPUTED_VALUE"""),0)</f>
        <v>0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 
")</f>
        <v>PE 
</v>
      </c>
      <c r="D117" s="2" t="str">
        <f>IFERROR(__xludf.DUMMYFUNCTION("""COMPUTED_VALUE"""),"CS1513")</f>
        <v>CS1513</v>
      </c>
      <c r="E117" s="2" t="str">
        <f>IFERROR(__xludf.DUMMYFUNCTION("""COMPUTED_VALUE"""),"19CS513")</f>
        <v>19CS513</v>
      </c>
      <c r="F117" s="7" t="str">
        <f>IFERROR(__xludf.DUMMYFUNCTION("""COMPUTED_VALUE"""),"Green Computing")</f>
        <v>Green Computing</v>
      </c>
      <c r="G117" s="2" t="str">
        <f>IFERROR(__xludf.DUMMYFUNCTION("""COMPUTED_VALUE"""),"-")</f>
        <v>-</v>
      </c>
      <c r="H117" s="2">
        <f>IFERROR(__xludf.DUMMYFUNCTION("""COMPUTED_VALUE"""),3)</f>
        <v>3</v>
      </c>
      <c r="I117" s="2">
        <f>IFERROR(__xludf.DUMMYFUNCTION("""COMPUTED_VALUE"""),0)</f>
        <v>0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IFERROR(__xludf.DUMMYFUNCTION("""COMPUTED_VALUE"""),"Theory")</f>
        <v>Theory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 
")</f>
        <v>PE 
</v>
      </c>
      <c r="D118" s="2" t="str">
        <f>IFERROR(__xludf.DUMMYFUNCTION("""COMPUTED_VALUE"""),"CS1506")</f>
        <v>CS1506</v>
      </c>
      <c r="E118" s="2" t="str">
        <f>IFERROR(__xludf.DUMMYFUNCTION("""COMPUTED_VALUE"""),"19CS506")</f>
        <v>19CS506</v>
      </c>
      <c r="F118" s="7" t="str">
        <f>IFERROR(__xludf.DUMMYFUNCTION("""COMPUTED_VALUE"""),"Multicore Architecture")</f>
        <v>Multicore Architecture</v>
      </c>
      <c r="G118" s="2" t="str">
        <f>IFERROR(__xludf.DUMMYFUNCTION("""COMPUTED_VALUE"""),"19CS305")</f>
        <v>19CS305</v>
      </c>
      <c r="H118" s="2">
        <f>IFERROR(__xludf.DUMMYFUNCTION("""COMPUTED_VALUE"""),3)</f>
        <v>3</v>
      </c>
      <c r="I118" s="2">
        <f>IFERROR(__xludf.DUMMYFUNCTION("""COMPUTED_VALUE"""),0)</f>
        <v>0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IFERROR(__xludf.DUMMYFUNCTION("""COMPUTED_VALUE"""),"Theory")</f>
        <v>Theory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 
")</f>
        <v>PE 
</v>
      </c>
      <c r="D119" s="2" t="str">
        <f>IFERROR(__xludf.DUMMYFUNCTION("""COMPUTED_VALUE"""),"NA")</f>
        <v>NA</v>
      </c>
      <c r="E119" s="2" t="str">
        <f>IFERROR(__xludf.DUMMYFUNCTION("""COMPUTED_VALUE"""),"19EC414")</f>
        <v>19EC414</v>
      </c>
      <c r="F119" s="7" t="str">
        <f>IFERROR(__xludf.DUMMYFUNCTION("""COMPUTED_VALUE"""),"Embedded Systems")</f>
        <v>Embedded Systems</v>
      </c>
      <c r="G119" s="2" t="str">
        <f>IFERROR(__xludf.DUMMYFUNCTION("""COMPUTED_VALUE"""),"19EC408")</f>
        <v>19EC408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 
")</f>
        <v>PE 
</v>
      </c>
      <c r="D120" s="2" t="str">
        <f>IFERROR(__xludf.DUMMYFUNCTION("""COMPUTED_VALUE"""),"CS1529")</f>
        <v>CS1529</v>
      </c>
      <c r="E120" s="2" t="str">
        <f>IFERROR(__xludf.DUMMYFUNCTION("""COMPUTED_VALUE"""),"19CS529")</f>
        <v>19CS529</v>
      </c>
      <c r="F120" s="7" t="str">
        <f>IFERROR(__xludf.DUMMYFUNCTION("""COMPUTED_VALUE"""),"Quantum Computing")</f>
        <v>Quantum Computing</v>
      </c>
      <c r="G120" s="2" t="str">
        <f>IFERROR(__xludf.DUMMYFUNCTION("""COMPUTED_VALUE"""),"19CS301/19CS303")</f>
        <v>19CS301/19CS303</v>
      </c>
      <c r="H120" s="2">
        <f>IFERROR(__xludf.DUMMYFUNCTION("""COMPUTED_VALUE"""),3)</f>
        <v>3</v>
      </c>
      <c r="I120" s="2">
        <f>IFERROR(__xludf.DUMMYFUNCTION("""COMPUTED_VALUE"""),0)</f>
        <v>0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IFERROR(__xludf.DUMMYFUNCTION("""COMPUTED_VALUE"""),"Theory")</f>
        <v>Theory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 
")</f>
        <v>PE 
</v>
      </c>
      <c r="D121" s="2" t="str">
        <f>IFERROR(__xludf.DUMMYFUNCTION("""COMPUTED_VALUE"""),"CS1528")</f>
        <v>CS1528</v>
      </c>
      <c r="E121" s="2" t="str">
        <f>IFERROR(__xludf.DUMMYFUNCTION("""COMPUTED_VALUE"""),"19CS528")</f>
        <v>19CS528</v>
      </c>
      <c r="F121" s="7" t="str">
        <f>IFERROR(__xludf.DUMMYFUNCTION("""COMPUTED_VALUE"""),"Robotics and its Applications")</f>
        <v>Robotics and its Applications</v>
      </c>
      <c r="G121" s="2" t="str">
        <f>IFERROR(__xludf.DUMMYFUNCTION("""COMPUTED_VALUE"""),"19CS302/19EC408")</f>
        <v>19CS302/19EC408</v>
      </c>
      <c r="H121" s="2">
        <f>IFERROR(__xludf.DUMMYFUNCTION("""COMPUTED_VALUE"""),3)</f>
        <v>3</v>
      </c>
      <c r="I121" s="2">
        <f>IFERROR(__xludf.DUMMYFUNCTION("""COMPUTED_VALUE"""),0)</f>
        <v>0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IFERROR(__xludf.DUMMYFUNCTION("""COMPUTED_VALUE"""),"Theory")</f>
        <v>Theory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 
")</f>
        <v>PE 
</v>
      </c>
      <c r="D122" s="2" t="str">
        <f>IFERROR(__xludf.DUMMYFUNCTION("""COMPUTED_VALUE"""),"CS1532")</f>
        <v>CS1532</v>
      </c>
      <c r="E122" s="2" t="str">
        <f>IFERROR(__xludf.DUMMYFUNCTION("""COMPUTED_VALUE"""),"19CS532")</f>
        <v>19CS532</v>
      </c>
      <c r="F122" s="7" t="str">
        <f>IFERROR(__xludf.DUMMYFUNCTION("""COMPUTED_VALUE"""),"Professional Readiness for Innovation, Employability and Entrepreneurship")</f>
        <v>Professional Readiness for Innovation, Employability and Entrepreneurship</v>
      </c>
      <c r="G122" s="2" t="str">
        <f>IFERROR(__xludf.DUMMYFUNCTION("""COMPUTED_VALUE"""),"-")</f>
        <v>-</v>
      </c>
      <c r="H122" s="2">
        <f>IFERROR(__xludf.DUMMYFUNCTION("""COMPUTED_VALUE"""),0)</f>
        <v>0</v>
      </c>
      <c r="I122" s="2">
        <f>IFERROR(__xludf.DUMMYFUNCTION("""COMPUTED_VALUE"""),3)</f>
        <v>3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IFERROR(__xludf.DUMMYFUNCTION("""COMPUTED_VALUE"""),"Practical (10 Expts)")</f>
        <v>Practical (10 Expts)</v>
      </c>
      <c r="M122" s="9"/>
      <c r="N122" s="9"/>
      <c r="O122" s="9"/>
      <c r="P122" s="9"/>
      <c r="Q122" s="9"/>
      <c r="R122" s="9"/>
    </row>
    <row r="123" ht="13.2" spans="1:15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IFERROR(__xludf.DUMMYFUNCTION("""COMPUTED_VALUE"""),"CS1417")</f>
        <v>CS1417</v>
      </c>
      <c r="E123" s="26" t="str">
        <f>IFERROR(__xludf.DUMMYFUNCTION("""COMPUTED_VALUE"""),"19CS417")</f>
        <v>19CS417</v>
      </c>
      <c r="F123" s="27" t="str">
        <f>IFERROR(__xludf.DUMMYFUNCTION("""COMPUTED_VALUE"""),"Ethical Hacking Techniques")</f>
        <v>Ethical Hacking Techniques</v>
      </c>
      <c r="G123" s="26" t="str">
        <f>IFERROR(__xludf.DUMMYFUNCTION("""COMPUTED_VALUE"""),"-")</f>
        <v>-</v>
      </c>
      <c r="H123" s="26">
        <f>IFERROR(__xludf.DUMMYFUNCTION("""COMPUTED_VALUE"""),2)</f>
        <v>2</v>
      </c>
      <c r="I123" s="26">
        <f>IFERROR(__xludf.DUMMYFUNCTION("""COMPUTED_VALUE"""),1)</f>
        <v>1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</row>
    <row r="124" ht="13.2" spans="1:15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IFERROR(__xludf.DUMMYFUNCTION("""COMPUTED_VALUE"""),"CS3553")</f>
        <v>CS3553</v>
      </c>
      <c r="E124" s="26" t="str">
        <f>IFERROR(__xludf.DUMMYFUNCTION("""COMPUTED_VALUE"""),"19AI553")</f>
        <v>19AI553</v>
      </c>
      <c r="F124" s="27" t="str">
        <f>IFERROR(__xludf.DUMMYFUNCTION("""COMPUTED_VALUE"""),"Advanced Java Web Applications")</f>
        <v>Advanced Java Web Applications</v>
      </c>
      <c r="G124" s="26" t="str">
        <f>IFERROR(__xludf.DUMMYFUNCTION("""COMPUTED_VALUE"""),"19AI307")</f>
        <v>19AI307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</row>
    <row r="125" ht="13.2" spans="1:15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IFERROR(__xludf.DUMMYFUNCTION("""COMPUTED_VALUE"""),"CS1420")</f>
        <v>CS1420</v>
      </c>
      <c r="E125" s="26" t="str">
        <f>IFERROR(__xludf.DUMMYFUNCTION("""COMPUTED_VALUE"""),"19CS420")</f>
        <v>19CS420</v>
      </c>
      <c r="F125" s="27" t="str">
        <f>IFERROR(__xludf.DUMMYFUNCTION("""COMPUTED_VALUE"""),"Prototyping of IoT Systems")</f>
        <v>Prototyping of IoT Systems</v>
      </c>
      <c r="G125" s="26" t="str">
        <f>IFERROR(__xludf.DUMMYFUNCTION("""COMPUTED_VALUE"""),"-")</f>
        <v>-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</row>
    <row r="126" ht="13.2" spans="1:15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IFERROR(__xludf.DUMMYFUNCTION("""COMPUTED_VALUE"""),"CS4508")</f>
        <v>CS4508</v>
      </c>
      <c r="E126" s="26" t="str">
        <f>IFERROR(__xludf.DUMMYFUNCTION("""COMPUTED_VALUE"""),"19AM508")</f>
        <v>19AM508</v>
      </c>
      <c r="F126" s="27" t="str">
        <f>IFERROR(__xludf.DUMMYFUNCTION("""COMPUTED_VALUE"""),"Introduction to IoT")</f>
        <v>Introduction to IoT</v>
      </c>
      <c r="G126" s="26" t="str">
        <f>IFERROR(__xludf.DUMMYFUNCTION("""COMPUTED_VALUE"""),"-")</f>
        <v>-</v>
      </c>
      <c r="H126" s="26">
        <f>IFERROR(__xludf.DUMMYFUNCTION("""COMPUTED_VALUE"""),2)</f>
        <v>2</v>
      </c>
      <c r="I126" s="26">
        <f>IFERROR(__xludf.DUMMYFUNCTION("""COMPUTED_VALUE"""),1)</f>
        <v>1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</row>
    <row r="127" ht="13.2" spans="1:15">
      <c r="A127" s="26">
        <f>IFERROR(__xludf.DUMMYFUNCTION("""COMPUTED_VALUE"""),125)</f>
        <v>125</v>
      </c>
      <c r="B127" s="26"/>
      <c r="C127" s="26" t="str">
        <f>IFERROR(__xludf.DUMMYFUNCTION("""COMPUTED_VALUE"""),"PE 
")</f>
        <v>PE 
</v>
      </c>
      <c r="D127" s="26" t="str">
        <f>IFERROR(__xludf.DUMMYFUNCTION("""COMPUTED_VALUE"""),"CS1544")</f>
        <v>CS1544</v>
      </c>
      <c r="E127" s="26" t="str">
        <f>IFERROR(__xludf.DUMMYFUNCTION("""COMPUTED_VALUE"""),"19CS544")</f>
        <v>19CS544</v>
      </c>
      <c r="F127" s="27" t="str">
        <f>IFERROR(__xludf.DUMMYFUNCTION("""COMPUTED_VALUE"""),"Realtime Operating System")</f>
        <v>Realtime Operating System</v>
      </c>
      <c r="G127" s="26" t="str">
        <f>IFERROR(__xludf.DUMMYFUNCTION("""COMPUTED_VALUE"""),"-")</f>
        <v>-</v>
      </c>
      <c r="H127" s="26">
        <f>IFERROR(__xludf.DUMMYFUNCTION("""COMPUTED_VALUE"""),2)</f>
        <v>2</v>
      </c>
      <c r="I127" s="26">
        <f>IFERROR(__xludf.DUMMYFUNCTION("""COMPUTED_VALUE"""),1)</f>
        <v>1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</row>
    <row r="128" ht="13.2" spans="1:15">
      <c r="A128" s="26">
        <f>IFERROR(__xludf.DUMMYFUNCTION("""COMPUTED_VALUE"""),126)</f>
        <v>126</v>
      </c>
      <c r="B128" s="26"/>
      <c r="C128" s="26" t="str">
        <f>IFERROR(__xludf.DUMMYFUNCTION("""COMPUTED_VALUE"""),"PE 
")</f>
        <v>PE 
</v>
      </c>
      <c r="D128" s="26" t="str">
        <f>IFERROR(__xludf.DUMMYFUNCTION("""COMPUTED_VALUE"""),"CS1542")</f>
        <v>CS1542</v>
      </c>
      <c r="E128" s="26" t="str">
        <f>IFERROR(__xludf.DUMMYFUNCTION("""COMPUTED_VALUE"""),"19CS542")</f>
        <v>19CS542</v>
      </c>
      <c r="F128" s="27" t="str">
        <f>IFERROR(__xludf.DUMMYFUNCTION("""COMPUTED_VALUE"""),"Embedded Board Design")</f>
        <v>Embedded Board Design</v>
      </c>
      <c r="G128" s="26" t="str">
        <f>IFERROR(__xludf.DUMMYFUNCTION("""COMPUTED_VALUE"""),"-")</f>
        <v>-</v>
      </c>
      <c r="H128" s="26">
        <f>IFERROR(__xludf.DUMMYFUNCTION("""COMPUTED_VALUE"""),2)</f>
        <v>2</v>
      </c>
      <c r="I128" s="26">
        <f>IFERROR(__xludf.DUMMYFUNCTION("""COMPUTED_VALUE"""),1)</f>
        <v>1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</row>
    <row r="129" ht="13.2" spans="1:15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IFERROR(__xludf.DUMMYFUNCTION("""COMPUTED_VALUE"""),"CS1545")</f>
        <v>CS1545</v>
      </c>
      <c r="E129" s="26" t="str">
        <f>IFERROR(__xludf.DUMMYFUNCTION("""COMPUTED_VALUE"""),"19CS545")</f>
        <v>19CS545</v>
      </c>
      <c r="F129" s="27" t="str">
        <f>IFERROR(__xludf.DUMMYFUNCTION("""COMPUTED_VALUE"""),"Open Source Operating System")</f>
        <v>Open Source Operating System</v>
      </c>
      <c r="G129" s="26" t="str">
        <f>IFERROR(__xludf.DUMMYFUNCTION("""COMPUTED_VALUE"""),"-")</f>
        <v>-</v>
      </c>
      <c r="H129" s="26">
        <f>IFERROR(__xludf.DUMMYFUNCTION("""COMPUTED_VALUE"""),2)</f>
        <v>2</v>
      </c>
      <c r="I129" s="26">
        <f>IFERROR(__xludf.DUMMYFUNCTION("""COMPUTED_VALUE"""),1)</f>
        <v>1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</row>
    <row r="130" ht="13.2" spans="1:15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IFERROR(__xludf.DUMMYFUNCTION("""COMPUTED_VALUE"""),"CS1546")</f>
        <v>CS1546</v>
      </c>
      <c r="E130" s="26" t="str">
        <f>IFERROR(__xludf.DUMMYFUNCTION("""COMPUTED_VALUE"""),"19CS546")</f>
        <v>19CS546</v>
      </c>
      <c r="F130" s="27" t="str">
        <f>IFERROR(__xludf.DUMMYFUNCTION("""COMPUTED_VALUE"""),"Kernel Programming")</f>
        <v>Kernel Programming</v>
      </c>
      <c r="G130" s="26" t="str">
        <f>IFERROR(__xludf.DUMMYFUNCTION("""COMPUTED_VALUE"""),"-")</f>
        <v>-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</row>
    <row r="131" ht="13.2" spans="1:15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IFERROR(__xludf.DUMMYFUNCTION("""COMPUTED_VALUE"""),"CS1418")</f>
        <v>CS1418</v>
      </c>
      <c r="E131" s="26" t="str">
        <f>IFERROR(__xludf.DUMMYFUNCTION("""COMPUTED_VALUE"""),"19CS418")</f>
        <v>19CS418</v>
      </c>
      <c r="F131" s="27" t="str">
        <f>IFERROR(__xludf.DUMMYFUNCTION("""COMPUTED_VALUE"""),"Cyber Law and Compliance")</f>
        <v>Cyber Law and Compliance</v>
      </c>
      <c r="G131" s="26" t="str">
        <f>IFERROR(__xludf.DUMMYFUNCTION("""COMPUTED_VALUE"""),"-")</f>
        <v>-</v>
      </c>
      <c r="H131" s="26">
        <f>IFERROR(__xludf.DUMMYFUNCTION("""COMPUTED_VALUE"""),3)</f>
        <v>3</v>
      </c>
      <c r="I131" s="26">
        <f>IFERROR(__xludf.DUMMYFUNCTION("""COMPUTED_VALUE"""),0)</f>
        <v>0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IFERROR(__xludf.DUMMYFUNCTION("""COMPUTED_VALUE"""),"Theory")</f>
        <v>Theory</v>
      </c>
      <c r="M131" s="26"/>
      <c r="N131" s="26"/>
      <c r="O131" s="26"/>
    </row>
    <row r="132" ht="13.2" spans="1:15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IFERROR(__xludf.DUMMYFUNCTION("""COMPUTED_VALUE"""),"CS3543")</f>
        <v>CS3543</v>
      </c>
      <c r="E132" s="26" t="str">
        <f>IFERROR(__xludf.DUMMYFUNCTION("""COMPUTED_VALUE"""),"19AI543")</f>
        <v>19AI543</v>
      </c>
      <c r="F132" s="27" t="str">
        <f>IFERROR(__xludf.DUMMYFUNCTION("""COMPUTED_VALUE"""),"Software Testing")</f>
        <v>Software Testing</v>
      </c>
      <c r="G132" s="26" t="str">
        <f>IFERROR(__xludf.DUMMYFUNCTION("""COMPUTED_VALUE"""),"19CS301")</f>
        <v>19CS301</v>
      </c>
      <c r="H132" s="26">
        <f>IFERROR(__xludf.DUMMYFUNCTION("""COMPUTED_VALUE"""),2)</f>
        <v>2</v>
      </c>
      <c r="I132" s="26">
        <f>IFERROR(__xludf.DUMMYFUNCTION("""COMPUTED_VALUE"""),1)</f>
        <v>1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IFERROR(__xludf.DUMMYFUNCTION("""COMPUTED_VALUE"""),"TIP (6 Expts)")</f>
        <v>TIP (6 Expts)</v>
      </c>
      <c r="M132" s="26"/>
      <c r="N132" s="26"/>
      <c r="O132" s="26"/>
    </row>
    <row r="133" ht="13.2" spans="1:15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IFERROR(__xludf.DUMMYFUNCTION("""COMPUTED_VALUE"""),"CS3548")</f>
        <v>CS3548</v>
      </c>
      <c r="E133" s="26" t="str">
        <f>IFERROR(__xludf.DUMMYFUNCTION("""COMPUTED_VALUE"""),"19AI548")</f>
        <v>19AI548</v>
      </c>
      <c r="F133" s="27" t="str">
        <f>IFERROR(__xludf.DUMMYFUNCTION("""COMPUTED_VALUE"""),"Robot Programming")</f>
        <v>Robot Programming</v>
      </c>
      <c r="G133" s="26" t="str">
        <f>IFERROR(__xludf.DUMMYFUNCTION("""COMPUTED_VALUE"""),"-")</f>
        <v>-</v>
      </c>
      <c r="H133" s="26">
        <f>IFERROR(__xludf.DUMMYFUNCTION("""COMPUTED_VALUE"""),2)</f>
        <v>2</v>
      </c>
      <c r="I133" s="26">
        <f>IFERROR(__xludf.DUMMYFUNCTION("""COMPUTED_VALUE"""),1)</f>
        <v>1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IFERROR(__xludf.DUMMYFUNCTION("""COMPUTED_VALUE"""),"TIP (6 Expts)")</f>
        <v>TIP (6 Expts)</v>
      </c>
      <c r="M133" s="26"/>
      <c r="N133" s="26"/>
      <c r="O133" s="26"/>
    </row>
    <row r="134" ht="13.2" spans="1:15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IFERROR(__xludf.DUMMYFUNCTION("""COMPUTED_VALUE"""),"CS3549")</f>
        <v>CS3549</v>
      </c>
      <c r="E134" s="26" t="str">
        <f>IFERROR(__xludf.DUMMYFUNCTION("""COMPUTED_VALUE"""),"19AI549")</f>
        <v>19AI549</v>
      </c>
      <c r="F134" s="27" t="str">
        <f>IFERROR(__xludf.DUMMYFUNCTION("""COMPUTED_VALUE"""),"Drone Assembly and Applications")</f>
        <v>Drone Assembly and Applications</v>
      </c>
      <c r="G134" s="26" t="str">
        <f>IFERROR(__xludf.DUMMYFUNCTION("""COMPUTED_VALUE"""),"-")</f>
        <v>-</v>
      </c>
      <c r="H134" s="26">
        <f>IFERROR(__xludf.DUMMYFUNCTION("""COMPUTED_VALUE"""),2)</f>
        <v>2</v>
      </c>
      <c r="I134" s="26">
        <f>IFERROR(__xludf.DUMMYFUNCTION("""COMPUTED_VALUE"""),1)</f>
        <v>1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</row>
    <row r="135" ht="13.2" spans="1:15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IFERROR(__xludf.DUMMYFUNCTION("""COMPUTED_VALUE"""),"CS3550")</f>
        <v>CS3550</v>
      </c>
      <c r="E135" s="26" t="str">
        <f>IFERROR(__xludf.DUMMYFUNCTION("""COMPUTED_VALUE"""),"19AI550")</f>
        <v>19AI550</v>
      </c>
      <c r="F135" s="27" t="str">
        <f>IFERROR(__xludf.DUMMYFUNCTION("""COMPUTED_VALUE"""),"Artificial Intelligence for Games")</f>
        <v>Artificial Intelligence for Games</v>
      </c>
      <c r="G135" s="26" t="str">
        <f>IFERROR(__xludf.DUMMYFUNCTION("""COMPUTED_VALUE"""),"-")</f>
        <v>-</v>
      </c>
      <c r="H135" s="26">
        <f>IFERROR(__xludf.DUMMYFUNCTION("""COMPUTED_VALUE"""),2)</f>
        <v>2</v>
      </c>
      <c r="I135" s="26">
        <f>IFERROR(__xludf.DUMMYFUNCTION("""COMPUTED_VALUE"""),1)</f>
        <v>1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</row>
    <row r="136" ht="13.2" spans="1:15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IFERROR(__xludf.DUMMYFUNCTION("""COMPUTED_VALUE"""),"CS3551")</f>
        <v>CS3551</v>
      </c>
      <c r="E136" s="26" t="str">
        <f>IFERROR(__xludf.DUMMYFUNCTION("""COMPUTED_VALUE"""),"19AI551")</f>
        <v>19AI551</v>
      </c>
      <c r="F136" s="27" t="str">
        <f>IFERROR(__xludf.DUMMYFUNCTION("""COMPUTED_VALUE"""),"Drone Design and Control")</f>
        <v>Drone Design and Control</v>
      </c>
      <c r="G136" s="26" t="str">
        <f>IFERROR(__xludf.DUMMYFUNCTION("""COMPUTED_VALUE"""),"-")</f>
        <v>-</v>
      </c>
      <c r="H136" s="26">
        <f>IFERROR(__xludf.DUMMYFUNCTION("""COMPUTED_VALUE"""),2)</f>
        <v>2</v>
      </c>
      <c r="I136" s="26">
        <f>IFERROR(__xludf.DUMMYFUNCTION("""COMPUTED_VALUE"""),1)</f>
        <v>1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IFERROR(__xludf.DUMMYFUNCTION("""COMPUTED_VALUE"""),"TIP (6 Expts)")</f>
        <v>TIP (6 Expts)</v>
      </c>
      <c r="M136" s="26"/>
      <c r="N136" s="26"/>
      <c r="O136" s="26"/>
    </row>
    <row r="137" ht="13.2" spans="1:15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IFERROR(__xludf.DUMMYFUNCTION("""COMPUTED_VALUE"""),"CS3552")</f>
        <v>CS3552</v>
      </c>
      <c r="E137" s="26" t="str">
        <f>IFERROR(__xludf.DUMMYFUNCTION("""COMPUTED_VALUE"""),"19AI552")</f>
        <v>19AI552</v>
      </c>
      <c r="F137" s="27" t="str">
        <f>IFERROR(__xludf.DUMMYFUNCTION("""COMPUTED_VALUE"""),"Web Application User Interface Development")</f>
        <v>Web Application User Interface Development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</row>
    <row r="138" ht="13.2" spans="1:15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IFERROR(__xludf.DUMMYFUNCTION("""COMPUTED_VALUE"""),"CS3554")</f>
        <v>CS3554</v>
      </c>
      <c r="E138" s="26" t="str">
        <f>IFERROR(__xludf.DUMMYFUNCTION("""COMPUTED_VALUE"""),"19AI554")</f>
        <v>19AI554</v>
      </c>
      <c r="F138" s="27" t="str">
        <f>IFERROR(__xludf.DUMMYFUNCTION("""COMPUTED_VALUE"""),"Fundamentals of Large Language Models")</f>
        <v>Fundamentals of Large Language Models</v>
      </c>
      <c r="G138" s="26" t="str">
        <f>IFERROR(__xludf.DUMMYFUNCTION("""COMPUTED_VALUE"""),"-")</f>
        <v>-</v>
      </c>
      <c r="H138" s="26">
        <f>IFERROR(__xludf.DUMMYFUNCTION("""COMPUTED_VALUE"""),2)</f>
        <v>2</v>
      </c>
      <c r="I138" s="26">
        <f>IFERROR(__xludf.DUMMYFUNCTION("""COMPUTED_VALUE"""),1)</f>
        <v>1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IFERROR(__xludf.DUMMYFUNCTION("""COMPUTED_VALUE"""),"TIP (6 Expts)")</f>
        <v>TIP (6 Expts)</v>
      </c>
      <c r="M138" s="26"/>
      <c r="N138" s="26"/>
      <c r="O138" s="26"/>
    </row>
    <row r="139" ht="13.2" spans="1:15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IFERROR(__xludf.DUMMYFUNCTION("""COMPUTED_VALUE"""),"CS1558")</f>
        <v>CS1558</v>
      </c>
      <c r="E139" s="26" t="str">
        <f>IFERROR(__xludf.DUMMYFUNCTION("""COMPUTED_VALUE"""),"19CS558")</f>
        <v>19CS558</v>
      </c>
      <c r="F139" s="26" t="str">
        <f>IFERROR(__xludf.DUMMYFUNCTION("""COMPUTED_VALUE"""),"Data Privacy and Protection")</f>
        <v>Data Privacy and Protection</v>
      </c>
      <c r="G139" s="26" t="str">
        <f>IFERROR(__xludf.DUMMYFUNCTION("""COMPUTED_VALUE"""),"-")</f>
        <v>-</v>
      </c>
      <c r="H139" s="26">
        <f>IFERROR(__xludf.DUMMYFUNCTION("""COMPUTED_VALUE"""),2)</f>
        <v>2</v>
      </c>
      <c r="I139" s="26">
        <f>IFERROR(__xludf.DUMMYFUNCTION("""COMPUTED_VALUE"""),1)</f>
        <v>1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IFERROR(__xludf.DUMMYFUNCTION("""COMPUTED_VALUE"""),"TIP (6 Expts)")</f>
        <v>TIP (6 Expts)</v>
      </c>
      <c r="M139" s="26"/>
      <c r="N139" s="26"/>
      <c r="O139" s="26"/>
    </row>
    <row r="140" ht="13.2" spans="1:15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IFERROR(__xludf.DUMMYFUNCTION("""COMPUTED_VALUE"""),"CS1558")</f>
        <v>CS1558</v>
      </c>
      <c r="E140" s="26" t="str">
        <f>IFERROR(__xludf.DUMMYFUNCTION("""COMPUTED_VALUE"""),"19CS558")</f>
        <v>19CS558</v>
      </c>
      <c r="F140" s="26" t="str">
        <f>IFERROR(__xludf.DUMMYFUNCTION("""COMPUTED_VALUE"""),"Data Privacy and Protection")</f>
        <v>Data Privacy and Protection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</row>
    <row r="141" ht="13.2" spans="1:15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IFERROR(__xludf.DUMMYFUNCTION("""COMPUTED_VALUE"""),"CS3555")</f>
        <v>CS3555</v>
      </c>
      <c r="E141" s="26" t="str">
        <f>IFERROR(__xludf.DUMMYFUNCTION("""COMPUTED_VALUE"""),"19AI555")</f>
        <v>19AI555</v>
      </c>
      <c r="F141" s="27" t="str">
        <f>IFERROR(__xludf.DUMMYFUNCTION("""COMPUTED_VALUE"""),"Exploratory Data Analysis")</f>
        <v>Exploratory Data Analysis</v>
      </c>
      <c r="G141" s="26" t="str">
        <f>IFERROR(__xludf.DUMMYFUNCTION("""COMPUTED_VALUE"""),"-")</f>
        <v>-</v>
      </c>
      <c r="H141" s="26">
        <f>IFERROR(__xludf.DUMMYFUNCTION("""COMPUTED_VALUE"""),2)</f>
        <v>2</v>
      </c>
      <c r="I141" s="26">
        <f>IFERROR(__xludf.DUMMYFUNCTION("""COMPUTED_VALUE"""),1)</f>
        <v>1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</row>
    <row r="142" ht="13.2" spans="1:15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IFERROR(__xludf.DUMMYFUNCTION("""COMPUTED_VALUE"""),"CS3559")</f>
        <v>CS3559</v>
      </c>
      <c r="E142" s="26" t="str">
        <f>IFERROR(__xludf.DUMMYFUNCTION("""COMPUTED_VALUE"""),"19AI559")</f>
        <v>19AI559</v>
      </c>
      <c r="F142" s="27" t="str">
        <f>IFERROR(__xludf.DUMMYFUNCTION("""COMPUTED_VALUE"""),"Image and Video Analytics")</f>
        <v>Image and Video Analytics</v>
      </c>
      <c r="G142" s="26" t="str">
        <f>IFERROR(__xludf.DUMMYFUNCTION("""COMPUTED_VALUE"""),"-")</f>
        <v>-</v>
      </c>
      <c r="H142" s="26">
        <f>IFERROR(__xludf.DUMMYFUNCTION("""COMPUTED_VALUE"""),2)</f>
        <v>2</v>
      </c>
      <c r="I142" s="26">
        <f>IFERROR(__xludf.DUMMYFUNCTION("""COMPUTED_VALUE"""),1)</f>
        <v>1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IFERROR(__xludf.DUMMYFUNCTION("""COMPUTED_VALUE"""),"TIP (6 Expts)")</f>
        <v>TIP (6 Expts)</v>
      </c>
      <c r="M142" s="26"/>
      <c r="N142" s="26"/>
      <c r="O142" s="26"/>
    </row>
    <row r="143" ht="13.2" spans="1:15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IFERROR(__xludf.DUMMYFUNCTION("""COMPUTED_VALUE"""),"CS3557")</f>
        <v>CS3557</v>
      </c>
      <c r="E143" s="26" t="str">
        <f>IFERROR(__xludf.DUMMYFUNCTION("""COMPUTED_VALUE"""),"19AI557")</f>
        <v>19AI557</v>
      </c>
      <c r="F143" s="27" t="str">
        <f>IFERROR(__xludf.DUMMYFUNCTION("""COMPUTED_VALUE"""),"Neural Networks and Deep Learning")</f>
        <v>Neural Networks and Deep Learning</v>
      </c>
      <c r="G143" s="26" t="str">
        <f>IFERROR(__xludf.DUMMYFUNCTION("""COMPUTED_VALUE"""),"-")</f>
        <v>-</v>
      </c>
      <c r="H143" s="26">
        <f>IFERROR(__xludf.DUMMYFUNCTION("""COMPUTED_VALUE"""),2)</f>
        <v>2</v>
      </c>
      <c r="I143" s="26">
        <f>IFERROR(__xludf.DUMMYFUNCTION("""COMPUTED_VALUE"""),1)</f>
        <v>1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IFERROR(__xludf.DUMMYFUNCTION("""COMPUTED_VALUE"""),"TIP (6 Expts)")</f>
        <v>TIP (6 Expts)</v>
      </c>
      <c r="M143" s="26"/>
      <c r="N143" s="26"/>
      <c r="O143" s="26"/>
    </row>
    <row r="144" ht="13.2" spans="1:15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IFERROR(__xludf.DUMMYFUNCTION("""COMPUTED_VALUE"""),"CS3556")</f>
        <v>CS3556</v>
      </c>
      <c r="E144" s="26" t="str">
        <f>IFERROR(__xludf.DUMMYFUNCTION("""COMPUTED_VALUE"""),"19AI556")</f>
        <v>19AI556</v>
      </c>
      <c r="F144" s="27" t="str">
        <f>IFERROR(__xludf.DUMMYFUNCTION("""COMPUTED_VALUE"""),"Recommender Systems")</f>
        <v>Recommender Systems</v>
      </c>
      <c r="G144" s="26" t="str">
        <f>IFERROR(__xludf.DUMMYFUNCTION("""COMPUTED_VALUE"""),"-")</f>
        <v>-</v>
      </c>
      <c r="H144" s="26">
        <f>IFERROR(__xludf.DUMMYFUNCTION("""COMPUTED_VALUE"""),2)</f>
        <v>2</v>
      </c>
      <c r="I144" s="26">
        <f>IFERROR(__xludf.DUMMYFUNCTION("""COMPUTED_VALUE"""),1)</f>
        <v>1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IFERROR(__xludf.DUMMYFUNCTION("""COMPUTED_VALUE"""),"TIP (6 Expts)")</f>
        <v>TIP (6 Expts)</v>
      </c>
      <c r="M144" s="26"/>
      <c r="N144" s="26"/>
      <c r="O144" s="26"/>
    </row>
    <row r="145" ht="13.2" spans="1:15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IFERROR(__xludf.DUMMYFUNCTION("""COMPUTED_VALUE"""),"CS3558")</f>
        <v>CS3558</v>
      </c>
      <c r="E145" s="26" t="str">
        <f>IFERROR(__xludf.DUMMYFUNCTION("""COMPUTED_VALUE"""),"19AI558")</f>
        <v>19AI558</v>
      </c>
      <c r="F145" s="27" t="str">
        <f>IFERROR(__xludf.DUMMYFUNCTION("""COMPUTED_VALUE"""),"Text and Speech Analysis")</f>
        <v>Text and Speech Analysis</v>
      </c>
      <c r="G145" s="26" t="str">
        <f>IFERROR(__xludf.DUMMYFUNCTION("""COMPUTED_VALUE"""),"-")</f>
        <v>-</v>
      </c>
      <c r="H145" s="26">
        <f>IFERROR(__xludf.DUMMYFUNCTION("""COMPUTED_VALUE"""),2)</f>
        <v>2</v>
      </c>
      <c r="I145" s="26">
        <f>IFERROR(__xludf.DUMMYFUNCTION("""COMPUTED_VALUE"""),1)</f>
        <v>1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IFERROR(__xludf.DUMMYFUNCTION("""COMPUTED_VALUE"""),"TIP (6 Expts)")</f>
        <v>TIP (6 Expts)</v>
      </c>
      <c r="M145" s="26"/>
      <c r="N145" s="26"/>
      <c r="O145" s="26"/>
    </row>
    <row r="146" ht="13.2" spans="1:15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IFERROR(__xludf.DUMMYFUNCTION("""COMPUTED_VALUE"""),"CS4401")</f>
        <v>CS4401</v>
      </c>
      <c r="E146" s="26" t="str">
        <f>IFERROR(__xludf.DUMMYFUNCTION("""COMPUTED_VALUE"""),"19AM401")</f>
        <v>19AM401</v>
      </c>
      <c r="F146" s="26" t="str">
        <f>IFERROR(__xludf.DUMMYFUNCTION("""COMPUTED_VALUE"""),"Time Series Analysis and Forecasting")</f>
        <v>Time Series Analysis and Forecasting</v>
      </c>
      <c r="G146" s="26" t="str">
        <f>IFERROR(__xludf.DUMMYFUNCTION("""COMPUTED_VALUE"""),"-")</f>
        <v>-</v>
      </c>
      <c r="H146" s="26">
        <f>IFERROR(__xludf.DUMMYFUNCTION("""COMPUTED_VALUE"""),3)</f>
        <v>3</v>
      </c>
      <c r="I146" s="26">
        <f>IFERROR(__xludf.DUMMYFUNCTION("""COMPUTED_VALUE"""),1)</f>
        <v>1</v>
      </c>
      <c r="J146" s="26">
        <f>IFERROR(__xludf.DUMMYFUNCTION("""COMPUTED_VALUE"""),4)</f>
        <v>4</v>
      </c>
      <c r="K146" s="26" t="str">
        <f>IFERROR(__xludf.DUMMYFUNCTION("""COMPUTED_VALUE"""),"CGPA")</f>
        <v>CGPA</v>
      </c>
      <c r="L146" s="26" t="str">
        <f>IFERROR(__xludf.DUMMYFUNCTION("""COMPUTED_VALUE"""),"TIP (6 Expts)")</f>
        <v>TIP (6 Expts)</v>
      </c>
      <c r="M146" s="26"/>
      <c r="N146" s="26"/>
      <c r="O146" s="26"/>
    </row>
    <row r="147" ht="13.2" spans="1:15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IFERROR(__xludf.DUMMYFUNCTION("""COMPUTED_VALUE"""),"CS4501")</f>
        <v>CS4501</v>
      </c>
      <c r="E147" s="26" t="str">
        <f>IFERROR(__xludf.DUMMYFUNCTION("""COMPUTED_VALUE"""),"19AM501")</f>
        <v>19AM501</v>
      </c>
      <c r="F147" s="26" t="str">
        <f>IFERROR(__xludf.DUMMYFUNCTION("""COMPUTED_VALUE"""),"Machine Learning for Bioinformatics")</f>
        <v>Machine Learning for Bioinformatics</v>
      </c>
      <c r="G147" s="26" t="str">
        <f>IFERROR(__xludf.DUMMYFUNCTION("""COMPUTED_VALUE"""),"-")</f>
        <v>-</v>
      </c>
      <c r="H147" s="26">
        <f>IFERROR(__xludf.DUMMYFUNCTION("""COMPUTED_VALUE"""),3)</f>
        <v>3</v>
      </c>
      <c r="I147" s="26">
        <f>IFERROR(__xludf.DUMMYFUNCTION("""COMPUTED_VALUE"""),0)</f>
        <v>0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IFERROR(__xludf.DUMMYFUNCTION("""COMPUTED_VALUE"""),"Theory")</f>
        <v>Theory</v>
      </c>
      <c r="M147" s="26"/>
      <c r="N147" s="26"/>
      <c r="O147" s="26"/>
    </row>
    <row r="148" ht="13.2" spans="1:15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IFERROR(__xludf.DUMMYFUNCTION("""COMPUTED_VALUE"""),"CS4502")</f>
        <v>CS4502</v>
      </c>
      <c r="E148" s="26" t="str">
        <f>IFERROR(__xludf.DUMMYFUNCTION("""COMPUTED_VALUE"""),"19AM502")</f>
        <v>19AM502</v>
      </c>
      <c r="F148" s="27" t="str">
        <f>IFERROR(__xludf.DUMMYFUNCTION("""COMPUTED_VALUE"""),"Genetic Algorithms")</f>
        <v>Genetic Algorithms</v>
      </c>
      <c r="G148" s="26" t="str">
        <f>IFERROR(__xludf.DUMMYFUNCTION("""COMPUTED_VALUE"""),"-")</f>
        <v>-</v>
      </c>
      <c r="H148" s="26">
        <f>IFERROR(__xludf.DUMMYFUNCTION("""COMPUTED_VALUE"""),2)</f>
        <v>2</v>
      </c>
      <c r="I148" s="26">
        <f>IFERROR(__xludf.DUMMYFUNCTION("""COMPUTED_VALUE"""),1)</f>
        <v>1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IFERROR(__xludf.DUMMYFUNCTION("""COMPUTED_VALUE"""),"TIP (6 Expts)")</f>
        <v>TIP (6 Expts)</v>
      </c>
      <c r="M148" s="26"/>
      <c r="N148" s="26"/>
      <c r="O148" s="26"/>
    </row>
    <row r="149" ht="13.2" spans="1:15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IFERROR(__xludf.DUMMYFUNCTION("""COMPUTED_VALUE"""),"CS4503")</f>
        <v>CS4503</v>
      </c>
      <c r="E149" s="26" t="str">
        <f>IFERROR(__xludf.DUMMYFUNCTION("""COMPUTED_VALUE"""),"19AM503")</f>
        <v>19AM503</v>
      </c>
      <c r="F149" s="26" t="str">
        <f>IFERROR(__xludf.DUMMYFUNCTION("""COMPUTED_VALUE"""),"Data Modeling")</f>
        <v>Data Modeling</v>
      </c>
      <c r="G149" s="26" t="str">
        <f>IFERROR(__xludf.DUMMYFUNCTION("""COMPUTED_VALUE"""),"-")</f>
        <v>-</v>
      </c>
      <c r="H149" s="26">
        <f>IFERROR(__xludf.DUMMYFUNCTION("""COMPUTED_VALUE"""),3)</f>
        <v>3</v>
      </c>
      <c r="I149" s="26">
        <f>IFERROR(__xludf.DUMMYFUNCTION("""COMPUTED_VALUE"""),0)</f>
        <v>0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</row>
    <row r="150" ht="13.2" spans="1:15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IFERROR(__xludf.DUMMYFUNCTION("""COMPUTED_VALUE"""),"CS4504")</f>
        <v>CS4504</v>
      </c>
      <c r="E150" s="26" t="str">
        <f>IFERROR(__xludf.DUMMYFUNCTION("""COMPUTED_VALUE"""),"19AM504")</f>
        <v>19AM504</v>
      </c>
      <c r="F150" s="27" t="str">
        <f>IFERROR(__xludf.DUMMYFUNCTION("""COMPUTED_VALUE"""),"Brain Computer Interaction")</f>
        <v>Brain Computer Interaction</v>
      </c>
      <c r="G150" s="26" t="str">
        <f>IFERROR(__xludf.DUMMYFUNCTION("""COMPUTED_VALUE"""),"-")</f>
        <v>-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</row>
    <row r="151" ht="13.2" spans="1:15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IFERROR(__xludf.DUMMYFUNCTION("""COMPUTED_VALUE"""),"CS4505")</f>
        <v>CS4505</v>
      </c>
      <c r="E151" s="26" t="str">
        <f>IFERROR(__xludf.DUMMYFUNCTION("""COMPUTED_VALUE"""),"19AM505")</f>
        <v>19AM505</v>
      </c>
      <c r="F151" s="27" t="str">
        <f>IFERROR(__xludf.DUMMYFUNCTION("""COMPUTED_VALUE"""),"Statistical Learning Theory")</f>
        <v>Statistical Learning Theory</v>
      </c>
      <c r="G151" s="26" t="str">
        <f>IFERROR(__xludf.DUMMYFUNCTION("""COMPUTED_VALUE"""),"-")</f>
        <v>-</v>
      </c>
      <c r="H151" s="26">
        <f>IFERROR(__xludf.DUMMYFUNCTION("""COMPUTED_VALUE"""),2)</f>
        <v>2</v>
      </c>
      <c r="I151" s="26">
        <f>IFERROR(__xludf.DUMMYFUNCTION("""COMPUTED_VALUE"""),1)</f>
        <v>1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IFERROR(__xludf.DUMMYFUNCTION("""COMPUTED_VALUE"""),"TIP (6 Expts)")</f>
        <v>TIP (6 Expts)</v>
      </c>
      <c r="M151" s="26"/>
      <c r="N151" s="26"/>
      <c r="O151" s="26"/>
    </row>
    <row r="152" ht="13.2" spans="1:15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IFERROR(__xludf.DUMMYFUNCTION("""COMPUTED_VALUE"""),"CS4506")</f>
        <v>CS4506</v>
      </c>
      <c r="E152" s="26" t="str">
        <f>IFERROR(__xludf.DUMMYFUNCTION("""COMPUTED_VALUE"""),"19AM506")</f>
        <v>19AM506</v>
      </c>
      <c r="F152" s="27" t="str">
        <f>IFERROR(__xludf.DUMMYFUNCTION("""COMPUTED_VALUE"""),"Sensors and Actuators for IoT")</f>
        <v>Sensors and Actuators for IoT</v>
      </c>
      <c r="G152" s="26" t="str">
        <f>IFERROR(__xludf.DUMMYFUNCTION("""COMPUTED_VALUE"""),"-")</f>
        <v>-</v>
      </c>
      <c r="H152" s="26">
        <f>IFERROR(__xludf.DUMMYFUNCTION("""COMPUTED_VALUE"""),2)</f>
        <v>2</v>
      </c>
      <c r="I152" s="26">
        <f>IFERROR(__xludf.DUMMYFUNCTION("""COMPUTED_VALUE"""),1)</f>
        <v>1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IFERROR(__xludf.DUMMYFUNCTION("""COMPUTED_VALUE"""),"TIP (6 Expts)")</f>
        <v>TIP (6 Expts)</v>
      </c>
      <c r="M152" s="26"/>
      <c r="N152" s="26"/>
      <c r="O152" s="26"/>
    </row>
    <row r="153" ht="13.2" spans="1:15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IFERROR(__xludf.DUMMYFUNCTION("""COMPUTED_VALUE"""),"CS4507")</f>
        <v>CS4507</v>
      </c>
      <c r="E153" s="26" t="str">
        <f>IFERROR(__xludf.DUMMYFUNCTION("""COMPUTED_VALUE"""),"19AM507")</f>
        <v>19AM507</v>
      </c>
      <c r="F153" s="27" t="str">
        <f>IFERROR(__xludf.DUMMYFUNCTION("""COMPUTED_VALUE"""),"Security and Trust in IoT")</f>
        <v>Security and Trust in IoT</v>
      </c>
      <c r="G153" s="26" t="str">
        <f>IFERROR(__xludf.DUMMYFUNCTION("""COMPUTED_VALUE"""),"-")</f>
        <v>-</v>
      </c>
      <c r="H153" s="26">
        <f>IFERROR(__xludf.DUMMYFUNCTION("""COMPUTED_VALUE"""),2)</f>
        <v>2</v>
      </c>
      <c r="I153" s="26">
        <f>IFERROR(__xludf.DUMMYFUNCTION("""COMPUTED_VALUE"""),1)</f>
        <v>1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IFERROR(__xludf.DUMMYFUNCTION("""COMPUTED_VALUE"""),"TIP (6 Expts)")</f>
        <v>TIP (6 Expts)</v>
      </c>
      <c r="M153" s="26"/>
      <c r="N153" s="26"/>
      <c r="O153" s="26"/>
    </row>
    <row r="154" ht="13.2" spans="1:15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IFERROR(__xludf.DUMMYFUNCTION("""COMPUTED_VALUE"""),"CS4509")</f>
        <v>CS4509</v>
      </c>
      <c r="E154" s="26" t="str">
        <f>IFERROR(__xludf.DUMMYFUNCTION("""COMPUTED_VALUE"""),"19AM509")</f>
        <v>19AM509</v>
      </c>
      <c r="F154" s="27" t="str">
        <f>IFERROR(__xludf.DUMMYFUNCTION("""COMPUTED_VALUE"""),"Industrial Internet of Things")</f>
        <v>Industrial Internet of Things</v>
      </c>
      <c r="G154" s="26" t="str">
        <f>IFERROR(__xludf.DUMMYFUNCTION("""COMPUTED_VALUE"""),"-")</f>
        <v>-</v>
      </c>
      <c r="H154" s="26">
        <f>IFERROR(__xludf.DUMMYFUNCTION("""COMPUTED_VALUE"""),2)</f>
        <v>2</v>
      </c>
      <c r="I154" s="26">
        <f>IFERROR(__xludf.DUMMYFUNCTION("""COMPUTED_VALUE"""),1)</f>
        <v>1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IFERROR(__xludf.DUMMYFUNCTION("""COMPUTED_VALUE"""),"TIP (6 Expts)")</f>
        <v>TIP (6 Expts)</v>
      </c>
      <c r="M154" s="26"/>
      <c r="N154" s="26"/>
      <c r="O154" s="26"/>
    </row>
    <row r="155" ht="13.2" spans="1:15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IFERROR(__xludf.DUMMYFUNCTION("""COMPUTED_VALUE"""),"CS4510")</f>
        <v>CS4510</v>
      </c>
      <c r="E155" s="26" t="str">
        <f>IFERROR(__xludf.DUMMYFUNCTION("""COMPUTED_VALUE"""),"19AM510")</f>
        <v>19AM510</v>
      </c>
      <c r="F155" s="27" t="str">
        <f>IFERROR(__xludf.DUMMYFUNCTION("""COMPUTED_VALUE"""),"Software for Embedded Systems")</f>
        <v>Software for Embedded Systems</v>
      </c>
      <c r="G155" s="26" t="str">
        <f>IFERROR(__xludf.DUMMYFUNCTION("""COMPUTED_VALUE"""),"-")</f>
        <v>-</v>
      </c>
      <c r="H155" s="26">
        <f>IFERROR(__xludf.DUMMYFUNCTION("""COMPUTED_VALUE"""),2)</f>
        <v>2</v>
      </c>
      <c r="I155" s="26">
        <f>IFERROR(__xludf.DUMMYFUNCTION("""COMPUTED_VALUE"""),1)</f>
        <v>1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IFERROR(__xludf.DUMMYFUNCTION("""COMPUTED_VALUE"""),"TIP (6 Expts)")</f>
        <v>TIP (6 Expts)</v>
      </c>
      <c r="M155" s="26"/>
      <c r="N155" s="26"/>
      <c r="O155" s="26"/>
    </row>
    <row r="156" ht="13.2" spans="1:15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IFERROR(__xludf.DUMMYFUNCTION("""COMPUTED_VALUE"""),"CS4511")</f>
        <v>CS4511</v>
      </c>
      <c r="E156" s="26" t="str">
        <f>IFERROR(__xludf.DUMMYFUNCTION("""COMPUTED_VALUE"""),"19AM511")</f>
        <v>19AM511</v>
      </c>
      <c r="F156" s="27" t="str">
        <f>IFERROR(__xludf.DUMMYFUNCTION("""COMPUTED_VALUE"""),"IoT Architecture and Protocols")</f>
        <v>IoT Architecture and Protocols</v>
      </c>
      <c r="G156" s="26" t="str">
        <f>IFERROR(__xludf.DUMMYFUNCTION("""COMPUTED_VALUE"""),"-")</f>
        <v>-</v>
      </c>
      <c r="H156" s="26">
        <f>IFERROR(__xludf.DUMMYFUNCTION("""COMPUTED_VALUE"""),3)</f>
        <v>3</v>
      </c>
      <c r="I156" s="26">
        <f>IFERROR(__xludf.DUMMYFUNCTION("""COMPUTED_VALUE"""),0)</f>
        <v>0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</row>
    <row r="157" ht="13.2" spans="1:15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IFERROR(__xludf.DUMMYFUNCTION("""COMPUTED_VALUE"""),"CS4512")</f>
        <v>CS4512</v>
      </c>
      <c r="E157" s="26" t="str">
        <f>IFERROR(__xludf.DUMMYFUNCTION("""COMPUTED_VALUE"""),"19AM512")</f>
        <v>19AM512</v>
      </c>
      <c r="F157" s="27" t="str">
        <f>IFERROR(__xludf.DUMMYFUNCTION("""COMPUTED_VALUE"""),"Arduino for IoT")</f>
        <v>Arduino for IoT</v>
      </c>
      <c r="G157" s="26" t="str">
        <f>IFERROR(__xludf.DUMMYFUNCTION("""COMPUTED_VALUE"""),"-")</f>
        <v>-</v>
      </c>
      <c r="H157" s="26">
        <f>IFERROR(__xludf.DUMMYFUNCTION("""COMPUTED_VALUE"""),2)</f>
        <v>2</v>
      </c>
      <c r="I157" s="26">
        <f>IFERROR(__xludf.DUMMYFUNCTION("""COMPUTED_VALUE"""),1)</f>
        <v>1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IFERROR(__xludf.DUMMYFUNCTION("""COMPUTED_VALUE"""),"TIP (6 Expts)")</f>
        <v>TIP (6 Expts)</v>
      </c>
      <c r="M157" s="26"/>
      <c r="N157" s="26"/>
      <c r="O157" s="26"/>
    </row>
    <row r="158" ht="13.2" spans="1:15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IFERROR(__xludf.DUMMYFUNCTION("""COMPUTED_VALUE"""),"CS4513")</f>
        <v>CS4513</v>
      </c>
      <c r="E158" s="26" t="str">
        <f>IFERROR(__xludf.DUMMYFUNCTION("""COMPUTED_VALUE"""),"19AM513")</f>
        <v>19AM513</v>
      </c>
      <c r="F158" s="27" t="str">
        <f>IFERROR(__xludf.DUMMYFUNCTION("""COMPUTED_VALUE"""),"Raspberry Pi for IoT")</f>
        <v>Raspberry Pi for IoT</v>
      </c>
      <c r="G158" s="26" t="str">
        <f>IFERROR(__xludf.DUMMYFUNCTION("""COMPUTED_VALUE"""),"-")</f>
        <v>-</v>
      </c>
      <c r="H158" s="26">
        <f>IFERROR(__xludf.DUMMYFUNCTION("""COMPUTED_VALUE"""),2)</f>
        <v>2</v>
      </c>
      <c r="I158" s="26">
        <f>IFERROR(__xludf.DUMMYFUNCTION("""COMPUTED_VALUE"""),1)</f>
        <v>1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IFERROR(__xludf.DUMMYFUNCTION("""COMPUTED_VALUE"""),"TIP (6 Expts)")</f>
        <v>TIP (6 Expts)</v>
      </c>
      <c r="M158" s="26"/>
      <c r="N158" s="26"/>
      <c r="O158" s="26"/>
    </row>
    <row r="159" ht="13.2" spans="1:15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IFERROR(__xludf.DUMMYFUNCTION("""COMPUTED_VALUE"""),"CS4514")</f>
        <v>CS4514</v>
      </c>
      <c r="E159" s="26" t="str">
        <f>IFERROR(__xludf.DUMMYFUNCTION("""COMPUTED_VALUE"""),"19AM514")</f>
        <v>19AM514</v>
      </c>
      <c r="F159" s="27" t="str">
        <f>IFERROR(__xludf.DUMMYFUNCTION("""COMPUTED_VALUE"""),"Motion Planning Techniques")</f>
        <v>Motion Planning Techniques</v>
      </c>
      <c r="G159" s="26" t="str">
        <f>IFERROR(__xludf.DUMMYFUNCTION("""COMPUTED_VALUE"""),"-")</f>
        <v>-</v>
      </c>
      <c r="H159" s="26">
        <f>IFERROR(__xludf.DUMMYFUNCTION("""COMPUTED_VALUE"""),2)</f>
        <v>2</v>
      </c>
      <c r="I159" s="26">
        <f>IFERROR(__xludf.DUMMYFUNCTION("""COMPUTED_VALUE"""),1)</f>
        <v>1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IFERROR(__xludf.DUMMYFUNCTION("""COMPUTED_VALUE"""),"TIP (6 Expts)")</f>
        <v>TIP (6 Expts)</v>
      </c>
      <c r="M159" s="26"/>
      <c r="N159" s="26"/>
      <c r="O159" s="26"/>
    </row>
    <row r="160" ht="13.2" spans="1:15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IFERROR(__xludf.DUMMYFUNCTION("""COMPUTED_VALUE"""),"CS4515")</f>
        <v>CS4515</v>
      </c>
      <c r="E160" s="26" t="str">
        <f>IFERROR(__xludf.DUMMYFUNCTION("""COMPUTED_VALUE"""),"19AM515")</f>
        <v>19AM515</v>
      </c>
      <c r="F160" s="27" t="str">
        <f>IFERROR(__xludf.DUMMYFUNCTION("""COMPUTED_VALUE"""),"Advanced Java Programming")</f>
        <v>Advanced Java Programming</v>
      </c>
      <c r="G160" s="26" t="str">
        <f>IFERROR(__xludf.DUMMYFUNCTION("""COMPUTED_VALUE"""),"-")</f>
        <v>-</v>
      </c>
      <c r="H160" s="26">
        <f>IFERROR(__xludf.DUMMYFUNCTION("""COMPUTED_VALUE"""),2)</f>
        <v>2</v>
      </c>
      <c r="I160" s="26">
        <f>IFERROR(__xludf.DUMMYFUNCTION("""COMPUTED_VALUE"""),1)</f>
        <v>1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IFERROR(__xludf.DUMMYFUNCTION("""COMPUTED_VALUE"""),"TIP (6 Expts)")</f>
        <v>TIP (6 Expts)</v>
      </c>
      <c r="M160" s="26"/>
      <c r="N160" s="26"/>
      <c r="O160" s="26"/>
    </row>
    <row r="161" ht="13.2" spans="1:15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IFERROR(__xludf.DUMMYFUNCTION("""COMPUTED_VALUE"""),"CS1558")</f>
        <v>CS1558</v>
      </c>
      <c r="E161" s="26" t="str">
        <f>IFERROR(__xludf.DUMMYFUNCTION("""COMPUTED_VALUE"""),"19CS558")</f>
        <v>19CS558</v>
      </c>
      <c r="F161" s="26" t="str">
        <f>IFERROR(__xludf.DUMMYFUNCTION("""COMPUTED_VALUE"""),"Data Privacy and Protection")</f>
        <v>Data Privacy and Protection</v>
      </c>
      <c r="G161" s="26" t="str">
        <f>IFERROR(__xludf.DUMMYFUNCTION("""COMPUTED_VALUE"""),"-")</f>
        <v>-</v>
      </c>
      <c r="H161" s="26">
        <f>IFERROR(__xludf.DUMMYFUNCTION("""COMPUTED_VALUE"""),2)</f>
        <v>2</v>
      </c>
      <c r="I161" s="26">
        <f>IFERROR(__xludf.DUMMYFUNCTION("""COMPUTED_VALUE"""),1)</f>
        <v>1</v>
      </c>
      <c r="J161" s="26">
        <f>IFERROR(__xludf.DUMMYFUNCTION("""COMPUTED_VALUE"""),3)</f>
        <v>3</v>
      </c>
      <c r="K161" s="26" t="str">
        <f>IFERROR(__xludf.DUMMYFUNCTION("""COMPUTED_VALUE"""),"CGPA")</f>
        <v>CGPA</v>
      </c>
      <c r="L161" s="26" t="str">
        <f>IFERROR(__xludf.DUMMYFUNCTION("""COMPUTED_VALUE"""),"TIP (6 Expts)")</f>
        <v>TIP (6 Expts)</v>
      </c>
      <c r="M161" s="26"/>
      <c r="N161" s="26"/>
      <c r="O161" s="26"/>
    </row>
    <row r="162" ht="13.2" spans="1:15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IFERROR(__xludf.DUMMYFUNCTION("""COMPUTED_VALUE"""),"CS1550")</f>
        <v>CS1550</v>
      </c>
      <c r="E162" s="26" t="str">
        <f>IFERROR(__xludf.DUMMYFUNCTION("""COMPUTED_VALUE"""),"19CS550")</f>
        <v>19CS550</v>
      </c>
      <c r="F162" s="26" t="str">
        <f>IFERROR(__xludf.DUMMYFUNCTION("""COMPUTED_VALUE"""),"AI and Ethics")</f>
        <v>AI and Ethics</v>
      </c>
      <c r="G162" s="26" t="str">
        <f>IFERROR(__xludf.DUMMYFUNCTION("""COMPUTED_VALUE"""),"-")</f>
        <v>-</v>
      </c>
      <c r="H162" s="26">
        <f>IFERROR(__xludf.DUMMYFUNCTION("""COMPUTED_VALUE"""),3)</f>
        <v>3</v>
      </c>
      <c r="I162" s="26">
        <f>IFERROR(__xludf.DUMMYFUNCTION("""COMPUTED_VALUE"""),0)</f>
        <v>0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IFERROR(__xludf.DUMMYFUNCTION("""COMPUTED_VALUE"""),"Theory")</f>
        <v>Theory</v>
      </c>
      <c r="M162" s="26"/>
      <c r="N162" s="26"/>
      <c r="O162" s="26"/>
    </row>
    <row r="163" ht="13.2" spans="1:15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IFERROR(__xludf.DUMMYFUNCTION("""COMPUTED_VALUE"""),"CS1563")</f>
        <v>CS1563</v>
      </c>
      <c r="E163" s="26" t="str">
        <f>IFERROR(__xludf.DUMMYFUNCTION("""COMPUTED_VALUE"""),"19CS563")</f>
        <v>19CS563</v>
      </c>
      <c r="F163" s="26" t="str">
        <f>IFERROR(__xludf.DUMMYFUNCTION("""COMPUTED_VALUE"""),"Bitcoin Mining")</f>
        <v>Bitcoin Mining</v>
      </c>
      <c r="G163" s="26" t="str">
        <f>IFERROR(__xludf.DUMMYFUNCTION("""COMPUTED_VALUE"""),"-")</f>
        <v>-</v>
      </c>
      <c r="H163" s="26">
        <f>IFERROR(__xludf.DUMMYFUNCTION("""COMPUTED_VALUE"""),2)</f>
        <v>2</v>
      </c>
      <c r="I163" s="26">
        <f>IFERROR(__xludf.DUMMYFUNCTION("""COMPUTED_VALUE"""),1)</f>
        <v>1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IFERROR(__xludf.DUMMYFUNCTION("""COMPUTED_VALUE"""),"TIP (6 Expts)")</f>
        <v>TIP (6 Expts)</v>
      </c>
      <c r="M163" s="26"/>
      <c r="N163" s="26"/>
      <c r="O163" s="26"/>
    </row>
    <row r="164" ht="13.2" spans="1:15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IFERROR(__xludf.DUMMYFUNCTION("""COMPUTED_VALUE"""),"CS1561")</f>
        <v>CS1561</v>
      </c>
      <c r="E164" s="26" t="str">
        <f>IFERROR(__xludf.DUMMYFUNCTION("""COMPUTED_VALUE"""),"19CS561")</f>
        <v>19CS561</v>
      </c>
      <c r="F164" s="26" t="str">
        <f>IFERROR(__xludf.DUMMYFUNCTION("""COMPUTED_VALUE"""),"Blockchain and Fintech")</f>
        <v>Blockchain and Fintech</v>
      </c>
      <c r="G164" s="26" t="str">
        <f>IFERROR(__xludf.DUMMYFUNCTION("""COMPUTED_VALUE"""),"-")</f>
        <v>-</v>
      </c>
      <c r="H164" s="26">
        <f>IFERROR(__xludf.DUMMYFUNCTION("""COMPUTED_VALUE"""),2)</f>
        <v>2</v>
      </c>
      <c r="I164" s="26">
        <f>IFERROR(__xludf.DUMMYFUNCTION("""COMPUTED_VALUE"""),1)</f>
        <v>1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IFERROR(__xludf.DUMMYFUNCTION("""COMPUTED_VALUE"""),"TIP (6 Expts)")</f>
        <v>TIP (6 Expts)</v>
      </c>
      <c r="M164" s="26"/>
      <c r="N164" s="26"/>
      <c r="O164" s="26"/>
    </row>
    <row r="165" ht="13.2" spans="1:15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IFERROR(__xludf.DUMMYFUNCTION("""COMPUTED_VALUE"""),"CS3503")</f>
        <v>CS3503</v>
      </c>
      <c r="E165" s="26" t="str">
        <f>IFERROR(__xludf.DUMMYFUNCTION("""COMPUTED_VALUE"""),"19AI503")</f>
        <v>19AI503</v>
      </c>
      <c r="F165" s="27" t="str">
        <f>IFERROR(__xludf.DUMMYFUNCTION("""COMPUTED_VALUE"""),"Computer Vision")</f>
        <v>Computer Vision</v>
      </c>
      <c r="G165" s="26" t="str">
        <f>IFERROR(__xludf.DUMMYFUNCTION("""COMPUTED_VALUE"""),"19CS301")</f>
        <v>19CS301</v>
      </c>
      <c r="H165" s="26">
        <f>IFERROR(__xludf.DUMMYFUNCTION("""COMPUTED_VALUE"""),2)</f>
        <v>2</v>
      </c>
      <c r="I165" s="26">
        <f>IFERROR(__xludf.DUMMYFUNCTION("""COMPUTED_VALUE"""),1)</f>
        <v>1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IFERROR(__xludf.DUMMYFUNCTION("""COMPUTED_VALUE"""),"TIP (6 Expts)")</f>
        <v>TIP (6 Expts)</v>
      </c>
      <c r="M165" s="26"/>
      <c r="N165" s="26"/>
      <c r="O165" s="26"/>
    </row>
    <row r="166" ht="13.2" spans="1:15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IFERROR(__xludf.DUMMYFUNCTION("""COMPUTED_VALUE"""),"CS1559")</f>
        <v>CS1559</v>
      </c>
      <c r="E166" s="26" t="str">
        <f>IFERROR(__xludf.DUMMYFUNCTION("""COMPUTED_VALUE"""),"19CS559")</f>
        <v>19CS559</v>
      </c>
      <c r="F166" s="26" t="str">
        <f>IFERROR(__xludf.DUMMYFUNCTION("""COMPUTED_VALUE"""),"Blockchain Platforms and Its Use Cases")</f>
        <v>Blockchain Platforms and Its Use Cases</v>
      </c>
      <c r="G166" s="26" t="str">
        <f>IFERROR(__xludf.DUMMYFUNCTION("""COMPUTED_VALUE"""),"-")</f>
        <v>-</v>
      </c>
      <c r="H166" s="26">
        <f>IFERROR(__xludf.DUMMYFUNCTION("""COMPUTED_VALUE"""),2)</f>
        <v>2</v>
      </c>
      <c r="I166" s="26">
        <f>IFERROR(__xludf.DUMMYFUNCTION("""COMPUTED_VALUE"""),1)</f>
        <v>1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IFERROR(__xludf.DUMMYFUNCTION("""COMPUTED_VALUE"""),"TIP (6 Expts)")</f>
        <v>TIP (6 Expts)</v>
      </c>
      <c r="M166" s="26"/>
      <c r="N166" s="26"/>
      <c r="O166" s="26"/>
    </row>
    <row r="167" ht="13.2" spans="1:15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IFERROR(__xludf.DUMMYFUNCTION("""COMPUTED_VALUE"""),"CS3502")</f>
        <v>CS3502</v>
      </c>
      <c r="E167" s="26" t="str">
        <f>IFERROR(__xludf.DUMMYFUNCTION("""COMPUTED_VALUE"""),"19AI502")</f>
        <v>19AI502</v>
      </c>
      <c r="F167" s="27" t="str">
        <f>IFERROR(__xludf.DUMMYFUNCTION("""COMPUTED_VALUE"""),"Applied Natural Language Processing")</f>
        <v>Applied Natural Language Processing</v>
      </c>
      <c r="G167" s="26" t="str">
        <f>IFERROR(__xludf.DUMMYFUNCTION("""COMPUTED_VALUE"""),"-")</f>
        <v>-</v>
      </c>
      <c r="H167" s="26">
        <f>IFERROR(__xludf.DUMMYFUNCTION("""COMPUTED_VALUE"""),2)</f>
        <v>2</v>
      </c>
      <c r="I167" s="26">
        <f>IFERROR(__xludf.DUMMYFUNCTION("""COMPUTED_VALUE"""),1)</f>
        <v>1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IFERROR(__xludf.DUMMYFUNCTION("""COMPUTED_VALUE"""),"TIP (6 Expts)")</f>
        <v>TIP (6 Expts)</v>
      </c>
      <c r="M167" s="26"/>
      <c r="N167" s="26"/>
      <c r="O167" s="26"/>
    </row>
    <row r="168" ht="13.2" spans="1:15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IFERROR(__xludf.DUMMYFUNCTION("""COMPUTED_VALUE"""),"CS1305")</f>
        <v>CS1305</v>
      </c>
      <c r="E168" s="26" t="str">
        <f>IFERROR(__xludf.DUMMYFUNCTION("""COMPUTED_VALUE"""),"19CS305")</f>
        <v>19CS305</v>
      </c>
      <c r="F168" s="27" t="str">
        <f>IFERROR(__xludf.DUMMYFUNCTION("""COMPUTED_VALUE"""),"Computer Architecture")</f>
        <v>Computer Architecture</v>
      </c>
      <c r="G168" s="26" t="str">
        <f>IFERROR(__xludf.DUMMYFUNCTION("""COMPUTED_VALUE"""),"-")</f>
        <v>-</v>
      </c>
      <c r="H168" s="26">
        <f>IFERROR(__xludf.DUMMYFUNCTION("""COMPUTED_VALUE"""),3)</f>
        <v>3</v>
      </c>
      <c r="I168" s="26">
        <f>IFERROR(__xludf.DUMMYFUNCTION("""COMPUTED_VALUE"""),0)</f>
        <v>0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IFERROR(__xludf.DUMMYFUNCTION("""COMPUTED_VALUE"""),"Theory")</f>
        <v>Theory</v>
      </c>
      <c r="M168" s="26"/>
      <c r="N168" s="26"/>
      <c r="O168" s="26"/>
    </row>
    <row r="169" ht="13.2" spans="1:15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IFERROR(__xludf.DUMMYFUNCTION("""COMPUTED_VALUE"""),"CS1567")</f>
        <v>CS1567</v>
      </c>
      <c r="E169" s="26" t="str">
        <f>IFERROR(__xludf.DUMMYFUNCTION("""COMPUTED_VALUE"""),"19CS567")</f>
        <v>19CS567</v>
      </c>
      <c r="F169" s="27" t="str">
        <f>IFERROR(__xludf.DUMMYFUNCTION("""COMPUTED_VALUE"""),"Cloud Native App Development")</f>
        <v>Cloud Native App Development</v>
      </c>
      <c r="G169" s="26" t="str">
        <f>IFERROR(__xludf.DUMMYFUNCTION("""COMPUTED_VALUE"""),"-")</f>
        <v>-</v>
      </c>
      <c r="H169" s="26">
        <f>IFERROR(__xludf.DUMMYFUNCTION("""COMPUTED_VALUE"""),2)</f>
        <v>2</v>
      </c>
      <c r="I169" s="26">
        <f>IFERROR(__xludf.DUMMYFUNCTION("""COMPUTED_VALUE"""),1)</f>
        <v>1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IFERROR(__xludf.DUMMYFUNCTION("""COMPUTED_VALUE"""),"TIP (6 Expts)")</f>
        <v>TIP (6 Expts)</v>
      </c>
      <c r="M169" s="26"/>
      <c r="N169" s="26"/>
      <c r="O169" s="26"/>
    </row>
    <row r="170" ht="13.2" spans="1:15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IFERROR(__xludf.DUMMYFUNCTION("""COMPUTED_VALUE"""),"CS1415")</f>
        <v>CS1415</v>
      </c>
      <c r="E170" s="26" t="str">
        <f>IFERROR(__xludf.DUMMYFUNCTION("""COMPUTED_VALUE"""),"19CS415")</f>
        <v>19CS415</v>
      </c>
      <c r="F170" s="27" t="str">
        <f>IFERROR(__xludf.DUMMYFUNCTION("""COMPUTED_VALUE"""),"Cryptography")</f>
        <v>Cryptography</v>
      </c>
      <c r="G170" s="26" t="str">
        <f>IFERROR(__xludf.DUMMYFUNCTION("""COMPUTED_VALUE"""),"-")</f>
        <v>-</v>
      </c>
      <c r="H170" s="26">
        <f>IFERROR(__xludf.DUMMYFUNCTION("""COMPUTED_VALUE"""),2)</f>
        <v>2</v>
      </c>
      <c r="I170" s="26">
        <f>IFERROR(__xludf.DUMMYFUNCTION("""COMPUTED_VALUE"""),1)</f>
        <v>1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IFERROR(__xludf.DUMMYFUNCTION("""COMPUTED_VALUE"""),"TIP (6 Expts)")</f>
        <v>TIP (6 Expts)</v>
      </c>
      <c r="M170" s="26"/>
      <c r="N170" s="26"/>
      <c r="O170" s="26"/>
    </row>
    <row r="171" ht="13.2" spans="1:15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IFERROR(__xludf.DUMMYFUNCTION("""COMPUTED_VALUE"""),"CS3526")</f>
        <v>CS3526</v>
      </c>
      <c r="E171" s="26" t="str">
        <f>IFERROR(__xludf.DUMMYFUNCTION("""COMPUTED_VALUE"""),"19AI526")</f>
        <v>19AI526</v>
      </c>
      <c r="F171" s="27" t="str">
        <f>IFERROR(__xludf.DUMMYFUNCTION("""COMPUTED_VALUE"""),"Information Security and Access Control")</f>
        <v>Information Security and Access Control</v>
      </c>
      <c r="G171" s="26" t="str">
        <f>IFERROR(__xludf.DUMMYFUNCTION("""COMPUTED_VALUE"""),"19AI527")</f>
        <v>19AI527</v>
      </c>
      <c r="H171" s="26">
        <f>IFERROR(__xludf.DUMMYFUNCTION("""COMPUTED_VALUE"""),2)</f>
        <v>2</v>
      </c>
      <c r="I171" s="26">
        <f>IFERROR(__xludf.DUMMYFUNCTION("""COMPUTED_VALUE"""),1)</f>
        <v>1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IFERROR(__xludf.DUMMYFUNCTION("""COMPUTED_VALUE"""),"TIP (6 Expts)")</f>
        <v>TIP (6 Expts)</v>
      </c>
      <c r="M171" s="26"/>
      <c r="N171" s="26"/>
      <c r="O171" s="26"/>
    </row>
    <row r="172" ht="13.2" spans="1:15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IFERROR(__xludf.DUMMYFUNCTION("""COMPUTED_VALUE"""),"CS3527")</f>
        <v>CS3527</v>
      </c>
      <c r="E172" s="26" t="str">
        <f>IFERROR(__xludf.DUMMYFUNCTION("""COMPUTED_VALUE"""),"19AI527")</f>
        <v>19AI527</v>
      </c>
      <c r="F172" s="27" t="str">
        <f>IFERROR(__xludf.DUMMYFUNCTION("""COMPUTED_VALUE"""),"Security Assessment and Risk Analysis")</f>
        <v>Security Assessment and Risk Analysis</v>
      </c>
      <c r="G172" s="26" t="str">
        <f>IFERROR(__xludf.DUMMYFUNCTION("""COMPUTED_VALUE"""),"-")</f>
        <v>-</v>
      </c>
      <c r="H172" s="26">
        <f>IFERROR(__xludf.DUMMYFUNCTION("""COMPUTED_VALUE"""),3)</f>
        <v>3</v>
      </c>
      <c r="I172" s="26">
        <f>IFERROR(__xludf.DUMMYFUNCTION("""COMPUTED_VALUE"""),1)</f>
        <v>1</v>
      </c>
      <c r="J172" s="26">
        <f>IFERROR(__xludf.DUMMYFUNCTION("""COMPUTED_VALUE"""),4)</f>
        <v>4</v>
      </c>
      <c r="K172" s="26" t="str">
        <f>IFERROR(__xludf.DUMMYFUNCTION("""COMPUTED_VALUE"""),"CGPA")</f>
        <v>CGPA</v>
      </c>
      <c r="L172" s="26" t="str">
        <f>IFERROR(__xludf.DUMMYFUNCTION("""COMPUTED_VALUE"""),"TIP (6 Expts)")</f>
        <v>TIP (6 Expts)</v>
      </c>
      <c r="M172" s="26"/>
      <c r="N172" s="26"/>
      <c r="O172" s="26"/>
    </row>
    <row r="173" ht="13.2" spans="1:15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IFERROR(__xludf.DUMMYFUNCTION("""COMPUTED_VALUE"""),"CS3528")</f>
        <v>CS3528</v>
      </c>
      <c r="E173" s="26" t="str">
        <f>IFERROR(__xludf.DUMMYFUNCTION("""COMPUTED_VALUE"""),"19AI528")</f>
        <v>19AI528</v>
      </c>
      <c r="F173" s="27" t="str">
        <f>IFERROR(__xludf.DUMMYFUNCTION("""COMPUTED_VALUE"""),"Advanced Graph Theory and Applications")</f>
        <v>Advanced Graph Theory and Applications</v>
      </c>
      <c r="G173" s="26" t="str">
        <f>IFERROR(__xludf.DUMMYFUNCTION("""COMPUTED_VALUE"""),"19CS402")</f>
        <v>19CS402</v>
      </c>
      <c r="H173" s="26">
        <f>IFERROR(__xludf.DUMMYFUNCTION("""COMPUTED_VALUE"""),2)</f>
        <v>2</v>
      </c>
      <c r="I173" s="26">
        <f>IFERROR(__xludf.DUMMYFUNCTION("""COMPUTED_VALUE"""),1)</f>
        <v>1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IFERROR(__xludf.DUMMYFUNCTION("""COMPUTED_VALUE"""),"TIP (6 Expts)")</f>
        <v>TIP (6 Expts)</v>
      </c>
      <c r="M173" s="26"/>
      <c r="N173" s="26"/>
      <c r="O173" s="26"/>
    </row>
    <row r="174" ht="13.2" spans="1:15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IFERROR(__xludf.DUMMYFUNCTION("""COMPUTED_VALUE"""),"CS3529")</f>
        <v>CS3529</v>
      </c>
      <c r="E174" s="26" t="str">
        <f>IFERROR(__xludf.DUMMYFUNCTION("""COMPUTED_VALUE"""),"19AI529")</f>
        <v>19AI529</v>
      </c>
      <c r="F174" s="27" t="str">
        <f>IFERROR(__xludf.DUMMYFUNCTION("""COMPUTED_VALUE"""),"Advanced Data Structures")</f>
        <v>Advanced Data Structures</v>
      </c>
      <c r="G174" s="26" t="str">
        <f>IFERROR(__xludf.DUMMYFUNCTION("""COMPUTED_VALUE"""),"19CS401")</f>
        <v>19CS401</v>
      </c>
      <c r="H174" s="26">
        <f>IFERROR(__xludf.DUMMYFUNCTION("""COMPUTED_VALUE"""),2)</f>
        <v>2</v>
      </c>
      <c r="I174" s="26">
        <f>IFERROR(__xludf.DUMMYFUNCTION("""COMPUTED_VALUE"""),1)</f>
        <v>1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IFERROR(__xludf.DUMMYFUNCTION("""COMPUTED_VALUE"""),"TIP (6 Expts)")</f>
        <v>TIP (6 Expts)</v>
      </c>
      <c r="M174" s="26"/>
      <c r="N174" s="26"/>
      <c r="O174" s="26"/>
    </row>
    <row r="175" ht="13.2" spans="1:15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IFERROR(__xludf.DUMMYFUNCTION("""COMPUTED_VALUE"""),"#N/A")</f>
        <v>#N/A</v>
      </c>
      <c r="E175" s="26" t="str">
        <f>IFERROR(__xludf.DUMMYFUNCTION("""COMPUTED_VALUE"""),"#N/A")</f>
        <v>#N/A</v>
      </c>
      <c r="F175" s="26" t="str">
        <f>IFERROR(__xludf.DUMMYFUNCTION("""COMPUTED_VALUE"""),"#N/A")</f>
        <v>#N/A</v>
      </c>
      <c r="G175" s="26" t="str">
        <f>IFERROR(__xludf.DUMMYFUNCTION("""COMPUTED_VALUE"""),"#N/A")</f>
        <v>#N/A</v>
      </c>
      <c r="H175" s="26" t="str">
        <f>IFERROR(__xludf.DUMMYFUNCTION("""COMPUTED_VALUE"""),"#N/A")</f>
        <v>#N/A</v>
      </c>
      <c r="I175" s="26" t="str">
        <f>IFERROR(__xludf.DUMMYFUNCTION("""COMPUTED_VALUE"""),"#N/A")</f>
        <v>#N/A</v>
      </c>
      <c r="J175" s="26" t="str">
        <f>IFERROR(__xludf.DUMMYFUNCTION("""COMPUTED_VALUE"""),"#N/A")</f>
        <v>#N/A</v>
      </c>
      <c r="K175" s="26" t="str">
        <f>IFERROR(__xludf.DUMMYFUNCTION("""COMPUTED_VALUE"""),"#N/A")</f>
        <v>#N/A</v>
      </c>
      <c r="L175" s="26" t="str">
        <f>IFERROR(__xludf.DUMMYFUNCTION("""COMPUTED_VALUE"""),"#N/A")</f>
        <v>#N/A</v>
      </c>
      <c r="M175" s="26"/>
      <c r="N175" s="26"/>
      <c r="O175" s="26"/>
    </row>
    <row r="176" ht="13.2" spans="1:15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IFERROR(__xludf.DUMMYFUNCTION("""COMPUTED_VALUE"""),"CS4516")</f>
        <v>CS4516</v>
      </c>
      <c r="E176" s="26" t="str">
        <f>IFERROR(__xludf.DUMMYFUNCTION("""COMPUTED_VALUE"""),"19AM516")</f>
        <v>19AM516</v>
      </c>
      <c r="F176" s="27" t="str">
        <f>IFERROR(__xludf.DUMMYFUNCTION("""COMPUTED_VALUE"""),"Python Programming for IoT")</f>
        <v>Python Programming for IoT</v>
      </c>
      <c r="G176" s="26" t="str">
        <f>IFERROR(__xludf.DUMMYFUNCTION("""COMPUTED_VALUE"""),"-")</f>
        <v>-</v>
      </c>
      <c r="H176" s="26">
        <f>IFERROR(__xludf.DUMMYFUNCTION("""COMPUTED_VALUE"""),3)</f>
        <v>3</v>
      </c>
      <c r="I176" s="26">
        <f>IFERROR(__xludf.DUMMYFUNCTION("""COMPUTED_VALUE"""),0)</f>
        <v>0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IFERROR(__xludf.DUMMYFUNCTION("""COMPUTED_VALUE"""),"Theory")</f>
        <v>Theory</v>
      </c>
      <c r="M176" s="26"/>
      <c r="N176" s="26"/>
      <c r="O176" s="26"/>
    </row>
    <row r="177" ht="13.2" spans="1:15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IFERROR(__xludf.DUMMYFUNCTION("""COMPUTED_VALUE"""),"CS4517")</f>
        <v>CS4517</v>
      </c>
      <c r="E177" s="26" t="str">
        <f>IFERROR(__xludf.DUMMYFUNCTION("""COMPUTED_VALUE"""),"19AM517")</f>
        <v>19AM517</v>
      </c>
      <c r="F177" s="27" t="str">
        <f>IFERROR(__xludf.DUMMYFUNCTION("""COMPUTED_VALUE"""),"Applications of IoT in Robotics")</f>
        <v>Applications of IoT in Robotics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</row>
    <row r="178" ht="13.2" spans="1:15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IFERROR(__xludf.DUMMYFUNCTION("""COMPUTED_VALUE"""),"CS4518")</f>
        <v>CS4518</v>
      </c>
      <c r="E178" s="26" t="str">
        <f>IFERROR(__xludf.DUMMYFUNCTION("""COMPUTED_VALUE"""),"19AM518")</f>
        <v>19AM518</v>
      </c>
      <c r="F178" s="27" t="str">
        <f>IFERROR(__xludf.DUMMYFUNCTION("""COMPUTED_VALUE"""),"Programming for IoT Boards")</f>
        <v>Programming for IoT Boards</v>
      </c>
      <c r="G178" s="26" t="str">
        <f>IFERROR(__xludf.DUMMYFUNCTION("""COMPUTED_VALUE"""),"-")</f>
        <v>-</v>
      </c>
      <c r="H178" s="26">
        <f>IFERROR(__xludf.DUMMYFUNCTION("""COMPUTED_VALUE"""),3)</f>
        <v>3</v>
      </c>
      <c r="I178" s="26">
        <f>IFERROR(__xludf.DUMMYFUNCTION("""COMPUTED_VALUE"""),0)</f>
        <v>0</v>
      </c>
      <c r="J178" s="26">
        <f>IFERROR(__xludf.DUMMYFUNCTION("""COMPUTED_VALUE"""),3)</f>
        <v>3</v>
      </c>
      <c r="K178" s="26" t="str">
        <f>IFERROR(__xludf.DUMMYFUNCTION("""COMPUTED_VALUE"""),"CGPA")</f>
        <v>CGPA</v>
      </c>
      <c r="L178" s="26" t="str">
        <f>IFERROR(__xludf.DUMMYFUNCTION("""COMPUTED_VALUE"""),"Theory")</f>
        <v>Theory</v>
      </c>
      <c r="M178" s="26"/>
      <c r="N178" s="26"/>
      <c r="O178" s="26"/>
    </row>
    <row r="179" ht="13.2" spans="1:15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IFERROR(__xludf.DUMMYFUNCTION("""COMPUTED_VALUE"""),"CS4519")</f>
        <v>CS4519</v>
      </c>
      <c r="E179" s="26" t="str">
        <f>IFERROR(__xludf.DUMMYFUNCTION("""COMPUTED_VALUE"""),"19AM519")</f>
        <v>19AM519</v>
      </c>
      <c r="F179" s="27" t="str">
        <f>IFERROR(__xludf.DUMMYFUNCTION("""COMPUTED_VALUE"""),"Design of Smart Cities")</f>
        <v>Design of Smart Cities</v>
      </c>
      <c r="G179" s="26" t="str">
        <f>IFERROR(__xludf.DUMMYFUNCTION("""COMPUTED_VALUE"""),"-")</f>
        <v>-</v>
      </c>
      <c r="H179" s="26">
        <f>IFERROR(__xludf.DUMMYFUNCTION("""COMPUTED_VALUE"""),3)</f>
        <v>3</v>
      </c>
      <c r="I179" s="26">
        <f>IFERROR(__xludf.DUMMYFUNCTION("""COMPUTED_VALUE"""),0)</f>
        <v>0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IFERROR(__xludf.DUMMYFUNCTION("""COMPUTED_VALUE"""),"Theory")</f>
        <v>Theory</v>
      </c>
      <c r="M179" s="26"/>
      <c r="N179" s="26"/>
      <c r="O179" s="26"/>
    </row>
    <row r="180" ht="13.2" spans="1:15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IFERROR(__xludf.DUMMYFUNCTION("""COMPUTED_VALUE"""),"CS4520")</f>
        <v>CS4520</v>
      </c>
      <c r="E180" s="26" t="str">
        <f>IFERROR(__xludf.DUMMYFUNCTION("""COMPUTED_VALUE"""),"19AM520")</f>
        <v>19AM520</v>
      </c>
      <c r="F180" s="27" t="str">
        <f>IFERROR(__xludf.DUMMYFUNCTION("""COMPUTED_VALUE"""),"IoT and Multimedia Technology")</f>
        <v>IoT and Multimedia Technology</v>
      </c>
      <c r="G180" s="26" t="str">
        <f>IFERROR(__xludf.DUMMYFUNCTION("""COMPUTED_VALUE"""),"-")</f>
        <v>-</v>
      </c>
      <c r="H180" s="26">
        <f>IFERROR(__xludf.DUMMYFUNCTION("""COMPUTED_VALUE"""),3)</f>
        <v>3</v>
      </c>
      <c r="I180" s="26">
        <f>IFERROR(__xludf.DUMMYFUNCTION("""COMPUTED_VALUE"""),0)</f>
        <v>0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IFERROR(__xludf.DUMMYFUNCTION("""COMPUTED_VALUE"""),"Theory")</f>
        <v>Theory</v>
      </c>
      <c r="M180" s="26"/>
      <c r="N180" s="26"/>
      <c r="O180" s="26"/>
    </row>
    <row r="181" ht="13.2" spans="1:15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IFERROR(__xludf.DUMMYFUNCTION("""COMPUTED_VALUE"""),"CS4521")</f>
        <v>CS4521</v>
      </c>
      <c r="E181" s="26" t="str">
        <f>IFERROR(__xludf.DUMMYFUNCTION("""COMPUTED_VALUE"""),"19AM521")</f>
        <v>19AM521</v>
      </c>
      <c r="F181" s="27" t="str">
        <f>IFERROR(__xludf.DUMMYFUNCTION("""COMPUTED_VALUE"""),"Mobile Application Development for IoT")</f>
        <v>Mobile Application Development for IoT</v>
      </c>
      <c r="G181" s="26" t="str">
        <f>IFERROR(__xludf.DUMMYFUNCTION("""COMPUTED_VALUE"""),"-")</f>
        <v>-</v>
      </c>
      <c r="H181" s="26">
        <f>IFERROR(__xludf.DUMMYFUNCTION("""COMPUTED_VALUE"""),3)</f>
        <v>3</v>
      </c>
      <c r="I181" s="26">
        <f>IFERROR(__xludf.DUMMYFUNCTION("""COMPUTED_VALUE"""),0)</f>
        <v>0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IFERROR(__xludf.DUMMYFUNCTION("""COMPUTED_VALUE"""),"Theory")</f>
        <v>Theory</v>
      </c>
      <c r="M181" s="26"/>
      <c r="N181" s="26"/>
      <c r="O181" s="26"/>
    </row>
    <row r="182" ht="13.2" spans="1:15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IFERROR(__xludf.DUMMYFUNCTION("""COMPUTED_VALUE"""),"CS4522")</f>
        <v>CS4522</v>
      </c>
      <c r="E182" s="26" t="str">
        <f>IFERROR(__xludf.DUMMYFUNCTION("""COMPUTED_VALUE"""),"19AM522")</f>
        <v>19AM522</v>
      </c>
      <c r="F182" s="27" t="str">
        <f>IFERROR(__xludf.DUMMYFUNCTION("""COMPUTED_VALUE"""),"Open Source Programming for IoT")</f>
        <v>Open Source Programming for IoT</v>
      </c>
      <c r="G182" s="26" t="str">
        <f>IFERROR(__xludf.DUMMYFUNCTION("""COMPUTED_VALUE"""),"-")</f>
        <v>-</v>
      </c>
      <c r="H182" s="26">
        <f>IFERROR(__xludf.DUMMYFUNCTION("""COMPUTED_VALUE"""),3)</f>
        <v>3</v>
      </c>
      <c r="I182" s="26">
        <f>IFERROR(__xludf.DUMMYFUNCTION("""COMPUTED_VALUE"""),0)</f>
        <v>0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IFERROR(__xludf.DUMMYFUNCTION("""COMPUTED_VALUE"""),"Theory")</f>
        <v>Theory</v>
      </c>
      <c r="M182" s="26"/>
      <c r="N182" s="26"/>
      <c r="O182" s="26"/>
    </row>
    <row r="183" ht="13.2" spans="1:15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IFERROR(__xludf.DUMMYFUNCTION("""COMPUTED_VALUE"""),"NA")</f>
        <v>NA</v>
      </c>
      <c r="E183" s="26" t="str">
        <f>IFERROR(__xludf.DUMMYFUNCTION("""COMPUTED_VALUE"""),"19CS301")</f>
        <v>19CS301</v>
      </c>
      <c r="F183" s="27" t="str">
        <f>IFERROR(__xludf.DUMMYFUNCTION("""COMPUTED_VALUE"""),"Problem Solving and Python Programming")</f>
        <v>Problem Solving and Python Programming</v>
      </c>
      <c r="G183" s="26" t="str">
        <f>IFERROR(__xludf.DUMMYFUNCTION("""COMPUTED_VALUE"""),"-")</f>
        <v>-</v>
      </c>
      <c r="H183" s="26">
        <f>IFERROR(__xludf.DUMMYFUNCTION("""COMPUTED_VALUE"""),3)</f>
        <v>3</v>
      </c>
      <c r="I183" s="26">
        <f>IFERROR(__xludf.DUMMYFUNCTION("""COMPUTED_VALUE"""),1)</f>
        <v>1</v>
      </c>
      <c r="J183" s="26">
        <f>IFERROR(__xludf.DUMMYFUNCTION("""COMPUTED_VALUE"""),4)</f>
        <v>4</v>
      </c>
      <c r="K183" s="26" t="str">
        <f>IFERROR(__xludf.DUMMYFUNCTION("""COMPUTED_VALUE"""),"CGPA")</f>
        <v>CGPA</v>
      </c>
      <c r="L183" s="26" t="str">
        <f>IFERROR(__xludf.DUMMYFUNCTION("""COMPUTED_VALUE"""),"TIP (6 Expts)")</f>
        <v>TIP (6 Expts)</v>
      </c>
      <c r="M183" s="26"/>
      <c r="N183" s="26"/>
      <c r="O183" s="26"/>
    </row>
    <row r="184" ht="13.2" spans="1:15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IFERROR(__xludf.DUMMYFUNCTION("""COMPUTED_VALUE"""),"NA")</f>
        <v>NA</v>
      </c>
      <c r="E184" s="26" t="str">
        <f>IFERROR(__xludf.DUMMYFUNCTION("""COMPUTED_VALUE"""),"19CS302")</f>
        <v>19CS302</v>
      </c>
      <c r="F184" s="27" t="str">
        <f>IFERROR(__xludf.DUMMYFUNCTION("""COMPUTED_VALUE"""),"Programming in C")</f>
        <v>Programming in C</v>
      </c>
      <c r="G184" s="26" t="str">
        <f>IFERROR(__xludf.DUMMYFUNCTION("""COMPUTED_VALUE"""),"-")</f>
        <v>-</v>
      </c>
      <c r="H184" s="26">
        <f>IFERROR(__xludf.DUMMYFUNCTION("""COMPUTED_VALUE"""),2)</f>
        <v>2</v>
      </c>
      <c r="I184" s="26">
        <f>IFERROR(__xludf.DUMMYFUNCTION("""COMPUTED_VALUE"""),2)</f>
        <v>2</v>
      </c>
      <c r="J184" s="26">
        <f>IFERROR(__xludf.DUMMYFUNCTION("""COMPUTED_VALUE"""),4)</f>
        <v>4</v>
      </c>
      <c r="K184" s="26" t="str">
        <f>IFERROR(__xludf.DUMMYFUNCTION("""COMPUTED_VALUE"""),"CGPA")</f>
        <v>CGPA</v>
      </c>
      <c r="L184" s="26" t="str">
        <f>IFERROR(__xludf.DUMMYFUNCTION("""COMPUTED_VALUE"""),"TIP (10 Expts)")</f>
        <v>TIP (10 Expts)</v>
      </c>
      <c r="M184" s="26"/>
      <c r="N184" s="26"/>
      <c r="O184" s="26"/>
    </row>
    <row r="185" ht="13.2" spans="1:15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IFERROR(__xludf.DUMMYFUNCTION("""COMPUTED_VALUE"""),"NA")</f>
        <v>NA</v>
      </c>
      <c r="E185" s="26" t="str">
        <f>IFERROR(__xludf.DUMMYFUNCTION("""COMPUTED_VALUE"""),"19CS308")</f>
        <v>19CS308</v>
      </c>
      <c r="F185" s="27" t="str">
        <f>IFERROR(__xludf.DUMMYFUNCTION("""COMPUTED_VALUE"""),"Software Testing Laboratory")</f>
        <v>Software Testing Laboratory</v>
      </c>
      <c r="G185" s="26" t="str">
        <f>IFERROR(__xludf.DUMMYFUNCTION("""COMPUTED_VALUE"""),"19CS410/19AI401")</f>
        <v>19CS410/19AI401</v>
      </c>
      <c r="H185" s="26">
        <f>IFERROR(__xludf.DUMMYFUNCTION("""COMPUTED_VALUE"""),0)</f>
        <v>0</v>
      </c>
      <c r="I185" s="26">
        <f>IFERROR(__xludf.DUMMYFUNCTION("""COMPUTED_VALUE"""),2)</f>
        <v>2</v>
      </c>
      <c r="J185" s="26">
        <f>IFERROR(__xludf.DUMMYFUNCTION("""COMPUTED_VALUE"""),2)</f>
        <v>2</v>
      </c>
      <c r="K185" s="26" t="str">
        <f>IFERROR(__xludf.DUMMYFUNCTION("""COMPUTED_VALUE"""),"CGPA")</f>
        <v>CGPA</v>
      </c>
      <c r="L185" s="26" t="str">
        <f>IFERROR(__xludf.DUMMYFUNCTION("""COMPUTED_VALUE"""),"Practical (10 Expts)")</f>
        <v>Practical (10 Expts)</v>
      </c>
      <c r="M185" s="26"/>
      <c r="N185" s="26"/>
      <c r="O185" s="26"/>
    </row>
    <row r="186" ht="13.2" spans="1:15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IFERROR(__xludf.DUMMYFUNCTION("""COMPUTED_VALUE"""),"NA")</f>
        <v>NA</v>
      </c>
      <c r="E186" s="26" t="str">
        <f>IFERROR(__xludf.DUMMYFUNCTION("""COMPUTED_VALUE"""),"19CS402")</f>
        <v>19CS402</v>
      </c>
      <c r="F186" s="27" t="str">
        <f>IFERROR(__xludf.DUMMYFUNCTION("""COMPUTED_VALUE"""),"Design and Analysis of Algorithms")</f>
        <v>Design and Analysis of Algorithms</v>
      </c>
      <c r="G186" s="26" t="str">
        <f>IFERROR(__xludf.DUMMYFUNCTION("""COMPUTED_VALUE"""),"19CS401")</f>
        <v>19CS401</v>
      </c>
      <c r="H186" s="26">
        <f>IFERROR(__xludf.DUMMYFUNCTION("""COMPUTED_VALUE"""),3)</f>
        <v>3</v>
      </c>
      <c r="I186" s="26">
        <f>IFERROR(__xludf.DUMMYFUNCTION("""COMPUTED_VALUE"""),0)</f>
        <v>0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IFERROR(__xludf.DUMMYFUNCTION("""COMPUTED_VALUE"""),"Theory")</f>
        <v>Theory</v>
      </c>
      <c r="M186" s="26"/>
      <c r="N186" s="26"/>
      <c r="O186" s="26"/>
    </row>
    <row r="187" ht="13.2" spans="1:15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IFERROR(__xludf.DUMMYFUNCTION("""COMPUTED_VALUE"""),"NA")</f>
        <v>NA</v>
      </c>
      <c r="E187" s="26" t="str">
        <f>IFERROR(__xludf.DUMMYFUNCTION("""COMPUTED_VALUE"""),"19CS403")</f>
        <v>19CS403</v>
      </c>
      <c r="F187" s="27" t="str">
        <f>IFERROR(__xludf.DUMMYFUNCTION("""COMPUTED_VALUE"""),"Programming Paradigms")</f>
        <v>Programming Paradigms</v>
      </c>
      <c r="G187" s="26" t="str">
        <f>IFERROR(__xludf.DUMMYFUNCTION("""COMPUTED_VALUE"""),"19CS401")</f>
        <v>19CS401</v>
      </c>
      <c r="H187" s="26">
        <f>IFERROR(__xludf.DUMMYFUNCTION("""COMPUTED_VALUE"""),3)</f>
        <v>3</v>
      </c>
      <c r="I187" s="26">
        <f>IFERROR(__xludf.DUMMYFUNCTION("""COMPUTED_VALUE"""),1)</f>
        <v>1</v>
      </c>
      <c r="J187" s="26">
        <f>IFERROR(__xludf.DUMMYFUNCTION("""COMPUTED_VALUE"""),4)</f>
        <v>4</v>
      </c>
      <c r="K187" s="26" t="str">
        <f>IFERROR(__xludf.DUMMYFUNCTION("""COMPUTED_VALUE"""),"CGPA")</f>
        <v>CGPA</v>
      </c>
      <c r="L187" s="26" t="str">
        <f>IFERROR(__xludf.DUMMYFUNCTION("""COMPUTED_VALUE"""),"TIP (6 Expts)")</f>
        <v>TIP (6 Expts)</v>
      </c>
      <c r="M187" s="26"/>
      <c r="N187" s="26"/>
      <c r="O187" s="26"/>
    </row>
    <row r="188" ht="13.2" spans="1:15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IFERROR(__xludf.DUMMYFUNCTION("""COMPUTED_VALUE"""),"NA")</f>
        <v>NA</v>
      </c>
      <c r="E188" s="26" t="str">
        <f>IFERROR(__xludf.DUMMYFUNCTION("""COMPUTED_VALUE"""),"19CS410")</f>
        <v>19CS410</v>
      </c>
      <c r="F188" s="27" t="str">
        <f>IFERROR(__xludf.DUMMYFUNCTION("""COMPUTED_VALUE"""),"Web Programming")</f>
        <v>Web Programming</v>
      </c>
      <c r="G188" s="26" t="str">
        <f>IFERROR(__xludf.DUMMYFUNCTION("""COMPUTED_VALUE"""),"-")</f>
        <v>-</v>
      </c>
      <c r="H188" s="26">
        <f>IFERROR(__xludf.DUMMYFUNCTION("""COMPUTED_VALUE"""),3)</f>
        <v>3</v>
      </c>
      <c r="I188" s="26">
        <f>IFERROR(__xludf.DUMMYFUNCTION("""COMPUTED_VALUE"""),1)</f>
        <v>1</v>
      </c>
      <c r="J188" s="26">
        <f>IFERROR(__xludf.DUMMYFUNCTION("""COMPUTED_VALUE"""),4)</f>
        <v>4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</row>
    <row r="189" ht="13.2" spans="1:15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IFERROR(__xludf.DUMMYFUNCTION("""COMPUTED_VALUE"""),"CS1565")</f>
        <v>CS1565</v>
      </c>
      <c r="E189" s="26" t="str">
        <f>IFERROR(__xludf.DUMMYFUNCTION("""COMPUTED_VALUE"""),"19CS565")</f>
        <v>19CS565</v>
      </c>
      <c r="F189" s="27" t="str">
        <f>IFERROR(__xludf.DUMMYFUNCTION("""COMPUTED_VALUE"""),"Robotic Process Automation")</f>
        <v>Robotic Process Automation</v>
      </c>
      <c r="G189" s="26" t="str">
        <f>IFERROR(__xludf.DUMMYFUNCTION("""COMPUTED_VALUE"""),"-")</f>
        <v>-</v>
      </c>
      <c r="H189" s="26">
        <f>IFERROR(__xludf.DUMMYFUNCTION("""COMPUTED_VALUE"""),2)</f>
        <v>2</v>
      </c>
      <c r="I189" s="26">
        <f>IFERROR(__xludf.DUMMYFUNCTION("""COMPUTED_VALUE"""),1)</f>
        <v>1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IFERROR(__xludf.DUMMYFUNCTION("""COMPUTED_VALUE"""),"TIP (6 Expts)")</f>
        <v>TIP (6 Expts)</v>
      </c>
      <c r="M189" s="26"/>
      <c r="N189" s="26"/>
      <c r="O189" s="26"/>
    </row>
    <row r="190" ht="13.2" spans="1:15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IFERROR(__xludf.DUMMYFUNCTION("""COMPUTED_VALUE"""),"CS1566")</f>
        <v>CS1566</v>
      </c>
      <c r="E190" s="26" t="str">
        <f>IFERROR(__xludf.DUMMYFUNCTION("""COMPUTED_VALUE"""),"19CS566")</f>
        <v>19CS566</v>
      </c>
      <c r="F190" s="27" t="str">
        <f>IFERROR(__xludf.DUMMYFUNCTION("""COMPUTED_VALUE"""),"Software Project Management and Version Control")</f>
        <v>Software Project Management and Version Control</v>
      </c>
      <c r="G190" s="26" t="str">
        <f>IFERROR(__xludf.DUMMYFUNCTION("""COMPUTED_VALUE"""),"-")</f>
        <v>-</v>
      </c>
      <c r="H190" s="26">
        <f>IFERROR(__xludf.DUMMYFUNCTION("""COMPUTED_VALUE"""),3)</f>
        <v>3</v>
      </c>
      <c r="I190" s="26">
        <f>IFERROR(__xludf.DUMMYFUNCTION("""COMPUTED_VALUE"""),0)</f>
        <v>0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IFERROR(__xludf.DUMMYFUNCTION("""COMPUTED_VALUE"""),"Theory")</f>
        <v>Theory</v>
      </c>
      <c r="M190" s="26"/>
      <c r="N190" s="26"/>
      <c r="O190" s="26"/>
    </row>
    <row r="191" ht="13.2" spans="1:15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IFERROR(__xludf.DUMMYFUNCTION("""COMPUTED_VALUE"""),"CS1579")</f>
        <v>CS1579</v>
      </c>
      <c r="E191" s="26" t="str">
        <f>IFERROR(__xludf.DUMMYFUNCTION("""COMPUTED_VALUE"""),"19CS579")</f>
        <v>19CS579</v>
      </c>
      <c r="F191" s="27" t="str">
        <f>IFERROR(__xludf.DUMMYFUNCTION("""COMPUTED_VALUE"""),"Generative AI Application Development")</f>
        <v>Generative AI Application Development</v>
      </c>
      <c r="G191" s="26" t="str">
        <f>IFERROR(__xludf.DUMMYFUNCTION("""COMPUTED_VALUE"""),"-")</f>
        <v>-</v>
      </c>
      <c r="H191" s="26">
        <f>IFERROR(__xludf.DUMMYFUNCTION("""COMPUTED_VALUE"""),2)</f>
        <v>2</v>
      </c>
      <c r="I191" s="26">
        <f>IFERROR(__xludf.DUMMYFUNCTION("""COMPUTED_VALUE"""),1)</f>
        <v>1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IFERROR(__xludf.DUMMYFUNCTION("""COMPUTED_VALUE"""),"TIP (6 Expts)")</f>
        <v>TIP (6 Expts)</v>
      </c>
      <c r="M191" s="26"/>
      <c r="N191" s="26"/>
      <c r="O191" s="26"/>
    </row>
    <row r="192" ht="13.2" spans="1:15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IFERROR(__xludf.DUMMYFUNCTION("""COMPUTED_VALUE"""),"CS1568")</f>
        <v>CS1568</v>
      </c>
      <c r="E192" s="26" t="str">
        <f>IFERROR(__xludf.DUMMYFUNCTION("""COMPUTED_VALUE"""),"19CS568")</f>
        <v>19CS568</v>
      </c>
      <c r="F192" s="27" t="str">
        <f>IFERROR(__xludf.DUMMYFUNCTION("""COMPUTED_VALUE"""),"Fine Tuning Large Language Models")</f>
        <v>Fine Tuning Large Language Models</v>
      </c>
      <c r="G192" s="26" t="str">
        <f>IFERROR(__xludf.DUMMYFUNCTION("""COMPUTED_VALUE"""),"-")</f>
        <v>-</v>
      </c>
      <c r="H192" s="26">
        <f>IFERROR(__xludf.DUMMYFUNCTION("""COMPUTED_VALUE"""),3)</f>
        <v>3</v>
      </c>
      <c r="I192" s="26">
        <f>IFERROR(__xludf.DUMMYFUNCTION("""COMPUTED_VALUE"""),0)</f>
        <v>0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IFERROR(__xludf.DUMMYFUNCTION("""COMPUTED_VALUE"""),"Theory")</f>
        <v>Theory</v>
      </c>
      <c r="M192" s="26"/>
      <c r="N192" s="26"/>
      <c r="O192" s="26"/>
    </row>
    <row r="193" ht="13.2" spans="1:15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IFERROR(__xludf.DUMMYFUNCTION("""COMPUTED_VALUE"""),"CS1569")</f>
        <v>CS1569</v>
      </c>
      <c r="E193" s="26" t="str">
        <f>IFERROR(__xludf.DUMMYFUNCTION("""COMPUTED_VALUE"""),"19CS569")</f>
        <v>19CS569</v>
      </c>
      <c r="F193" s="27" t="str">
        <f>IFERROR(__xludf.DUMMYFUNCTION("""COMPUTED_VALUE"""),"Applied Data Science")</f>
        <v>Applied Data Science</v>
      </c>
      <c r="G193" s="26" t="str">
        <f>IFERROR(__xludf.DUMMYFUNCTION("""COMPUTED_VALUE"""),"-")</f>
        <v>-</v>
      </c>
      <c r="H193" s="26">
        <f>IFERROR(__xludf.DUMMYFUNCTION("""COMPUTED_VALUE"""),2)</f>
        <v>2</v>
      </c>
      <c r="I193" s="26">
        <f>IFERROR(__xludf.DUMMYFUNCTION("""COMPUTED_VALUE"""),1)</f>
        <v>1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</row>
    <row r="194" ht="13.2" spans="1:15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IFERROR(__xludf.DUMMYFUNCTION("""COMPUTED_VALUE"""),"CS1570")</f>
        <v>CS1570</v>
      </c>
      <c r="E194" s="26" t="str">
        <f>IFERROR(__xludf.DUMMYFUNCTION("""COMPUTED_VALUE"""),"19CS570")</f>
        <v>19CS570</v>
      </c>
      <c r="F194" s="27" t="str">
        <f>IFERROR(__xludf.DUMMYFUNCTION("""COMPUTED_VALUE"""),"Entrepreneurship and Small Business Development")</f>
        <v>Entrepreneurship and Small Business Development</v>
      </c>
      <c r="G194" s="26" t="str">
        <f>IFERROR(__xludf.DUMMYFUNCTION("""COMPUTED_VALUE"""),"-")</f>
        <v>-</v>
      </c>
      <c r="H194" s="26">
        <f>IFERROR(__xludf.DUMMYFUNCTION("""COMPUTED_VALUE"""),2)</f>
        <v>2</v>
      </c>
      <c r="I194" s="26">
        <f>IFERROR(__xludf.DUMMYFUNCTION("""COMPUTED_VALUE"""),1)</f>
        <v>1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</row>
    <row r="195" ht="13.2" spans="1:15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IFERROR(__xludf.DUMMYFUNCTION("""COMPUTED_VALUE"""),"CS1571")</f>
        <v>CS1571</v>
      </c>
      <c r="E195" s="26" t="str">
        <f>IFERROR(__xludf.DUMMYFUNCTION("""COMPUTED_VALUE"""),"19CS571")</f>
        <v>19CS571</v>
      </c>
      <c r="F195" s="27" t="str">
        <f>IFERROR(__xludf.DUMMYFUNCTION("""COMPUTED_VALUE"""),"Software Development and Operations")</f>
        <v>Software Development and Operations</v>
      </c>
      <c r="G195" s="26" t="str">
        <f>IFERROR(__xludf.DUMMYFUNCTION("""COMPUTED_VALUE"""),"-")</f>
        <v>-</v>
      </c>
      <c r="H195" s="26">
        <f>IFERROR(__xludf.DUMMYFUNCTION("""COMPUTED_VALUE"""),3)</f>
        <v>3</v>
      </c>
      <c r="I195" s="26">
        <f>IFERROR(__xludf.DUMMYFUNCTION("""COMPUTED_VALUE"""),0)</f>
        <v>0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IFERROR(__xludf.DUMMYFUNCTION("""COMPUTED_VALUE"""),"Theory")</f>
        <v>Theory</v>
      </c>
      <c r="M195" s="26"/>
      <c r="N195" s="26"/>
      <c r="O195" s="26"/>
    </row>
    <row r="196" ht="13.2" spans="1:15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IFERROR(__xludf.DUMMYFUNCTION("""COMPUTED_VALUE"""),"CS1572")</f>
        <v>CS1572</v>
      </c>
      <c r="E196" s="26" t="str">
        <f>IFERROR(__xludf.DUMMYFUNCTION("""COMPUTED_VALUE"""),"19CS572")</f>
        <v>19CS572</v>
      </c>
      <c r="F196" s="27" t="str">
        <f>IFERROR(__xludf.DUMMYFUNCTION("""COMPUTED_VALUE"""),"Serverless App Development")</f>
        <v>Serverless App Development</v>
      </c>
      <c r="G196" s="26" t="str">
        <f>IFERROR(__xludf.DUMMYFUNCTION("""COMPUTED_VALUE"""),"-")</f>
        <v>-</v>
      </c>
      <c r="H196" s="26">
        <f>IFERROR(__xludf.DUMMYFUNCTION("""COMPUTED_VALUE"""),3)</f>
        <v>3</v>
      </c>
      <c r="I196" s="26">
        <f>IFERROR(__xludf.DUMMYFUNCTION("""COMPUTED_VALUE"""),0)</f>
        <v>0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IFERROR(__xludf.DUMMYFUNCTION("""COMPUTED_VALUE"""),"Theory")</f>
        <v>Theory</v>
      </c>
      <c r="M196" s="26"/>
      <c r="N196" s="26"/>
      <c r="O196" s="26"/>
    </row>
    <row r="197" ht="13.2" spans="1:15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IFERROR(__xludf.DUMMYFUNCTION("""COMPUTED_VALUE"""),"CS1573")</f>
        <v>CS1573</v>
      </c>
      <c r="E197" s="26" t="str">
        <f>IFERROR(__xludf.DUMMYFUNCTION("""COMPUTED_VALUE"""),"19CS573")</f>
        <v>19CS573</v>
      </c>
      <c r="F197" s="27" t="str">
        <f>IFERROR(__xludf.DUMMYFUNCTION("""COMPUTED_VALUE"""),"Enterprise Cloud Architecture")</f>
        <v>Enterprise Cloud Architecture</v>
      </c>
      <c r="G197" s="26" t="str">
        <f>IFERROR(__xludf.DUMMYFUNCTION("""COMPUTED_VALUE"""),"-")</f>
        <v>-</v>
      </c>
      <c r="H197" s="26">
        <f>IFERROR(__xludf.DUMMYFUNCTION("""COMPUTED_VALUE"""),3)</f>
        <v>3</v>
      </c>
      <c r="I197" s="26">
        <f>IFERROR(__xludf.DUMMYFUNCTION("""COMPUTED_VALUE"""),0)</f>
        <v>0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IFERROR(__xludf.DUMMYFUNCTION("""COMPUTED_VALUE"""),"Theory")</f>
        <v>Theory</v>
      </c>
      <c r="M197" s="26"/>
      <c r="N197" s="26"/>
      <c r="O197" s="26"/>
    </row>
    <row r="198" ht="13.2" spans="1:15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IFERROR(__xludf.DUMMYFUNCTION("""COMPUTED_VALUE"""),"CS1574")</f>
        <v>CS1574</v>
      </c>
      <c r="E198" s="26" t="str">
        <f>IFERROR(__xludf.DUMMYFUNCTION("""COMPUTED_VALUE"""),"19CS574")</f>
        <v>19CS574</v>
      </c>
      <c r="F198" s="27" t="str">
        <f>IFERROR(__xludf.DUMMYFUNCTION("""COMPUTED_VALUE"""),"Advanced Class Design and Object-Oriented Techniques")</f>
        <v>Advanced Class Design and Object-Oriented Techniques</v>
      </c>
      <c r="G198" s="26" t="str">
        <f>IFERROR(__xludf.DUMMYFUNCTION("""COMPUTED_VALUE"""),"-")</f>
        <v>-</v>
      </c>
      <c r="H198" s="26">
        <f>IFERROR(__xludf.DUMMYFUNCTION("""COMPUTED_VALUE"""),3)</f>
        <v>3</v>
      </c>
      <c r="I198" s="26">
        <f>IFERROR(__xludf.DUMMYFUNCTION("""COMPUTED_VALUE"""),0)</f>
        <v>0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IFERROR(__xludf.DUMMYFUNCTION("""COMPUTED_VALUE"""),"Theory")</f>
        <v>Theory</v>
      </c>
      <c r="M198" s="26"/>
      <c r="N198" s="26"/>
      <c r="O198" s="26"/>
    </row>
    <row r="199" ht="13.2" spans="1:15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IFERROR(__xludf.DUMMYFUNCTION("""COMPUTED_VALUE"""),"CS1575")</f>
        <v>CS1575</v>
      </c>
      <c r="E199" s="26" t="str">
        <f>IFERROR(__xludf.DUMMYFUNCTION("""COMPUTED_VALUE"""),"19CS575")</f>
        <v>19CS575</v>
      </c>
      <c r="F199" s="27" t="str">
        <f>IFERROR(__xludf.DUMMYFUNCTION("""COMPUTED_VALUE"""),"Low-Code App Development")</f>
        <v>Low-Code App Development</v>
      </c>
      <c r="G199" s="26" t="str">
        <f>IFERROR(__xludf.DUMMYFUNCTION("""COMPUTED_VALUE"""),"-")</f>
        <v>-</v>
      </c>
      <c r="H199" s="26">
        <f>IFERROR(__xludf.DUMMYFUNCTION("""COMPUTED_VALUE"""),3)</f>
        <v>3</v>
      </c>
      <c r="I199" s="26">
        <f>IFERROR(__xludf.DUMMYFUNCTION("""COMPUTED_VALUE"""),0)</f>
        <v>0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IFERROR(__xludf.DUMMYFUNCTION("""COMPUTED_VALUE"""),"Theory")</f>
        <v>Theory</v>
      </c>
      <c r="M199" s="26"/>
      <c r="N199" s="26"/>
      <c r="O199" s="26"/>
    </row>
    <row r="200" ht="13.2" spans="1:15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IFERROR(__xludf.DUMMYFUNCTION("""COMPUTED_VALUE"""),"CS1577")</f>
        <v>CS1577</v>
      </c>
      <c r="E200" s="26" t="str">
        <f>IFERROR(__xludf.DUMMYFUNCTION("""COMPUTED_VALUE"""),"19CS577")</f>
        <v>19CS577</v>
      </c>
      <c r="F200" s="27" t="str">
        <f>IFERROR(__xludf.DUMMYFUNCTION("""COMPUTED_VALUE"""),"Cloud System Administration")</f>
        <v>Cloud System Administration</v>
      </c>
      <c r="G200" s="26" t="str">
        <f>IFERROR(__xludf.DUMMYFUNCTION("""COMPUTED_VALUE"""),"-")</f>
        <v>-</v>
      </c>
      <c r="H200" s="26">
        <f>IFERROR(__xludf.DUMMYFUNCTION("""COMPUTED_VALUE"""),3)</f>
        <v>3</v>
      </c>
      <c r="I200" s="26">
        <f>IFERROR(__xludf.DUMMYFUNCTION("""COMPUTED_VALUE"""),0)</f>
        <v>0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IFERROR(__xludf.DUMMYFUNCTION("""COMPUTED_VALUE"""),"Theory")</f>
        <v>Theory</v>
      </c>
      <c r="M200" s="26"/>
      <c r="N200" s="26"/>
      <c r="O200" s="26"/>
    </row>
    <row r="201" ht="13.2" spans="1:15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IFERROR(__xludf.DUMMYFUNCTION("""COMPUTED_VALUE"""),"CS1578")</f>
        <v>CS1578</v>
      </c>
      <c r="E201" s="26" t="str">
        <f>IFERROR(__xludf.DUMMYFUNCTION("""COMPUTED_VALUE"""),"19CS578")</f>
        <v>19CS578</v>
      </c>
      <c r="F201" s="27" t="str">
        <f>IFERROR(__xludf.DUMMYFUNCTION("""COMPUTED_VALUE"""),"Machine Learning Operations")</f>
        <v>Machine Learning Operations</v>
      </c>
      <c r="G201" s="26" t="str">
        <f>IFERROR(__xludf.DUMMYFUNCTION("""COMPUTED_VALUE"""),"-")</f>
        <v>-</v>
      </c>
      <c r="H201" s="26">
        <f>IFERROR(__xludf.DUMMYFUNCTION("""COMPUTED_VALUE"""),3)</f>
        <v>3</v>
      </c>
      <c r="I201" s="26">
        <f>IFERROR(__xludf.DUMMYFUNCTION("""COMPUTED_VALUE"""),0)</f>
        <v>0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IFERROR(__xludf.DUMMYFUNCTION("""COMPUTED_VALUE"""),"Theory")</f>
        <v>Theory</v>
      </c>
      <c r="M201" s="26"/>
      <c r="N201" s="26"/>
      <c r="O201" s="26"/>
    </row>
    <row r="202" ht="13.2" spans="1:15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IFERROR(__xludf.DUMMYFUNCTION("""COMPUTED_VALUE"""),"NA")</f>
        <v>NA</v>
      </c>
      <c r="E202" s="26" t="str">
        <f>IFERROR(__xludf.DUMMYFUNCTION("""COMPUTED_VALUE"""),"19CS411")</f>
        <v>19CS411</v>
      </c>
      <c r="F202" s="27" t="str">
        <f>IFERROR(__xludf.DUMMYFUNCTION("""COMPUTED_VALUE"""),"Virtualization and Cloud Computing")</f>
        <v>Virtualization and Cloud Computing</v>
      </c>
      <c r="G202" s="26" t="str">
        <f>IFERROR(__xludf.DUMMYFUNCTION("""COMPUTED_VALUE"""),"19CS406")</f>
        <v>19CS406</v>
      </c>
      <c r="H202" s="26">
        <f>IFERROR(__xludf.DUMMYFUNCTION("""COMPUTED_VALUE"""),3)</f>
        <v>3</v>
      </c>
      <c r="I202" s="26">
        <f>IFERROR(__xludf.DUMMYFUNCTION("""COMPUTED_VALUE"""),1)</f>
        <v>1</v>
      </c>
      <c r="J202" s="26">
        <f>IFERROR(__xludf.DUMMYFUNCTION("""COMPUTED_VALUE"""),4)</f>
        <v>4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</row>
    <row r="203" ht="13.2" spans="1:15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IFERROR(__xludf.DUMMYFUNCTION("""COMPUTED_VALUE"""),"NA")</f>
        <v>NA</v>
      </c>
      <c r="E203" s="26" t="str">
        <f>IFERROR(__xludf.DUMMYFUNCTION("""COMPUTED_VALUE"""),"19CS412")</f>
        <v>19CS412</v>
      </c>
      <c r="F203" s="27" t="str">
        <f>IFERROR(__xludf.DUMMYFUNCTION("""COMPUTED_VALUE"""),"Cryptography and Network Security")</f>
        <v>Cryptography and Network Security</v>
      </c>
      <c r="G203" s="26" t="str">
        <f>IFERROR(__xludf.DUMMYFUNCTION("""COMPUTED_VALUE"""),"19CS406")</f>
        <v>19CS406</v>
      </c>
      <c r="H203" s="26">
        <f>IFERROR(__xludf.DUMMYFUNCTION("""COMPUTED_VALUE"""),3)</f>
        <v>3</v>
      </c>
      <c r="I203" s="26">
        <f>IFERROR(__xludf.DUMMYFUNCTION("""COMPUTED_VALUE"""),1)</f>
        <v>1</v>
      </c>
      <c r="J203" s="26">
        <f>IFERROR(__xludf.DUMMYFUNCTION("""COMPUTED_VALUE"""),4)</f>
        <v>4</v>
      </c>
      <c r="K203" s="26" t="str">
        <f>IFERROR(__xludf.DUMMYFUNCTION("""COMPUTED_VALUE"""),"CGPA")</f>
        <v>CGPA</v>
      </c>
      <c r="L203" s="26" t="str">
        <f>IFERROR(__xludf.DUMMYFUNCTION("""COMPUTED_VALUE"""),"TIP (6 Expts)")</f>
        <v>TIP (6 Expts)</v>
      </c>
      <c r="M203" s="26"/>
      <c r="N203" s="26"/>
      <c r="O203" s="26"/>
    </row>
    <row r="204" ht="13.2" spans="1:15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IFERROR(__xludf.DUMMYFUNCTION("""COMPUTED_VALUE"""),"CS1416")</f>
        <v>CS1416</v>
      </c>
      <c r="E204" s="26" t="str">
        <f>IFERROR(__xludf.DUMMYFUNCTION("""COMPUTED_VALUE"""),"19CS416")</f>
        <v>19CS416</v>
      </c>
      <c r="F204" s="27" t="str">
        <f>IFERROR(__xludf.DUMMYFUNCTION("""COMPUTED_VALUE"""),"Cloud Security")</f>
        <v>Cloud Security</v>
      </c>
      <c r="G204" s="26" t="str">
        <f>IFERROR(__xludf.DUMMYFUNCTION("""COMPUTED_VALUE"""),"-")</f>
        <v>-</v>
      </c>
      <c r="H204" s="26">
        <f>IFERROR(__xludf.DUMMYFUNCTION("""COMPUTED_VALUE"""),2)</f>
        <v>2</v>
      </c>
      <c r="I204" s="26">
        <f>IFERROR(__xludf.DUMMYFUNCTION("""COMPUTED_VALUE"""),1)</f>
        <v>1</v>
      </c>
      <c r="J204" s="26">
        <f>IFERROR(__xludf.DUMMYFUNCTION("""COMPUTED_VALUE"""),3)</f>
        <v>3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</row>
    <row r="205" ht="13.2" spans="1:15">
      <c r="A205" s="26">
        <f>IFERROR(__xludf.DUMMYFUNCTION("""COMPUTED_VALUE"""),203)</f>
        <v>203</v>
      </c>
      <c r="B205" s="26"/>
      <c r="C205" s="26" t="str">
        <f>IFERROR(__xludf.DUMMYFUNCTION("""COMPUTED_VALUE"""),"PE")</f>
        <v>PE</v>
      </c>
      <c r="D205" s="26" t="str">
        <f>IFERROR(__xludf.DUMMYFUNCTION("""COMPUTED_VALUE"""),"CS1419")</f>
        <v>CS1419</v>
      </c>
      <c r="E205" s="26" t="str">
        <f>IFERROR(__xludf.DUMMYFUNCTION("""COMPUTED_VALUE"""),"19CS419")</f>
        <v>19CS419</v>
      </c>
      <c r="F205" s="27" t="str">
        <f>IFERROR(__xludf.DUMMYFUNCTION("""COMPUTED_VALUE"""),"Digital Forensics and Digital Investigations")</f>
        <v>Digital Forensics and Digital Investigations</v>
      </c>
      <c r="G205" s="26" t="str">
        <f>IFERROR(__xludf.DUMMYFUNCTION("""COMPUTED_VALUE"""),"-")</f>
        <v>-</v>
      </c>
      <c r="H205" s="26">
        <f>IFERROR(__xludf.DUMMYFUNCTION("""COMPUTED_VALUE"""),2)</f>
        <v>2</v>
      </c>
      <c r="I205" s="26">
        <f>IFERROR(__xludf.DUMMYFUNCTION("""COMPUTED_VALUE"""),1)</f>
        <v>1</v>
      </c>
      <c r="J205" s="26">
        <f>IFERROR(__xludf.DUMMYFUNCTION("""COMPUTED_VALUE"""),3)</f>
        <v>3</v>
      </c>
      <c r="K205" s="26" t="str">
        <f>IFERROR(__xludf.DUMMYFUNCTION("""COMPUTED_VALUE"""),"CGPA")</f>
        <v>CGPA</v>
      </c>
      <c r="L205" s="26" t="str">
        <f>IFERROR(__xludf.DUMMYFUNCTION("""COMPUTED_VALUE"""),"TIP (6 Expts)")</f>
        <v>TIP (6 Expts)</v>
      </c>
      <c r="M205" s="26"/>
      <c r="N205" s="26"/>
      <c r="O205" s="26"/>
    </row>
    <row r="206" ht="13.2" spans="1:15">
      <c r="A206" s="26">
        <f>IFERROR(__xludf.DUMMYFUNCTION("""COMPUTED_VALUE"""),204)</f>
        <v>204</v>
      </c>
      <c r="B206" s="26"/>
      <c r="C206" s="26" t="str">
        <f>IFERROR(__xludf.DUMMYFUNCTION("""COMPUTED_VALUE"""),"PE")</f>
        <v>PE</v>
      </c>
      <c r="D206" s="26" t="str">
        <f>IFERROR(__xludf.DUMMYFUNCTION("""COMPUTED_VALUE"""),"CS1421")</f>
        <v>CS1421</v>
      </c>
      <c r="E206" s="26" t="str">
        <f>IFERROR(__xludf.DUMMYFUNCTION("""COMPUTED_VALUE"""),"19CS421")</f>
        <v>19CS421</v>
      </c>
      <c r="F206" s="27" t="str">
        <f>IFERROR(__xludf.DUMMYFUNCTION("""COMPUTED_VALUE"""),"Edge Computing")</f>
        <v>Edge Computing</v>
      </c>
      <c r="G206" s="26" t="str">
        <f>IFERROR(__xludf.DUMMYFUNCTION("""COMPUTED_VALUE"""),"-")</f>
        <v>-</v>
      </c>
      <c r="H206" s="26">
        <f>IFERROR(__xludf.DUMMYFUNCTION("""COMPUTED_VALUE"""),2)</f>
        <v>2</v>
      </c>
      <c r="I206" s="26">
        <f>IFERROR(__xludf.DUMMYFUNCTION("""COMPUTED_VALUE"""),1)</f>
        <v>1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IFERROR(__xludf.DUMMYFUNCTION("""COMPUTED_VALUE"""),"TIP (6 Expts)")</f>
        <v>TIP (6 Expts)</v>
      </c>
      <c r="M206" s="26"/>
      <c r="N206" s="26"/>
      <c r="O206" s="26"/>
    </row>
    <row r="207" ht="13.2" spans="1:15">
      <c r="A207" s="26">
        <f>IFERROR(__xludf.DUMMYFUNCTION("""COMPUTED_VALUE"""),205)</f>
        <v>205</v>
      </c>
      <c r="B207" s="26"/>
      <c r="C207" s="26" t="str">
        <f>IFERROR(__xludf.DUMMYFUNCTION("""COMPUTED_VALUE"""),"PE")</f>
        <v>PE</v>
      </c>
      <c r="D207" s="26" t="str">
        <f>IFERROR(__xludf.DUMMYFUNCTION("""COMPUTED_VALUE"""),"CS1422")</f>
        <v>CS1422</v>
      </c>
      <c r="E207" s="26" t="str">
        <f>IFERROR(__xludf.DUMMYFUNCTION("""COMPUTED_VALUE"""),"19CS422")</f>
        <v>19CS422</v>
      </c>
      <c r="F207" s="27" t="str">
        <f>IFERROR(__xludf.DUMMYFUNCTION("""COMPUTED_VALUE"""),"Security for IoT Systems")</f>
        <v>Security for IoT Systems</v>
      </c>
      <c r="G207" s="26" t="str">
        <f>IFERROR(__xludf.DUMMYFUNCTION("""COMPUTED_VALUE"""),"-")</f>
        <v>-</v>
      </c>
      <c r="H207" s="26">
        <f>IFERROR(__xludf.DUMMYFUNCTION("""COMPUTED_VALUE"""),3)</f>
        <v>3</v>
      </c>
      <c r="I207" s="26">
        <f>IFERROR(__xludf.DUMMYFUNCTION("""COMPUTED_VALUE"""),0)</f>
        <v>0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IFERROR(__xludf.DUMMYFUNCTION("""COMPUTED_VALUE"""),"Theory")</f>
        <v>Theory</v>
      </c>
      <c r="M207" s="26"/>
      <c r="N207" s="26"/>
      <c r="O207" s="26"/>
    </row>
    <row r="208" ht="13.2" spans="1:15">
      <c r="A208" s="26">
        <f>IFERROR(__xludf.DUMMYFUNCTION("""COMPUTED_VALUE"""),206)</f>
        <v>206</v>
      </c>
      <c r="B208" s="26"/>
      <c r="C208" s="26" t="str">
        <f>IFERROR(__xludf.DUMMYFUNCTION("""COMPUTED_VALUE"""),"PE")</f>
        <v>PE</v>
      </c>
      <c r="D208" s="26" t="str">
        <f>IFERROR(__xludf.DUMMYFUNCTION("""COMPUTED_VALUE"""),"CS1516")</f>
        <v>CS1516</v>
      </c>
      <c r="E208" s="26" t="str">
        <f>IFERROR(__xludf.DUMMYFUNCTION("""COMPUTED_VALUE"""),"19CS516")</f>
        <v>19CS516</v>
      </c>
      <c r="F208" s="27" t="str">
        <f>IFERROR(__xludf.DUMMYFUNCTION("""COMPUTED_VALUE"""),"Software Testing and Quality Assurance")</f>
        <v>Software Testing and Quality Assurance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IFERROR(__xludf.DUMMYFUNCTION("""COMPUTED_VALUE"""),0)</f>
        <v>0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</row>
    <row r="209" ht="13.2" spans="1:15">
      <c r="A209" s="26">
        <f>IFERROR(__xludf.DUMMYFUNCTION("""COMPUTED_VALUE"""),207)</f>
        <v>207</v>
      </c>
      <c r="B209" s="26"/>
      <c r="C209" s="26" t="str">
        <f>IFERROR(__xludf.DUMMYFUNCTION("""COMPUTED_VALUE"""),"PE")</f>
        <v>PE</v>
      </c>
      <c r="D209" s="26" t="str">
        <f>IFERROR(__xludf.DUMMYFUNCTION("""COMPUTED_VALUE"""),"CS1533")</f>
        <v>CS1533</v>
      </c>
      <c r="E209" s="26" t="str">
        <f>IFERROR(__xludf.DUMMYFUNCTION("""COMPUTED_VALUE"""),"19CS533")</f>
        <v>19CS533</v>
      </c>
      <c r="F209" s="27" t="str">
        <f>IFERROR(__xludf.DUMMYFUNCTION("""COMPUTED_VALUE"""),"Information Security Intelligence and Analytics using Big Data")</f>
        <v>Information Security Intelligence and Analytics using Big Data</v>
      </c>
      <c r="G209" s="26" t="str">
        <f>IFERROR(__xludf.DUMMYFUNCTION("""COMPUTED_VALUE"""),"-")</f>
        <v>-</v>
      </c>
      <c r="H209" s="26">
        <f>IFERROR(__xludf.DUMMYFUNCTION("""COMPUTED_VALUE"""),2)</f>
        <v>2</v>
      </c>
      <c r="I209" s="26">
        <f>IFERROR(__xludf.DUMMYFUNCTION("""COMPUTED_VALUE"""),1)</f>
        <v>1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IFERROR(__xludf.DUMMYFUNCTION("""COMPUTED_VALUE"""),"TIP (6 Expts)")</f>
        <v>TIP (6 Expts)</v>
      </c>
      <c r="M209" s="26"/>
      <c r="N209" s="26"/>
      <c r="O209" s="26"/>
    </row>
    <row r="210" ht="13.2" spans="1:15">
      <c r="A210" s="26">
        <f>IFERROR(__xludf.DUMMYFUNCTION("""COMPUTED_VALUE"""),208)</f>
        <v>208</v>
      </c>
      <c r="B210" s="26"/>
      <c r="C210" s="26" t="str">
        <f>IFERROR(__xludf.DUMMYFUNCTION("""COMPUTED_VALUE"""),"PE")</f>
        <v>PE</v>
      </c>
      <c r="D210" s="26" t="str">
        <f>IFERROR(__xludf.DUMMYFUNCTION("""COMPUTED_VALUE"""),"CS1534")</f>
        <v>CS1534</v>
      </c>
      <c r="E210" s="26" t="str">
        <f>IFERROR(__xludf.DUMMYFUNCTION("""COMPUTED_VALUE"""),"19CS534")</f>
        <v>19CS534</v>
      </c>
      <c r="F210" s="27" t="str">
        <f>IFERROR(__xludf.DUMMYFUNCTION("""COMPUTED_VALUE"""),"Prevention Methodology for Cybersecurity")</f>
        <v>Prevention Methodology for Cybersecurity</v>
      </c>
      <c r="G210" s="26" t="str">
        <f>IFERROR(__xludf.DUMMYFUNCTION("""COMPUTED_VALUE"""),"-")</f>
        <v>-</v>
      </c>
      <c r="H210" s="26">
        <f>IFERROR(__xludf.DUMMYFUNCTION("""COMPUTED_VALUE"""),2)</f>
        <v>2</v>
      </c>
      <c r="I210" s="26">
        <f>IFERROR(__xludf.DUMMYFUNCTION("""COMPUTED_VALUE"""),1)</f>
        <v>1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IFERROR(__xludf.DUMMYFUNCTION("""COMPUTED_VALUE"""),"TIP (6 Expts)")</f>
        <v>TIP (6 Expts)</v>
      </c>
      <c r="M210" s="26"/>
      <c r="N210" s="26"/>
      <c r="O210" s="26"/>
    </row>
    <row r="211" ht="13.2" spans="1:15">
      <c r="A211" s="26">
        <f>IFERROR(__xludf.DUMMYFUNCTION("""COMPUTED_VALUE"""),209)</f>
        <v>209</v>
      </c>
      <c r="B211" s="26"/>
      <c r="C211" s="26" t="str">
        <f>IFERROR(__xludf.DUMMYFUNCTION("""COMPUTED_VALUE"""),"PE")</f>
        <v>PE</v>
      </c>
      <c r="D211" s="26" t="str">
        <f>IFERROR(__xludf.DUMMYFUNCTION("""COMPUTED_VALUE"""),"CS1535")</f>
        <v>CS1535</v>
      </c>
      <c r="E211" s="26" t="str">
        <f>IFERROR(__xludf.DUMMYFUNCTION("""COMPUTED_VALUE"""),"19CS535")</f>
        <v>19CS535</v>
      </c>
      <c r="F211" s="27" t="str">
        <f>IFERROR(__xludf.DUMMYFUNCTION("""COMPUTED_VALUE"""),"Trusted Network Systems")</f>
        <v>Trusted Network Systems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IFERROR(__xludf.DUMMYFUNCTION("""COMPUTED_VALUE"""),0)</f>
        <v>0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</row>
    <row r="212" ht="13.2" spans="1:15">
      <c r="A212" s="26">
        <f>IFERROR(__xludf.DUMMYFUNCTION("""COMPUTED_VALUE"""),210)</f>
        <v>210</v>
      </c>
      <c r="B212" s="26"/>
      <c r="C212" s="26" t="str">
        <f>IFERROR(__xludf.DUMMYFUNCTION("""COMPUTED_VALUE"""),"PE")</f>
        <v>PE</v>
      </c>
      <c r="D212" s="26" t="str">
        <f>IFERROR(__xludf.DUMMYFUNCTION("""COMPUTED_VALUE"""),"CS1536")</f>
        <v>CS1536</v>
      </c>
      <c r="E212" s="26" t="str">
        <f>IFERROR(__xludf.DUMMYFUNCTION("""COMPUTED_VALUE"""),"19CS536")</f>
        <v>19CS536</v>
      </c>
      <c r="F212" s="27" t="str">
        <f>IFERROR(__xludf.DUMMYFUNCTION("""COMPUTED_VALUE"""),"Firewalls and Intrusion Detection System")</f>
        <v>Firewalls and Intrusion Detection System</v>
      </c>
      <c r="G212" s="26" t="str">
        <f>IFERROR(__xludf.DUMMYFUNCTION("""COMPUTED_VALUE"""),"-")</f>
        <v>-</v>
      </c>
      <c r="H212" s="26">
        <f>IFERROR(__xludf.DUMMYFUNCTION("""COMPUTED_VALUE"""),2)</f>
        <v>2</v>
      </c>
      <c r="I212" s="26">
        <f>IFERROR(__xludf.DUMMYFUNCTION("""COMPUTED_VALUE"""),1)</f>
        <v>1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IFERROR(__xludf.DUMMYFUNCTION("""COMPUTED_VALUE"""),"TIP (6 Expts)")</f>
        <v>TIP (6 Expts)</v>
      </c>
      <c r="M212" s="26"/>
      <c r="N212" s="26"/>
      <c r="O212" s="26"/>
    </row>
    <row r="213" ht="13.2" spans="1:15">
      <c r="A213" s="26">
        <f>IFERROR(__xludf.DUMMYFUNCTION("""COMPUTED_VALUE"""),211)</f>
        <v>211</v>
      </c>
      <c r="B213" s="26"/>
      <c r="C213" s="26" t="str">
        <f>IFERROR(__xludf.DUMMYFUNCTION("""COMPUTED_VALUE"""),"PE")</f>
        <v>PE</v>
      </c>
      <c r="D213" s="26" t="str">
        <f>IFERROR(__xludf.DUMMYFUNCTION("""COMPUTED_VALUE"""),"CS1537")</f>
        <v>CS1537</v>
      </c>
      <c r="E213" s="26" t="str">
        <f>IFERROR(__xludf.DUMMYFUNCTION("""COMPUTED_VALUE"""),"19CS537")</f>
        <v>19CS537</v>
      </c>
      <c r="F213" s="27" t="str">
        <f>IFERROR(__xludf.DUMMYFUNCTION("""COMPUTED_VALUE"""),"Secure Software Engineering")</f>
        <v>Secure Software Engineering</v>
      </c>
      <c r="G213" s="26" t="str">
        <f>IFERROR(__xludf.DUMMYFUNCTION("""COMPUTED_VALUE"""),"-")</f>
        <v>-</v>
      </c>
      <c r="H213" s="26">
        <f>IFERROR(__xludf.DUMMYFUNCTION("""COMPUTED_VALUE"""),2)</f>
        <v>2</v>
      </c>
      <c r="I213" s="26">
        <f>IFERROR(__xludf.DUMMYFUNCTION("""COMPUTED_VALUE"""),1)</f>
        <v>1</v>
      </c>
      <c r="J213" s="26">
        <f>IFERROR(__xludf.DUMMYFUNCTION("""COMPUTED_VALUE"""),3)</f>
        <v>3</v>
      </c>
      <c r="K213" s="26" t="str">
        <f>IFERROR(__xludf.DUMMYFUNCTION("""COMPUTED_VALUE"""),"CGPA")</f>
        <v>CGPA</v>
      </c>
      <c r="L213" s="26" t="str">
        <f>IFERROR(__xludf.DUMMYFUNCTION("""COMPUTED_VALUE"""),"TIP (6 Expts)")</f>
        <v>TIP (6 Expts)</v>
      </c>
      <c r="M213" s="26"/>
      <c r="N213" s="26"/>
      <c r="O213" s="26"/>
    </row>
    <row r="214" ht="13.2" spans="1:15">
      <c r="A214" s="26">
        <f>IFERROR(__xludf.DUMMYFUNCTION("""COMPUTED_VALUE"""),212)</f>
        <v>212</v>
      </c>
      <c r="B214" s="26"/>
      <c r="C214" s="26" t="str">
        <f>IFERROR(__xludf.DUMMYFUNCTION("""COMPUTED_VALUE"""),"PE")</f>
        <v>PE</v>
      </c>
      <c r="D214" s="26" t="str">
        <f>IFERROR(__xludf.DUMMYFUNCTION("""COMPUTED_VALUE"""),"CS1538")</f>
        <v>CS1538</v>
      </c>
      <c r="E214" s="26" t="str">
        <f>IFERROR(__xludf.DUMMYFUNCTION("""COMPUTED_VALUE"""),"19CS538")</f>
        <v>19CS538</v>
      </c>
      <c r="F214" s="27" t="str">
        <f>IFERROR(__xludf.DUMMYFUNCTION("""COMPUTED_VALUE"""),"System Security")</f>
        <v>System Security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IFERROR(__xludf.DUMMYFUNCTION("""COMPUTED_VALUE"""),0)</f>
        <v>0</v>
      </c>
      <c r="J214" s="26">
        <f>IFERROR(__xludf.DUMMYFUNCTION("""COMPUTED_VALUE"""),3)</f>
        <v>3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</row>
    <row r="215" ht="13.2" spans="1:15">
      <c r="A215" s="26">
        <f>IFERROR(__xludf.DUMMYFUNCTION("""COMPUTED_VALUE"""),213)</f>
        <v>213</v>
      </c>
      <c r="B215" s="26"/>
      <c r="C215" s="26" t="str">
        <f>IFERROR(__xludf.DUMMYFUNCTION("""COMPUTED_VALUE"""),"PE")</f>
        <v>PE</v>
      </c>
      <c r="D215" s="26" t="str">
        <f>IFERROR(__xludf.DUMMYFUNCTION("""COMPUTED_VALUE"""),"CS1539")</f>
        <v>CS1539</v>
      </c>
      <c r="E215" s="26" t="str">
        <f>IFERROR(__xludf.DUMMYFUNCTION("""COMPUTED_VALUE"""),"19CS539")</f>
        <v>19CS539</v>
      </c>
      <c r="F215" s="27" t="str">
        <f>IFERROR(__xludf.DUMMYFUNCTION("""COMPUTED_VALUE"""),"Hardware Security")</f>
        <v>Hardware Security</v>
      </c>
      <c r="G215" s="26" t="str">
        <f>IFERROR(__xludf.DUMMYFUNCTION("""COMPUTED_VALUE"""),"-")</f>
        <v>-</v>
      </c>
      <c r="H215" s="26">
        <f>IFERROR(__xludf.DUMMYFUNCTION("""COMPUTED_VALUE"""),3)</f>
        <v>3</v>
      </c>
      <c r="I215" s="26">
        <f>IFERROR(__xludf.DUMMYFUNCTION("""COMPUTED_VALUE"""),0)</f>
        <v>0</v>
      </c>
      <c r="J215" s="26">
        <f>IFERROR(__xludf.DUMMYFUNCTION("""COMPUTED_VALUE"""),3)</f>
        <v>3</v>
      </c>
      <c r="K215" s="26" t="str">
        <f>IFERROR(__xludf.DUMMYFUNCTION("""COMPUTED_VALUE"""),"CGPA")</f>
        <v>CGPA</v>
      </c>
      <c r="L215" s="26" t="str">
        <f>IFERROR(__xludf.DUMMYFUNCTION("""COMPUTED_VALUE"""),"Theory")</f>
        <v>Theory</v>
      </c>
      <c r="M215" s="26"/>
      <c r="N215" s="26"/>
      <c r="O215" s="26"/>
    </row>
    <row r="216" ht="13.2" spans="1:15">
      <c r="A216" s="26">
        <f>IFERROR(__xludf.DUMMYFUNCTION("""COMPUTED_VALUE"""),214)</f>
        <v>214</v>
      </c>
      <c r="B216" s="26"/>
      <c r="C216" s="26" t="str">
        <f>IFERROR(__xludf.DUMMYFUNCTION("""COMPUTED_VALUE"""),"PE")</f>
        <v>PE</v>
      </c>
      <c r="D216" s="26" t="str">
        <f>IFERROR(__xludf.DUMMYFUNCTION("""COMPUTED_VALUE"""),"CS1540")</f>
        <v>CS1540</v>
      </c>
      <c r="E216" s="26" t="str">
        <f>IFERROR(__xludf.DUMMYFUNCTION("""COMPUTED_VALUE"""),"19CS540")</f>
        <v>19CS540</v>
      </c>
      <c r="F216" s="27" t="str">
        <f>IFERROR(__xludf.DUMMYFUNCTION("""COMPUTED_VALUE"""),"Fog Computing")</f>
        <v>Fog Computing</v>
      </c>
      <c r="G216" s="26" t="str">
        <f>IFERROR(__xludf.DUMMYFUNCTION("""COMPUTED_VALUE"""),"-")</f>
        <v>-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</row>
    <row r="217" ht="13.2" spans="1:15">
      <c r="A217" s="26">
        <f>IFERROR(__xludf.DUMMYFUNCTION("""COMPUTED_VALUE"""),215)</f>
        <v>215</v>
      </c>
      <c r="B217" s="26"/>
      <c r="C217" s="26" t="str">
        <f>IFERROR(__xludf.DUMMYFUNCTION("""COMPUTED_VALUE"""),"PE")</f>
        <v>PE</v>
      </c>
      <c r="D217" s="26" t="str">
        <f>IFERROR(__xludf.DUMMYFUNCTION("""COMPUTED_VALUE"""),"CS1543")</f>
        <v>CS1543</v>
      </c>
      <c r="E217" s="26" t="str">
        <f>IFERROR(__xludf.DUMMYFUNCTION("""COMPUTED_VALUE"""),"19CS543")</f>
        <v>19CS543</v>
      </c>
      <c r="F217" s="27" t="str">
        <f>IFERROR(__xludf.DUMMYFUNCTION("""COMPUTED_VALUE"""),"Embedded Board Manufacturing")</f>
        <v>Embedded Board Manufacturing</v>
      </c>
      <c r="G217" s="26" t="str">
        <f>IFERROR(__xludf.DUMMYFUNCTION("""COMPUTED_VALUE"""),"-")</f>
        <v>-</v>
      </c>
      <c r="H217" s="26">
        <f>IFERROR(__xludf.DUMMYFUNCTION("""COMPUTED_VALUE"""),2)</f>
        <v>2</v>
      </c>
      <c r="I217" s="26">
        <f>IFERROR(__xludf.DUMMYFUNCTION("""COMPUTED_VALUE"""),1)</f>
        <v>1</v>
      </c>
      <c r="J217" s="26">
        <f>IFERROR(__xludf.DUMMYFUNCTION("""COMPUTED_VALUE"""),3)</f>
        <v>3</v>
      </c>
      <c r="K217" s="26" t="str">
        <f>IFERROR(__xludf.DUMMYFUNCTION("""COMPUTED_VALUE"""),"CGPA")</f>
        <v>CGPA</v>
      </c>
      <c r="L217" s="26" t="str">
        <f>IFERROR(__xludf.DUMMYFUNCTION("""COMPUTED_VALUE"""),"TIP (6 Expts)")</f>
        <v>TIP (6 Expts)</v>
      </c>
      <c r="M217" s="26"/>
      <c r="N217" s="26"/>
      <c r="O217" s="26"/>
    </row>
    <row r="218" ht="13.2" spans="1:15">
      <c r="A218" s="26">
        <f>IFERROR(__xludf.DUMMYFUNCTION("""COMPUTED_VALUE"""),216)</f>
        <v>216</v>
      </c>
      <c r="B218" s="26"/>
      <c r="C218" s="26" t="str">
        <f>IFERROR(__xludf.DUMMYFUNCTION("""COMPUTED_VALUE"""),"PE")</f>
        <v>PE</v>
      </c>
      <c r="D218" s="26" t="str">
        <f>IFERROR(__xludf.DUMMYFUNCTION("""COMPUTED_VALUE"""),"CS1548")</f>
        <v>CS1548</v>
      </c>
      <c r="E218" s="26" t="str">
        <f>IFERROR(__xludf.DUMMYFUNCTION("""COMPUTED_VALUE"""),"19CS548")</f>
        <v>19CS548</v>
      </c>
      <c r="F218" s="27" t="str">
        <f>IFERROR(__xludf.DUMMYFUNCTION("""COMPUTED_VALUE"""),"Cloud Services Management")</f>
        <v>Cloud Services Management</v>
      </c>
      <c r="G218" s="26" t="str">
        <f>IFERROR(__xludf.DUMMYFUNCTION("""COMPUTED_VALUE"""),"-")</f>
        <v>-</v>
      </c>
      <c r="H218" s="26">
        <f>IFERROR(__xludf.DUMMYFUNCTION("""COMPUTED_VALUE"""),2)</f>
        <v>2</v>
      </c>
      <c r="I218" s="26">
        <f>IFERROR(__xludf.DUMMYFUNCTION("""COMPUTED_VALUE"""),1)</f>
        <v>1</v>
      </c>
      <c r="J218" s="26">
        <f>IFERROR(__xludf.DUMMYFUNCTION("""COMPUTED_VALUE"""),3)</f>
        <v>3</v>
      </c>
      <c r="K218" s="26" t="str">
        <f>IFERROR(__xludf.DUMMYFUNCTION("""COMPUTED_VALUE"""),"CGPA")</f>
        <v>CGPA</v>
      </c>
      <c r="L218" s="26" t="str">
        <f>IFERROR(__xludf.DUMMYFUNCTION("""COMPUTED_VALUE"""),"TIP (6 Expts)")</f>
        <v>TIP (6 Expts)</v>
      </c>
      <c r="M218" s="26"/>
      <c r="N218" s="26"/>
      <c r="O218" s="26"/>
    </row>
    <row r="219" ht="13.2" spans="1:15">
      <c r="A219" s="26">
        <f>IFERROR(__xludf.DUMMYFUNCTION("""COMPUTED_VALUE"""),217)</f>
        <v>217</v>
      </c>
      <c r="B219" s="26"/>
      <c r="C219" s="26" t="str">
        <f>IFERROR(__xludf.DUMMYFUNCTION("""COMPUTED_VALUE"""),"PE")</f>
        <v>PE</v>
      </c>
      <c r="D219" s="26" t="str">
        <f>IFERROR(__xludf.DUMMYFUNCTION("""COMPUTED_VALUE"""),"CS1549")</f>
        <v>CS1549</v>
      </c>
      <c r="E219" s="26" t="str">
        <f>IFERROR(__xludf.DUMMYFUNCTION("""COMPUTED_VALUE"""),"19CS549")</f>
        <v>19CS549</v>
      </c>
      <c r="F219" s="27" t="str">
        <f>IFERROR(__xludf.DUMMYFUNCTION("""COMPUTED_VALUE"""),"UI and UX Design")</f>
        <v>UI and UX Design</v>
      </c>
      <c r="G219" s="26" t="str">
        <f>IFERROR(__xludf.DUMMYFUNCTION("""COMPUTED_VALUE"""),"-")</f>
        <v>-</v>
      </c>
      <c r="H219" s="26">
        <f>IFERROR(__xludf.DUMMYFUNCTION("""COMPUTED_VALUE"""),2)</f>
        <v>2</v>
      </c>
      <c r="I219" s="26">
        <f>IFERROR(__xludf.DUMMYFUNCTION("""COMPUTED_VALUE"""),1)</f>
        <v>1</v>
      </c>
      <c r="J219" s="26">
        <f>IFERROR(__xludf.DUMMYFUNCTION("""COMPUTED_VALUE"""),3)</f>
        <v>3</v>
      </c>
      <c r="K219" s="26" t="str">
        <f>IFERROR(__xludf.DUMMYFUNCTION("""COMPUTED_VALUE"""),"CGPA")</f>
        <v>CGPA</v>
      </c>
      <c r="L219" s="26" t="str">
        <f>IFERROR(__xludf.DUMMYFUNCTION("""COMPUTED_VALUE"""),"TIP (6 Expts)")</f>
        <v>TIP (6 Expts)</v>
      </c>
      <c r="M219" s="26"/>
      <c r="N219" s="26"/>
      <c r="O219" s="26"/>
    </row>
    <row r="220" ht="13.2" spans="1:15">
      <c r="A220" s="26">
        <f>IFERROR(__xludf.DUMMYFUNCTION("""COMPUTED_VALUE"""),218)</f>
        <v>218</v>
      </c>
      <c r="B220" s="26"/>
      <c r="C220" s="26" t="str">
        <f>IFERROR(__xludf.DUMMYFUNCTION("""COMPUTED_VALUE"""),"PE")</f>
        <v>PE</v>
      </c>
      <c r="D220" s="26" t="str">
        <f>IFERROR(__xludf.DUMMYFUNCTION("""COMPUTED_VALUE"""),"CS1551")</f>
        <v>CS1551</v>
      </c>
      <c r="E220" s="26" t="str">
        <f>IFERROR(__xludf.DUMMYFUNCTION("""COMPUTED_VALUE"""),"19CS551")</f>
        <v>19CS551</v>
      </c>
      <c r="F220" s="27" t="str">
        <f>IFERROR(__xludf.DUMMYFUNCTION("""COMPUTED_VALUE"""),"Software Testing and Automation")</f>
        <v>Software Testing and Automation</v>
      </c>
      <c r="G220" s="26" t="str">
        <f>IFERROR(__xludf.DUMMYFUNCTION("""COMPUTED_VALUE"""),"-")</f>
        <v>-</v>
      </c>
      <c r="H220" s="26">
        <f>IFERROR(__xludf.DUMMYFUNCTION("""COMPUTED_VALUE"""),2)</f>
        <v>2</v>
      </c>
      <c r="I220" s="26">
        <f>IFERROR(__xludf.DUMMYFUNCTION("""COMPUTED_VALUE"""),1)</f>
        <v>1</v>
      </c>
      <c r="J220" s="26">
        <f>IFERROR(__xludf.DUMMYFUNCTION("""COMPUTED_VALUE"""),3)</f>
        <v>3</v>
      </c>
      <c r="K220" s="26" t="str">
        <f>IFERROR(__xludf.DUMMYFUNCTION("""COMPUTED_VALUE"""),"CGPA")</f>
        <v>CGPA</v>
      </c>
      <c r="L220" s="26" t="str">
        <f>IFERROR(__xludf.DUMMYFUNCTION("""COMPUTED_VALUE"""),"TIP (6 Expts)")</f>
        <v>TIP (6 Expts)</v>
      </c>
      <c r="M220" s="26"/>
      <c r="N220" s="26"/>
      <c r="O220" s="26"/>
    </row>
    <row r="221" ht="13.2" spans="1:15">
      <c r="A221" s="26">
        <f>IFERROR(__xludf.DUMMYFUNCTION("""COMPUTED_VALUE"""),219)</f>
        <v>219</v>
      </c>
      <c r="B221" s="26"/>
      <c r="C221" s="26" t="str">
        <f>IFERROR(__xludf.DUMMYFUNCTION("""COMPUTED_VALUE"""),"PE")</f>
        <v>PE</v>
      </c>
      <c r="D221" s="26" t="str">
        <f>IFERROR(__xludf.DUMMYFUNCTION("""COMPUTED_VALUE"""),"CS1552")</f>
        <v>CS1552</v>
      </c>
      <c r="E221" s="26" t="str">
        <f>IFERROR(__xludf.DUMMYFUNCTION("""COMPUTED_VALUE"""),"19CS552")</f>
        <v>19CS552</v>
      </c>
      <c r="F221" s="27" t="str">
        <f>IFERROR(__xludf.DUMMYFUNCTION("""COMPUTED_VALUE"""),"DevOps")</f>
        <v>DevOps</v>
      </c>
      <c r="G221" s="26" t="str">
        <f>IFERROR(__xludf.DUMMYFUNCTION("""COMPUTED_VALUE"""),"-")</f>
        <v>-</v>
      </c>
      <c r="H221" s="26">
        <f>IFERROR(__xludf.DUMMYFUNCTION("""COMPUTED_VALUE"""),2)</f>
        <v>2</v>
      </c>
      <c r="I221" s="26">
        <f>IFERROR(__xludf.DUMMYFUNCTION("""COMPUTED_VALUE"""),1)</f>
        <v>1</v>
      </c>
      <c r="J221" s="26">
        <f>IFERROR(__xludf.DUMMYFUNCTION("""COMPUTED_VALUE"""),3)</f>
        <v>3</v>
      </c>
      <c r="K221" s="26" t="str">
        <f>IFERROR(__xludf.DUMMYFUNCTION("""COMPUTED_VALUE"""),"CGPA")</f>
        <v>CGPA</v>
      </c>
      <c r="L221" s="26" t="str">
        <f>IFERROR(__xludf.DUMMYFUNCTION("""COMPUTED_VALUE"""),"TIP (6 Expts)")</f>
        <v>TIP (6 Expts)</v>
      </c>
      <c r="M221" s="26"/>
      <c r="N221" s="26"/>
      <c r="O221" s="26"/>
    </row>
    <row r="222" ht="13.2" spans="1:15">
      <c r="A222" s="26">
        <f>IFERROR(__xludf.DUMMYFUNCTION("""COMPUTED_VALUE"""),220)</f>
        <v>220</v>
      </c>
      <c r="B222" s="26"/>
      <c r="C222" s="26" t="str">
        <f>IFERROR(__xludf.DUMMYFUNCTION("""COMPUTED_VALUE"""),"PE")</f>
        <v>PE</v>
      </c>
      <c r="D222" s="26" t="str">
        <f>IFERROR(__xludf.DUMMYFUNCTION("""COMPUTED_VALUE"""),"CS1553")</f>
        <v>CS1553</v>
      </c>
      <c r="E222" s="26" t="str">
        <f>IFERROR(__xludf.DUMMYFUNCTION("""COMPUTED_VALUE"""),"19CS553")</f>
        <v>19CS553</v>
      </c>
      <c r="F222" s="27" t="str">
        <f>IFERROR(__xludf.DUMMYFUNCTION("""COMPUTED_VALUE"""),"Web Application Security")</f>
        <v>Web Application Security</v>
      </c>
      <c r="G222" s="26" t="str">
        <f>IFERROR(__xludf.DUMMYFUNCTION("""COMPUTED_VALUE"""),"-")</f>
        <v>-</v>
      </c>
      <c r="H222" s="26">
        <f>IFERROR(__xludf.DUMMYFUNCTION("""COMPUTED_VALUE"""),2)</f>
        <v>2</v>
      </c>
      <c r="I222" s="26">
        <f>IFERROR(__xludf.DUMMYFUNCTION("""COMPUTED_VALUE"""),1)</f>
        <v>1</v>
      </c>
      <c r="J222" s="26">
        <f>IFERROR(__xludf.DUMMYFUNCTION("""COMPUTED_VALUE"""),3)</f>
        <v>3</v>
      </c>
      <c r="K222" s="26" t="str">
        <f>IFERROR(__xludf.DUMMYFUNCTION("""COMPUTED_VALUE"""),"CGPA")</f>
        <v>CGPA</v>
      </c>
      <c r="L222" s="26" t="str">
        <f>IFERROR(__xludf.DUMMYFUNCTION("""COMPUTED_VALUE"""),"TIP (6 Expts)")</f>
        <v>TIP (6 Expts)</v>
      </c>
      <c r="M222" s="26"/>
      <c r="N222" s="26"/>
      <c r="O222" s="26"/>
    </row>
    <row r="223" ht="13.2" spans="1:15">
      <c r="A223" s="26">
        <f>IFERROR(__xludf.DUMMYFUNCTION("""COMPUTED_VALUE"""),221)</f>
        <v>221</v>
      </c>
      <c r="B223" s="26"/>
      <c r="C223" s="26" t="str">
        <f>IFERROR(__xludf.DUMMYFUNCTION("""COMPUTED_VALUE"""),"PE")</f>
        <v>PE</v>
      </c>
      <c r="D223" s="26" t="str">
        <f>IFERROR(__xludf.DUMMYFUNCTION("""COMPUTED_VALUE"""),"CS2401")</f>
        <v>CS2401</v>
      </c>
      <c r="E223" s="26" t="str">
        <f>IFERROR(__xludf.DUMMYFUNCTION("""COMPUTED_VALUE"""),"19IT401")</f>
        <v>19IT401</v>
      </c>
      <c r="F223" s="27" t="str">
        <f>IFERROR(__xludf.DUMMYFUNCTION("""COMPUTED_VALUE"""),"Information Technology Essentials")</f>
        <v>Information Technology Essentials</v>
      </c>
      <c r="G223" s="26" t="str">
        <f>IFERROR(__xludf.DUMMYFUNCTION("""COMPUTED_VALUE"""),"-")</f>
        <v>-</v>
      </c>
      <c r="H223" s="26">
        <f>IFERROR(__xludf.DUMMYFUNCTION("""COMPUTED_VALUE"""),3)</f>
        <v>3</v>
      </c>
      <c r="I223" s="26">
        <f>IFERROR(__xludf.DUMMYFUNCTION("""COMPUTED_VALUE"""),1)</f>
        <v>1</v>
      </c>
      <c r="J223" s="26">
        <f>IFERROR(__xludf.DUMMYFUNCTION("""COMPUTED_VALUE"""),4)</f>
        <v>4</v>
      </c>
      <c r="K223" s="26" t="str">
        <f>IFERROR(__xludf.DUMMYFUNCTION("""COMPUTED_VALUE"""),"CGPA")</f>
        <v>CGPA</v>
      </c>
      <c r="L223" s="26" t="str">
        <f>IFERROR(__xludf.DUMMYFUNCTION("""COMPUTED_VALUE"""),"TIP (6 Expts)")</f>
        <v>TIP (6 Expts)</v>
      </c>
      <c r="M223" s="26"/>
      <c r="N223" s="26"/>
      <c r="O223" s="26"/>
    </row>
    <row r="224" ht="13.2" spans="1:15">
      <c r="A224" s="26">
        <f>IFERROR(__xludf.DUMMYFUNCTION("""COMPUTED_VALUE"""),222)</f>
        <v>222</v>
      </c>
      <c r="B224" s="26"/>
      <c r="C224" s="26" t="str">
        <f>IFERROR(__xludf.DUMMYFUNCTION("""COMPUTED_VALUE"""),"PE")</f>
        <v>PE</v>
      </c>
      <c r="D224" s="26" t="str">
        <f>IFERROR(__xludf.DUMMYFUNCTION("""COMPUTED_VALUE"""),"CS2402")</f>
        <v>CS2402</v>
      </c>
      <c r="E224" s="26" t="str">
        <f>IFERROR(__xludf.DUMMYFUNCTION("""COMPUTED_VALUE"""),"19IT402")</f>
        <v>19IT402</v>
      </c>
      <c r="F224" s="27" t="str">
        <f>IFERROR(__xludf.DUMMYFUNCTION("""COMPUTED_VALUE"""),"Game Development Technologies")</f>
        <v>Game Development Technologies</v>
      </c>
      <c r="G224" s="26" t="str">
        <f>IFERROR(__xludf.DUMMYFUNCTION("""COMPUTED_VALUE"""),"-")</f>
        <v>-</v>
      </c>
      <c r="H224" s="26">
        <f>IFERROR(__xludf.DUMMYFUNCTION("""COMPUTED_VALUE"""),3)</f>
        <v>3</v>
      </c>
      <c r="I224" s="26">
        <f>IFERROR(__xludf.DUMMYFUNCTION("""COMPUTED_VALUE"""),1)</f>
        <v>1</v>
      </c>
      <c r="J224" s="26">
        <f>IFERROR(__xludf.DUMMYFUNCTION("""COMPUTED_VALUE"""),4)</f>
        <v>4</v>
      </c>
      <c r="K224" s="26" t="str">
        <f>IFERROR(__xludf.DUMMYFUNCTION("""COMPUTED_VALUE"""),"CGPA")</f>
        <v>CGPA</v>
      </c>
      <c r="L224" s="26" t="str">
        <f>IFERROR(__xludf.DUMMYFUNCTION("""COMPUTED_VALUE"""),"TIP (6 Expts)")</f>
        <v>TIP (6 Expts)</v>
      </c>
      <c r="M224" s="26"/>
      <c r="N224" s="26"/>
      <c r="O224" s="26"/>
    </row>
    <row r="225" ht="13.2" spans="1:15">
      <c r="A225" s="26">
        <f>IFERROR(__xludf.DUMMYFUNCTION("""COMPUTED_VALUE"""),223)</f>
        <v>223</v>
      </c>
      <c r="B225" s="26"/>
      <c r="C225" s="26" t="str">
        <f>IFERROR(__xludf.DUMMYFUNCTION("""COMPUTED_VALUE"""),"PE")</f>
        <v>PE</v>
      </c>
      <c r="D225" s="26" t="str">
        <f>IFERROR(__xludf.DUMMYFUNCTION("""COMPUTED_VALUE"""),"CS2405")</f>
        <v>CS2405</v>
      </c>
      <c r="E225" s="26" t="str">
        <f>IFERROR(__xludf.DUMMYFUNCTION("""COMPUTED_VALUE"""),"19IT405")</f>
        <v>19IT405</v>
      </c>
      <c r="F225" s="27" t="str">
        <f>IFERROR(__xludf.DUMMYFUNCTION("""COMPUTED_VALUE"""),"Data Structures using Python")</f>
        <v>Data Structures using Python</v>
      </c>
      <c r="G225" s="26" t="str">
        <f>IFERROR(__xludf.DUMMYFUNCTION("""COMPUTED_VALUE"""),"-")</f>
        <v>-</v>
      </c>
      <c r="H225" s="26">
        <f>IFERROR(__xludf.DUMMYFUNCTION("""COMPUTED_VALUE"""),3)</f>
        <v>3</v>
      </c>
      <c r="I225" s="26">
        <f>IFERROR(__xludf.DUMMYFUNCTION("""COMPUTED_VALUE"""),1)</f>
        <v>1</v>
      </c>
      <c r="J225" s="26">
        <f>IFERROR(__xludf.DUMMYFUNCTION("""COMPUTED_VALUE"""),4)</f>
        <v>4</v>
      </c>
      <c r="K225" s="26" t="str">
        <f>IFERROR(__xludf.DUMMYFUNCTION("""COMPUTED_VALUE"""),"CGPA")</f>
        <v>CGPA</v>
      </c>
      <c r="L225" s="26" t="str">
        <f>IFERROR(__xludf.DUMMYFUNCTION("""COMPUTED_VALUE"""),"TIP (6 Expts)")</f>
        <v>TIP (6 Expts)</v>
      </c>
      <c r="M225" s="26"/>
      <c r="N225" s="26"/>
      <c r="O225" s="26"/>
    </row>
    <row r="226" ht="13.2" spans="1:15">
      <c r="A226" s="26">
        <f>IFERROR(__xludf.DUMMYFUNCTION("""COMPUTED_VALUE"""),224)</f>
        <v>224</v>
      </c>
      <c r="B226" s="26"/>
      <c r="C226" s="26" t="str">
        <f>IFERROR(__xludf.DUMMYFUNCTION("""COMPUTED_VALUE"""),"PE")</f>
        <v>PE</v>
      </c>
      <c r="D226" s="26" t="str">
        <f>IFERROR(__xludf.DUMMYFUNCTION("""COMPUTED_VALUE"""),"CS2406")</f>
        <v>CS2406</v>
      </c>
      <c r="E226" s="26" t="str">
        <f>IFERROR(__xludf.DUMMYFUNCTION("""COMPUTED_VALUE"""),"19IT406")</f>
        <v>19IT406</v>
      </c>
      <c r="F226" s="27" t="str">
        <f>IFERROR(__xludf.DUMMYFUNCTION("""COMPUTED_VALUE"""),"Grid and Cloud Computing")</f>
        <v>Grid and Cloud Computing</v>
      </c>
      <c r="G226" s="26" t="str">
        <f>IFERROR(__xludf.DUMMYFUNCTION("""COMPUTED_VALUE"""),"-")</f>
        <v>-</v>
      </c>
      <c r="H226" s="26">
        <f>IFERROR(__xludf.DUMMYFUNCTION("""COMPUTED_VALUE"""),3)</f>
        <v>3</v>
      </c>
      <c r="I226" s="26">
        <f>IFERROR(__xludf.DUMMYFUNCTION("""COMPUTED_VALUE"""),1)</f>
        <v>1</v>
      </c>
      <c r="J226" s="26">
        <f>IFERROR(__xludf.DUMMYFUNCTION("""COMPUTED_VALUE"""),4)</f>
        <v>4</v>
      </c>
      <c r="K226" s="26" t="str">
        <f>IFERROR(__xludf.DUMMYFUNCTION("""COMPUTED_VALUE"""),"CGPA")</f>
        <v>CGPA</v>
      </c>
      <c r="L226" s="26" t="str">
        <f>IFERROR(__xludf.DUMMYFUNCTION("""COMPUTED_VALUE"""),"TIP (6 Expts)")</f>
        <v>TIP (6 Expts)</v>
      </c>
      <c r="M226" s="26"/>
      <c r="N226" s="26"/>
      <c r="O226" s="26"/>
    </row>
    <row r="227" ht="13.2" spans="1:15">
      <c r="A227" s="26">
        <f>IFERROR(__xludf.DUMMYFUNCTION("""COMPUTED_VALUE"""),225)</f>
        <v>225</v>
      </c>
      <c r="B227" s="26"/>
      <c r="C227" s="26" t="str">
        <f>IFERROR(__xludf.DUMMYFUNCTION("""COMPUTED_VALUE"""),"PE")</f>
        <v>PE</v>
      </c>
      <c r="D227" s="26" t="str">
        <f>IFERROR(__xludf.DUMMYFUNCTION("""COMPUTED_VALUE"""),"CS2408")</f>
        <v>CS2408</v>
      </c>
      <c r="E227" s="26" t="str">
        <f>IFERROR(__xludf.DUMMYFUNCTION("""COMPUTED_VALUE"""),"19IT408")</f>
        <v>19IT408</v>
      </c>
      <c r="F227" s="27" t="str">
        <f>IFERROR(__xludf.DUMMYFUNCTION("""COMPUTED_VALUE"""),"Distributed Computing")</f>
        <v>Distributed Computing</v>
      </c>
      <c r="G227" s="26" t="str">
        <f>IFERROR(__xludf.DUMMYFUNCTION("""COMPUTED_VALUE"""),"-")</f>
        <v>-</v>
      </c>
      <c r="H227" s="26">
        <f>IFERROR(__xludf.DUMMYFUNCTION("""COMPUTED_VALUE"""),3)</f>
        <v>3</v>
      </c>
      <c r="I227" s="26">
        <f>IFERROR(__xludf.DUMMYFUNCTION("""COMPUTED_VALUE"""),0)</f>
        <v>0</v>
      </c>
      <c r="J227" s="26">
        <f>IFERROR(__xludf.DUMMYFUNCTION("""COMPUTED_VALUE"""),3)</f>
        <v>3</v>
      </c>
      <c r="K227" s="26" t="str">
        <f>IFERROR(__xludf.DUMMYFUNCTION("""COMPUTED_VALUE"""),"CGPA")</f>
        <v>CGPA</v>
      </c>
      <c r="L227" s="26" t="str">
        <f>IFERROR(__xludf.DUMMYFUNCTION("""COMPUTED_VALUE"""),"Theory")</f>
        <v>Theory</v>
      </c>
      <c r="M227" s="26"/>
      <c r="N227" s="26"/>
      <c r="O227" s="26"/>
    </row>
    <row r="228" ht="13.2" spans="1:15">
      <c r="A228" s="26">
        <f>IFERROR(__xludf.DUMMYFUNCTION("""COMPUTED_VALUE"""),226)</f>
        <v>226</v>
      </c>
      <c r="B228" s="26"/>
      <c r="C228" s="26" t="str">
        <f>IFERROR(__xludf.DUMMYFUNCTION("""COMPUTED_VALUE"""),"PE")</f>
        <v>PE</v>
      </c>
      <c r="D228" s="26" t="str">
        <f>IFERROR(__xludf.DUMMYFUNCTION("""COMPUTED_VALUE"""),"CS2501")</f>
        <v>CS2501</v>
      </c>
      <c r="E228" s="26" t="str">
        <f>IFERROR(__xludf.DUMMYFUNCTION("""COMPUTED_VALUE"""),"19IT501")</f>
        <v>19IT501</v>
      </c>
      <c r="F228" s="27" t="str">
        <f>IFERROR(__xludf.DUMMYFUNCTION("""COMPUTED_VALUE"""),"Information Theory and Coding Techniques")</f>
        <v>Information Theory and Coding Techniques</v>
      </c>
      <c r="G228" s="26" t="str">
        <f>IFERROR(__xludf.DUMMYFUNCTION("""COMPUTED_VALUE"""),"-")</f>
        <v>-</v>
      </c>
      <c r="H228" s="26">
        <f>IFERROR(__xludf.DUMMYFUNCTION("""COMPUTED_VALUE"""),3)</f>
        <v>3</v>
      </c>
      <c r="I228" s="26">
        <f>IFERROR(__xludf.DUMMYFUNCTION("""COMPUTED_VALUE"""),0)</f>
        <v>0</v>
      </c>
      <c r="J228" s="26">
        <f>IFERROR(__xludf.DUMMYFUNCTION("""COMPUTED_VALUE"""),3)</f>
        <v>3</v>
      </c>
      <c r="K228" s="26" t="str">
        <f>IFERROR(__xludf.DUMMYFUNCTION("""COMPUTED_VALUE"""),"CGPA")</f>
        <v>CGPA</v>
      </c>
      <c r="L228" s="26" t="str">
        <f>IFERROR(__xludf.DUMMYFUNCTION("""COMPUTED_VALUE"""),"Theory")</f>
        <v>Theory</v>
      </c>
      <c r="M228" s="26"/>
      <c r="N228" s="26"/>
      <c r="O228" s="26"/>
    </row>
    <row r="229" ht="13.2" spans="1:15">
      <c r="A229" s="26">
        <f>IFERROR(__xludf.DUMMYFUNCTION("""COMPUTED_VALUE"""),227)</f>
        <v>227</v>
      </c>
      <c r="B229" s="26"/>
      <c r="C229" s="26" t="str">
        <f>IFERROR(__xludf.DUMMYFUNCTION("""COMPUTED_VALUE"""),"PE")</f>
        <v>PE</v>
      </c>
      <c r="D229" s="26" t="str">
        <f>IFERROR(__xludf.DUMMYFUNCTION("""COMPUTED_VALUE"""),"CS2502")</f>
        <v>CS2502</v>
      </c>
      <c r="E229" s="26" t="str">
        <f>IFERROR(__xludf.DUMMYFUNCTION("""COMPUTED_VALUE"""),"19IT502")</f>
        <v>19IT502</v>
      </c>
      <c r="F229" s="27" t="str">
        <f>IFERROR(__xludf.DUMMYFUNCTION("""COMPUTED_VALUE"""),"Enterprise Resource Planning")</f>
        <v>Enterprise Resource Planning</v>
      </c>
      <c r="G229" s="26" t="str">
        <f>IFERROR(__xludf.DUMMYFUNCTION("""COMPUTED_VALUE"""),"-")</f>
        <v>-</v>
      </c>
      <c r="H229" s="26">
        <f>IFERROR(__xludf.DUMMYFUNCTION("""COMPUTED_VALUE"""),3)</f>
        <v>3</v>
      </c>
      <c r="I229" s="26">
        <f>IFERROR(__xludf.DUMMYFUNCTION("""COMPUTED_VALUE"""),0)</f>
        <v>0</v>
      </c>
      <c r="J229" s="26">
        <f>IFERROR(__xludf.DUMMYFUNCTION("""COMPUTED_VALUE"""),3)</f>
        <v>3</v>
      </c>
      <c r="K229" s="26" t="str">
        <f>IFERROR(__xludf.DUMMYFUNCTION("""COMPUTED_VALUE"""),"CGPA")</f>
        <v>CGPA</v>
      </c>
      <c r="L229" s="26" t="str">
        <f>IFERROR(__xludf.DUMMYFUNCTION("""COMPUTED_VALUE"""),"Theory")</f>
        <v>Theory</v>
      </c>
      <c r="M229" s="26"/>
      <c r="N229" s="26"/>
      <c r="O229" s="26"/>
    </row>
    <row r="230" ht="13.2" spans="1:15">
      <c r="A230" s="26">
        <f>IFERROR(__xludf.DUMMYFUNCTION("""COMPUTED_VALUE"""),228)</f>
        <v>228</v>
      </c>
      <c r="B230" s="26"/>
      <c r="C230" s="26" t="str">
        <f>IFERROR(__xludf.DUMMYFUNCTION("""COMPUTED_VALUE"""),"PE")</f>
        <v>PE</v>
      </c>
      <c r="D230" s="26" t="str">
        <f>IFERROR(__xludf.DUMMYFUNCTION("""COMPUTED_VALUE"""),"CS2503")</f>
        <v>CS2503</v>
      </c>
      <c r="E230" s="26" t="str">
        <f>IFERROR(__xludf.DUMMYFUNCTION("""COMPUTED_VALUE"""),"19IT503")</f>
        <v>19IT503</v>
      </c>
      <c r="F230" s="27" t="str">
        <f>IFERROR(__xludf.DUMMYFUNCTION("""COMPUTED_VALUE"""),"User Interface Design")</f>
        <v>User Interface Design</v>
      </c>
      <c r="G230" s="26" t="str">
        <f>IFERROR(__xludf.DUMMYFUNCTION("""COMPUTED_VALUE"""),"-")</f>
        <v>-</v>
      </c>
      <c r="H230" s="26">
        <f>IFERROR(__xludf.DUMMYFUNCTION("""COMPUTED_VALUE"""),3)</f>
        <v>3</v>
      </c>
      <c r="I230" s="26">
        <f>IFERROR(__xludf.DUMMYFUNCTION("""COMPUTED_VALUE"""),0)</f>
        <v>0</v>
      </c>
      <c r="J230" s="26">
        <f>IFERROR(__xludf.DUMMYFUNCTION("""COMPUTED_VALUE"""),3)</f>
        <v>3</v>
      </c>
      <c r="K230" s="26" t="str">
        <f>IFERROR(__xludf.DUMMYFUNCTION("""COMPUTED_VALUE"""),"CGPA")</f>
        <v>CGPA</v>
      </c>
      <c r="L230" s="26" t="str">
        <f>IFERROR(__xludf.DUMMYFUNCTION("""COMPUTED_VALUE"""),"Theory")</f>
        <v>Theory</v>
      </c>
      <c r="M230" s="26"/>
      <c r="N230" s="26"/>
      <c r="O230" s="26"/>
    </row>
    <row r="231" ht="13.2" spans="1:15">
      <c r="A231" s="26">
        <f>IFERROR(__xludf.DUMMYFUNCTION("""COMPUTED_VALUE"""),229)</f>
        <v>229</v>
      </c>
      <c r="B231" s="26"/>
      <c r="C231" s="26" t="str">
        <f>IFERROR(__xludf.DUMMYFUNCTION("""COMPUTED_VALUE"""),"PE")</f>
        <v>PE</v>
      </c>
      <c r="D231" s="26" t="str">
        <f>IFERROR(__xludf.DUMMYFUNCTION("""COMPUTED_VALUE"""),"CS2504")</f>
        <v>CS2504</v>
      </c>
      <c r="E231" s="26" t="str">
        <f>IFERROR(__xludf.DUMMYFUNCTION("""COMPUTED_VALUE"""),"19IT504")</f>
        <v>19IT504</v>
      </c>
      <c r="F231" s="27" t="str">
        <f>IFERROR(__xludf.DUMMYFUNCTION("""COMPUTED_VALUE"""),"Information Storage Management")</f>
        <v>Information Storage Management</v>
      </c>
      <c r="G231" s="26" t="str">
        <f>IFERROR(__xludf.DUMMYFUNCTION("""COMPUTED_VALUE"""),"-")</f>
        <v>-</v>
      </c>
      <c r="H231" s="26">
        <f>IFERROR(__xludf.DUMMYFUNCTION("""COMPUTED_VALUE"""),3)</f>
        <v>3</v>
      </c>
      <c r="I231" s="26">
        <f>IFERROR(__xludf.DUMMYFUNCTION("""COMPUTED_VALUE"""),0)</f>
        <v>0</v>
      </c>
      <c r="J231" s="26">
        <f>IFERROR(__xludf.DUMMYFUNCTION("""COMPUTED_VALUE"""),3)</f>
        <v>3</v>
      </c>
      <c r="K231" s="26" t="str">
        <f>IFERROR(__xludf.DUMMYFUNCTION("""COMPUTED_VALUE"""),"CGPA")</f>
        <v>CGPA</v>
      </c>
      <c r="L231" s="26" t="str">
        <f>IFERROR(__xludf.DUMMYFUNCTION("""COMPUTED_VALUE"""),"Theory")</f>
        <v>Theory</v>
      </c>
      <c r="M231" s="26"/>
      <c r="N231" s="26"/>
      <c r="O231" s="26"/>
    </row>
    <row r="232" ht="13.2" spans="1:15">
      <c r="A232" s="26">
        <f>IFERROR(__xludf.DUMMYFUNCTION("""COMPUTED_VALUE"""),230)</f>
        <v>230</v>
      </c>
      <c r="B232" s="26"/>
      <c r="C232" s="26" t="str">
        <f>IFERROR(__xludf.DUMMYFUNCTION("""COMPUTED_VALUE"""),"PE")</f>
        <v>PE</v>
      </c>
      <c r="D232" s="26" t="str">
        <f>IFERROR(__xludf.DUMMYFUNCTION("""COMPUTED_VALUE"""),"CS2505")</f>
        <v>CS2505</v>
      </c>
      <c r="E232" s="26" t="str">
        <f>IFERROR(__xludf.DUMMYFUNCTION("""COMPUTED_VALUE"""),"19IT505")</f>
        <v>19IT505</v>
      </c>
      <c r="F232" s="27" t="str">
        <f>IFERROR(__xludf.DUMMYFUNCTION("""COMPUTED_VALUE"""),"Software Design Patterns")</f>
        <v>Software Design Patterns</v>
      </c>
      <c r="G232" s="26" t="str">
        <f>IFERROR(__xludf.DUMMYFUNCTION("""COMPUTED_VALUE"""),"-")</f>
        <v>-</v>
      </c>
      <c r="H232" s="26">
        <f>IFERROR(__xludf.DUMMYFUNCTION("""COMPUTED_VALUE"""),3)</f>
        <v>3</v>
      </c>
      <c r="I232" s="26">
        <f>IFERROR(__xludf.DUMMYFUNCTION("""COMPUTED_VALUE"""),0)</f>
        <v>0</v>
      </c>
      <c r="J232" s="26">
        <f>IFERROR(__xludf.DUMMYFUNCTION("""COMPUTED_VALUE"""),3)</f>
        <v>3</v>
      </c>
      <c r="K232" s="26" t="str">
        <f>IFERROR(__xludf.DUMMYFUNCTION("""COMPUTED_VALUE"""),"CGPA")</f>
        <v>CGPA</v>
      </c>
      <c r="L232" s="26" t="str">
        <f>IFERROR(__xludf.DUMMYFUNCTION("""COMPUTED_VALUE"""),"Theory")</f>
        <v>Theory</v>
      </c>
      <c r="M232" s="26"/>
      <c r="N232" s="26"/>
      <c r="O232" s="26"/>
    </row>
    <row r="233" ht="13.2" spans="1:15">
      <c r="A233" s="26">
        <f>IFERROR(__xludf.DUMMYFUNCTION("""COMPUTED_VALUE"""),231)</f>
        <v>231</v>
      </c>
      <c r="B233" s="26"/>
      <c r="C233" s="26" t="str">
        <f>IFERROR(__xludf.DUMMYFUNCTION("""COMPUTED_VALUE"""),"PE")</f>
        <v>PE</v>
      </c>
      <c r="D233" s="26" t="str">
        <f>IFERROR(__xludf.DUMMYFUNCTION("""COMPUTED_VALUE"""),"CS2506")</f>
        <v>CS2506</v>
      </c>
      <c r="E233" s="26" t="str">
        <f>IFERROR(__xludf.DUMMYFUNCTION("""COMPUTED_VALUE"""),"19IT506")</f>
        <v>19IT506</v>
      </c>
      <c r="F233" s="27" t="str">
        <f>IFERROR(__xludf.DUMMYFUNCTION("""COMPUTED_VALUE"""),"E-Learning Techniques")</f>
        <v>E-Learning Techniques</v>
      </c>
      <c r="G233" s="26" t="str">
        <f>IFERROR(__xludf.DUMMYFUNCTION("""COMPUTED_VALUE"""),"-")</f>
        <v>-</v>
      </c>
      <c r="H233" s="26">
        <f>IFERROR(__xludf.DUMMYFUNCTION("""COMPUTED_VALUE"""),3)</f>
        <v>3</v>
      </c>
      <c r="I233" s="26">
        <f>IFERROR(__xludf.DUMMYFUNCTION("""COMPUTED_VALUE"""),0)</f>
        <v>0</v>
      </c>
      <c r="J233" s="26">
        <f>IFERROR(__xludf.DUMMYFUNCTION("""COMPUTED_VALUE"""),3)</f>
        <v>3</v>
      </c>
      <c r="K233" s="26" t="str">
        <f>IFERROR(__xludf.DUMMYFUNCTION("""COMPUTED_VALUE"""),"CGPA")</f>
        <v>CGPA</v>
      </c>
      <c r="L233" s="26" t="str">
        <f>IFERROR(__xludf.DUMMYFUNCTION("""COMPUTED_VALUE"""),"Theory")</f>
        <v>Theory</v>
      </c>
      <c r="M233" s="26"/>
      <c r="N233" s="26"/>
      <c r="O233" s="26"/>
    </row>
    <row r="234" ht="13.2" spans="1:15">
      <c r="A234" s="26">
        <f>IFERROR(__xludf.DUMMYFUNCTION("""COMPUTED_VALUE"""),232)</f>
        <v>232</v>
      </c>
      <c r="B234" s="26"/>
      <c r="C234" s="26" t="str">
        <f>IFERROR(__xludf.DUMMYFUNCTION("""COMPUTED_VALUE"""),"PE")</f>
        <v>PE</v>
      </c>
      <c r="D234" s="26" t="str">
        <f>IFERROR(__xludf.DUMMYFUNCTION("""COMPUTED_VALUE"""),"CS2508")</f>
        <v>CS2508</v>
      </c>
      <c r="E234" s="26" t="str">
        <f>IFERROR(__xludf.DUMMYFUNCTION("""COMPUTED_VALUE"""),"19IT508")</f>
        <v>19IT508</v>
      </c>
      <c r="F234" s="27" t="str">
        <f>IFERROR(__xludf.DUMMYFUNCTION("""COMPUTED_VALUE"""),"TCP/IP Design and Implementation")</f>
        <v>TCP/IP Design and Implementation</v>
      </c>
      <c r="G234" s="26" t="str">
        <f>IFERROR(__xludf.DUMMYFUNCTION("""COMPUTED_VALUE"""),"-")</f>
        <v>-</v>
      </c>
      <c r="H234" s="26">
        <f>IFERROR(__xludf.DUMMYFUNCTION("""COMPUTED_VALUE"""),3)</f>
        <v>3</v>
      </c>
      <c r="I234" s="26">
        <f>IFERROR(__xludf.DUMMYFUNCTION("""COMPUTED_VALUE"""),0)</f>
        <v>0</v>
      </c>
      <c r="J234" s="26">
        <f>IFERROR(__xludf.DUMMYFUNCTION("""COMPUTED_VALUE"""),3)</f>
        <v>3</v>
      </c>
      <c r="K234" s="26" t="str">
        <f>IFERROR(__xludf.DUMMYFUNCTION("""COMPUTED_VALUE"""),"CGPA")</f>
        <v>CGPA</v>
      </c>
      <c r="L234" s="26" t="str">
        <f>IFERROR(__xludf.DUMMYFUNCTION("""COMPUTED_VALUE"""),"Theory")</f>
        <v>Theory</v>
      </c>
      <c r="M234" s="26"/>
      <c r="N234" s="26"/>
      <c r="O234" s="26"/>
    </row>
    <row r="235" ht="13.2" spans="1:15">
      <c r="A235" s="26">
        <f>IFERROR(__xludf.DUMMYFUNCTION("""COMPUTED_VALUE"""),233)</f>
        <v>233</v>
      </c>
      <c r="B235" s="26"/>
      <c r="C235" s="26" t="str">
        <f>IFERROR(__xludf.DUMMYFUNCTION("""COMPUTED_VALUE"""),"PE")</f>
        <v>PE</v>
      </c>
      <c r="D235" s="26" t="str">
        <f>IFERROR(__xludf.DUMMYFUNCTION("""COMPUTED_VALUE"""),"CS2509")</f>
        <v>CS2509</v>
      </c>
      <c r="E235" s="26" t="str">
        <f>IFERROR(__xludf.DUMMYFUNCTION("""COMPUTED_VALUE"""),"19IT509")</f>
        <v>19IT509</v>
      </c>
      <c r="F235" s="27" t="str">
        <f>IFERROR(__xludf.DUMMYFUNCTION("""COMPUTED_VALUE"""),"Advanced Algorithms")</f>
        <v>Advanced Algorithms</v>
      </c>
      <c r="G235" s="26" t="str">
        <f>IFERROR(__xludf.DUMMYFUNCTION("""COMPUTED_VALUE"""),"-")</f>
        <v>-</v>
      </c>
      <c r="H235" s="26">
        <f>IFERROR(__xludf.DUMMYFUNCTION("""COMPUTED_VALUE"""),3)</f>
        <v>3</v>
      </c>
      <c r="I235" s="26">
        <f>IFERROR(__xludf.DUMMYFUNCTION("""COMPUTED_VALUE"""),0)</f>
        <v>0</v>
      </c>
      <c r="J235" s="26">
        <f>IFERROR(__xludf.DUMMYFUNCTION("""COMPUTED_VALUE"""),3)</f>
        <v>3</v>
      </c>
      <c r="K235" s="26" t="str">
        <f>IFERROR(__xludf.DUMMYFUNCTION("""COMPUTED_VALUE"""),"CGPA")</f>
        <v>CGPA</v>
      </c>
      <c r="L235" s="26" t="str">
        <f>IFERROR(__xludf.DUMMYFUNCTION("""COMPUTED_VALUE"""),"Theory")</f>
        <v>Theory</v>
      </c>
      <c r="M235" s="26"/>
      <c r="N235" s="26"/>
      <c r="O235" s="26"/>
    </row>
    <row r="236" ht="13.2" spans="1:15">
      <c r="A236" s="26">
        <f>IFERROR(__xludf.DUMMYFUNCTION("""COMPUTED_VALUE"""),234)</f>
        <v>234</v>
      </c>
      <c r="B236" s="26"/>
      <c r="C236" s="26" t="str">
        <f>IFERROR(__xludf.DUMMYFUNCTION("""COMPUTED_VALUE"""),"PE")</f>
        <v>PE</v>
      </c>
      <c r="D236" s="26" t="str">
        <f>IFERROR(__xludf.DUMMYFUNCTION("""COMPUTED_VALUE"""),"CS2510")</f>
        <v>CS2510</v>
      </c>
      <c r="E236" s="26" t="str">
        <f>IFERROR(__xludf.DUMMYFUNCTION("""COMPUTED_VALUE"""),"19IT510")</f>
        <v>19IT510</v>
      </c>
      <c r="F236" s="27" t="str">
        <f>IFERROR(__xludf.DUMMYFUNCTION("""COMPUTED_VALUE"""),"Ethical Hacking")</f>
        <v>Ethical Hacking</v>
      </c>
      <c r="G236" s="26" t="str">
        <f>IFERROR(__xludf.DUMMYFUNCTION("""COMPUTED_VALUE"""),"-")</f>
        <v>-</v>
      </c>
      <c r="H236" s="26">
        <f>IFERROR(__xludf.DUMMYFUNCTION("""COMPUTED_VALUE"""),3)</f>
        <v>3</v>
      </c>
      <c r="I236" s="26">
        <f>IFERROR(__xludf.DUMMYFUNCTION("""COMPUTED_VALUE"""),0)</f>
        <v>0</v>
      </c>
      <c r="J236" s="26">
        <f>IFERROR(__xludf.DUMMYFUNCTION("""COMPUTED_VALUE"""),3)</f>
        <v>3</v>
      </c>
      <c r="K236" s="26" t="str">
        <f>IFERROR(__xludf.DUMMYFUNCTION("""COMPUTED_VALUE"""),"CGPA")</f>
        <v>CGPA</v>
      </c>
      <c r="L236" s="26" t="str">
        <f>IFERROR(__xludf.DUMMYFUNCTION("""COMPUTED_VALUE"""),"Theory")</f>
        <v>Theory</v>
      </c>
      <c r="M236" s="26"/>
      <c r="N236" s="26"/>
      <c r="O236" s="26"/>
    </row>
    <row r="237" ht="13.2" spans="1:15">
      <c r="A237" s="26">
        <f>IFERROR(__xludf.DUMMYFUNCTION("""COMPUTED_VALUE"""),235)</f>
        <v>235</v>
      </c>
      <c r="B237" s="26"/>
      <c r="C237" s="26" t="str">
        <f>IFERROR(__xludf.DUMMYFUNCTION("""COMPUTED_VALUE"""),"PE")</f>
        <v>PE</v>
      </c>
      <c r="D237" s="26" t="str">
        <f>IFERROR(__xludf.DUMMYFUNCTION("""COMPUTED_VALUE"""),"CS2511")</f>
        <v>CS2511</v>
      </c>
      <c r="E237" s="26" t="str">
        <f>IFERROR(__xludf.DUMMYFUNCTION("""COMPUTED_VALUE"""),"19IT511")</f>
        <v>19IT511</v>
      </c>
      <c r="F237" s="27" t="str">
        <f>IFERROR(__xludf.DUMMYFUNCTION("""COMPUTED_VALUE"""),"DHTML and XML")</f>
        <v>DHTML and XML</v>
      </c>
      <c r="G237" s="26" t="str">
        <f>IFERROR(__xludf.DUMMYFUNCTION("""COMPUTED_VALUE"""),"-")</f>
        <v>-</v>
      </c>
      <c r="H237" s="26">
        <f>IFERROR(__xludf.DUMMYFUNCTION("""COMPUTED_VALUE"""),3)</f>
        <v>3</v>
      </c>
      <c r="I237" s="26">
        <f>IFERROR(__xludf.DUMMYFUNCTION("""COMPUTED_VALUE"""),0)</f>
        <v>0</v>
      </c>
      <c r="J237" s="26">
        <f>IFERROR(__xludf.DUMMYFUNCTION("""COMPUTED_VALUE"""),3)</f>
        <v>3</v>
      </c>
      <c r="K237" s="26" t="str">
        <f>IFERROR(__xludf.DUMMYFUNCTION("""COMPUTED_VALUE"""),"CGPA")</f>
        <v>CGPA</v>
      </c>
      <c r="L237" s="26" t="str">
        <f>IFERROR(__xludf.DUMMYFUNCTION("""COMPUTED_VALUE"""),"Theory")</f>
        <v>Theory</v>
      </c>
      <c r="M237" s="26"/>
      <c r="N237" s="26"/>
      <c r="O237" s="26"/>
    </row>
    <row r="238" ht="13.2" spans="1:15">
      <c r="A238" s="26">
        <f>IFERROR(__xludf.DUMMYFUNCTION("""COMPUTED_VALUE"""),236)</f>
        <v>236</v>
      </c>
      <c r="B238" s="26"/>
      <c r="C238" s="26" t="str">
        <f>IFERROR(__xludf.DUMMYFUNCTION("""COMPUTED_VALUE"""),"PE")</f>
        <v>PE</v>
      </c>
      <c r="D238" s="26" t="str">
        <f>IFERROR(__xludf.DUMMYFUNCTION("""COMPUTED_VALUE"""),"CS2512")</f>
        <v>CS2512</v>
      </c>
      <c r="E238" s="26" t="str">
        <f>IFERROR(__xludf.DUMMYFUNCTION("""COMPUTED_VALUE"""),"19IT512")</f>
        <v>19IT512</v>
      </c>
      <c r="F238" s="27" t="str">
        <f>IFERROR(__xludf.DUMMYFUNCTION("""COMPUTED_VALUE"""),"E-Commerce")</f>
        <v>E-Commerce</v>
      </c>
      <c r="G238" s="26" t="str">
        <f>IFERROR(__xludf.DUMMYFUNCTION("""COMPUTED_VALUE"""),"-")</f>
        <v>-</v>
      </c>
      <c r="H238" s="26">
        <f>IFERROR(__xludf.DUMMYFUNCTION("""COMPUTED_VALUE"""),3)</f>
        <v>3</v>
      </c>
      <c r="I238" s="26">
        <f>IFERROR(__xludf.DUMMYFUNCTION("""COMPUTED_VALUE"""),0)</f>
        <v>0</v>
      </c>
      <c r="J238" s="26">
        <f>IFERROR(__xludf.DUMMYFUNCTION("""COMPUTED_VALUE"""),3)</f>
        <v>3</v>
      </c>
      <c r="K238" s="26" t="str">
        <f>IFERROR(__xludf.DUMMYFUNCTION("""COMPUTED_VALUE"""),"CGPA")</f>
        <v>CGPA</v>
      </c>
      <c r="L238" s="26" t="str">
        <f>IFERROR(__xludf.DUMMYFUNCTION("""COMPUTED_VALUE"""),"Theory")</f>
        <v>Theory</v>
      </c>
      <c r="M238" s="26"/>
      <c r="N238" s="26"/>
      <c r="O238" s="26"/>
    </row>
    <row r="239" ht="13.2" spans="1:15">
      <c r="A239" s="26">
        <f>IFERROR(__xludf.DUMMYFUNCTION("""COMPUTED_VALUE"""),237)</f>
        <v>237</v>
      </c>
      <c r="B239" s="26"/>
      <c r="C239" s="26" t="str">
        <f>IFERROR(__xludf.DUMMYFUNCTION("""COMPUTED_VALUE"""),"PE")</f>
        <v>PE</v>
      </c>
      <c r="D239" s="26" t="str">
        <f>IFERROR(__xludf.DUMMYFUNCTION("""COMPUTED_VALUE"""),"CS2513")</f>
        <v>CS2513</v>
      </c>
      <c r="E239" s="26" t="str">
        <f>IFERROR(__xludf.DUMMYFUNCTION("""COMPUTED_VALUE"""),"19IT513")</f>
        <v>19IT513</v>
      </c>
      <c r="F239" s="27" t="str">
        <f>IFERROR(__xludf.DUMMYFUNCTION("""COMPUTED_VALUE"""),"Free Open Source Software")</f>
        <v>Free Open Source Software</v>
      </c>
      <c r="G239" s="26" t="str">
        <f>IFERROR(__xludf.DUMMYFUNCTION("""COMPUTED_VALUE"""),"-")</f>
        <v>-</v>
      </c>
      <c r="H239" s="26">
        <f>IFERROR(__xludf.DUMMYFUNCTION("""COMPUTED_VALUE"""),3)</f>
        <v>3</v>
      </c>
      <c r="I239" s="26">
        <f>IFERROR(__xludf.DUMMYFUNCTION("""COMPUTED_VALUE"""),0)</f>
        <v>0</v>
      </c>
      <c r="J239" s="26">
        <f>IFERROR(__xludf.DUMMYFUNCTION("""COMPUTED_VALUE"""),3)</f>
        <v>3</v>
      </c>
      <c r="K239" s="26" t="str">
        <f>IFERROR(__xludf.DUMMYFUNCTION("""COMPUTED_VALUE"""),"CGPA")</f>
        <v>CGPA</v>
      </c>
      <c r="L239" s="26" t="str">
        <f>IFERROR(__xludf.DUMMYFUNCTION("""COMPUTED_VALUE"""),"Theory")</f>
        <v>Theory</v>
      </c>
      <c r="M239" s="26"/>
      <c r="N239" s="26"/>
      <c r="O239" s="26"/>
    </row>
    <row r="240" ht="13.2" spans="1:15">
      <c r="A240" s="26">
        <f>IFERROR(__xludf.DUMMYFUNCTION("""COMPUTED_VALUE"""),238)</f>
        <v>238</v>
      </c>
      <c r="B240" s="26"/>
      <c r="C240" s="26" t="str">
        <f>IFERROR(__xludf.DUMMYFUNCTION("""COMPUTED_VALUE"""),"PE")</f>
        <v>PE</v>
      </c>
      <c r="D240" s="26" t="str">
        <f>IFERROR(__xludf.DUMMYFUNCTION("""COMPUTED_VALUE"""),"CS2514")</f>
        <v>CS2514</v>
      </c>
      <c r="E240" s="26" t="str">
        <f>IFERROR(__xludf.DUMMYFUNCTION("""COMPUTED_VALUE"""),"19IT514")</f>
        <v>19IT514</v>
      </c>
      <c r="F240" s="27" t="str">
        <f>IFERROR(__xludf.DUMMYFUNCTION("""COMPUTED_VALUE"""),"Real Time Operating Systems")</f>
        <v>Real Time Operating Systems</v>
      </c>
      <c r="G240" s="26" t="str">
        <f>IFERROR(__xludf.DUMMYFUNCTION("""COMPUTED_VALUE"""),"-")</f>
        <v>-</v>
      </c>
      <c r="H240" s="26">
        <f>IFERROR(__xludf.DUMMYFUNCTION("""COMPUTED_VALUE"""),3)</f>
        <v>3</v>
      </c>
      <c r="I240" s="26">
        <f>IFERROR(__xludf.DUMMYFUNCTION("""COMPUTED_VALUE"""),0)</f>
        <v>0</v>
      </c>
      <c r="J240" s="26">
        <f>IFERROR(__xludf.DUMMYFUNCTION("""COMPUTED_VALUE"""),3)</f>
        <v>3</v>
      </c>
      <c r="K240" s="26" t="str">
        <f>IFERROR(__xludf.DUMMYFUNCTION("""COMPUTED_VALUE"""),"CGPA")</f>
        <v>CGPA</v>
      </c>
      <c r="L240" s="26" t="str">
        <f>IFERROR(__xludf.DUMMYFUNCTION("""COMPUTED_VALUE"""),"Theory")</f>
        <v>Theory</v>
      </c>
      <c r="M240" s="26"/>
      <c r="N240" s="26"/>
      <c r="O240" s="26"/>
    </row>
    <row r="241" ht="13.2" spans="1:15">
      <c r="A241" s="26">
        <f>IFERROR(__xludf.DUMMYFUNCTION("""COMPUTED_VALUE"""),239)</f>
        <v>239</v>
      </c>
      <c r="B241" s="26"/>
      <c r="C241" s="26" t="str">
        <f>IFERROR(__xludf.DUMMYFUNCTION("""COMPUTED_VALUE"""),"PE")</f>
        <v>PE</v>
      </c>
      <c r="D241" s="26" t="str">
        <f>IFERROR(__xludf.DUMMYFUNCTION("""COMPUTED_VALUE"""),"CS2515")</f>
        <v>CS2515</v>
      </c>
      <c r="E241" s="26" t="str">
        <f>IFERROR(__xludf.DUMMYFUNCTION("""COMPUTED_VALUE"""),"19IT515")</f>
        <v>19IT515</v>
      </c>
      <c r="F241" s="27" t="str">
        <f>IFERROR(__xludf.DUMMYFUNCTION("""COMPUTED_VALUE"""),"Software Agents")</f>
        <v>Software Agents</v>
      </c>
      <c r="G241" s="26" t="str">
        <f>IFERROR(__xludf.DUMMYFUNCTION("""COMPUTED_VALUE"""),"-")</f>
        <v>-</v>
      </c>
      <c r="H241" s="26">
        <f>IFERROR(__xludf.DUMMYFUNCTION("""COMPUTED_VALUE"""),3)</f>
        <v>3</v>
      </c>
      <c r="I241" s="26">
        <f>IFERROR(__xludf.DUMMYFUNCTION("""COMPUTED_VALUE"""),0)</f>
        <v>0</v>
      </c>
      <c r="J241" s="26">
        <f>IFERROR(__xludf.DUMMYFUNCTION("""COMPUTED_VALUE"""),3)</f>
        <v>3</v>
      </c>
      <c r="K241" s="26" t="str">
        <f>IFERROR(__xludf.DUMMYFUNCTION("""COMPUTED_VALUE"""),"CGPA")</f>
        <v>CGPA</v>
      </c>
      <c r="L241" s="26" t="str">
        <f>IFERROR(__xludf.DUMMYFUNCTION("""COMPUTED_VALUE"""),"Theory")</f>
        <v>Theory</v>
      </c>
      <c r="M241" s="26"/>
      <c r="N241" s="26"/>
      <c r="O241" s="26"/>
    </row>
    <row r="242" ht="13.2" spans="1:15">
      <c r="A242" s="26">
        <f>IFERROR(__xludf.DUMMYFUNCTION("""COMPUTED_VALUE"""),240)</f>
        <v>240</v>
      </c>
      <c r="B242" s="26"/>
      <c r="C242" s="26" t="str">
        <f>IFERROR(__xludf.DUMMYFUNCTION("""COMPUTED_VALUE"""),"PE")</f>
        <v>PE</v>
      </c>
      <c r="D242" s="26" t="str">
        <f>IFERROR(__xludf.DUMMYFUNCTION("""COMPUTED_VALUE"""),"CS2516")</f>
        <v>CS2516</v>
      </c>
      <c r="E242" s="26" t="str">
        <f>IFERROR(__xludf.DUMMYFUNCTION("""COMPUTED_VALUE"""),"19IT516")</f>
        <v>19IT516</v>
      </c>
      <c r="F242" s="27" t="str">
        <f>IFERROR(__xludf.DUMMYFUNCTION("""COMPUTED_VALUE"""),"Business Intelligence and Analytics")</f>
        <v>Business Intelligence and Analytics</v>
      </c>
      <c r="G242" s="26" t="str">
        <f>IFERROR(__xludf.DUMMYFUNCTION("""COMPUTED_VALUE"""),"-")</f>
        <v>-</v>
      </c>
      <c r="H242" s="26">
        <f>IFERROR(__xludf.DUMMYFUNCTION("""COMPUTED_VALUE"""),3)</f>
        <v>3</v>
      </c>
      <c r="I242" s="26">
        <f>IFERROR(__xludf.DUMMYFUNCTION("""COMPUTED_VALUE"""),0)</f>
        <v>0</v>
      </c>
      <c r="J242" s="26">
        <f>IFERROR(__xludf.DUMMYFUNCTION("""COMPUTED_VALUE"""),3)</f>
        <v>3</v>
      </c>
      <c r="K242" s="26" t="str">
        <f>IFERROR(__xludf.DUMMYFUNCTION("""COMPUTED_VALUE"""),"CGPA")</f>
        <v>CGPA</v>
      </c>
      <c r="L242" s="26" t="str">
        <f>IFERROR(__xludf.DUMMYFUNCTION("""COMPUTED_VALUE"""),"Theory")</f>
        <v>Theory</v>
      </c>
      <c r="M242" s="26"/>
      <c r="N242" s="26"/>
      <c r="O242" s="26"/>
    </row>
    <row r="243" ht="13.2" spans="1:15">
      <c r="A243" s="26">
        <f>IFERROR(__xludf.DUMMYFUNCTION("""COMPUTED_VALUE"""),241)</f>
        <v>241</v>
      </c>
      <c r="B243" s="26"/>
      <c r="C243" s="26" t="str">
        <f>IFERROR(__xludf.DUMMYFUNCTION("""COMPUTED_VALUE"""),"OE")</f>
        <v>OE</v>
      </c>
      <c r="D243" s="26" t="str">
        <f>IFERROR(__xludf.DUMMYFUNCTION("""COMPUTED_VALUE"""),"XXXXXX")</f>
        <v>XXXXXX</v>
      </c>
      <c r="E243" s="26" t="str">
        <f>IFERROR(__xludf.DUMMYFUNCTION("""COMPUTED_VALUE"""),"19XXXXX")</f>
        <v>19XXXXX</v>
      </c>
      <c r="F243" s="26" t="str">
        <f>IFERROR(__xludf.DUMMYFUNCTION("""COMPUTED_VALUE"""),"Open Electives")</f>
        <v>Open Electives</v>
      </c>
      <c r="G243" s="26" t="str">
        <f>IFERROR(__xludf.DUMMYFUNCTION("""COMPUTED_VALUE"""),"-")</f>
        <v>-</v>
      </c>
      <c r="H243" s="26">
        <f>IFERROR(__xludf.DUMMYFUNCTION("""COMPUTED_VALUE"""),0)</f>
        <v>0</v>
      </c>
      <c r="I243" s="26">
        <f>IFERROR(__xludf.DUMMYFUNCTION("""COMPUTED_VALUE"""),0)</f>
        <v>0</v>
      </c>
      <c r="J243" s="26">
        <f>IFERROR(__xludf.DUMMYFUNCTION("""COMPUTED_VALUE"""),0)</f>
        <v>0</v>
      </c>
      <c r="K243" s="26" t="str">
        <f>IFERROR(__xludf.DUMMYFUNCTION("""COMPUTED_VALUE"""),"CGPA")</f>
        <v>CGPA</v>
      </c>
      <c r="L243" s="26" t="str">
        <f>IFERROR(__xludf.DUMMYFUNCTION("""COMPUTED_VALUE"""),"Theory")</f>
        <v>Theory</v>
      </c>
      <c r="M243" s="26"/>
      <c r="N243" s="26"/>
      <c r="O243" s="26"/>
    </row>
    <row r="244" ht="13.2" spans="1:15">
      <c r="A244" s="26">
        <f>IFERROR(__xludf.DUMMYFUNCTION("""COMPUTED_VALUE"""),242)</f>
        <v>242</v>
      </c>
      <c r="B244" s="26"/>
      <c r="C244" s="26" t="str">
        <f>IFERROR(__xludf.DUMMYFUNCTION("""COMPUTED_VALUE"""),"OE")</f>
        <v>OE</v>
      </c>
      <c r="D244" s="26" t="str">
        <f>IFERROR(__xludf.DUMMYFUNCTION("""COMPUTED_VALUE"""),"XXXXXX")</f>
        <v>XXXXXX</v>
      </c>
      <c r="E244" s="26" t="str">
        <f>IFERROR(__xludf.DUMMYFUNCTION("""COMPUTED_VALUE"""),"19XXXXX")</f>
        <v>19XXXXX</v>
      </c>
      <c r="F244" s="26" t="str">
        <f>IFERROR(__xludf.DUMMYFUNCTION("""COMPUTED_VALUE"""),"Online Courses")</f>
        <v>Online Courses</v>
      </c>
      <c r="G244" s="26" t="str">
        <f>IFERROR(__xludf.DUMMYFUNCTION("""COMPUTED_VALUE"""),"-")</f>
        <v>-</v>
      </c>
      <c r="H244" s="26">
        <f>IFERROR(__xludf.DUMMYFUNCTION("""COMPUTED_VALUE"""),0)</f>
        <v>0</v>
      </c>
      <c r="I244" s="26">
        <f>IFERROR(__xludf.DUMMYFUNCTION("""COMPUTED_VALUE"""),0)</f>
        <v>0</v>
      </c>
      <c r="J244" s="26">
        <f>IFERROR(__xludf.DUMMYFUNCTION("""COMPUTED_VALUE"""),0)</f>
        <v>0</v>
      </c>
      <c r="K244" s="26" t="str">
        <f>IFERROR(__xludf.DUMMYFUNCTION("""COMPUTED_VALUE"""),"CGPA")</f>
        <v>CGPA</v>
      </c>
      <c r="L244" s="26" t="str">
        <f>IFERROR(__xludf.DUMMYFUNCTION("""COMPUTED_VALUE"""),"Experiential Learning")</f>
        <v>Experiential Learning</v>
      </c>
      <c r="M244" s="26"/>
      <c r="N244" s="26"/>
      <c r="O244" s="26"/>
    </row>
    <row r="245" ht="13.2" spans="1:15">
      <c r="A245" s="26">
        <f>IFERROR(__xludf.DUMMYFUNCTION("""COMPUTED_VALUE"""),243)</f>
        <v>243</v>
      </c>
      <c r="B245" s="26"/>
      <c r="C245" s="26" t="str">
        <f>IFERROR(__xludf.DUMMYFUNCTION("""COMPUTED_VALUE"""),"EEC")</f>
        <v>EEC</v>
      </c>
      <c r="D245" s="26" t="str">
        <f>IFERROR(__xludf.DUMMYFUNCTION("""COMPUTED_VALUE"""),"CS3701")</f>
        <v>CS3701</v>
      </c>
      <c r="E245" s="26" t="str">
        <f>IFERROR(__xludf.DUMMYFUNCTION("""COMPUTED_VALUE"""),"19AI701")</f>
        <v>19AI701</v>
      </c>
      <c r="F245" s="27" t="str">
        <f>IFERROR(__xludf.DUMMYFUNCTION("""COMPUTED_VALUE"""),"Mini Project")</f>
        <v>Mini Project</v>
      </c>
      <c r="G245" s="26" t="str">
        <f>IFERROR(__xludf.DUMMYFUNCTION("""COMPUTED_VALUE"""),"-")</f>
        <v>-</v>
      </c>
      <c r="H245" s="26">
        <f>IFERROR(__xludf.DUMMYFUNCTION("""COMPUTED_VALUE"""),0)</f>
        <v>0</v>
      </c>
      <c r="I245" s="26">
        <f>IFERROR(__xludf.DUMMYFUNCTION("""COMPUTED_VALUE"""),2)</f>
        <v>2</v>
      </c>
      <c r="J245" s="26">
        <f>IFERROR(__xludf.DUMMYFUNCTION("""COMPUTED_VALUE"""),2)</f>
        <v>2</v>
      </c>
      <c r="K245" s="26" t="str">
        <f>IFERROR(__xludf.DUMMYFUNCTION("""COMPUTED_VALUE"""),"CGPA")</f>
        <v>CGPA</v>
      </c>
      <c r="L245" s="26" t="str">
        <f>IFERROR(__xludf.DUMMYFUNCTION("""COMPUTED_VALUE"""),"Project (Int Only)")</f>
        <v>Project (Int Only)</v>
      </c>
      <c r="M245" s="26"/>
      <c r="N245" s="26"/>
      <c r="O245" s="26"/>
    </row>
    <row r="246" ht="13.2" spans="1:15">
      <c r="A246" s="26">
        <f>IFERROR(__xludf.DUMMYFUNCTION("""COMPUTED_VALUE"""),244)</f>
        <v>244</v>
      </c>
      <c r="B246" s="26" t="str">
        <f>IFERROR(__xludf.DUMMYFUNCTION("""COMPUTED_VALUE"""),"Option 1")</f>
        <v>Option 1</v>
      </c>
      <c r="C246" s="26" t="str">
        <f>IFERROR(__xludf.DUMMYFUNCTION("""COMPUTED_VALUE"""),"EEC")</f>
        <v>EEC</v>
      </c>
      <c r="D246" s="26" t="str">
        <f>IFERROR(__xludf.DUMMYFUNCTION("""COMPUTED_VALUE"""),"CS3702")</f>
        <v>CS3702</v>
      </c>
      <c r="E246" s="26" t="str">
        <f>IFERROR(__xludf.DUMMYFUNCTION("""COMPUTED_VALUE"""),"19AI702")</f>
        <v>19AI702</v>
      </c>
      <c r="F246" s="27" t="str">
        <f>IFERROR(__xludf.DUMMYFUNCTION("""COMPUTED_VALUE"""),"Project Work I")</f>
        <v>Project Work I</v>
      </c>
      <c r="G246" s="26" t="str">
        <f>IFERROR(__xludf.DUMMYFUNCTION("""COMPUTED_VALUE"""),"-")</f>
        <v>-</v>
      </c>
      <c r="H246" s="26">
        <f>IFERROR(__xludf.DUMMYFUNCTION("""COMPUTED_VALUE"""),0)</f>
        <v>0</v>
      </c>
      <c r="I246" s="26">
        <f>IFERROR(__xludf.DUMMYFUNCTION("""COMPUTED_VALUE"""),2)</f>
        <v>2</v>
      </c>
      <c r="J246" s="26">
        <f>IFERROR(__xludf.DUMMYFUNCTION("""COMPUTED_VALUE"""),2)</f>
        <v>2</v>
      </c>
      <c r="K246" s="26" t="str">
        <f>IFERROR(__xludf.DUMMYFUNCTION("""COMPUTED_VALUE"""),"CGPA")</f>
        <v>CGPA</v>
      </c>
      <c r="L246" s="26" t="str">
        <f>IFERROR(__xludf.DUMMYFUNCTION("""COMPUTED_VALUE"""),"Practical (10 Expts)")</f>
        <v>Practical (10 Expts)</v>
      </c>
      <c r="M246" s="26"/>
      <c r="N246" s="26"/>
      <c r="O246" s="26"/>
    </row>
    <row r="247" ht="13.2" spans="1:15">
      <c r="A247" s="26">
        <f>IFERROR(__xludf.DUMMYFUNCTION("""COMPUTED_VALUE"""),245)</f>
        <v>245</v>
      </c>
      <c r="B247" s="26" t="str">
        <f>IFERROR(__xludf.DUMMYFUNCTION("""COMPUTED_VALUE"""),"Option 1")</f>
        <v>Option 1</v>
      </c>
      <c r="C247" s="26" t="str">
        <f>IFERROR(__xludf.DUMMYFUNCTION("""COMPUTED_VALUE"""),"EEC")</f>
        <v>EEC</v>
      </c>
      <c r="D247" s="26" t="str">
        <f>IFERROR(__xludf.DUMMYFUNCTION("""COMPUTED_VALUE"""),"CS3703")</f>
        <v>CS3703</v>
      </c>
      <c r="E247" s="26" t="str">
        <f>IFERROR(__xludf.DUMMYFUNCTION("""COMPUTED_VALUE"""),"19AI703")</f>
        <v>19AI703</v>
      </c>
      <c r="F247" s="27" t="str">
        <f>IFERROR(__xludf.DUMMYFUNCTION("""COMPUTED_VALUE"""),"Project Work II")</f>
        <v>Project Work II</v>
      </c>
      <c r="G247" s="26" t="str">
        <f>IFERROR(__xludf.DUMMYFUNCTION("""COMPUTED_VALUE"""),"19AI702")</f>
        <v>19AI702</v>
      </c>
      <c r="H247" s="26">
        <f>IFERROR(__xludf.DUMMYFUNCTION("""COMPUTED_VALUE"""),0)</f>
        <v>0</v>
      </c>
      <c r="I247" s="26">
        <f>IFERROR(__xludf.DUMMYFUNCTION("""COMPUTED_VALUE"""),6)</f>
        <v>6</v>
      </c>
      <c r="J247" s="26">
        <f>IFERROR(__xludf.DUMMYFUNCTION("""COMPUTED_VALUE"""),6)</f>
        <v>6</v>
      </c>
      <c r="K247" s="26" t="str">
        <f>IFERROR(__xludf.DUMMYFUNCTION("""COMPUTED_VALUE"""),"CGPA")</f>
        <v>CGPA</v>
      </c>
      <c r="L247" s="26" t="str">
        <f>IFERROR(__xludf.DUMMYFUNCTION("""COMPUTED_VALUE"""),"Project")</f>
        <v>Project</v>
      </c>
      <c r="M247" s="26"/>
      <c r="N247" s="26"/>
      <c r="O247" s="26"/>
    </row>
    <row r="248" ht="13.2" spans="1:15">
      <c r="A248" s="26">
        <f>IFERROR(__xludf.DUMMYFUNCTION("""COMPUTED_VALUE"""),246)</f>
        <v>246</v>
      </c>
      <c r="B248" s="26" t="str">
        <f>IFERROR(__xludf.DUMMYFUNCTION("""COMPUTED_VALUE"""),"Option 2")</f>
        <v>Option 2</v>
      </c>
      <c r="C248" s="26" t="str">
        <f>IFERROR(__xludf.DUMMYFUNCTION("""COMPUTED_VALUE"""),"EEC")</f>
        <v>EEC</v>
      </c>
      <c r="D248" s="26" t="str">
        <f>IFERROR(__xludf.DUMMYFUNCTION("""COMPUTED_VALUE"""),"SH6802")</f>
        <v>SH6802</v>
      </c>
      <c r="E248" s="26" t="str">
        <f>IFERROR(__xludf.DUMMYFUNCTION("""COMPUTED_VALUE"""),"NA")</f>
        <v>NA</v>
      </c>
      <c r="F248" s="26" t="str">
        <f>IFERROR(__xludf.DUMMYFUNCTION("""COMPUTED_VALUE"""),"Start Up")</f>
        <v>Start Up</v>
      </c>
      <c r="G248" s="26" t="str">
        <f>IFERROR(__xludf.DUMMYFUNCTION("""COMPUTED_VALUE"""),"-")</f>
        <v>-</v>
      </c>
      <c r="H248" s="26">
        <f>IFERROR(__xludf.DUMMYFUNCTION("""COMPUTED_VALUE"""),0)</f>
        <v>0</v>
      </c>
      <c r="I248" s="26">
        <f>IFERROR(__xludf.DUMMYFUNCTION("""COMPUTED_VALUE"""),8)</f>
        <v>8</v>
      </c>
      <c r="J248" s="26">
        <f>IFERROR(__xludf.DUMMYFUNCTION("""COMPUTED_VALUE"""),8)</f>
        <v>8</v>
      </c>
      <c r="K248" s="26" t="str">
        <f>IFERROR(__xludf.DUMMYFUNCTION("""COMPUTED_VALUE"""),"CGPA")</f>
        <v>CGPA</v>
      </c>
      <c r="L248" s="26" t="str">
        <f>IFERROR(__xludf.DUMMYFUNCTION("""COMPUTED_VALUE"""),"Project")</f>
        <v>Project</v>
      </c>
      <c r="M248" s="26"/>
      <c r="N248" s="26"/>
      <c r="O248" s="26"/>
    </row>
    <row r="249" ht="13.2" spans="1:15">
      <c r="A249" s="26">
        <f>IFERROR(__xludf.DUMMYFUNCTION("""COMPUTED_VALUE"""),247)</f>
        <v>247</v>
      </c>
      <c r="B249" s="26"/>
      <c r="C249" s="26" t="str">
        <f>IFERROR(__xludf.DUMMYFUNCTION("""COMPUTED_VALUE"""),"EEC")</f>
        <v>EEC</v>
      </c>
      <c r="D249" s="26" t="str">
        <f>IFERROR(__xludf.DUMMYFUNCTION("""COMPUTED_VALUE"""),"SH6708")</f>
        <v>SH6708</v>
      </c>
      <c r="E249" s="26" t="str">
        <f>IFERROR(__xludf.DUMMYFUNCTION("""COMPUTED_VALUE"""),"19EY708")</f>
        <v>19EY708</v>
      </c>
      <c r="F249" s="27" t="str">
        <f>IFERROR(__xludf.DUMMYFUNCTION("""COMPUTED_VALUE"""),"Career Development Skills")</f>
        <v>Career Development Skills</v>
      </c>
      <c r="G249" s="26" t="str">
        <f>IFERROR(__xludf.DUMMYFUNCTION("""COMPUTED_VALUE"""),"NIL")</f>
        <v>NIL</v>
      </c>
      <c r="H249" s="26">
        <f>IFERROR(__xludf.DUMMYFUNCTION("""COMPUTED_VALUE"""),1)</f>
        <v>1</v>
      </c>
      <c r="I249" s="26">
        <f>IFERROR(__xludf.DUMMYFUNCTION("""COMPUTED_VALUE"""),0)</f>
        <v>0</v>
      </c>
      <c r="J249" s="26">
        <f>IFERROR(__xludf.DUMMYFUNCTION("""COMPUTED_VALUE"""),1)</f>
        <v>1</v>
      </c>
      <c r="K249" s="26" t="str">
        <f>IFERROR(__xludf.DUMMYFUNCTION("""COMPUTED_VALUE"""),"CGPA")</f>
        <v>CGPA</v>
      </c>
      <c r="L249" s="26" t="str">
        <f>IFERROR(__xludf.DUMMYFUNCTION("""COMPUTED_VALUE"""),"Theory (Int Only)")</f>
        <v>Theory (Int Only)</v>
      </c>
      <c r="M249" s="26"/>
      <c r="N249" s="26"/>
      <c r="O249" s="26"/>
    </row>
    <row r="250" ht="13.2" spans="1:15">
      <c r="A250" s="26">
        <f>IFERROR(__xludf.DUMMYFUNCTION("""COMPUTED_VALUE"""),248)</f>
        <v>248</v>
      </c>
      <c r="B250" s="26"/>
      <c r="C250" s="26" t="str">
        <f>IFERROR(__xludf.DUMMYFUNCTION("""COMPUTED_VALUE"""),"EEC")</f>
        <v>EEC</v>
      </c>
      <c r="D250" s="26" t="str">
        <f>IFERROR(__xludf.DUMMYFUNCTION("""COMPUTED_VALUE"""),"SH6709")</f>
        <v>SH6709</v>
      </c>
      <c r="E250" s="26" t="str">
        <f>IFERROR(__xludf.DUMMYFUNCTION("""COMPUTED_VALUE"""),"19EY709")</f>
        <v>19EY709</v>
      </c>
      <c r="F250" s="27" t="str">
        <f>IFERROR(__xludf.DUMMYFUNCTION("""COMPUTED_VALUE"""),"Reasoning Ability")</f>
        <v>Reasoning Ability</v>
      </c>
      <c r="G250" s="26" t="str">
        <f>IFERROR(__xludf.DUMMYFUNCTION("""COMPUTED_VALUE"""),"NIL")</f>
        <v>NIL</v>
      </c>
      <c r="H250" s="26">
        <f>IFERROR(__xludf.DUMMYFUNCTION("""COMPUTED_VALUE"""),1)</f>
        <v>1</v>
      </c>
      <c r="I250" s="26">
        <f>IFERROR(__xludf.DUMMYFUNCTION("""COMPUTED_VALUE"""),0)</f>
        <v>0</v>
      </c>
      <c r="J250" s="26">
        <f>IFERROR(__xludf.DUMMYFUNCTION("""COMPUTED_VALUE"""),1)</f>
        <v>1</v>
      </c>
      <c r="K250" s="26" t="str">
        <f>IFERROR(__xludf.DUMMYFUNCTION("""COMPUTED_VALUE"""),"CGPA")</f>
        <v>CGPA</v>
      </c>
      <c r="L250" s="26" t="str">
        <f>IFERROR(__xludf.DUMMYFUNCTION("""COMPUTED_VALUE"""),"Theory (Int Only)")</f>
        <v>Theory (Int Only)</v>
      </c>
      <c r="M250" s="26"/>
      <c r="N250" s="26"/>
      <c r="O250" s="26"/>
    </row>
    <row r="251" ht="13.2" spans="1:15">
      <c r="A251" s="26">
        <f>IFERROR(__xludf.DUMMYFUNCTION("""COMPUTED_VALUE"""),249)</f>
        <v>249</v>
      </c>
      <c r="B251" s="26"/>
      <c r="C251" s="26" t="str">
        <f>IFERROR(__xludf.DUMMYFUNCTION("""COMPUTED_VALUE"""),"EEC")</f>
        <v>EEC</v>
      </c>
      <c r="D251" s="26" t="str">
        <f>IFERROR(__xludf.DUMMYFUNCTION("""COMPUTED_VALUE"""),"SH6710")</f>
        <v>SH6710</v>
      </c>
      <c r="E251" s="26" t="str">
        <f>IFERROR(__xludf.DUMMYFUNCTION("""COMPUTED_VALUE"""),"19EY710")</f>
        <v>19EY710</v>
      </c>
      <c r="F251" s="27" t="str">
        <f>IFERROR(__xludf.DUMMYFUNCTION("""COMPUTED_VALUE"""),"Quantitative Ability I")</f>
        <v>Quantitative Ability I</v>
      </c>
      <c r="G251" s="26" t="str">
        <f>IFERROR(__xludf.DUMMYFUNCTION("""COMPUTED_VALUE"""),"NIL")</f>
        <v>NIL</v>
      </c>
      <c r="H251" s="26">
        <f>IFERROR(__xludf.DUMMYFUNCTION("""COMPUTED_VALUE"""),1)</f>
        <v>1</v>
      </c>
      <c r="I251" s="26">
        <f>IFERROR(__xludf.DUMMYFUNCTION("""COMPUTED_VALUE"""),0)</f>
        <v>0</v>
      </c>
      <c r="J251" s="26">
        <f>IFERROR(__xludf.DUMMYFUNCTION("""COMPUTED_VALUE"""),1)</f>
        <v>1</v>
      </c>
      <c r="K251" s="26" t="str">
        <f>IFERROR(__xludf.DUMMYFUNCTION("""COMPUTED_VALUE"""),"CGPA")</f>
        <v>CGPA</v>
      </c>
      <c r="L251" s="26" t="str">
        <f>IFERROR(__xludf.DUMMYFUNCTION("""COMPUTED_VALUE"""),"Theory (Int Only)")</f>
        <v>Theory (Int Only)</v>
      </c>
      <c r="M251" s="26"/>
      <c r="N251" s="26"/>
      <c r="O251" s="26"/>
    </row>
    <row r="252" ht="13.2" spans="1:15">
      <c r="A252" s="26">
        <f>IFERROR(__xludf.DUMMYFUNCTION("""COMPUTED_VALUE"""),250)</f>
        <v>250</v>
      </c>
      <c r="B252" s="26"/>
      <c r="C252" s="26" t="str">
        <f>IFERROR(__xludf.DUMMYFUNCTION("""COMPUTED_VALUE"""),"EEC")</f>
        <v>EEC</v>
      </c>
      <c r="D252" s="26" t="str">
        <f>IFERROR(__xludf.DUMMYFUNCTION("""COMPUTED_VALUE"""),"SH6711")</f>
        <v>SH6711</v>
      </c>
      <c r="E252" s="26" t="str">
        <f>IFERROR(__xludf.DUMMYFUNCTION("""COMPUTED_VALUE"""),"19EY711")</f>
        <v>19EY711</v>
      </c>
      <c r="F252" s="27" t="str">
        <f>IFERROR(__xludf.DUMMYFUNCTION("""COMPUTED_VALUE"""),"Quantitative Ability II")</f>
        <v>Quantitative Ability II</v>
      </c>
      <c r="G252" s="26" t="str">
        <f>IFERROR(__xludf.DUMMYFUNCTION("""COMPUTED_VALUE"""),"SH6710 /19EY710")</f>
        <v>SH6710 /19EY710</v>
      </c>
      <c r="H252" s="26">
        <f>IFERROR(__xludf.DUMMYFUNCTION("""COMPUTED_VALUE"""),1)</f>
        <v>1</v>
      </c>
      <c r="I252" s="26">
        <f>IFERROR(__xludf.DUMMYFUNCTION("""COMPUTED_VALUE"""),0)</f>
        <v>0</v>
      </c>
      <c r="J252" s="26">
        <f>IFERROR(__xludf.DUMMYFUNCTION("""COMPUTED_VALUE"""),1)</f>
        <v>1</v>
      </c>
      <c r="K252" s="26" t="str">
        <f>IFERROR(__xludf.DUMMYFUNCTION("""COMPUTED_VALUE"""),"CGPA")</f>
        <v>CGPA</v>
      </c>
      <c r="L252" s="26" t="str">
        <f>IFERROR(__xludf.DUMMYFUNCTION("""COMPUTED_VALUE"""),"Theory (Int Only)")</f>
        <v>Theory (Int Only)</v>
      </c>
      <c r="M252" s="26"/>
      <c r="N252" s="26"/>
      <c r="O252" s="26"/>
    </row>
    <row r="253" ht="13.2" spans="1:15">
      <c r="A253" s="26">
        <f>IFERROR(__xludf.DUMMYFUNCTION("""COMPUTED_VALUE"""),251)</f>
        <v>251</v>
      </c>
      <c r="B253" s="26"/>
      <c r="C253" s="26" t="str">
        <f>IFERROR(__xludf.DUMMYFUNCTION("""COMPUTED_VALUE"""),"EEC")</f>
        <v>EEC</v>
      </c>
      <c r="D253" s="26" t="str">
        <f>IFERROR(__xludf.DUMMYFUNCTION("""COMPUTED_VALUE"""),"SH6712")</f>
        <v>SH6712</v>
      </c>
      <c r="E253" s="26" t="str">
        <f>IFERROR(__xludf.DUMMYFUNCTION("""COMPUTED_VALUE"""),"19EY712")</f>
        <v>19EY712</v>
      </c>
      <c r="F253" s="27" t="str">
        <f>IFERROR(__xludf.DUMMYFUNCTION("""COMPUTED_VALUE"""),"Employment Enrichment Skills")</f>
        <v>Employment Enrichment Skills</v>
      </c>
      <c r="G253" s="26" t="str">
        <f>IFERROR(__xludf.DUMMYFUNCTION("""COMPUTED_VALUE"""),"19EY702 / 19EY709 / SH6709")</f>
        <v>19EY702 / 19EY709 / SH6709</v>
      </c>
      <c r="H253" s="26">
        <f>IFERROR(__xludf.DUMMYFUNCTION("""COMPUTED_VALUE"""),1)</f>
        <v>1</v>
      </c>
      <c r="I253" s="26">
        <f>IFERROR(__xludf.DUMMYFUNCTION("""COMPUTED_VALUE"""),0)</f>
        <v>0</v>
      </c>
      <c r="J253" s="26">
        <f>IFERROR(__xludf.DUMMYFUNCTION("""COMPUTED_VALUE"""),1)</f>
        <v>1</v>
      </c>
      <c r="K253" s="26" t="str">
        <f>IFERROR(__xludf.DUMMYFUNCTION("""COMPUTED_VALUE"""),"CGPA")</f>
        <v>CGPA</v>
      </c>
      <c r="L253" s="26" t="str">
        <f>IFERROR(__xludf.DUMMYFUNCTION("""COMPUTED_VALUE"""),"Theory (Int Only)")</f>
        <v>Theory (Int Only)</v>
      </c>
      <c r="M253" s="26"/>
      <c r="N253" s="26"/>
      <c r="O253" s="26"/>
    </row>
    <row r="254" ht="13.2" spans="1:15">
      <c r="A254" s="26">
        <f>IFERROR(__xludf.DUMMYFUNCTION("""COMPUTED_VALUE"""),252)</f>
        <v>252</v>
      </c>
      <c r="B254" s="26" t="str">
        <f>IFERROR(__xludf.DUMMYFUNCTION("""COMPUTED_VALUE"""),"Any 1")</f>
        <v>Any 1</v>
      </c>
      <c r="C254" s="26" t="str">
        <f>IFERROR(__xludf.DUMMYFUNCTION("""COMPUTED_VALUE"""),"EEC")</f>
        <v>EEC</v>
      </c>
      <c r="D254" s="26" t="str">
        <f>IFERROR(__xludf.DUMMYFUNCTION("""COMPUTED_VALUE"""),"NA")</f>
        <v>NA</v>
      </c>
      <c r="E254" s="26" t="str">
        <f>IFERROR(__xludf.DUMMYFUNCTION("""COMPUTED_VALUE"""),"19EY706")</f>
        <v>19EY706</v>
      </c>
      <c r="F254" s="27" t="str">
        <f>IFERROR(__xludf.DUMMYFUNCTION("""COMPUTED_VALUE"""),"Company Specific Assessments For Employability")</f>
        <v>Company Specific Assessments For Employability</v>
      </c>
      <c r="G254" s="26" t="str">
        <f>IFERROR(__xludf.DUMMYFUNCTION("""COMPUTED_VALUE"""),"-")</f>
        <v>-</v>
      </c>
      <c r="H254" s="26">
        <f>IFERROR(__xludf.DUMMYFUNCTION("""COMPUTED_VALUE"""),0)</f>
        <v>0</v>
      </c>
      <c r="I254" s="26">
        <f>IFERROR(__xludf.DUMMYFUNCTION("""COMPUTED_VALUE"""),1)</f>
        <v>1</v>
      </c>
      <c r="J254" s="26">
        <f>IFERROR(__xludf.DUMMYFUNCTION("""COMPUTED_VALUE"""),1)</f>
        <v>1</v>
      </c>
      <c r="K254" s="26" t="str">
        <f>IFERROR(__xludf.DUMMYFUNCTION("""COMPUTED_VALUE"""),"CGPA")</f>
        <v>CGPA</v>
      </c>
      <c r="L254" s="26" t="str">
        <f>IFERROR(__xludf.DUMMYFUNCTION("""COMPUTED_VALUE"""),"Practical (6 Expts)")</f>
        <v>Practical (6 Expts)</v>
      </c>
      <c r="M254" s="26"/>
      <c r="N254" s="26"/>
      <c r="O254" s="26"/>
    </row>
    <row r="255" ht="13.2" spans="1:15">
      <c r="A255" s="26">
        <f>IFERROR(__xludf.DUMMYFUNCTION("""COMPUTED_VALUE"""),253)</f>
        <v>253</v>
      </c>
      <c r="B255" s="26" t="str">
        <f>IFERROR(__xludf.DUMMYFUNCTION("""COMPUTED_VALUE"""),"Any 1")</f>
        <v>Any 1</v>
      </c>
      <c r="C255" s="26"/>
      <c r="D255" s="26" t="str">
        <f>IFERROR(__xludf.DUMMYFUNCTION("""COMPUTED_VALUE"""),"SH6713")</f>
        <v>SH6713</v>
      </c>
      <c r="E255" s="26" t="str">
        <f>IFERROR(__xludf.DUMMYFUNCTION("""COMPUTED_VALUE"""),"19EY713")</f>
        <v>19EY713</v>
      </c>
      <c r="F255" s="27" t="str">
        <f>IFERROR(__xludf.DUMMYFUNCTION("""COMPUTED_VALUE"""),"Placement Readiness Assessment")</f>
        <v>Placement Readiness Assessment</v>
      </c>
      <c r="G255" s="26" t="str">
        <f>IFERROR(__xludf.DUMMYFUNCTION("""COMPUTED_VALUE"""),"19EY704 / 19EY711/SH6711")</f>
        <v>19EY704 / 19EY711/SH6711</v>
      </c>
      <c r="H255" s="26">
        <f>IFERROR(__xludf.DUMMYFUNCTION("""COMPUTED_VALUE"""),1)</f>
        <v>1</v>
      </c>
      <c r="I255" s="26">
        <f>IFERROR(__xludf.DUMMYFUNCTION("""COMPUTED_VALUE"""),0)</f>
        <v>0</v>
      </c>
      <c r="J255" s="26">
        <f>IFERROR(__xludf.DUMMYFUNCTION("""COMPUTED_VALUE"""),1)</f>
        <v>1</v>
      </c>
      <c r="K255" s="26" t="str">
        <f>IFERROR(__xludf.DUMMYFUNCTION("""COMPUTED_VALUE"""),"CGPA")</f>
        <v>CGPA</v>
      </c>
      <c r="L255" s="26" t="str">
        <f>IFERROR(__xludf.DUMMYFUNCTION("""COMPUTED_VALUE"""),"Theory (Int Only)")</f>
        <v>Theory (Int Only)</v>
      </c>
      <c r="M255" s="26"/>
      <c r="N255" s="26"/>
      <c r="O255" s="26"/>
    </row>
    <row r="256" ht="13.2" spans="1:15">
      <c r="A256" s="26">
        <f>IFERROR(__xludf.DUMMYFUNCTION("""COMPUTED_VALUE"""),254)</f>
        <v>254</v>
      </c>
      <c r="B256" s="26"/>
      <c r="C256" s="26" t="str">
        <f>IFERROR(__xludf.DUMMYFUNCTION("""COMPUTED_VALUE"""),"EEC")</f>
        <v>EEC</v>
      </c>
      <c r="D256" s="26" t="str">
        <f>IFERROR(__xludf.DUMMYFUNCTION("""COMPUTED_VALUE"""),"SH6707")</f>
        <v>SH6707</v>
      </c>
      <c r="E256" s="26" t="str">
        <f>IFERROR(__xludf.DUMMYFUNCTION("""COMPUTED_VALUE"""),"19EY707")</f>
        <v>19EY707</v>
      </c>
      <c r="F256" s="27" t="str">
        <f>IFERROR(__xludf.DUMMYFUNCTION("""COMPUTED_VALUE"""),"Paper Publication")</f>
        <v>Paper Publication</v>
      </c>
      <c r="G256" s="26" t="str">
        <f>IFERROR(__xludf.DUMMYFUNCTION("""COMPUTED_VALUE"""),"-")</f>
        <v>-</v>
      </c>
      <c r="H256" s="26">
        <f>IFERROR(__xludf.DUMMYFUNCTION("""COMPUTED_VALUE"""),0)</f>
        <v>0</v>
      </c>
      <c r="I256" s="26">
        <f>IFERROR(__xludf.DUMMYFUNCTION("""COMPUTED_VALUE"""),0)</f>
        <v>0</v>
      </c>
      <c r="J256" s="26">
        <f>IFERROR(__xludf.DUMMYFUNCTION("""COMPUTED_VALUE"""),1)</f>
        <v>1</v>
      </c>
      <c r="K256" s="26" t="str">
        <f>IFERROR(__xludf.DUMMYFUNCTION("""COMPUTED_VALUE"""),"NON-CGPA")</f>
        <v>NON-CGPA</v>
      </c>
      <c r="L256" s="26" t="str">
        <f>IFERROR(__xludf.DUMMYFUNCTION("""COMPUTED_VALUE"""),"Experiential Learning (Int Only)")</f>
        <v>Experiential Learning (Int Only)</v>
      </c>
      <c r="M256" s="26"/>
      <c r="N256" s="26"/>
      <c r="O256" s="26"/>
    </row>
    <row r="257" ht="13.2" spans="1:15">
      <c r="A257" s="26">
        <f>IFERROR(__xludf.DUMMYFUNCTION("""COMPUTED_VALUE"""),255)</f>
        <v>255</v>
      </c>
      <c r="B257" s="26"/>
      <c r="C257" s="26" t="str">
        <f>IFERROR(__xludf.DUMMYFUNCTION("""COMPUTED_VALUE"""),"MC")</f>
        <v>MC</v>
      </c>
      <c r="D257" s="26" t="str">
        <f>IFERROR(__xludf.DUMMYFUNCTION("""COMPUTED_VALUE"""),"SH8801")</f>
        <v>SH8801</v>
      </c>
      <c r="E257" s="26" t="str">
        <f>IFERROR(__xludf.DUMMYFUNCTION("""COMPUTED_VALUE"""),"NA")</f>
        <v>NA</v>
      </c>
      <c r="F257" s="27" t="str">
        <f>IFERROR(__xludf.DUMMYFUNCTION("""COMPUTED_VALUE"""),"Constitutionalism and Artificial Intelligence Policies in India")</f>
        <v>Constitutionalism and Artificial Intelligence Policies in India</v>
      </c>
      <c r="G257" s="26" t="str">
        <f>IFERROR(__xludf.DUMMYFUNCTION("""COMPUTED_VALUE"""),"-")</f>
        <v>-</v>
      </c>
      <c r="H257" s="26">
        <f>IFERROR(__xludf.DUMMYFUNCTION("""COMPUTED_VALUE"""),1)</f>
        <v>1</v>
      </c>
      <c r="I257" s="26">
        <f>IFERROR(__xludf.DUMMYFUNCTION("""COMPUTED_VALUE"""),0)</f>
        <v>0</v>
      </c>
      <c r="J257" s="26">
        <f>IFERROR(__xludf.DUMMYFUNCTION("""COMPUTED_VALUE"""),1)</f>
        <v>1</v>
      </c>
      <c r="K257" s="26" t="str">
        <f>IFERROR(__xludf.DUMMYFUNCTION("""COMPUTED_VALUE"""),"NON-CGPA")</f>
        <v>NON-CGPA</v>
      </c>
      <c r="L257" s="26" t="str">
        <f>IFERROR(__xludf.DUMMYFUNCTION("""COMPUTED_VALUE"""),"Theory (Int Only)")</f>
        <v>Theory (Int Only)</v>
      </c>
      <c r="M257" s="26"/>
      <c r="N257" s="26"/>
      <c r="O257" s="26"/>
    </row>
    <row r="258" ht="13.2" spans="1:15">
      <c r="A258" s="26">
        <f>IFERROR(__xludf.DUMMYFUNCTION("""COMPUTED_VALUE"""),256)</f>
        <v>256</v>
      </c>
      <c r="B258" s="26" t="str">
        <f>IFERROR(__xludf.DUMMYFUNCTION("""COMPUTED_VALUE"""),"Any 1")</f>
        <v>Any 1</v>
      </c>
      <c r="C258" s="26" t="str">
        <f>IFERROR(__xludf.DUMMYFUNCTION("""COMPUTED_VALUE"""),"MC")</f>
        <v>MC</v>
      </c>
      <c r="D258" s="26" t="str">
        <f>IFERROR(__xludf.DUMMYFUNCTION("""COMPUTED_VALUE"""),"SH8802")</f>
        <v>SH8802</v>
      </c>
      <c r="E258" s="26" t="str">
        <f>IFERROR(__xludf.DUMMYFUNCTION("""COMPUTED_VALUE"""),"NA")</f>
        <v>NA</v>
      </c>
      <c r="F258" s="27" t="str">
        <f>IFERROR(__xludf.DUMMYFUNCTION("""COMPUTED_VALUE"""),"Internship")</f>
        <v>Internship</v>
      </c>
      <c r="G258" s="26" t="str">
        <f>IFERROR(__xludf.DUMMYFUNCTION("""COMPUTED_VALUE"""),"-")</f>
        <v>-</v>
      </c>
      <c r="H258" s="26">
        <f>IFERROR(__xludf.DUMMYFUNCTION("""COMPUTED_VALUE"""),0)</f>
        <v>0</v>
      </c>
      <c r="I258" s="26">
        <f>IFERROR(__xludf.DUMMYFUNCTION("""COMPUTED_VALUE"""),0)</f>
        <v>0</v>
      </c>
      <c r="J258" s="26">
        <f>IFERROR(__xludf.DUMMYFUNCTION("""COMPUTED_VALUE"""),2)</f>
        <v>2</v>
      </c>
      <c r="K258" s="26" t="str">
        <f>IFERROR(__xludf.DUMMYFUNCTION("""COMPUTED_VALUE"""),"NON-CGPA")</f>
        <v>NON-CGPA</v>
      </c>
      <c r="L258" s="26" t="str">
        <f>IFERROR(__xludf.DUMMYFUNCTION("""COMPUTED_VALUE"""),"Experiential Learning (Int Only)")</f>
        <v>Experiential Learning (Int Only)</v>
      </c>
      <c r="M258" s="26"/>
      <c r="N258" s="26"/>
      <c r="O258" s="26"/>
    </row>
    <row r="259" ht="13.2" spans="1:15">
      <c r="A259" s="26">
        <f>IFERROR(__xludf.DUMMYFUNCTION("""COMPUTED_VALUE"""),257)</f>
        <v>257</v>
      </c>
      <c r="B259" s="26" t="str">
        <f>IFERROR(__xludf.DUMMYFUNCTION("""COMPUTED_VALUE"""),"Any 1")</f>
        <v>Any 1</v>
      </c>
      <c r="C259" s="26" t="str">
        <f>IFERROR(__xludf.DUMMYFUNCTION("""COMPUTED_VALUE"""),"MC")</f>
        <v>MC</v>
      </c>
      <c r="D259" s="26" t="str">
        <f>IFERROR(__xludf.DUMMYFUNCTION("""COMPUTED_VALUE"""),"SH8803")</f>
        <v>SH8803</v>
      </c>
      <c r="E259" s="26" t="str">
        <f>IFERROR(__xludf.DUMMYFUNCTION("""COMPUTED_VALUE"""),"NA")</f>
        <v>NA</v>
      </c>
      <c r="F259" s="26" t="str">
        <f>IFERROR(__xludf.DUMMYFUNCTION("""COMPUTED_VALUE"""),"Entrepreneurship")</f>
        <v>Entrepreneurship</v>
      </c>
      <c r="G259" s="26" t="str">
        <f>IFERROR(__xludf.DUMMYFUNCTION("""COMPUTED_VALUE"""),"-")</f>
        <v>-</v>
      </c>
      <c r="H259" s="26">
        <f>IFERROR(__xludf.DUMMYFUNCTION("""COMPUTED_VALUE"""),0)</f>
        <v>0</v>
      </c>
      <c r="I259" s="26">
        <f>IFERROR(__xludf.DUMMYFUNCTION("""COMPUTED_VALUE"""),0)</f>
        <v>0</v>
      </c>
      <c r="J259" s="26">
        <f>IFERROR(__xludf.DUMMYFUNCTION("""COMPUTED_VALUE"""),2)</f>
        <v>2</v>
      </c>
      <c r="K259" s="26" t="str">
        <f>IFERROR(__xludf.DUMMYFUNCTION("""COMPUTED_VALUE"""),"NON-CGPA")</f>
        <v>NON-CGPA</v>
      </c>
      <c r="L259" s="26" t="str">
        <f>IFERROR(__xludf.DUMMYFUNCTION("""COMPUTED_VALUE"""),"Experiential Learning (Int Only)")</f>
        <v>Experiential Learning (Int Only)</v>
      </c>
      <c r="M259" s="26"/>
      <c r="N259" s="26"/>
      <c r="O259" s="26"/>
    </row>
    <row r="260" ht="13.2" spans="1:15">
      <c r="A260" s="26">
        <f>IFERROR(__xludf.DUMMYFUNCTION("""COMPUTED_VALUE"""),258)</f>
        <v>258</v>
      </c>
      <c r="B260" s="26" t="str">
        <f>IFERROR(__xludf.DUMMYFUNCTION("""COMPUTED_VALUE"""),"Any 1")</f>
        <v>Any 1</v>
      </c>
      <c r="C260" s="26" t="str">
        <f>IFERROR(__xludf.DUMMYFUNCTION("""COMPUTED_VALUE"""),"MC")</f>
        <v>MC</v>
      </c>
      <c r="D260" s="26" t="str">
        <f>IFERROR(__xludf.DUMMYFUNCTION("""COMPUTED_VALUE"""),"SH6803")</f>
        <v>SH6803</v>
      </c>
      <c r="E260" s="26" t="str">
        <f>IFERROR(__xludf.DUMMYFUNCTION("""COMPUTED_VALUE"""),"19MC807")</f>
        <v>19MC807</v>
      </c>
      <c r="F260" s="26" t="str">
        <f>IFERROR(__xludf.DUMMYFUNCTION("""COMPUTED_VALUE"""),"National Service Scheme")</f>
        <v>National Service Scheme</v>
      </c>
      <c r="G260" s="26" t="str">
        <f>IFERROR(__xludf.DUMMYFUNCTION("""COMPUTED_VALUE"""),"-")</f>
        <v>-</v>
      </c>
      <c r="H260" s="26">
        <f>IFERROR(__xludf.DUMMYFUNCTION("""COMPUTED_VALUE"""),0)</f>
        <v>0</v>
      </c>
      <c r="I260" s="26">
        <f>IFERROR(__xludf.DUMMYFUNCTION("""COMPUTED_VALUE"""),0)</f>
        <v>0</v>
      </c>
      <c r="J260" s="26">
        <f>IFERROR(__xludf.DUMMYFUNCTION("""COMPUTED_VALUE"""),0)</f>
        <v>0</v>
      </c>
      <c r="K260" s="26" t="str">
        <f>IFERROR(__xludf.DUMMYFUNCTION("""COMPUTED_VALUE"""),"NON-CGPA")</f>
        <v>NON-CGPA</v>
      </c>
      <c r="L260" s="26" t="str">
        <f>IFERROR(__xludf.DUMMYFUNCTION("""COMPUTED_VALUE"""),"Experiential Learning (Int Only)")</f>
        <v>Experiential Learning (Int Only)</v>
      </c>
      <c r="M260" s="26"/>
      <c r="N260" s="26"/>
      <c r="O260" s="26"/>
    </row>
    <row r="261" ht="13.2" spans="1:15">
      <c r="A261" s="26">
        <f>IFERROR(__xludf.DUMMYFUNCTION("""COMPUTED_VALUE"""),259)</f>
        <v>259</v>
      </c>
      <c r="B261" s="26" t="str">
        <f>IFERROR(__xludf.DUMMYFUNCTION("""COMPUTED_VALUE"""),"Any 1")</f>
        <v>Any 1</v>
      </c>
      <c r="C261" s="26" t="str">
        <f>IFERROR(__xludf.DUMMYFUNCTION("""COMPUTED_VALUE"""),"MC")</f>
        <v>MC</v>
      </c>
      <c r="D261" s="26" t="str">
        <f>IFERROR(__xludf.DUMMYFUNCTION("""COMPUTED_VALUE"""),"SH8807")</f>
        <v>SH8807</v>
      </c>
      <c r="E261" s="26" t="str">
        <f>IFERROR(__xludf.DUMMYFUNCTION("""COMPUTED_VALUE"""),"19MC808")</f>
        <v>19MC808</v>
      </c>
      <c r="F261" s="26" t="str">
        <f>IFERROR(__xludf.DUMMYFUNCTION("""COMPUTED_VALUE"""),"National Sports Organization ")</f>
        <v>National Sports Organization </v>
      </c>
      <c r="G261" s="26" t="str">
        <f>IFERROR(__xludf.DUMMYFUNCTION("""COMPUTED_VALUE"""),"-")</f>
        <v>-</v>
      </c>
      <c r="H261" s="26">
        <f>IFERROR(__xludf.DUMMYFUNCTION("""COMPUTED_VALUE"""),0)</f>
        <v>0</v>
      </c>
      <c r="I261" s="26">
        <f>IFERROR(__xludf.DUMMYFUNCTION("""COMPUTED_VALUE"""),0)</f>
        <v>0</v>
      </c>
      <c r="J261" s="26">
        <f>IFERROR(__xludf.DUMMYFUNCTION("""COMPUTED_VALUE"""),0)</f>
        <v>0</v>
      </c>
      <c r="K261" s="26" t="str">
        <f>IFERROR(__xludf.DUMMYFUNCTION("""COMPUTED_VALUE"""),"NON-CGPA")</f>
        <v>NON-CGPA</v>
      </c>
      <c r="L261" s="26" t="str">
        <f>IFERROR(__xludf.DUMMYFUNCTION("""COMPUTED_VALUE"""),"Experiential Learning (Int Only)")</f>
        <v>Experiential Learning (Int Only)</v>
      </c>
      <c r="M261" s="26"/>
      <c r="N261" s="26"/>
      <c r="O261" s="26"/>
    </row>
    <row r="262" ht="13.2" spans="1:15">
      <c r="A262" s="26">
        <f>IFERROR(__xludf.DUMMYFUNCTION("""COMPUTED_VALUE"""),260)</f>
        <v>260</v>
      </c>
      <c r="B262" s="26" t="str">
        <f>IFERROR(__xludf.DUMMYFUNCTION("""COMPUTED_VALUE"""),"Any 1")</f>
        <v>Any 1</v>
      </c>
      <c r="C262" s="26" t="str">
        <f>IFERROR(__xludf.DUMMYFUNCTION("""COMPUTED_VALUE"""),"MC")</f>
        <v>MC</v>
      </c>
      <c r="D262" s="26" t="str">
        <f>IFERROR(__xludf.DUMMYFUNCTION("""COMPUTED_VALUE"""),"SH8808")</f>
        <v>SH8808</v>
      </c>
      <c r="E262" s="26" t="str">
        <f>IFERROR(__xludf.DUMMYFUNCTION("""COMPUTED_VALUE"""),"19MC809")</f>
        <v>19MC809</v>
      </c>
      <c r="F262" s="26" t="str">
        <f>IFERROR(__xludf.DUMMYFUNCTION("""COMPUTED_VALUE"""),"Youth Red Cross")</f>
        <v>Youth Red Cross</v>
      </c>
      <c r="G262" s="26" t="str">
        <f>IFERROR(__xludf.DUMMYFUNCTION("""COMPUTED_VALUE"""),"-")</f>
        <v>-</v>
      </c>
      <c r="H262" s="26">
        <f>IFERROR(__xludf.DUMMYFUNCTION("""COMPUTED_VALUE"""),0)</f>
        <v>0</v>
      </c>
      <c r="I262" s="26">
        <f>IFERROR(__xludf.DUMMYFUNCTION("""COMPUTED_VALUE"""),0)</f>
        <v>0</v>
      </c>
      <c r="J262" s="26">
        <f>IFERROR(__xludf.DUMMYFUNCTION("""COMPUTED_VALUE"""),0)</f>
        <v>0</v>
      </c>
      <c r="K262" s="26" t="str">
        <f>IFERROR(__xludf.DUMMYFUNCTION("""COMPUTED_VALUE"""),"NON-CGPA")</f>
        <v>NON-CGPA</v>
      </c>
      <c r="L262" s="26" t="str">
        <f>IFERROR(__xludf.DUMMYFUNCTION("""COMPUTED_VALUE"""),"Experiential Learning (Int Only)")</f>
        <v>Experiential Learning (Int Only)</v>
      </c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  <row r="811" ht="13.2" spans="1: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</row>
    <row r="812" ht="13.2" spans="1: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</row>
    <row r="813" ht="13.2" spans="1: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</row>
    <row r="814" ht="13.2" spans="1: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</row>
    <row r="815" ht="13.2" spans="1: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</row>
    <row r="816" ht="13.2" spans="1: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</row>
    <row r="817" ht="13.2" spans="1: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</row>
    <row r="818" ht="13.2" spans="1: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</row>
    <row r="819" ht="13.2" spans="1: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</row>
    <row r="820" ht="13.2" spans="1: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</row>
    <row r="821" ht="13.2" spans="1: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</row>
    <row r="822" ht="13.2" spans="1: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</row>
    <row r="823" ht="13.2" spans="1: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</row>
    <row r="824" ht="13.2" spans="1: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</row>
    <row r="825" ht="13.2" spans="1: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</row>
    <row r="826" ht="13.2" spans="1: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</row>
    <row r="827" ht="13.2" spans="1: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</row>
    <row r="828" ht="13.2" spans="1: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</row>
    <row r="829" ht="13.2" spans="1: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</row>
    <row r="830" ht="13.2" spans="1: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</row>
    <row r="831" ht="13.2" spans="1: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</row>
    <row r="832" ht="13.2" spans="1: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</row>
    <row r="833" ht="13.2" spans="1: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</row>
    <row r="834" ht="13.2" spans="1: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</row>
    <row r="835" ht="13.2" spans="1: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</row>
    <row r="836" ht="13.2" spans="1: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</row>
    <row r="837" ht="13.2" spans="1: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</row>
    <row r="838" ht="13.2" spans="1: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</row>
    <row r="839" ht="13.2" spans="1: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</row>
    <row r="840" ht="13.2" spans="1: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</row>
    <row r="841" ht="13.2" spans="1: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</row>
    <row r="842" ht="13.2" spans="1: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</row>
    <row r="843" ht="13.2" spans="1: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</row>
    <row r="844" ht="13.2" spans="1: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</row>
    <row r="845" ht="13.2" spans="1: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</row>
    <row r="846" ht="13.2" spans="1: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</row>
    <row r="847" ht="13.2" spans="1: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</row>
    <row r="848" ht="13.2" spans="1: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</row>
    <row r="849" ht="13.2" spans="1: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</row>
    <row r="850" ht="13.2" spans="1: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</row>
    <row r="851" ht="13.2" spans="1: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</row>
    <row r="852" ht="13.2" spans="1: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</row>
    <row r="853" ht="13.2" spans="1: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</row>
    <row r="854" ht="13.2" spans="1: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</row>
    <row r="855" ht="13.2" spans="1: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</row>
    <row r="856" ht="13.2" spans="1: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</row>
    <row r="857" ht="13.2" spans="1: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</row>
    <row r="858" ht="13.2" spans="1: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</row>
    <row r="859" ht="13.2" spans="1: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</row>
    <row r="860" ht="13.2" spans="1: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</row>
    <row r="861" ht="13.2" spans="1: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</row>
    <row r="862" ht="13.2" spans="1: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</row>
    <row r="863" ht="13.2" spans="1: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</row>
    <row r="864" ht="13.2" spans="1: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</row>
    <row r="865" ht="13.2" spans="1: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</row>
    <row r="866" ht="13.2" spans="1: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</row>
    <row r="867" ht="13.2" spans="1: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</row>
    <row r="868" ht="13.2" spans="1: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</row>
    <row r="869" ht="13.2" spans="1: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</row>
    <row r="870" ht="13.2" spans="1: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</row>
    <row r="871" ht="13.2" spans="1: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</row>
    <row r="872" ht="13.2" spans="1: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</row>
    <row r="873" ht="13.2" spans="1: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</row>
    <row r="874" ht="13.2" spans="1: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</row>
    <row r="875" ht="13.2" spans="1: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</row>
    <row r="876" ht="13.2" spans="1: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</row>
    <row r="877" ht="13.2" spans="1: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</row>
    <row r="878" ht="13.2" spans="1: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</row>
    <row r="879" ht="13.2" spans="1: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</row>
    <row r="880" ht="13.2" spans="1: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</row>
    <row r="881" ht="13.2" spans="1: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</row>
    <row r="882" ht="13.2" spans="1: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</row>
    <row r="883" ht="13.2" spans="1: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</row>
    <row r="884" ht="13.2" spans="1: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</row>
    <row r="885" ht="13.2" spans="1: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</row>
    <row r="886" ht="13.2" spans="1: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</row>
    <row r="887" ht="13.2" spans="1: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</row>
    <row r="888" ht="13.2" spans="1: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</row>
    <row r="889" ht="13.2" spans="1: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</row>
    <row r="890" ht="13.2" spans="1: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</row>
    <row r="891" ht="13.2" spans="1: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</row>
    <row r="892" ht="13.2" spans="1: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</row>
    <row r="893" ht="13.2" spans="1: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</row>
    <row r="894" ht="13.2" spans="1: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</row>
    <row r="895" ht="13.2" spans="1: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</row>
    <row r="896" ht="13.2" spans="1: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</row>
    <row r="897" ht="13.2" spans="1: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</row>
    <row r="898" ht="13.2" spans="1: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</row>
    <row r="899" ht="13.2" spans="1: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</row>
    <row r="900" ht="13.2" spans="1: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</row>
    <row r="901" ht="13.2" spans="1: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</row>
    <row r="902" ht="13.2" spans="1: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</row>
    <row r="903" ht="13.2" spans="1: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</row>
    <row r="904" ht="13.2" spans="1: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</row>
    <row r="905" ht="13.2" spans="1: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</row>
    <row r="906" ht="13.2" spans="1: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</row>
    <row r="907" ht="13.2" spans="1: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</row>
    <row r="908" ht="13.2" spans="1: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</row>
    <row r="909" ht="13.2" spans="1: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</row>
    <row r="910" ht="13.2" spans="1: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</row>
    <row r="911" ht="13.2" spans="1: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</row>
    <row r="912" ht="13.2" spans="1: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</row>
    <row r="913" ht="13.2" spans="1: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</row>
    <row r="914" ht="13.2" spans="1: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</row>
    <row r="915" ht="13.2" spans="1: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</row>
    <row r="916" ht="13.2" spans="1: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</row>
    <row r="917" ht="13.2" spans="1: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</row>
    <row r="918" ht="13.2" spans="1: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</row>
    <row r="919" ht="13.2" spans="1: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</row>
    <row r="920" ht="13.2" spans="1: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</row>
    <row r="921" ht="13.2" spans="1: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</row>
    <row r="922" ht="13.2" spans="1: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</row>
    <row r="923" ht="13.2" spans="1: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</row>
    <row r="924" ht="13.2" spans="1: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</row>
    <row r="925" ht="13.2" spans="1: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</row>
    <row r="926" ht="13.2" spans="1: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</row>
    <row r="927" ht="13.2" spans="1: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</row>
    <row r="928" ht="13.2" spans="1: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</row>
    <row r="929" ht="13.2" spans="1: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</row>
    <row r="930" ht="13.2" spans="1: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</row>
    <row r="931" ht="13.2" spans="1: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</row>
    <row r="932" ht="13.2" spans="1: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</row>
    <row r="933" ht="13.2" spans="1: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</row>
    <row r="934" ht="13.2" spans="1: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</row>
    <row r="935" ht="13.2" spans="1: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</row>
    <row r="936" ht="13.2" spans="1: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</row>
    <row r="937" ht="13.2" spans="1: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</row>
    <row r="938" ht="13.2" spans="1: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</row>
    <row r="939" ht="13.2" spans="1: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</row>
    <row r="940" ht="13.2" spans="1: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</row>
    <row r="941" ht="13.2" spans="1: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</row>
    <row r="942" ht="13.2" spans="1: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</row>
    <row r="943" ht="13.2" spans="1: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</row>
    <row r="944" ht="13.2" spans="1: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</row>
    <row r="945" ht="13.2" spans="1: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</row>
    <row r="946" ht="13.2" spans="1: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</row>
    <row r="947" ht="13.2" spans="1: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</row>
    <row r="948" ht="13.2" spans="1: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</row>
    <row r="949" ht="13.2" spans="1: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</row>
    <row r="950" ht="13.2" spans="1: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</row>
    <row r="951" ht="13.2" spans="1: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</row>
    <row r="952" ht="13.2" spans="1: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</row>
    <row r="953" ht="13.2" spans="1: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</row>
    <row r="954" ht="13.2" spans="1: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</row>
    <row r="955" ht="13.2" spans="1: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</row>
    <row r="956" ht="13.2" spans="1: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</row>
    <row r="957" ht="13.2" spans="1: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</row>
    <row r="958" ht="13.2" spans="1: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</row>
    <row r="959" ht="13.2" spans="1: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</row>
    <row r="960" ht="13.2" spans="1: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</row>
    <row r="961" ht="13.2" spans="1: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</row>
    <row r="962" ht="13.2" spans="1: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</row>
    <row r="963" ht="13.2" spans="1: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</row>
    <row r="964" ht="13.2" spans="1: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</row>
    <row r="965" ht="13.2" spans="1: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</row>
    <row r="966" ht="13.2" spans="1: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</row>
    <row r="967" ht="13.2" spans="1: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</row>
    <row r="968" ht="13.2" spans="1: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</row>
    <row r="969" ht="13.2" spans="1: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</row>
    <row r="970" ht="13.2" spans="1: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</row>
    <row r="971" ht="13.2" spans="1: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</row>
    <row r="972" ht="13.2" spans="1: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</row>
    <row r="973" ht="13.2" spans="1: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</row>
    <row r="974" ht="13.2" spans="1:1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</row>
    <row r="975" ht="13.2" spans="1:1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</row>
    <row r="976" ht="13.2" spans="1:1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</row>
    <row r="977" ht="13.2" spans="1:1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</row>
    <row r="978" ht="13.2" spans="1:1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</row>
    <row r="979" ht="13.2" spans="1:1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</row>
    <row r="980" ht="13.2" spans="1:1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</row>
    <row r="981" ht="13.2" spans="1:1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</row>
    <row r="982" ht="13.2" spans="1:1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</row>
    <row r="983" ht="13.2" spans="1:1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</row>
    <row r="984" ht="13.2" spans="1:1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</row>
    <row r="985" ht="13.2" spans="1:1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</row>
    <row r="986" ht="13.2" spans="1:1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</row>
    <row r="987" ht="13.2" spans="1:1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</row>
    <row r="988" ht="13.2" spans="1:1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</row>
    <row r="989" ht="13.2" spans="1:1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</row>
    <row r="990" ht="13.2" spans="1:1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</row>
    <row r="991" ht="13.2" spans="1:1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</row>
    <row r="992" ht="13.2" spans="1:1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</row>
    <row r="993" ht="13.2" spans="1:1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</row>
    <row r="994" ht="13.2" spans="1:1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</row>
    <row r="995" ht="13.2" spans="1:1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</row>
    <row r="996" ht="13.2" spans="1:1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</row>
    <row r="997" ht="13.2" spans="1:1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</row>
    <row r="998" ht="13.2" spans="1:1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</row>
    <row r="999" ht="13.2" spans="1:1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</row>
    <row r="1000" ht="13.2" spans="1:1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Human Values and Professional Ethics&quot;)"/>
    <hyperlink ref="F12" r:id="rId11" display="=IFERROR(@__xludf.DUMMYFUNCTION(&quot;&quot;&quot;COMPUTED_VALUE&quot;&quot;&quot;),&quot;Probability and Queueing Models&quot;)"/>
    <hyperlink ref="F13" r:id="rId12" display="=IFERROR(@__xludf.DUMMYFUNCTION(&quot;&quot;&quot;COMPUTED_VALUE&quot;&quot;&quot;),&quot;Transforms and Its Applications&quot;)"/>
    <hyperlink ref="F14" r:id="rId13" display="=IFERROR(@__xludf.DUMMYFUNCTION(&quot;&quot;&quot;COMPUTED_VALUE&quot;&quot;&quot;),&quot;Mathematics for Artificial Intelligence&quot;)"/>
    <hyperlink ref="F15" r:id="rId14" display="=IFERROR(@__xludf.DUMMYFUNCTION(&quot;&quot;&quot;COMPUTED_VALUE&quot;&quot;&quot;),&quot;Linear Algebra Laboratory&quot;)"/>
    <hyperlink ref="F16" r:id="rId15" display="=IFERROR(@__xludf.DUMMYFUNCTION(&quot;&quot;&quot;COMPUTED_VALUE&quot;&quot;&quot;),&quot;Physics for Quantum Computing&quot;)"/>
    <hyperlink ref="F17" r:id="rId16" display="=IFERROR(@__xludf.DUMMYFUNCTION(&quot;&quot;&quot;COMPUTED_VALUE&quot;&quot;&quot;),&quot;Principles of Chemistry in Engineering&quot;)"/>
    <hyperlink ref="F18" r:id="rId17" display="=IFERROR(@__xludf.DUMMYFUNCTION(&quot;&quot;&quot;COMPUTED_VALUE&quot;&quot;&quot;),&quot;Environmental Sciences and Sustainability&quot;)"/>
    <hyperlink ref="F19" r:id="rId18" display="=IFERROR(@__xludf.DUMMYFUNCTION(&quot;&quot;&quot;COMPUTED_VALUE&quot;&quot;&quot;),&quot;Python Programming&quot;)"/>
    <hyperlink ref="F20" r:id="rId19" display="=IFERROR(@__xludf.DUMMYFUNCTION(&quot;&quot;&quot;COMPUTED_VALUE&quot;&quot;&quot;),&quot;Engineering Design and Modelling&quot;)"/>
    <hyperlink ref="F21" r:id="rId20" display="=IFERROR(@__xludf.DUMMYFUNCTION(&quot;&quot;&quot;COMPUTED_VALUE&quot;&quot;&quot;),&quot;Engineering Mechanics and Product Development&quot;)"/>
    <hyperlink ref="F22" r:id="rId21" display="=IFERROR(@__xludf.DUMMYFUNCTION(&quot;&quot;&quot;COMPUTED_VALUE&quot;&quot;&quot;),&quot;Object Oriented Programming using C++&quot;)"/>
    <hyperlink ref="F23" r:id="rId22" display="=IFERROR(@__xludf.DUMMYFUNCTION(&quot;&quot;&quot;COMPUTED_VALUE&quot;&quot;&quot;),&quot;Object Oriented Programming using Java&quot;)"/>
    <hyperlink ref="F24" r:id="rId23" display="=IFERROR(@__xludf.DUMMYFUNCTION(&quot;&quot;&quot;COMPUTED_VALUE&quot;&quot;&quot;),&quot;Object Oriented Programming using C#&quot;)"/>
    <hyperlink ref="F25" r:id="rId24" display="=IFERROR(@__xludf.DUMMYFUNCTION(&quot;&quot;&quot;COMPUTED_VALUE&quot;&quot;&quot;),&quot;Digital Electronics&quot;)"/>
    <hyperlink ref="F26" r:id="rId25" display="=IFERROR(@__xludf.DUMMYFUNCTION(&quot;&quot;&quot;COMPUTED_VALUE&quot;&quot;&quot;),&quot;Basic Electrical, Electronics and Measurement Engineering&quot;)"/>
    <hyperlink ref="F27" r:id="rId26" display="=IFERROR(@__xludf.DUMMYFUNCTION(&quot;&quot;&quot;COMPUTED_VALUE&quot;&quot;&quot;),&quot;Programming Microcontrollers&quot;)"/>
    <hyperlink ref="F28" r:id="rId27" display="=IFERROR(@__xludf.DUMMYFUNCTION(&quot;&quot;&quot;COMPUTED_VALUE&quot;&quot;&quot;),&quot;Fundamentals of C Programming&quot;)"/>
    <hyperlink ref="F29" r:id="rId28" display="=IFERROR(@__xludf.DUMMYFUNCTION(&quot;&quot;&quot;COMPUTED_VALUE&quot;&quot;&quot;),&quot;Advanced C Programming&quot;)"/>
    <hyperlink ref="F30" r:id="rId29" display="=IFERROR(@__xludf.DUMMYFUNCTION(&quot;&quot;&quot;COMPUTED_VALUE&quot;&quot;&quot;),&quot;Statistics and Numerical Methods&quot;)"/>
    <hyperlink ref="F32" r:id="rId30" display="=IFERROR(@__xludf.DUMMYFUNCTION(&quot;&quot;&quot;COMPUTED_VALUE&quot;&quot;&quot;),&quot;Data Structures&quot;)"/>
    <hyperlink ref="F33" r:id="rId31" display="=IFERROR(@__xludf.DUMMYFUNCTION(&quot;&quot;&quot;COMPUTED_VALUE&quot;&quot;&quot;),&quot;Analysis of Algorithms&quot;)"/>
    <hyperlink ref="F34" r:id="rId32" display="=IFERROR(@__xludf.DUMMYFUNCTION(&quot;&quot;&quot;COMPUTED_VALUE&quot;&quot;&quot;),&quot;Fundamentals of Artificial Intelligence&quot;)"/>
    <hyperlink ref="F35" r:id="rId33" display="=IFERROR(@__xludf.DUMMYFUNCTION(&quot;&quot;&quot;COMPUTED_VALUE&quot;&quot;&quot;),&quot;Digital Image Processing Techniques&quot;)"/>
    <hyperlink ref="F36" r:id="rId34" display="=IFERROR(@__xludf.DUMMYFUNCTION(&quot;&quot;&quot;COMPUTED_VALUE&quot;&quot;&quot;),&quot;Operating System&quot;)"/>
    <hyperlink ref="F37" r:id="rId35" display="=IFERROR(@__xludf.DUMMYFUNCTION(&quot;&quot;&quot;COMPUTED_VALUE&quot;&quot;&quot;),&quot;Computer Networks&quot;)"/>
    <hyperlink ref="F38" r:id="rId36" display="=IFERROR(@__xludf.DUMMYFUNCTION(&quot;&quot;&quot;COMPUTED_VALUE&quot;&quot;&quot;),&quot;Fundamentals of Web Application Development&quot;)"/>
    <hyperlink ref="F39" r:id="rId37" display="=IFERROR(@__xludf.DUMMYFUNCTION(&quot;&quot;&quot;COMPUTED_VALUE&quot;&quot;&quot;),&quot;Parallel Computing Architecture&quot;)"/>
    <hyperlink ref="F40" r:id="rId38" display="=IFERROR(@__xludf.DUMMYFUNCTION(&quot;&quot;&quot;COMPUTED_VALUE&quot;&quot;&quot;),&quot;Introduction to Data Science&quot;)"/>
    <hyperlink ref="F41" r:id="rId39" display="=IFERROR(@__xludf.DUMMYFUNCTION(&quot;&quot;&quot;COMPUTED_VALUE&quot;&quot;&quot;),&quot;Applied Artificial Intelligence&quot;)"/>
    <hyperlink ref="F42" r:id="rId40" display="=IFERROR(@__xludf.DUMMYFUNCTION(&quot;&quot;&quot;COMPUTED_VALUE&quot;&quot;&quot;),&quot;Introduction to Machine Learning&quot;)"/>
    <hyperlink ref="F43" r:id="rId41" display="=IFERROR(@__xludf.DUMMYFUNCTION(&quot;&quot;&quot;COMPUTED_VALUE&quot;&quot;&quot;),&quot;Neural Networks&quot;)"/>
    <hyperlink ref="F44" r:id="rId42" display="=IFERROR(@__xludf.DUMMYFUNCTION(&quot;&quot;&quot;COMPUTED_VALUE&quot;&quot;&quot;),&quot;Web Data Mining&quot;)"/>
    <hyperlink ref="F45" r:id="rId43" display="=IFERROR(@__xludf.DUMMYFUNCTION(&quot;&quot;&quot;COMPUTED_VALUE&quot;&quot;&quot;),&quot;Deep Learning and its Applications&quot;)"/>
    <hyperlink ref="F46" r:id="rId44" display="=IFERROR(@__xludf.DUMMYFUNCTION(&quot;&quot;&quot;COMPUTED_VALUE&quot;&quot;&quot;),&quot;Theory of Computation&quot;)"/>
    <hyperlink ref="F47" r:id="rId45" display="=IFERROR(@__xludf.DUMMYFUNCTION(&quot;&quot;&quot;COMPUTED_VALUE&quot;&quot;&quot;),&quot;Software Engineering&quot;)"/>
    <hyperlink ref="F48" r:id="rId46" display="=IFERROR(@__xludf.DUMMYFUNCTION(&quot;&quot;&quot;COMPUTED_VALUE&quot;&quot;&quot;),&quot;Compiler Design&quot;)"/>
    <hyperlink ref="F49" r:id="rId47" display="=IFERROR(@__xludf.DUMMYFUNCTION(&quot;&quot;&quot;COMPUTED_VALUE&quot;&quot;&quot;),&quot;Mobile Application Development&quot;)"/>
    <hyperlink ref="F50" r:id="rId48" display="=IFERROR(@__xludf.DUMMYFUNCTION(&quot;&quot;&quot;COMPUTED_VALUE&quot;&quot;&quot;),&quot;Microprocessor and Microcontroller&quot;)"/>
    <hyperlink ref="F51" r:id="rId49" display="=IFERROR(@__xludf.DUMMYFUNCTION(&quot;&quot;&quot;COMPUTED_VALUE&quot;&quot;&quot;),&quot;Control of Robotic Systems&quot;)"/>
    <hyperlink ref="F52" r:id="rId50" display="=IFERROR(@__xludf.DUMMYFUNCTION(&quot;&quot;&quot;COMPUTED_VALUE&quot;&quot;&quot;),&quot;Cryptography and Security&quot;)"/>
    <hyperlink ref="F53" r:id="rId51" display="=IFERROR(@__xludf.DUMMYFUNCTION(&quot;&quot;&quot;COMPUTED_VALUE&quot;&quot;&quot;),&quot;Information Theory for Cyber Security&quot;)"/>
    <hyperlink ref="F54" r:id="rId52" display="=IFERROR(@__xludf.DUMMYFUNCTION(&quot;&quot;&quot;COMPUTED_VALUE&quot;&quot;&quot;),&quot;Introduction to Robotics&quot;)"/>
    <hyperlink ref="F55" r:id="rId53" display="=IFERROR(@__xludf.DUMMYFUNCTION(&quot;&quot;&quot;COMPUTED_VALUE&quot;&quot;&quot;),&quot;Kinematics and Dynamics of Robots&quot;)"/>
    <hyperlink ref="F56" r:id="rId54" display="=IFERROR(@__xludf.DUMMYFUNCTION(&quot;&quot;&quot;COMPUTED_VALUE&quot;&quot;&quot;),&quot;Mobile Robotics&quot;)"/>
    <hyperlink ref="F58" r:id="rId55" display="=IFERROR(@__xludf.DUMMYFUNCTION(&quot;&quot;&quot;COMPUTED_VALUE&quot;&quot;&quot;),&quot;Robotic Sensors&quot;)"/>
    <hyperlink ref="F59" r:id="rId56" display="=IFERROR(@__xludf.DUMMYFUNCTION(&quot;&quot;&quot;COMPUTED_VALUE&quot;&quot;&quot;),&quot;Steganography and Digital Watermarking&quot;)"/>
    <hyperlink ref="F61" r:id="rId57" display="=IFERROR(@__xludf.DUMMYFUNCTION(&quot;&quot;&quot;COMPUTED_VALUE&quot;&quot;&quot;),&quot;Special Topics in Artificial Intelligence&quot;)"/>
    <hyperlink ref="F63" r:id="rId58" display="=IFERROR(@__xludf.DUMMYFUNCTION(&quot;&quot;&quot;COMPUTED_VALUE&quot;&quot;&quot;),&quot;Computer Graphics for Virtual Reality&quot;)"/>
    <hyperlink ref="F64" r:id="rId59" display="=IFERROR(@__xludf.DUMMYFUNCTION(&quot;&quot;&quot;COMPUTED_VALUE&quot;&quot;&quot;),&quot;Mathematical Modelling and Computer Aided Engineering&quot;)"/>
    <hyperlink ref="F65" r:id="rId60" display="=IFERROR(@__xludf.DUMMYFUNCTION(&quot;&quot;&quot;COMPUTED_VALUE&quot;&quot;&quot;),&quot;Concepts of Virtual And Augmented Reality&quot;)"/>
    <hyperlink ref="F66" r:id="rId61" display="=IFERROR(@__xludf.DUMMYFUNCTION(&quot;&quot;&quot;COMPUTED_VALUE&quot;&quot;&quot;),&quot;Mobile VR And AI In Unity&quot;)"/>
    <hyperlink ref="F67" r:id="rId62" display="=IFERROR(@__xludf.DUMMYFUNCTION(&quot;&quot;&quot;COMPUTED_VALUE&quot;&quot;&quot;),&quot;Scientific and Engineering Data Visualization&quot;)"/>
    <hyperlink ref="F68" r:id="rId63" display="=IFERROR(@__xludf.DUMMYFUNCTION(&quot;&quot;&quot;COMPUTED_VALUE&quot;&quot;&quot;),&quot;Mobile User Interface Development&quot;)"/>
    <hyperlink ref="F69" r:id="rId64" display="=IFERROR(@__xludf.DUMMYFUNCTION(&quot;&quot;&quot;COMPUTED_VALUE&quot;&quot;&quot;),&quot;Programming Mobile Devices&quot;)"/>
    <hyperlink ref="F70" r:id="rId65" display="=IFERROR(@__xludf.DUMMYFUNCTION(&quot;&quot;&quot;COMPUTED_VALUE&quot;&quot;&quot;),&quot;Cloud Computing&quot;)"/>
    <hyperlink ref="F71" r:id="rId66" display="=IFERROR(@__xludf.DUMMYFUNCTION(&quot;&quot;&quot;COMPUTED_VALUE&quot;&quot;&quot;),&quot;Agile Software Development&quot;)"/>
    <hyperlink ref="F72" r:id="rId67" display="=IFERROR(@__xludf.DUMMYFUNCTION(&quot;&quot;&quot;COMPUTED_VALUE&quot;&quot;&quot;),&quot;NoSQL Database Design&quot;)"/>
    <hyperlink ref="F73" r:id="rId68" display="=IFERROR(@__xludf.DUMMYFUNCTION(&quot;&quot;&quot;COMPUTED_VALUE&quot;&quot;&quot;),&quot;Virtualization and Containerization&quot;)"/>
    <hyperlink ref="F74" r:id="rId69" display="=IFERROR(@__xludf.DUMMYFUNCTION(&quot;&quot;&quot;COMPUTED_VALUE&quot;&quot;&quot;),&quot;Game Programming&quot;)"/>
    <hyperlink ref="F75" r:id="rId70" display="=IFERROR(@__xludf.DUMMYFUNCTION(&quot;&quot;&quot;COMPUTED_VALUE&quot;&quot;&quot;),&quot;Modern Web Application Development&quot;)"/>
    <hyperlink ref="F76" r:id="rId71" display="=IFERROR(@__xludf.DUMMYFUNCTION(&quot;&quot;&quot;COMPUTED_VALUE&quot;&quot;&quot;),&quot;Web Server Programming&quot;)"/>
    <hyperlink ref="F77" r:id="rId72" display="=IFERROR(@__xludf.DUMMYFUNCTION(&quot;&quot;&quot;COMPUTED_VALUE&quot;&quot;&quot;),&quot;Self Driving Car&quot;)"/>
    <hyperlink ref="F78" r:id="rId73" display="=IFERROR(@__xludf.DUMMYFUNCTION(&quot;&quot;&quot;COMPUTED_VALUE&quot;&quot;&quot;),&quot;Smart Manufacturing Technology&quot;)"/>
    <hyperlink ref="F79" r:id="rId74" display="=IFERROR(@__xludf.DUMMYFUNCTION(&quot;&quot;&quot;COMPUTED_VALUE&quot;&quot;&quot;),&quot;Big Data Mining and Analysis&quot;)"/>
    <hyperlink ref="F80" r:id="rId75" display="=IFERROR(@__xludf.DUMMYFUNCTION(&quot;&quot;&quot;COMPUTED_VALUE&quot;&quot;&quot;),&quot;Business Analytics&quot;)"/>
    <hyperlink ref="F81" r:id="rId76" display="=IFERROR(@__xludf.DUMMYFUNCTION(&quot;&quot;&quot;COMPUTED_VALUE&quot;&quot;&quot;),&quot;Cognitive Systems&quot;)"/>
    <hyperlink ref="F82" r:id="rId77" display="=IFERROR(@__xludf.DUMMYFUNCTION(&quot;&quot;&quot;COMPUTED_VALUE&quot;&quot;&quot;),&quot;Distributed Database&quot;)"/>
    <hyperlink ref="F83" r:id="rId78" display="=IFERROR(@__xludf.DUMMYFUNCTION(&quot;&quot;&quot;COMPUTED_VALUE&quot;&quot;&quot;),&quot;Data Mining and Warehousing&quot;)"/>
    <hyperlink ref="F84" r:id="rId79" display="=IFERROR(@__xludf.DUMMYFUNCTION(&quot;&quot;&quot;COMPUTED_VALUE&quot;&quot;&quot;),&quot;Expert Systems&quot;)"/>
    <hyperlink ref="F85" r:id="rId80" display="=IFERROR(@__xludf.DUMMYFUNCTION(&quot;&quot;&quot;COMPUTED_VALUE&quot;&quot;&quot;),&quot;Knowledge Engineering&quot;)"/>
    <hyperlink ref="F86" r:id="rId81" display="=IFERROR(@__xludf.DUMMYFUNCTION(&quot;&quot;&quot;COMPUTED_VALUE&quot;&quot;&quot;),&quot;Mobile Database&quot;)"/>
    <hyperlink ref="F87" r:id="rId82" display="=IFERROR(@__xludf.DUMMYFUNCTION(&quot;&quot;&quot;COMPUTED_VALUE&quot;&quot;&quot;),&quot;Multimedia Database&quot;)"/>
    <hyperlink ref="F88" r:id="rId83" display="=IFERROR(@__xludf.DUMMYFUNCTION(&quot;&quot;&quot;COMPUTED_VALUE&quot;&quot;&quot;),&quot;Video Processing&quot;)"/>
    <hyperlink ref="F89" r:id="rId84" display="=IFERROR(@__xludf.DUMMYFUNCTION(&quot;&quot;&quot;COMPUTED_VALUE&quot;&quot;&quot;),&quot;Blockchain for Business&quot;)"/>
    <hyperlink ref="F90" r:id="rId85" display="=IFERROR(@__xludf.DUMMYFUNCTION(&quot;&quot;&quot;COMPUTED_VALUE&quot;&quot;&quot;),&quot;Machine Learning&quot;)"/>
    <hyperlink ref="F91" r:id="rId86" display="=IFERROR(@__xludf.DUMMYFUNCTION(&quot;&quot;&quot;COMPUTED_VALUE&quot;&quot;&quot;),&quot;Natural Language Processing&quot;)"/>
    <hyperlink ref="F92" r:id="rId87" display="=IFERROR(@__xludf.DUMMYFUNCTION(&quot;&quot;&quot;COMPUTED_VALUE&quot;&quot;&quot;),&quot;Data Science&quot;)"/>
    <hyperlink ref="F93" r:id="rId88" display="=IFERROR(@__xludf.DUMMYFUNCTION(&quot;&quot;&quot;COMPUTED_VALUE&quot;&quot;&quot;),&quot;Big Data Analytics&quot;)"/>
    <hyperlink ref="F94" r:id="rId89" display="=IFERROR(@__xludf.DUMMYFUNCTION(&quot;&quot;&quot;COMPUTED_VALUE&quot;&quot;&quot;),&quot;Data Warehousing and Data Mining&quot;)"/>
    <hyperlink ref="F95" r:id="rId90" display="=IFERROR(@__xludf.DUMMYFUNCTION(&quot;&quot;&quot;COMPUTED_VALUE&quot;&quot;&quot;),&quot;Advanced Database Management System&quot;)"/>
    <hyperlink ref="F96" r:id="rId91" display="=IFERROR(@__xludf.DUMMYFUNCTION(&quot;&quot;&quot;COMPUTED_VALUE&quot;&quot;&quot;),&quot;Information Retrieval&quot;)"/>
    <hyperlink ref="F97" r:id="rId92" display="=IFERROR(@__xludf.DUMMYFUNCTION(&quot;&quot;&quot;COMPUTED_VALUE&quot;&quot;&quot;),&quot;Deep Learning&quot;)"/>
    <hyperlink ref="F99" r:id="rId93" display="=IFERROR(@__xludf.DUMMYFUNCTION(&quot;&quot;&quot;COMPUTED_VALUE&quot;&quot;&quot;),&quot;Soft Computing&quot;)"/>
    <hyperlink ref="F100" r:id="rId94" display="=IFERROR(@__xludf.DUMMYFUNCTION(&quot;&quot;&quot;COMPUTED_VALUE&quot;&quot;&quot;),&quot;Social Network Analysis&quot;)"/>
    <hyperlink ref="F101" r:id="rId95" display="=IFERROR(@__xludf.DUMMYFUNCTION(&quot;&quot;&quot;COMPUTED_VALUE&quot;&quot;&quot;),&quot;Software Project Management&quot;)"/>
    <hyperlink ref="F102" r:id="rId96" display="=IFERROR(@__xludf.DUMMYFUNCTION(&quot;&quot;&quot;COMPUTED_VALUE&quot;&quot;&quot;),&quot;Service Oriented Architecture&quot;)"/>
    <hyperlink ref="F103" r:id="rId97" display="=IFERROR(@__xludf.DUMMYFUNCTION(&quot;&quot;&quot;COMPUTED_VALUE&quot;&quot;&quot;),&quot;Developing Web Application in .Net&quot;)"/>
    <hyperlink ref="F104" r:id="rId98" display="=IFERROR(@__xludf.DUMMYFUNCTION(&quot;&quot;&quot;COMPUTED_VALUE&quot;&quot;&quot;),&quot;Human Computer Interaction&quot;)"/>
    <hyperlink ref="F105" r:id="rId99" display="=IFERROR(@__xludf.DUMMYFUNCTION(&quot;&quot;&quot;COMPUTED_VALUE&quot;&quot;&quot;),&quot;Computer Graphics and Multimedia&quot;)"/>
    <hyperlink ref="F106" r:id="rId100" display="=IFERROR(@__xludf.DUMMYFUNCTION(&quot;&quot;&quot;COMPUTED_VALUE&quot;&quot;&quot;),&quot;Game Design and Development&quot;)"/>
    <hyperlink ref="F108" r:id="rId101" display="=IFERROR(@__xludf.DUMMYFUNCTION(&quot;&quot;&quot;COMPUTED_VALUE&quot;&quot;&quot;),&quot;Digital Image Processing&quot;)"/>
    <hyperlink ref="F109" r:id="rId102" display="=IFERROR(@__xludf.DUMMYFUNCTION(&quot;&quot;&quot;COMPUTED_VALUE&quot;&quot;&quot;),&quot;Virtual Reality&quot;)"/>
    <hyperlink ref="F110" r:id="rId103" display="=IFERROR(@__xludf.DUMMYFUNCTION(&quot;&quot;&quot;COMPUTED_VALUE&quot;&quot;&quot;),&quot;Graph Theory and Applications&quot;)"/>
    <hyperlink ref="F111" r:id="rId104" display="=IFERROR(@__xludf.DUMMYFUNCTION(&quot;&quot;&quot;COMPUTED_VALUE&quot;&quot;&quot;),&quot;Mobile Computing&quot;)"/>
    <hyperlink ref="F112" r:id="rId105" display="=IFERROR(@__xludf.DUMMYFUNCTION(&quot;&quot;&quot;COMPUTED_VALUE&quot;&quot;&quot;),&quot;Ad Hoc and Wireless Sensor Networks&quot;)"/>
    <hyperlink ref="F113" r:id="rId106" display="=IFERROR(@__xludf.DUMMYFUNCTION(&quot;&quot;&quot;COMPUTED_VALUE&quot;&quot;&quot;),&quot;Parallel and Distributed Systems&quot;)"/>
    <hyperlink ref="F114" r:id="rId107" display="=IFERROR(@__xludf.DUMMYFUNCTION(&quot;&quot;&quot;COMPUTED_VALUE&quot;&quot;&quot;),&quot;Cyber Security&quot;)"/>
    <hyperlink ref="F115" r:id="rId108" display="=IFERROR(@__xludf.DUMMYFUNCTION(&quot;&quot;&quot;COMPUTED_VALUE&quot;&quot;&quot;),&quot;Network Management Systems&quot;)"/>
    <hyperlink ref="F116" r:id="rId109" display="=IFERROR(@__xludf.DUMMYFUNCTION(&quot;&quot;&quot;COMPUTED_VALUE&quot;&quot;&quot;),&quot;Block Chain Architecture and its Use Cases&quot;)"/>
    <hyperlink ref="F117" r:id="rId110" display="=IFERROR(@__xludf.DUMMYFUNCTION(&quot;&quot;&quot;COMPUTED_VALUE&quot;&quot;&quot;),&quot;Green Computing&quot;)"/>
    <hyperlink ref="F118" r:id="rId111" display="=IFERROR(@__xludf.DUMMYFUNCTION(&quot;&quot;&quot;COMPUTED_VALUE&quot;&quot;&quot;),&quot;Multicore Architecture&quot;)"/>
    <hyperlink ref="F119" r:id="rId112" display="=IFERROR(@__xludf.DUMMYFUNCTION(&quot;&quot;&quot;COMPUTED_VALUE&quot;&quot;&quot;),&quot;Embedded Systems&quot;)"/>
    <hyperlink ref="F120" r:id="rId113" display="=IFERROR(@__xludf.DUMMYFUNCTION(&quot;&quot;&quot;COMPUTED_VALUE&quot;&quot;&quot;),&quot;Quantum Computing&quot;)"/>
    <hyperlink ref="F121" r:id="rId114" display="=IFERROR(@__xludf.DUMMYFUNCTION(&quot;&quot;&quot;COMPUTED_VALUE&quot;&quot;&quot;),&quot;Robotics and its Applications&quot;)"/>
    <hyperlink ref="F122" r:id="rId115" display="=IFERROR(@__xludf.DUMMYFUNCTION(&quot;&quot;&quot;COMPUTED_VALUE&quot;&quot;&quot;),&quot;Professional Readiness for Innovation, Employability and Entrepreneurship&quot;)"/>
    <hyperlink ref="F123" r:id="rId116" display="=IFERROR(@__xludf.DUMMYFUNCTION(&quot;&quot;&quot;COMPUTED_VALUE&quot;&quot;&quot;),&quot;Ethical Hacking Techniques&quot;)"/>
    <hyperlink ref="F124" r:id="rId117" display="=IFERROR(@__xludf.DUMMYFUNCTION(&quot;&quot;&quot;COMPUTED_VALUE&quot;&quot;&quot;),&quot;Advanced Java Web Applications&quot;)"/>
    <hyperlink ref="F125" r:id="rId118" display="=IFERROR(@__xludf.DUMMYFUNCTION(&quot;&quot;&quot;COMPUTED_VALUE&quot;&quot;&quot;),&quot;Prototyping of IoT Systems&quot;)"/>
    <hyperlink ref="F126" r:id="rId119" display="=IFERROR(@__xludf.DUMMYFUNCTION(&quot;&quot;&quot;COMPUTED_VALUE&quot;&quot;&quot;),&quot;Introduction to IoT&quot;)"/>
    <hyperlink ref="F127" r:id="rId120" display="=IFERROR(@__xludf.DUMMYFUNCTION(&quot;&quot;&quot;COMPUTED_VALUE&quot;&quot;&quot;),&quot;Realtime Operating System&quot;)"/>
    <hyperlink ref="F128" r:id="rId121" display="=IFERROR(@__xludf.DUMMYFUNCTION(&quot;&quot;&quot;COMPUTED_VALUE&quot;&quot;&quot;),&quot;Embedded Board Design&quot;)"/>
    <hyperlink ref="F129" r:id="rId122" display="=IFERROR(@__xludf.DUMMYFUNCTION(&quot;&quot;&quot;COMPUTED_VALUE&quot;&quot;&quot;),&quot;Open Source Operating System&quot;)"/>
    <hyperlink ref="F130" r:id="rId123" display="=IFERROR(@__xludf.DUMMYFUNCTION(&quot;&quot;&quot;COMPUTED_VALUE&quot;&quot;&quot;),&quot;Kernel Programming&quot;)"/>
    <hyperlink ref="F131" r:id="rId124" display="=IFERROR(@__xludf.DUMMYFUNCTION(&quot;&quot;&quot;COMPUTED_VALUE&quot;&quot;&quot;),&quot;Cyber Law and Compliance&quot;)"/>
    <hyperlink ref="F132" r:id="rId125" display="=IFERROR(@__xludf.DUMMYFUNCTION(&quot;&quot;&quot;COMPUTED_VALUE&quot;&quot;&quot;),&quot;Software Testing&quot;)"/>
    <hyperlink ref="F133" r:id="rId126" display="=IFERROR(@__xludf.DUMMYFUNCTION(&quot;&quot;&quot;COMPUTED_VALUE&quot;&quot;&quot;),&quot;Robot Programming&quot;)"/>
    <hyperlink ref="F134" r:id="rId127" display="=IFERROR(@__xludf.DUMMYFUNCTION(&quot;&quot;&quot;COMPUTED_VALUE&quot;&quot;&quot;),&quot;Drone Assembly and Applications&quot;)"/>
    <hyperlink ref="F135" r:id="rId128" display="=IFERROR(@__xludf.DUMMYFUNCTION(&quot;&quot;&quot;COMPUTED_VALUE&quot;&quot;&quot;),&quot;Artificial Intelligence for Games&quot;)"/>
    <hyperlink ref="F136" r:id="rId129" display="=IFERROR(@__xludf.DUMMYFUNCTION(&quot;&quot;&quot;COMPUTED_VALUE&quot;&quot;&quot;),&quot;Drone Design and Control&quot;)"/>
    <hyperlink ref="F137" r:id="rId130" display="=IFERROR(@__xludf.DUMMYFUNCTION(&quot;&quot;&quot;COMPUTED_VALUE&quot;&quot;&quot;),&quot;Web Application User Interface Development&quot;)"/>
    <hyperlink ref="F138" r:id="rId131" display="=IFERROR(@__xludf.DUMMYFUNCTION(&quot;&quot;&quot;COMPUTED_VALUE&quot;&quot;&quot;),&quot;Fundamentals of Large Language Models&quot;)"/>
    <hyperlink ref="F141" r:id="rId132" display="=IFERROR(@__xludf.DUMMYFUNCTION(&quot;&quot;&quot;COMPUTED_VALUE&quot;&quot;&quot;),&quot;Exploratory Data Analysis&quot;)"/>
    <hyperlink ref="F142" r:id="rId133" display="=IFERROR(@__xludf.DUMMYFUNCTION(&quot;&quot;&quot;COMPUTED_VALUE&quot;&quot;&quot;),&quot;Image and Video Analytics&quot;)"/>
    <hyperlink ref="F143" r:id="rId134" display="=IFERROR(@__xludf.DUMMYFUNCTION(&quot;&quot;&quot;COMPUTED_VALUE&quot;&quot;&quot;),&quot;Neural Networks and Deep Learning&quot;)"/>
    <hyperlink ref="F144" r:id="rId135" display="=IFERROR(@__xludf.DUMMYFUNCTION(&quot;&quot;&quot;COMPUTED_VALUE&quot;&quot;&quot;),&quot;Recommender Systems&quot;)"/>
    <hyperlink ref="F145" r:id="rId136" display="=IFERROR(@__xludf.DUMMYFUNCTION(&quot;&quot;&quot;COMPUTED_VALUE&quot;&quot;&quot;),&quot;Text and Speech Analysis&quot;)"/>
    <hyperlink ref="F148" r:id="rId137" display="=IFERROR(@__xludf.DUMMYFUNCTION(&quot;&quot;&quot;COMPUTED_VALUE&quot;&quot;&quot;),&quot;Genetic Algorithms&quot;)"/>
    <hyperlink ref="F150" r:id="rId138" display="=IFERROR(@__xludf.DUMMYFUNCTION(&quot;&quot;&quot;COMPUTED_VALUE&quot;&quot;&quot;),&quot;Brain Computer Interaction&quot;)"/>
    <hyperlink ref="F151" r:id="rId139" display="=IFERROR(@__xludf.DUMMYFUNCTION(&quot;&quot;&quot;COMPUTED_VALUE&quot;&quot;&quot;),&quot;Statistical Learning Theory&quot;)"/>
    <hyperlink ref="F152" r:id="rId140" display="=IFERROR(@__xludf.DUMMYFUNCTION(&quot;&quot;&quot;COMPUTED_VALUE&quot;&quot;&quot;),&quot;Sensors and Actuators for IoT&quot;)"/>
    <hyperlink ref="F153" r:id="rId141" display="=IFERROR(@__xludf.DUMMYFUNCTION(&quot;&quot;&quot;COMPUTED_VALUE&quot;&quot;&quot;),&quot;Security and Trust in IoT&quot;)"/>
    <hyperlink ref="F154" r:id="rId142" display="=IFERROR(@__xludf.DUMMYFUNCTION(&quot;&quot;&quot;COMPUTED_VALUE&quot;&quot;&quot;),&quot;Industrial Internet of Things&quot;)"/>
    <hyperlink ref="F155" r:id="rId143" display="=IFERROR(@__xludf.DUMMYFUNCTION(&quot;&quot;&quot;COMPUTED_VALUE&quot;&quot;&quot;),&quot;Software for Embedded Systems&quot;)"/>
    <hyperlink ref="F156" r:id="rId144" display="=IFERROR(@__xludf.DUMMYFUNCTION(&quot;&quot;&quot;COMPUTED_VALUE&quot;&quot;&quot;),&quot;IoT Architecture and Protocols&quot;)"/>
    <hyperlink ref="F157" r:id="rId145" display="=IFERROR(@__xludf.DUMMYFUNCTION(&quot;&quot;&quot;COMPUTED_VALUE&quot;&quot;&quot;),&quot;Arduino for IoT&quot;)"/>
    <hyperlink ref="F158" r:id="rId146" display="=IFERROR(@__xludf.DUMMYFUNCTION(&quot;&quot;&quot;COMPUTED_VALUE&quot;&quot;&quot;),&quot;Raspberry Pi for IoT&quot;)"/>
    <hyperlink ref="F159" r:id="rId147" display="=IFERROR(@__xludf.DUMMYFUNCTION(&quot;&quot;&quot;COMPUTED_VALUE&quot;&quot;&quot;),&quot;Motion Planning Techniques&quot;)"/>
    <hyperlink ref="F160" r:id="rId148" display="=IFERROR(@__xludf.DUMMYFUNCTION(&quot;&quot;&quot;COMPUTED_VALUE&quot;&quot;&quot;),&quot;Advanced Java Programming&quot;)"/>
    <hyperlink ref="F165" r:id="rId149" display="=IFERROR(@__xludf.DUMMYFUNCTION(&quot;&quot;&quot;COMPUTED_VALUE&quot;&quot;&quot;),&quot;Computer Vision&quot;)"/>
    <hyperlink ref="F167" r:id="rId150" display="=IFERROR(@__xludf.DUMMYFUNCTION(&quot;&quot;&quot;COMPUTED_VALUE&quot;&quot;&quot;),&quot;Applied Natural Language Processing&quot;)"/>
    <hyperlink ref="F168" r:id="rId151" display="=IFERROR(@__xludf.DUMMYFUNCTION(&quot;&quot;&quot;COMPUTED_VALUE&quot;&quot;&quot;),&quot;Computer Architecture&quot;)"/>
    <hyperlink ref="F169" r:id="rId152" display="=IFERROR(@__xludf.DUMMYFUNCTION(&quot;&quot;&quot;COMPUTED_VALUE&quot;&quot;&quot;),&quot;Cloud Native App Development&quot;)"/>
    <hyperlink ref="F170" r:id="rId153" display="=IFERROR(@__xludf.DUMMYFUNCTION(&quot;&quot;&quot;COMPUTED_VALUE&quot;&quot;&quot;),&quot;Cryptography&quot;)"/>
    <hyperlink ref="F171" r:id="rId154" display="=IFERROR(@__xludf.DUMMYFUNCTION(&quot;&quot;&quot;COMPUTED_VALUE&quot;&quot;&quot;),&quot;Information Security and Access Control&quot;)"/>
    <hyperlink ref="F172" r:id="rId155" display="=IFERROR(@__xludf.DUMMYFUNCTION(&quot;&quot;&quot;COMPUTED_VALUE&quot;&quot;&quot;),&quot;Security Assessment and Risk Analysis&quot;)"/>
    <hyperlink ref="F173" r:id="rId156" display="=IFERROR(@__xludf.DUMMYFUNCTION(&quot;&quot;&quot;COMPUTED_VALUE&quot;&quot;&quot;),&quot;Advanced Graph Theory and Applications&quot;)"/>
    <hyperlink ref="F174" r:id="rId157" display="=IFERROR(@__xludf.DUMMYFUNCTION(&quot;&quot;&quot;COMPUTED_VALUE&quot;&quot;&quot;),&quot;Advanced Data Structures&quot;)"/>
    <hyperlink ref="F176" r:id="rId158" display="=IFERROR(@__xludf.DUMMYFUNCTION(&quot;&quot;&quot;COMPUTED_VALUE&quot;&quot;&quot;),&quot;Python Programming for IoT&quot;)"/>
    <hyperlink ref="F177" r:id="rId159" display="=IFERROR(@__xludf.DUMMYFUNCTION(&quot;&quot;&quot;COMPUTED_VALUE&quot;&quot;&quot;),&quot;Applications of IoT in Robotics&quot;)"/>
    <hyperlink ref="F178" r:id="rId160" display="=IFERROR(@__xludf.DUMMYFUNCTION(&quot;&quot;&quot;COMPUTED_VALUE&quot;&quot;&quot;),&quot;Programming for IoT Boards&quot;)"/>
    <hyperlink ref="F179" r:id="rId161" display="=IFERROR(@__xludf.DUMMYFUNCTION(&quot;&quot;&quot;COMPUTED_VALUE&quot;&quot;&quot;),&quot;Design of Smart Cities&quot;)"/>
    <hyperlink ref="F180" r:id="rId162" display="=IFERROR(@__xludf.DUMMYFUNCTION(&quot;&quot;&quot;COMPUTED_VALUE&quot;&quot;&quot;),&quot;IoT and Multimedia Technology&quot;)"/>
    <hyperlink ref="F181" r:id="rId163" display="=IFERROR(@__xludf.DUMMYFUNCTION(&quot;&quot;&quot;COMPUTED_VALUE&quot;&quot;&quot;),&quot;Mobile Application Development for IoT&quot;)"/>
    <hyperlink ref="F182" r:id="rId163" display="=IFERROR(@__xludf.DUMMYFUNCTION(&quot;&quot;&quot;COMPUTED_VALUE&quot;&quot;&quot;),&quot;Open Source Programming for IoT&quot;)"/>
    <hyperlink ref="F183" r:id="rId164" display="=IFERROR(@__xludf.DUMMYFUNCTION(&quot;&quot;&quot;COMPUTED_VALUE&quot;&quot;&quot;),&quot;Problem Solving and Python Programming&quot;)"/>
    <hyperlink ref="F184" r:id="rId165" display="=IFERROR(@__xludf.DUMMYFUNCTION(&quot;&quot;&quot;COMPUTED_VALUE&quot;&quot;&quot;),&quot;Programming in C&quot;)"/>
    <hyperlink ref="F185" r:id="rId166" display="=IFERROR(@__xludf.DUMMYFUNCTION(&quot;&quot;&quot;COMPUTED_VALUE&quot;&quot;&quot;),&quot;Software Testing Laboratory&quot;)"/>
    <hyperlink ref="F186" r:id="rId167" display="=IFERROR(@__xludf.DUMMYFUNCTION(&quot;&quot;&quot;COMPUTED_VALUE&quot;&quot;&quot;),&quot;Design and Analysis of Algorithms&quot;)"/>
    <hyperlink ref="F187" r:id="rId168" display="=IFERROR(@__xludf.DUMMYFUNCTION(&quot;&quot;&quot;COMPUTED_VALUE&quot;&quot;&quot;),&quot;Programming Paradigms&quot;)"/>
    <hyperlink ref="F188" r:id="rId169" display="=IFERROR(@__xludf.DUMMYFUNCTION(&quot;&quot;&quot;COMPUTED_VALUE&quot;&quot;&quot;),&quot;Web Programming&quot;)"/>
    <hyperlink ref="F189" r:id="rId170" display="=IFERROR(@__xludf.DUMMYFUNCTION(&quot;&quot;&quot;COMPUTED_VALUE&quot;&quot;&quot;),&quot;Robotic Process Automation&quot;)"/>
    <hyperlink ref="F190" r:id="rId171" display="=IFERROR(@__xludf.DUMMYFUNCTION(&quot;&quot;&quot;COMPUTED_VALUE&quot;&quot;&quot;),&quot;Software Project Management and Version Control&quot;)"/>
    <hyperlink ref="F191" r:id="rId172" display="=IFERROR(@__xludf.DUMMYFUNCTION(&quot;&quot;&quot;COMPUTED_VALUE&quot;&quot;&quot;),&quot;Generative AI Application Development&quot;)"/>
    <hyperlink ref="F192" r:id="rId173" display="=IFERROR(@__xludf.DUMMYFUNCTION(&quot;&quot;&quot;COMPUTED_VALUE&quot;&quot;&quot;),&quot;Fine Tuning Large Language Models&quot;)"/>
    <hyperlink ref="F193" r:id="rId174" display="=IFERROR(@__xludf.DUMMYFUNCTION(&quot;&quot;&quot;COMPUTED_VALUE&quot;&quot;&quot;),&quot;Applied Data Science&quot;)"/>
    <hyperlink ref="F194" r:id="rId175" display="=IFERROR(@__xludf.DUMMYFUNCTION(&quot;&quot;&quot;COMPUTED_VALUE&quot;&quot;&quot;),&quot;Entrepreneurship and Small Business Development&quot;)"/>
    <hyperlink ref="F195" r:id="rId176" display="=IFERROR(@__xludf.DUMMYFUNCTION(&quot;&quot;&quot;COMPUTED_VALUE&quot;&quot;&quot;),&quot;Software Development and Operations&quot;)"/>
    <hyperlink ref="F196" r:id="rId177" display="=IFERROR(@__xludf.DUMMYFUNCTION(&quot;&quot;&quot;COMPUTED_VALUE&quot;&quot;&quot;),&quot;Serverless App Development&quot;)"/>
    <hyperlink ref="F197" r:id="rId178" display="=IFERROR(@__xludf.DUMMYFUNCTION(&quot;&quot;&quot;COMPUTED_VALUE&quot;&quot;&quot;),&quot;Enterprise Cloud Architecture&quot;)"/>
    <hyperlink ref="F198" r:id="rId179" display="=IFERROR(@__xludf.DUMMYFUNCTION(&quot;&quot;&quot;COMPUTED_VALUE&quot;&quot;&quot;),&quot;Advanced Class Design and Object-Oriented Techniques&quot;)"/>
    <hyperlink ref="F199" r:id="rId180" display="=IFERROR(@__xludf.DUMMYFUNCTION(&quot;&quot;&quot;COMPUTED_VALUE&quot;&quot;&quot;),&quot;Low-Code App Development&quot;)"/>
    <hyperlink ref="F200" r:id="rId181" display="=IFERROR(@__xludf.DUMMYFUNCTION(&quot;&quot;&quot;COMPUTED_VALUE&quot;&quot;&quot;),&quot;Cloud System Administration&quot;)"/>
    <hyperlink ref="F201" r:id="rId182" display="=IFERROR(@__xludf.DUMMYFUNCTION(&quot;&quot;&quot;COMPUTED_VALUE&quot;&quot;&quot;),&quot;Machine Learning Operations&quot;)"/>
    <hyperlink ref="F202" r:id="rId183" display="=IFERROR(@__xludf.DUMMYFUNCTION(&quot;&quot;&quot;COMPUTED_VALUE&quot;&quot;&quot;),&quot;Virtualization and Cloud Computing&quot;)"/>
    <hyperlink ref="F203" r:id="rId184" display="=IFERROR(@__xludf.DUMMYFUNCTION(&quot;&quot;&quot;COMPUTED_VALUE&quot;&quot;&quot;),&quot;Cryptography and Network Security&quot;)"/>
    <hyperlink ref="F204" r:id="rId185" display="=IFERROR(@__xludf.DUMMYFUNCTION(&quot;&quot;&quot;COMPUTED_VALUE&quot;&quot;&quot;),&quot;Cloud Security&quot;)"/>
    <hyperlink ref="F205" r:id="rId153" display="=IFERROR(@__xludf.DUMMYFUNCTION(&quot;&quot;&quot;COMPUTED_VALUE&quot;&quot;&quot;),&quot;Digital Forensics and Digital Investigations&quot;)"/>
    <hyperlink ref="F206" r:id="rId186" display="=IFERROR(@__xludf.DUMMYFUNCTION(&quot;&quot;&quot;COMPUTED_VALUE&quot;&quot;&quot;),&quot;Edge Computing&quot;)"/>
    <hyperlink ref="F207" r:id="rId187" display="=IFERROR(@__xludf.DUMMYFUNCTION(&quot;&quot;&quot;COMPUTED_VALUE&quot;&quot;&quot;),&quot;Security for IoT Systems&quot;)"/>
    <hyperlink ref="F208" r:id="rId188" display="=IFERROR(@__xludf.DUMMYFUNCTION(&quot;&quot;&quot;COMPUTED_VALUE&quot;&quot;&quot;),&quot;Software Testing and Quality Assurance&quot;)"/>
    <hyperlink ref="F209" r:id="rId189" display="=IFERROR(@__xludf.DUMMYFUNCTION(&quot;&quot;&quot;COMPUTED_VALUE&quot;&quot;&quot;),&quot;Information Security Intelligence and Analytics using Big Data&quot;)"/>
    <hyperlink ref="F210" r:id="rId190" display="=IFERROR(@__xludf.DUMMYFUNCTION(&quot;&quot;&quot;COMPUTED_VALUE&quot;&quot;&quot;),&quot;Prevention Methodology for Cybersecurity&quot;)"/>
    <hyperlink ref="F211" r:id="rId191" display="=IFERROR(@__xludf.DUMMYFUNCTION(&quot;&quot;&quot;COMPUTED_VALUE&quot;&quot;&quot;),&quot;Trusted Network Systems&quot;)"/>
    <hyperlink ref="F212" r:id="rId192" display="=IFERROR(@__xludf.DUMMYFUNCTION(&quot;&quot;&quot;COMPUTED_VALUE&quot;&quot;&quot;),&quot;Firewalls and Intrusion Detection System&quot;)"/>
    <hyperlink ref="F213" r:id="rId193" display="=IFERROR(@__xludf.DUMMYFUNCTION(&quot;&quot;&quot;COMPUTED_VALUE&quot;&quot;&quot;),&quot;Secure Software Engineering&quot;)"/>
    <hyperlink ref="F214" r:id="rId194" display="=IFERROR(@__xludf.DUMMYFUNCTION(&quot;&quot;&quot;COMPUTED_VALUE&quot;&quot;&quot;),&quot;System Security&quot;)"/>
    <hyperlink ref="F215" r:id="rId195" display="=IFERROR(@__xludf.DUMMYFUNCTION(&quot;&quot;&quot;COMPUTED_VALUE&quot;&quot;&quot;),&quot;Hardware Security&quot;)"/>
    <hyperlink ref="F216" r:id="rId196" display="=IFERROR(@__xludf.DUMMYFUNCTION(&quot;&quot;&quot;COMPUTED_VALUE&quot;&quot;&quot;),&quot;Fog Computing&quot;)"/>
    <hyperlink ref="F217" r:id="rId190" display="=IFERROR(@__xludf.DUMMYFUNCTION(&quot;&quot;&quot;COMPUTED_VALUE&quot;&quot;&quot;),&quot;Embedded Board Manufacturing&quot;)"/>
    <hyperlink ref="F218" r:id="rId197" display="=IFERROR(@__xludf.DUMMYFUNCTION(&quot;&quot;&quot;COMPUTED_VALUE&quot;&quot;&quot;),&quot;Cloud Services Management&quot;)"/>
    <hyperlink ref="F219" r:id="rId198" display="=IFERROR(@__xludf.DUMMYFUNCTION(&quot;&quot;&quot;COMPUTED_VALUE&quot;&quot;&quot;),&quot;UI and UX Design&quot;)"/>
    <hyperlink ref="F220" r:id="rId199" display="=IFERROR(@__xludf.DUMMYFUNCTION(&quot;&quot;&quot;COMPUTED_VALUE&quot;&quot;&quot;),&quot;Software Testing and Automation&quot;)"/>
    <hyperlink ref="F221" r:id="rId200" display="=IFERROR(@__xludf.DUMMYFUNCTION(&quot;&quot;&quot;COMPUTED_VALUE&quot;&quot;&quot;),&quot;DevOps&quot;)"/>
    <hyperlink ref="F222" r:id="rId201" display="=IFERROR(@__xludf.DUMMYFUNCTION(&quot;&quot;&quot;COMPUTED_VALUE&quot;&quot;&quot;),&quot;Web Application Security&quot;)"/>
    <hyperlink ref="F223" r:id="rId202" display="=IFERROR(@__xludf.DUMMYFUNCTION(&quot;&quot;&quot;COMPUTED_VALUE&quot;&quot;&quot;),&quot;Information Technology Essentials&quot;)"/>
    <hyperlink ref="F224" r:id="rId203" display="=IFERROR(@__xludf.DUMMYFUNCTION(&quot;&quot;&quot;COMPUTED_VALUE&quot;&quot;&quot;),&quot;Game Development Technologies&quot;)"/>
    <hyperlink ref="F225" r:id="rId204" display="=IFERROR(@__xludf.DUMMYFUNCTION(&quot;&quot;&quot;COMPUTED_VALUE&quot;&quot;&quot;),&quot;Data Structures using Python&quot;)"/>
    <hyperlink ref="F226" r:id="rId205" display="=IFERROR(@__xludf.DUMMYFUNCTION(&quot;&quot;&quot;COMPUTED_VALUE&quot;&quot;&quot;),&quot;Grid and Cloud Computing&quot;)"/>
    <hyperlink ref="F227" r:id="rId206" display="=IFERROR(@__xludf.DUMMYFUNCTION(&quot;&quot;&quot;COMPUTED_VALUE&quot;&quot;&quot;),&quot;Distributed Computing&quot;)"/>
    <hyperlink ref="F228" r:id="rId207" display="=IFERROR(@__xludf.DUMMYFUNCTION(&quot;&quot;&quot;COMPUTED_VALUE&quot;&quot;&quot;),&quot;Information Theory and Coding Techniques&quot;)"/>
    <hyperlink ref="F229" r:id="rId208" display="=IFERROR(@__xludf.DUMMYFUNCTION(&quot;&quot;&quot;COMPUTED_VALUE&quot;&quot;&quot;),&quot;Enterprise Resource Planning&quot;)"/>
    <hyperlink ref="F230" r:id="rId209" display="=IFERROR(@__xludf.DUMMYFUNCTION(&quot;&quot;&quot;COMPUTED_VALUE&quot;&quot;&quot;),&quot;User Interface Design&quot;)"/>
    <hyperlink ref="F231" r:id="rId210" display="=IFERROR(@__xludf.DUMMYFUNCTION(&quot;&quot;&quot;COMPUTED_VALUE&quot;&quot;&quot;),&quot;Information Storage Management&quot;)"/>
    <hyperlink ref="F232" r:id="rId211" display="=IFERROR(@__xludf.DUMMYFUNCTION(&quot;&quot;&quot;COMPUTED_VALUE&quot;&quot;&quot;),&quot;Software Design Patterns&quot;)"/>
    <hyperlink ref="F233" r:id="rId212" display="=IFERROR(@__xludf.DUMMYFUNCTION(&quot;&quot;&quot;COMPUTED_VALUE&quot;&quot;&quot;),&quot;E-Learning Techniques&quot;)"/>
    <hyperlink ref="F234" r:id="rId213" display="=IFERROR(@__xludf.DUMMYFUNCTION(&quot;&quot;&quot;COMPUTED_VALUE&quot;&quot;&quot;),&quot;TCP/IP Design and Implementation&quot;)"/>
    <hyperlink ref="F235" r:id="rId214" display="=IFERROR(@__xludf.DUMMYFUNCTION(&quot;&quot;&quot;COMPUTED_VALUE&quot;&quot;&quot;),&quot;Advanced Algorithms&quot;)"/>
    <hyperlink ref="F236" r:id="rId215" display="=IFERROR(@__xludf.DUMMYFUNCTION(&quot;&quot;&quot;COMPUTED_VALUE&quot;&quot;&quot;),&quot;Ethical Hacking&quot;)"/>
    <hyperlink ref="F237" r:id="rId216" display="=IFERROR(@__xludf.DUMMYFUNCTION(&quot;&quot;&quot;COMPUTED_VALUE&quot;&quot;&quot;),&quot;DHTML and XML&quot;)"/>
    <hyperlink ref="F238" r:id="rId217" display="=IFERROR(@__xludf.DUMMYFUNCTION(&quot;&quot;&quot;COMPUTED_VALUE&quot;&quot;&quot;),&quot;E-Commerce&quot;)"/>
    <hyperlink ref="F239" r:id="rId218" display="=IFERROR(@__xludf.DUMMYFUNCTION(&quot;&quot;&quot;COMPUTED_VALUE&quot;&quot;&quot;),&quot;Free Open Source Software&quot;)"/>
    <hyperlink ref="F240" r:id="rId219" display="=IFERROR(@__xludf.DUMMYFUNCTION(&quot;&quot;&quot;COMPUTED_VALUE&quot;&quot;&quot;),&quot;Real Time Operating Systems&quot;)"/>
    <hyperlink ref="F241" r:id="rId220" display="=IFERROR(@__xludf.DUMMYFUNCTION(&quot;&quot;&quot;COMPUTED_VALUE&quot;&quot;&quot;),&quot;Software Agents&quot;)"/>
    <hyperlink ref="F242" r:id="rId221" display="=IFERROR(@__xludf.DUMMYFUNCTION(&quot;&quot;&quot;COMPUTED_VALUE&quot;&quot;&quot;),&quot;Business Intelligence and Analytics&quot;)"/>
    <hyperlink ref="F245" r:id="rId222" display="=IFERROR(@__xludf.DUMMYFUNCTION(&quot;&quot;&quot;COMPUTED_VALUE&quot;&quot;&quot;),&quot;Mini Project&quot;)"/>
    <hyperlink ref="F246" r:id="rId223" display="=IFERROR(@__xludf.DUMMYFUNCTION(&quot;&quot;&quot;COMPUTED_VALUE&quot;&quot;&quot;),&quot;Project Work I&quot;)"/>
    <hyperlink ref="F247" r:id="rId224" display="=IFERROR(@__xludf.DUMMYFUNCTION(&quot;&quot;&quot;COMPUTED_VALUE&quot;&quot;&quot;),&quot;Project Work II&quot;)"/>
    <hyperlink ref="F249" r:id="rId225" display="=IFERROR(@__xludf.DUMMYFUNCTION(&quot;&quot;&quot;COMPUTED_VALUE&quot;&quot;&quot;),&quot;Career Development Skills&quot;)"/>
    <hyperlink ref="F250" r:id="rId226" display="=IFERROR(@__xludf.DUMMYFUNCTION(&quot;&quot;&quot;COMPUTED_VALUE&quot;&quot;&quot;),&quot;Reasoning Ability&quot;)"/>
    <hyperlink ref="F251" r:id="rId227" display="=IFERROR(@__xludf.DUMMYFUNCTION(&quot;&quot;&quot;COMPUTED_VALUE&quot;&quot;&quot;),&quot;Quantitative Ability I&quot;)"/>
    <hyperlink ref="F252" r:id="rId228" display="=IFERROR(@__xludf.DUMMYFUNCTION(&quot;&quot;&quot;COMPUTED_VALUE&quot;&quot;&quot;),&quot;Quantitative Ability II&quot;)"/>
    <hyperlink ref="F253" r:id="rId229" display="=IFERROR(@__xludf.DUMMYFUNCTION(&quot;&quot;&quot;COMPUTED_VALUE&quot;&quot;&quot;),&quot;Employment Enrichment Skills&quot;)"/>
    <hyperlink ref="F254" r:id="rId230" display="=IFERROR(@__xludf.DUMMYFUNCTION(&quot;&quot;&quot;COMPUTED_VALUE&quot;&quot;&quot;),&quot;Company Specific Assessments For Employability&quot;)"/>
    <hyperlink ref="F255" r:id="rId231" display="=IFERROR(@__xludf.DUMMYFUNCTION(&quot;&quot;&quot;COMPUTED_VALUE&quot;&quot;&quot;),&quot;Placement Readiness Assessment&quot;)"/>
    <hyperlink ref="F256" r:id="rId232" display="=IFERROR(@__xludf.DUMMYFUNCTION(&quot;&quot;&quot;COMPUTED_VALUE&quot;&quot;&quot;),&quot;Paper Publication&quot;)"/>
    <hyperlink ref="F257" r:id="rId233" display="=IFERROR(@__xludf.DUMMYFUNCTION(&quot;&quot;&quot;COMPUTED_VALUE&quot;&quot;&quot;),&quot;Constitutionalism and Artificial Intelligence Policies in India&quot;)"/>
    <hyperlink ref="F258" r:id="rId234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75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IMPORTRANGE(""https://docs.google.com/spreadsheets/d/1UvPg-G_Bj-UNhLC2uL8tntfYsnld_PABqE3impzOchM/edit"", ""R2019-AI&amp;ML!A:A""),
IMPORTRANGE(""https://docs.google.com/spreadsheets/d/1UvPg-G_Bj-UNhLC2uL8tntfYsnld_PABqE3impzOchM/edit"", ""R201"&amp;"9-AI&amp;ML!D:D""),
IMPORTRANGE(""https://docs.google.com/spreadsheets/d/1UvPg-G_Bj-UNhLC2uL8tntfYsnld_PABqE3impzOchM/edit"", ""R2019-AI&amp;ML!E:E""),
IMPORTRANGE(""https://docs.google.com/spreadsheets/d/1UvPg-G_Bj-UNhLC2uL8tntfYsnld_PABqE3impzOchM/edit"", ""R20"&amp;"19-AI&amp;ML!F:F""),
IMPORTRANGE(""https://docs.google.com/spreadsheets/d/1UvPg-G_Bj-UNhLC2uL8tntfYsnld_PABqE3impzOchM/edit"", ""R2019-AI&amp;ML!G:G""),
IMPORTRANGE(""https://docs.google.com/spreadsheets/d/1UvPg-G_Bj-UNhLC2uL8tntfYsnld_PABqE3impzOchM/edit"", ""R2"&amp;"019-AI&amp;ML!I:I""),
IMPORTRANGE(""https://docs.google.com/spreadsheets/d/1UvPg-G_Bj-UNhLC2uL8tntfYsnld_PABqE3impzOchM/edit"", ""R2019-AI&amp;ML!N:N""),
IMPORTRANGE(""https://docs.google.com/spreadsheets/d/1UvPg-G_Bj-UNhLC2uL8tntfYsnld_PABqE3impzOchM/edit"", ""R"&amp;"2019-AI&amp;ML!O:O""),
IMPORTRANGE(""https://docs.google.com/spreadsheets/d/1UvPg-G_Bj-UNhLC2uL8tntfYsnld_PABqE3impzOchM/edit"", ""R2019-AI&amp;ML!P:P""),
IMPORTRANGE(""https://docs.google.com/spreadsheets/d/1UvPg-G_Bj-UNhLC2uL8tntfYsnld_PABqE3impzOchM/edit"", """&amp;"R2019-AI&amp;ML!Q:Q""),
IMPORTRANGE(""https://docs.google.com/spreadsheets/d/1UvPg-G_Bj-UNhLC2uL8tntfYsnld_PABqE3impzOchM/edit"", ""R2019-AI&amp;ML!R:R""),
IMPORTRANGE(""https://docs.google.com/spreadsheets/d/1UvPg-G_Bj-UNhLC2uL8tntfYsnld_PABqE3impzOchM/edit"", "&amp;"""R2019-AI&amp;ML!S:S""),
IMPORTRANGE(""https://docs.google.com/spreadsheets/d/1UvPg-G_Bj-UNhLC2uL8tntfYsnld_PABqE3impzOchM/edit"", ""R2019-AI&amp;ML!V:V""),
IMPORTRANGE(""https://docs.google.com/spreadsheets/d/1UvPg-G_Bj-UNhLC2uL8tntfYsnld_PABqE3impzOchM/edit"","&amp;" ""R2019-AI&amp;ML!X:X""),
IMPORTRANGE(""https://docs.google.com/spreadsheets/d/1UvPg-G_Bj-UNhLC2uL8tntfYsnld_PABqE3impzOchM/edit"", ""R2019-AI&amp;ML!Y:Y""),
IMPORTRANGE(""https://docs.google.com/spreadsheets/d/1UvPg-G_Bj-UNhLC2uL8tntfYsnld_PABqE3impzOchM/edit"""&amp;", ""R2019-AI&amp;ML!AA:AA""),
IMPORTRANGE(""https://docs.google.com/spreadsheets/d/1UvPg-G_Bj-UNhLC2uL8tntfYsnld_PABqE3impzOchM/edit"", ""R2019-AI&amp;ML!AC:AC""),
IMPORTRANGE(""https://docs.google.com/spreadsheets/d/1UvPg-G_Bj-UNhLC2uL8tntfYsnld_PABqE3impzOchM/e"&amp;"dit"", ""R2019-AI&amp;ML!AD:AD"")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2021- 2025")</f>
        <v>BATCH: 2021- 2025</v>
      </c>
      <c r="N1" s="13"/>
      <c r="O1" s="14"/>
      <c r="P1" s="12" t="str">
        <f>IFERROR(__xludf.DUMMYFUNCTION("""COMPUTED_VALUE"""),"BATCH: 2022- 2026, 2023-2027")</f>
        <v>BATCH: 2022- 2026, 2023-2027</v>
      </c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 t="str">
        <f>IFERROR(__xludf.DUMMYFUNCTION("""COMPUTED_VALUE"""),"Category")</f>
        <v>Category</v>
      </c>
      <c r="Q2" s="1" t="str">
        <f>IFERROR(__xludf.DUMMYFUNCTION("""COMPUTED_VALUE"""),"Credits to be Earned (Regular)")</f>
        <v>Credits to be Earned (Regular)</v>
      </c>
      <c r="R2" s="17" t="str">
        <f>IFERROR(__xludf.DUMMYFUNCTION("""COMPUTED_VALUE"""),"Credits to be Earned (Lateral Entry)")</f>
        <v>Credits to be Earned (Lateral Entry)</v>
      </c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IFERROR(__xludf.DUMMYFUNCTION("""COMPUTED_VALUE"""),"Exempted for LE , Any 1 for Regular")</f>
        <v>Exempted for LE , Any 1 for Regular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IFERROR(__xludf.DUMMYFUNCTION("""COMPUTED_VALUE"""),12)</f>
        <v>12</v>
      </c>
      <c r="O3" s="20">
        <f>IFERROR(__xludf.DUMMYFUNCTION("""COMPUTED_VALUE"""),3)</f>
        <v>3</v>
      </c>
      <c r="P3" s="19" t="str">
        <f>IFERROR(__xludf.DUMMYFUNCTION("""COMPUTED_VALUE"""),"HS")</f>
        <v>HS</v>
      </c>
      <c r="Q3" s="2">
        <f>IFERROR(__xludf.DUMMYFUNCTION("""COMPUTED_VALUE"""),14)</f>
        <v>14</v>
      </c>
      <c r="R3" s="20">
        <f>IFERROR(__xludf.DUMMYFUNCTION("""COMPUTED_VALUE"""),3)</f>
        <v>3</v>
      </c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IFERROR(__xludf.DUMMYFUNCTION("""COMPUTED_VALUE"""),"Exempted for LE , Any 1 for Regular")</f>
        <v>Exempted for LE , Any 1 for Regular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IFERROR(__xludf.DUMMYFUNCTION("""COMPUTED_VALUE"""),8)</f>
        <v>8</v>
      </c>
      <c r="P4" s="19" t="str">
        <f>IFERROR(__xludf.DUMMYFUNCTION("""COMPUTED_VALUE"""),"BS")</f>
        <v>BS</v>
      </c>
      <c r="Q4" s="2">
        <f>IFERROR(__xludf.DUMMYFUNCTION("""COMPUTED_VALUE"""),25)</f>
        <v>25</v>
      </c>
      <c r="R4" s="20">
        <f>IFERROR(__xludf.DUMMYFUNCTION("""COMPUTED_VALUE"""),8)</f>
        <v>8</v>
      </c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IFERROR(__xludf.DUMMYFUNCTION("""COMPUTED_VALUE"""),"Exempted for LE , Any 1 for Regular")</f>
        <v>Exempted for LE , Any 1 for Regular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IFERROR(__xludf.DUMMYFUNCTION("""COMPUTED_VALUE"""),28)</f>
        <v>28</v>
      </c>
      <c r="O5" s="20">
        <f>IFERROR(__xludf.DUMMYFUNCTION("""COMPUTED_VALUE"""),12)</f>
        <v>12</v>
      </c>
      <c r="P5" s="19" t="str">
        <f>IFERROR(__xludf.DUMMYFUNCTION("""COMPUTED_VALUE"""),"ES")</f>
        <v>ES</v>
      </c>
      <c r="Q5" s="2">
        <f>IFERROR(__xludf.DUMMYFUNCTION("""COMPUTED_VALUE"""),28)</f>
        <v>28</v>
      </c>
      <c r="R5" s="20">
        <f>IFERROR(__xludf.DUMMYFUNCTION("""COMPUTED_VALUE"""),12)</f>
        <v>12</v>
      </c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LE")</f>
        <v>Exempted for LE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IFERROR(__xludf.DUMMYFUNCTION("""COMPUTED_VALUE"""),56)</f>
        <v>56</v>
      </c>
      <c r="P6" s="19" t="str">
        <f>IFERROR(__xludf.DUMMYFUNCTION("""COMPUTED_VALUE"""),"PC")</f>
        <v>PC</v>
      </c>
      <c r="Q6" s="2">
        <f>IFERROR(__xludf.DUMMYFUNCTION("""COMPUTED_VALUE"""),56)</f>
        <v>56</v>
      </c>
      <c r="R6" s="20">
        <f>IFERROR(__xludf.DUMMYFUNCTION("""COMPUTED_VALUE"""),56)</f>
        <v>56</v>
      </c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LE")</f>
        <v>Exempted for LE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IFERROR(__xludf.DUMMYFUNCTION("""COMPUTED_VALUE"""),15)</f>
        <v>15</v>
      </c>
      <c r="P7" s="19" t="str">
        <f>IFERROR(__xludf.DUMMYFUNCTION("""COMPUTED_VALUE"""),"PE")</f>
        <v>PE</v>
      </c>
      <c r="Q7" s="2">
        <f>IFERROR(__xludf.DUMMYFUNCTION("""COMPUTED_VALUE"""),16)</f>
        <v>16</v>
      </c>
      <c r="R7" s="20">
        <f>IFERROR(__xludf.DUMMYFUNCTION("""COMPUTED_VALUE"""),15)</f>
        <v>15</v>
      </c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LE")</f>
        <v>Exempted for LE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 t="str">
        <f>IFERROR(__xludf.DUMMYFUNCTION("""COMPUTED_VALUE"""),"OE")</f>
        <v>OE</v>
      </c>
      <c r="Q8" s="2">
        <f>IFERROR(__xludf.DUMMYFUNCTION("""COMPUTED_VALUE"""),12)</f>
        <v>12</v>
      </c>
      <c r="R8" s="20">
        <f>IFERROR(__xludf.DUMMYFUNCTION("""COMPUTED_VALUE"""),12)</f>
        <v>12</v>
      </c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 t="str">
        <f>IFERROR(__xludf.DUMMYFUNCTION("""COMPUTED_VALUE"""),"EEC")</f>
        <v>EEC</v>
      </c>
      <c r="Q9" s="2">
        <f>IFERROR(__xludf.DUMMYFUNCTION("""COMPUTED_VALUE"""),16)</f>
        <v>16</v>
      </c>
      <c r="R9" s="20">
        <f>IFERROR(__xludf.DUMMYFUNCTION("""COMPUTED_VALUE"""),16)</f>
        <v>16</v>
      </c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 t="str">
        <f>IFERROR(__xludf.DUMMYFUNCTION("""COMPUTED_VALUE"""),"MC")</f>
        <v>MC</v>
      </c>
      <c r="Q10" s="2">
        <f>IFERROR(__xludf.DUMMYFUNCTION("""COMPUTED_VALUE"""),3)</f>
        <v>3</v>
      </c>
      <c r="R10" s="20">
        <f>IFERROR(__xludf.DUMMYFUNCTION("""COMPUTED_VALUE"""),3)</f>
        <v>3</v>
      </c>
    </row>
    <row r="11" ht="48" customHeight="1" spans="1:18">
      <c r="A11" s="2">
        <f>IFERROR(__xludf.DUMMYFUNCTION("""COMPUTED_VALUE"""),9)</f>
        <v>9</v>
      </c>
      <c r="B11" s="2"/>
      <c r="C11" s="2" t="str">
        <f>IFERROR(__xludf.DUMMYFUNCTION("""COMPUTED_VALUE"""),"BS")</f>
        <v>BS</v>
      </c>
      <c r="D11" s="2" t="str">
        <f>IFERROR(__xludf.DUMMYFUNCTION("""COMPUTED_VALUE"""),"SH2222")</f>
        <v>SH2222</v>
      </c>
      <c r="E11" s="2" t="str">
        <f>IFERROR(__xludf.DUMMYFUNCTION("""COMPUTED_VALUE"""),"19MA222")</f>
        <v>19MA222</v>
      </c>
      <c r="F11" s="7" t="str">
        <f>IFERROR(__xludf.DUMMYFUNCTION("""COMPUTED_VALUE"""),"Probability and Queueing Models")</f>
        <v>Probability and Queueing Models</v>
      </c>
      <c r="G11" s="2" t="str">
        <f>IFERROR(__xludf.DUMMYFUNCTION("""COMPUTED_VALUE"""),"-")</f>
        <v>-</v>
      </c>
      <c r="H11" s="2">
        <f>IFERROR(__xludf.DUMMYFUNCTION("""COMPUTED_VALUE"""),3)</f>
        <v>3</v>
      </c>
      <c r="I11" s="2">
        <f>IFERROR(__xludf.DUMMYFUNCTION("""COMPUTED_VALUE"""),1)</f>
        <v>1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IFERROR(__xludf.DUMMYFUNCTION("""COMPUTED_VALUE"""),"TIP (6 Expts)")</f>
        <v>TIP (6 Expts)</v>
      </c>
      <c r="M11" s="21" t="str">
        <f>IFERROR(__xludf.DUMMYFUNCTION("""COMPUTED_VALUE"""),"TOTAL")</f>
        <v>TOTAL</v>
      </c>
      <c r="N11" s="22">
        <f>IFERROR(__xludf.DUMMYFUNCTION("""COMPUTED_VALUE"""),168)</f>
        <v>168</v>
      </c>
      <c r="O11" s="23">
        <f>IFERROR(__xludf.DUMMYFUNCTION("""COMPUTED_VALUE"""),125)</f>
        <v>125</v>
      </c>
      <c r="P11" s="21" t="str">
        <f>IFERROR(__xludf.DUMMYFUNCTION("""COMPUTED_VALUE"""),"TOTAL")</f>
        <v>TOTAL</v>
      </c>
      <c r="Q11" s="22">
        <f>IFERROR(__xludf.DUMMYFUNCTION("""COMPUTED_VALUE"""),170)</f>
        <v>170</v>
      </c>
      <c r="R11" s="23">
        <f>IFERROR(__xludf.DUMMYFUNCTION("""COMPUTED_VALUE"""),125)</f>
        <v>125</v>
      </c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IFERROR(__xludf.DUMMYFUNCTION("""COMPUTED_VALUE"""),"SH2219")</f>
        <v>SH2219</v>
      </c>
      <c r="E12" s="2" t="str">
        <f>IFERROR(__xludf.DUMMYFUNCTION("""COMPUTED_VALUE"""),"19MA219")</f>
        <v>19MA219</v>
      </c>
      <c r="F12" s="7" t="str">
        <f>IFERROR(__xludf.DUMMYFUNCTION("""COMPUTED_VALUE"""),"Transforms and Its Applications")</f>
        <v>Transforms and Its Applications</v>
      </c>
      <c r="G12" s="2" t="str">
        <f>IFERROR(__xludf.DUMMYFUNCTION("""COMPUTED_VALUE"""),"-")</f>
        <v>-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IFERROR(__xludf.DUMMYFUNCTION("""COMPUTED_VALUE"""),"SH2220")</f>
        <v>SH2220</v>
      </c>
      <c r="E13" s="2" t="str">
        <f>IFERROR(__xludf.DUMMYFUNCTION("""COMPUTED_VALUE"""),"19MA220")</f>
        <v>19MA220</v>
      </c>
      <c r="F13" s="7" t="str">
        <f>IFERROR(__xludf.DUMMYFUNCTION("""COMPUTED_VALUE"""),"Mathematics for Artificial Intelligence")</f>
        <v>Mathematics for Artificial Intelligence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IFERROR(__xludf.DUMMYFUNCTION("""COMPUTED_VALUE"""),"SH2221")</f>
        <v>SH2221</v>
      </c>
      <c r="E14" s="2" t="str">
        <f>IFERROR(__xludf.DUMMYFUNCTION("""COMPUTED_VALUE"""),"19MA221")</f>
        <v>19MA221</v>
      </c>
      <c r="F14" s="7" t="str">
        <f>IFERROR(__xludf.DUMMYFUNCTION("""COMPUTED_VALUE"""),"Linear Algebra Laboratory")</f>
        <v>Linear Algebra Laboratory</v>
      </c>
      <c r="G14" s="2" t="str">
        <f>IFERROR(__xludf.DUMMYFUNCTION("""COMPUTED_VALUE"""),"-")</f>
        <v>-</v>
      </c>
      <c r="H14" s="2">
        <f>IFERROR(__xludf.DUMMYFUNCTION("""COMPUTED_VALUE"""),0)</f>
        <v>0</v>
      </c>
      <c r="I14" s="2">
        <f>IFERROR(__xludf.DUMMYFUNCTION("""COMPUTED_VALUE"""),2)</f>
        <v>2</v>
      </c>
      <c r="J14" s="2">
        <f>IFERROR(__xludf.DUMMYFUNCTION("""COMPUTED_VALUE"""),2)</f>
        <v>2</v>
      </c>
      <c r="K14" s="2" t="str">
        <f>IFERROR(__xludf.DUMMYFUNCTION("""COMPUTED_VALUE"""),"CGPA")</f>
        <v>CGPA</v>
      </c>
      <c r="L14" s="2" t="str">
        <f>IFERROR(__xludf.DUMMYFUNCTION("""COMPUTED_VALUE"""),"Practical (10 Expts)")</f>
        <v>Practical (10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IFERROR(__xludf.DUMMYFUNCTION("""COMPUTED_VALUE"""),"SH2211")</f>
        <v>SH2211</v>
      </c>
      <c r="E15" s="2" t="str">
        <f>IFERROR(__xludf.DUMMYFUNCTION("""COMPUTED_VALUE"""),"19MA211")</f>
        <v>19MA211</v>
      </c>
      <c r="F15" s="7" t="str">
        <f>IFERROR(__xludf.DUMMYFUNCTION("""COMPUTED_VALUE"""),"Statistics and Numerical Methods")</f>
        <v>Statistics and Numerical Methods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 t="str">
        <f>IFERROR(__xludf.DUMMYFUNCTION("""COMPUTED_VALUE"""),"Exempted for LE")</f>
        <v>Exempted for LE</v>
      </c>
      <c r="C16" s="2" t="str">
        <f>IFERROR(__xludf.DUMMYFUNCTION("""COMPUTED_VALUE"""),"BS")</f>
        <v>BS</v>
      </c>
      <c r="D16" s="2" t="str">
        <f>IFERROR(__xludf.DUMMYFUNCTION("""COMPUTED_VALUE"""),"NA")</f>
        <v>NA</v>
      </c>
      <c r="E16" s="2" t="str">
        <f>IFERROR(__xludf.DUMMYFUNCTION("""COMPUTED_VALUE"""),"19PH214")</f>
        <v>19PH214</v>
      </c>
      <c r="F16" s="7" t="str">
        <f>IFERROR(__xludf.DUMMYFUNCTION("""COMPUTED_VALUE"""),"Physics for Quantum Computing")</f>
        <v>Physics for Quantum Computing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IFERROR(__xludf.DUMMYFUNCTION("""COMPUTED_VALUE"""),0)</f>
        <v>0</v>
      </c>
      <c r="J16" s="2">
        <f>IFERROR(__xludf.DUMMYFUNCTION("""COMPUTED_VALUE"""),3)</f>
        <v>3</v>
      </c>
      <c r="K16" s="2" t="str">
        <f>IFERROR(__xludf.DUMMYFUNCTION("""COMPUTED_VALUE"""),"CGPA")</f>
        <v>CGPA</v>
      </c>
      <c r="L16" s="2" t="str">
        <f>IFERROR(__xludf.DUMMYFUNCTION("""COMPUTED_VALUE"""),"Theory")</f>
        <v>Theory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IFERROR(__xludf.DUMMYFUNCTION("""COMPUTED_VALUE"""),"SH4205")</f>
        <v>SH4205</v>
      </c>
      <c r="E17" s="2" t="str">
        <f>IFERROR(__xludf.DUMMYFUNCTION("""COMPUTED_VALUE"""),"19CY205")</f>
        <v>19CY205</v>
      </c>
      <c r="F17" s="7" t="str">
        <f>IFERROR(__xludf.DUMMYFUNCTION("""COMPUTED_VALUE"""),"Principles of Chemistry in Engineering")</f>
        <v>Principles of Chemistry in Engineering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IFERROR(__xludf.DUMMYFUNCTION("""COMPUTED_VALUE"""),"ES")</f>
        <v>ES</v>
      </c>
      <c r="D18" s="2" t="str">
        <f>IFERROR(__xludf.DUMMYFUNCTION("""COMPUTED_VALUE"""),"CS3301")</f>
        <v>CS3301</v>
      </c>
      <c r="E18" s="2" t="str">
        <f>IFERROR(__xludf.DUMMYFUNCTION("""COMPUTED_VALUE"""),"19AI301")</f>
        <v>19AI301</v>
      </c>
      <c r="F18" s="7" t="str">
        <f>IFERROR(__xludf.DUMMYFUNCTION("""COMPUTED_VALUE"""),"Python Programming")</f>
        <v>Python Programming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IFERROR(__xludf.DUMMYFUNCTION("""COMPUTED_VALUE"""),"CS3302")</f>
        <v>CS3302</v>
      </c>
      <c r="E19" s="2" t="str">
        <f>IFERROR(__xludf.DUMMYFUNCTION("""COMPUTED_VALUE"""),"19AI302")</f>
        <v>19AI302</v>
      </c>
      <c r="F19" s="7" t="str">
        <f>IFERROR(__xludf.DUMMYFUNCTION("""COMPUTED_VALUE"""),"Engineering Design and Modelling")</f>
        <v>Engineering Design and Modelling</v>
      </c>
      <c r="G19" s="2" t="str">
        <f>IFERROR(__xludf.DUMMYFUNCTION("""COMPUTED_VALUE"""),"-")</f>
        <v>-</v>
      </c>
      <c r="H19" s="2">
        <f>IFERROR(__xludf.DUMMYFUNCTION("""COMPUTED_VALUE"""),0)</f>
        <v>0</v>
      </c>
      <c r="I19" s="2">
        <f>IFERROR(__xludf.DUMMYFUNCTION("""COMPUTED_VALUE"""),3)</f>
        <v>3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IFERROR(__xludf.DUMMYFUNCTION("""COMPUTED_VALUE"""),"Practical (10 Expts)")</f>
        <v>Practical (10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 t="str">
        <f>IFERROR(__xludf.DUMMYFUNCTION("""COMPUTED_VALUE"""),"Exempted for LE")</f>
        <v>Exempted for LE</v>
      </c>
      <c r="C20" s="2" t="str">
        <f>IFERROR(__xludf.DUMMYFUNCTION("""COMPUTED_VALUE"""),"ES")</f>
        <v>ES</v>
      </c>
      <c r="D20" s="2" t="str">
        <f>IFERROR(__xludf.DUMMYFUNCTION("""COMPUTED_VALUE"""),"CS3303")</f>
        <v>CS3303</v>
      </c>
      <c r="E20" s="2" t="str">
        <f>IFERROR(__xludf.DUMMYFUNCTION("""COMPUTED_VALUE"""),"19AI303")</f>
        <v>19AI303</v>
      </c>
      <c r="F20" s="7" t="str">
        <f>IFERROR(__xludf.DUMMYFUNCTION("""COMPUTED_VALUE"""),"Engineering Mechanics and Product Development")</f>
        <v>Engineering Mechanics and Product Development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IFERROR(__xludf.DUMMYFUNCTION("""COMPUTED_VALUE"""),"CS3306")</f>
        <v>CS3306</v>
      </c>
      <c r="E21" s="2" t="str">
        <f>IFERROR(__xludf.DUMMYFUNCTION("""COMPUTED_VALUE"""),"19AI306")</f>
        <v>19AI306</v>
      </c>
      <c r="F21" s="7" t="str">
        <f>IFERROR(__xludf.DUMMYFUNCTION("""COMPUTED_VALUE"""),"Object Oriented Programming using C++")</f>
        <v>Object Oriented Programming using C++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IFERROR(__xludf.DUMMYFUNCTION("""COMPUTED_VALUE"""),"CS3307")</f>
        <v>CS3307</v>
      </c>
      <c r="E22" s="2" t="str">
        <f>IFERROR(__xludf.DUMMYFUNCTION("""COMPUTED_VALUE"""),"19AI307")</f>
        <v>19AI307</v>
      </c>
      <c r="F22" s="7" t="str">
        <f>IFERROR(__xludf.DUMMYFUNCTION("""COMPUTED_VALUE"""),"Object Oriented Programming using Java")</f>
        <v>Object Oriented Programming using Java</v>
      </c>
      <c r="G22" s="2" t="str">
        <f>IFERROR(__xludf.DUMMYFUNCTION("""COMPUTED_VALUE"""),"19AI304")</f>
        <v>19AI304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IFERROR(__xludf.DUMMYFUNCTION("""COMPUTED_VALUE"""),"CS3308")</f>
        <v>CS3308</v>
      </c>
      <c r="E23" s="2" t="str">
        <f>IFERROR(__xludf.DUMMYFUNCTION("""COMPUTED_VALUE"""),"19AI308")</f>
        <v>19AI308</v>
      </c>
      <c r="F23" s="7" t="str">
        <f>IFERROR(__xludf.DUMMYFUNCTION("""COMPUTED_VALUE"""),"Object Oriented Programming using C#")</f>
        <v>Object Oriented Programming using C#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 t="str">
        <f>IFERROR(__xludf.DUMMYFUNCTION("""COMPUTED_VALUE"""),"Exempted for LE")</f>
        <v>Exempted for LE</v>
      </c>
      <c r="C24" s="2" t="str">
        <f>IFERROR(__xludf.DUMMYFUNCTION("""COMPUTED_VALUE"""),"ES")</f>
        <v>ES</v>
      </c>
      <c r="D24" s="2" t="str">
        <f>IFERROR(__xludf.DUMMYFUNCTION("""COMPUTED_VALUE"""),"EC2404")</f>
        <v>EC2404</v>
      </c>
      <c r="E24" s="2" t="str">
        <f>IFERROR(__xludf.DUMMYFUNCTION("""COMPUTED_VALUE"""),"19EE404")</f>
        <v>19EE404</v>
      </c>
      <c r="F24" s="7" t="str">
        <f>IFERROR(__xludf.DUMMYFUNCTION("""COMPUTED_VALUE"""),"Digital Electronics")</f>
        <v>Digital Electronics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 t="str">
        <f>IFERROR(__xludf.DUMMYFUNCTION("""COMPUTED_VALUE"""),"Exempted for LE")</f>
        <v>Exempted for LE</v>
      </c>
      <c r="C25" s="2" t="str">
        <f>IFERROR(__xludf.DUMMYFUNCTION("""COMPUTED_VALUE"""),"ES")</f>
        <v>ES</v>
      </c>
      <c r="D25" s="2" t="str">
        <f>IFERROR(__xludf.DUMMYFUNCTION("""COMPUTED_VALUE"""),"EC2305")</f>
        <v>EC2305</v>
      </c>
      <c r="E25" s="2" t="str">
        <f>IFERROR(__xludf.DUMMYFUNCTION("""COMPUTED_VALUE"""),"19EE305")</f>
        <v>19EE305</v>
      </c>
      <c r="F25" s="7" t="str">
        <f>IFERROR(__xludf.DUMMYFUNCTION("""COMPUTED_VALUE"""),"Basic Electrical, Electronics and Measurement Engineering")</f>
        <v>Basic Electrical, Electronics and Measurement Engineering</v>
      </c>
      <c r="G25" s="2" t="str">
        <f>IFERROR(__xludf.DUMMYFUNCTION("""COMPUTED_VALUE"""),"-")</f>
        <v>-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 t="str">
        <f>IFERROR(__xludf.DUMMYFUNCTION("""COMPUTED_VALUE"""),"Exempted for LE")</f>
        <v>Exempted for LE</v>
      </c>
      <c r="C26" s="2" t="str">
        <f>IFERROR(__xludf.DUMMYFUNCTION("""COMPUTED_VALUE"""),"ES")</f>
        <v>ES</v>
      </c>
      <c r="D26" s="2" t="str">
        <f>IFERROR(__xludf.DUMMYFUNCTION("""COMPUTED_VALUE"""),"EC2309")</f>
        <v>EC2309</v>
      </c>
      <c r="E26" s="2" t="str">
        <f>IFERROR(__xludf.DUMMYFUNCTION("""COMPUTED_VALUE"""),"19EE309")</f>
        <v>19EE309</v>
      </c>
      <c r="F26" s="7" t="str">
        <f>IFERROR(__xludf.DUMMYFUNCTION("""COMPUTED_VALUE"""),"Programming Microcontrollers")</f>
        <v>Programming Microcontrollers</v>
      </c>
      <c r="G26" s="2" t="str">
        <f>IFERROR(__xludf.DUMMYFUNCTION("""COMPUTED_VALUE"""),"-")</f>
        <v>-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IFERROR(__xludf.DUMMYFUNCTION("""COMPUTED_VALUE"""),"ES")</f>
        <v>ES</v>
      </c>
      <c r="D27" s="2" t="str">
        <f>IFERROR(__xludf.DUMMYFUNCTION("""COMPUTED_VALUE"""),"CS3304")</f>
        <v>CS3304</v>
      </c>
      <c r="E27" s="2" t="str">
        <f>IFERROR(__xludf.DUMMYFUNCTION("""COMPUTED_VALUE"""),"19AI304")</f>
        <v>19AI304</v>
      </c>
      <c r="F27" s="7" t="str">
        <f>IFERROR(__xludf.DUMMYFUNCTION("""COMPUTED_VALUE"""),"Fundamentals of C Programming")</f>
        <v>Fundamentals of C Programming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IFERROR(__xludf.DUMMYFUNCTION("""COMPUTED_VALUE"""),"ES")</f>
        <v>ES</v>
      </c>
      <c r="D28" s="2" t="str">
        <f>IFERROR(__xludf.DUMMYFUNCTION("""COMPUTED_VALUE"""),"CS3305")</f>
        <v>CS3305</v>
      </c>
      <c r="E28" s="2" t="str">
        <f>IFERROR(__xludf.DUMMYFUNCTION("""COMPUTED_VALUE"""),"19AI305")</f>
        <v>19AI305</v>
      </c>
      <c r="F28" s="7" t="str">
        <f>IFERROR(__xludf.DUMMYFUNCTION("""COMPUTED_VALUE"""),"Advanced C Programming")</f>
        <v>Advanced C Programming</v>
      </c>
      <c r="G28" s="2" t="str">
        <f>IFERROR(__xludf.DUMMYFUNCTION("""COMPUTED_VALUE"""),"19AI304 / CS3304")</f>
        <v>19AI304 / CS3304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 t="str">
        <f>IFERROR(__xludf.DUMMYFUNCTION("""COMPUTED_VALUE"""),"Option 1")</f>
        <v>Option 1</v>
      </c>
      <c r="C29" s="2" t="str">
        <f>IFERROR(__xludf.DUMMYFUNCTION("""COMPUTED_VALUE"""),"PC")</f>
        <v>PC</v>
      </c>
      <c r="D29" s="2" t="str">
        <f>IFERROR(__xludf.DUMMYFUNCTION("""COMPUTED_VALUE"""),"CS3401")</f>
        <v>CS3401</v>
      </c>
      <c r="E29" s="2" t="str">
        <f>IFERROR(__xludf.DUMMYFUNCTION("""COMPUTED_VALUE"""),"19AI401")</f>
        <v>19AI401</v>
      </c>
      <c r="F29" s="7" t="str">
        <f>IFERROR(__xludf.DUMMYFUNCTION("""COMPUTED_VALUE"""),"Fundamentals of Web Technology")</f>
        <v>Fundamentals of Web Technology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IFERROR(__xludf.DUMMYFUNCTION("""COMPUTED_VALUE"""),0)</f>
        <v>0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IFERROR(__xludf.DUMMYFUNCTION("""COMPUTED_VALUE"""),"Theory")</f>
        <v>Theory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 t="str">
        <f>IFERROR(__xludf.DUMMYFUNCTION("""COMPUTED_VALUE"""),"Option 1")</f>
        <v>Option 1</v>
      </c>
      <c r="C30" s="2" t="str">
        <f>IFERROR(__xludf.DUMMYFUNCTION("""COMPUTED_VALUE"""),"PC")</f>
        <v>PC</v>
      </c>
      <c r="D30" s="2" t="str">
        <f>IFERROR(__xludf.DUMMYFUNCTION("""COMPUTED_VALUE"""),"CS3402")</f>
        <v>CS3402</v>
      </c>
      <c r="E30" s="2" t="str">
        <f>IFERROR(__xludf.DUMMYFUNCTION("""COMPUTED_VALUE"""),"19AI402")</f>
        <v>19AI402</v>
      </c>
      <c r="F30" s="7" t="str">
        <f>IFERROR(__xludf.DUMMYFUNCTION("""COMPUTED_VALUE"""),"Web Technology Laboratory")</f>
        <v>Web Technology Laboratory</v>
      </c>
      <c r="G30" s="2" t="str">
        <f>IFERROR(__xludf.DUMMYFUNCTION("""COMPUTED_VALUE"""),"-")</f>
        <v>-</v>
      </c>
      <c r="H30" s="2">
        <f>IFERROR(__xludf.DUMMYFUNCTION("""COMPUTED_VALUE"""),0)</f>
        <v>0</v>
      </c>
      <c r="I30" s="2">
        <f>IFERROR(__xludf.DUMMYFUNCTION("""COMPUTED_VALUE"""),2)</f>
        <v>2</v>
      </c>
      <c r="J30" s="2">
        <f>IFERROR(__xludf.DUMMYFUNCTION("""COMPUTED_VALUE"""),2)</f>
        <v>2</v>
      </c>
      <c r="K30" s="2" t="str">
        <f>IFERROR(__xludf.DUMMYFUNCTION("""COMPUTED_VALUE"""),"CGPA")</f>
        <v>CGPA</v>
      </c>
      <c r="L30" s="2" t="str">
        <f>IFERROR(__xludf.DUMMYFUNCTION("""COMPUTED_VALUE"""),"Practical (10 Expts)")</f>
        <v>Practical (10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 t="str">
        <f>IFERROR(__xludf.DUMMYFUNCTION("""COMPUTED_VALUE"""),"Option 2")</f>
        <v>Option 2</v>
      </c>
      <c r="C31" s="2" t="str">
        <f>IFERROR(__xludf.DUMMYFUNCTION("""COMPUTED_VALUE"""),"PC")</f>
        <v>PC</v>
      </c>
      <c r="D31" s="2" t="str">
        <f>IFERROR(__xludf.DUMMYFUNCTION("""COMPUTED_VALUE"""),"CS3414")</f>
        <v>CS3414</v>
      </c>
      <c r="E31" s="2" t="str">
        <f>IFERROR(__xludf.DUMMYFUNCTION("""COMPUTED_VALUE"""),"19AI414")</f>
        <v>19AI414</v>
      </c>
      <c r="F31" s="7" t="str">
        <f>IFERROR(__xludf.DUMMYFUNCTION("""COMPUTED_VALUE"""),"Fundamentals of Web Application Development")</f>
        <v>Fundamentals of Web Application Development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IFERROR(__xludf.DUMMYFUNCTION("""COMPUTED_VALUE"""),2)</f>
        <v>2</v>
      </c>
      <c r="J31" s="2">
        <f>IFERROR(__xludf.DUMMYFUNCTION("""COMPUTED_VALUE"""),5)</f>
        <v>5</v>
      </c>
      <c r="K31" s="2" t="str">
        <f>IFERROR(__xludf.DUMMYFUNCTION("""COMPUTED_VALUE"""),"CGPA")</f>
        <v>CGPA</v>
      </c>
      <c r="L31" s="2" t="str">
        <f>IFERROR(__xludf.DUMMYFUNCTION("""COMPUTED_VALUE"""),"TIP (10 Expts)")</f>
        <v>TIP (10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IFERROR(__xludf.DUMMYFUNCTION("""COMPUTED_VALUE"""),"CS3403")</f>
        <v>CS3403</v>
      </c>
      <c r="E32" s="2" t="str">
        <f>IFERROR(__xludf.DUMMYFUNCTION("""COMPUTED_VALUE"""),"19AI403")</f>
        <v>19AI403</v>
      </c>
      <c r="F32" s="7" t="str">
        <f>IFERROR(__xludf.DUMMYFUNCTION("""COMPUTED_VALUE"""),"Introduction to Data Science")</f>
        <v>Introduction to Data Science</v>
      </c>
      <c r="G32" s="2" t="str">
        <f>IFERROR(__xludf.DUMMYFUNCTION("""COMPUTED_VALUE"""),"19CS301")</f>
        <v>19CS301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IFERROR(__xludf.DUMMYFUNCTION("""COMPUTED_VALUE"""),"Exempted for LE")</f>
        <v>Exempted for LE</v>
      </c>
      <c r="C33" s="2" t="str">
        <f>IFERROR(__xludf.DUMMYFUNCTION("""COMPUTED_VALUE"""),"PC")</f>
        <v>PC</v>
      </c>
      <c r="D33" s="2" t="str">
        <f>IFERROR(__xludf.DUMMYFUNCTION("""COMPUTED_VALUE"""),"CS1405")</f>
        <v>CS1405</v>
      </c>
      <c r="E33" s="2" t="str">
        <f>IFERROR(__xludf.DUMMYFUNCTION("""COMPUTED_VALUE"""),"19CS405")</f>
        <v>19CS405</v>
      </c>
      <c r="F33" s="7" t="str">
        <f>IFERROR(__xludf.DUMMYFUNCTION("""COMPUTED_VALUE"""),"Operating System")</f>
        <v>Operating System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 t="str">
        <f>IFERROR(__xludf.DUMMYFUNCTION("""COMPUTED_VALUE"""),"Exempted for LE")</f>
        <v>Exempted for LE</v>
      </c>
      <c r="C34" s="2" t="str">
        <f>IFERROR(__xludf.DUMMYFUNCTION("""COMPUTED_VALUE"""),"PC")</f>
        <v>PC</v>
      </c>
      <c r="D34" s="2" t="str">
        <f>IFERROR(__xludf.DUMMYFUNCTION("""COMPUTED_VALUE"""),"CS1406")</f>
        <v>CS1406</v>
      </c>
      <c r="E34" s="2" t="str">
        <f>IFERROR(__xludf.DUMMYFUNCTION("""COMPUTED_VALUE"""),"19CS406")</f>
        <v>19CS406</v>
      </c>
      <c r="F34" s="7" t="str">
        <f>IFERROR(__xludf.DUMMYFUNCTION("""COMPUTED_VALUE"""),"Computer Networks")</f>
        <v>Computer Networks</v>
      </c>
      <c r="G34" s="2" t="str">
        <f>IFERROR(__xludf.DUMMYFUNCTION("""COMPUTED_VALUE"""),"-")</f>
        <v>-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IFERROR(__xludf.DUMMYFUNCTION("""COMPUTED_VALUE"""),"CS1404")</f>
        <v>CS1404</v>
      </c>
      <c r="E35" s="2" t="str">
        <f>IFERROR(__xludf.DUMMYFUNCTION("""COMPUTED_VALUE"""),"19CS404")</f>
        <v>19CS404</v>
      </c>
      <c r="F35" s="3" t="str">
        <f>IFERROR(__xludf.DUMMYFUNCTION("""COMPUTED_VALUE"""),"Database Management System and its Applications")</f>
        <v>Database Management System and its Applications</v>
      </c>
      <c r="G35" s="2" t="str">
        <f>IFERROR(__xludf.DUMMYFUNCTION("""COMPUTED_VALUE"""),"19AI301/19AI304/19CS301/19CS302/19CS303")</f>
        <v>19AI301/19AI304/19CS301/19CS302/19CS303</v>
      </c>
      <c r="H35" s="2">
        <f>IFERROR(__xludf.DUMMYFUNCTION("""COMPUTED_VALUE"""),3)</f>
        <v>3</v>
      </c>
      <c r="I35" s="2">
        <f>IFERROR(__xludf.DUMMYFUNCTION("""COMPUTED_VALUE"""),1)</f>
        <v>1</v>
      </c>
      <c r="J35" s="2">
        <f>IFERROR(__xludf.DUMMYFUNCTION("""COMPUTED_VALUE"""),4)</f>
        <v>4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IFERROR(__xludf.DUMMYFUNCTION("""COMPUTED_VALUE"""),"CS3408")</f>
        <v>CS3408</v>
      </c>
      <c r="E36" s="2" t="str">
        <f>IFERROR(__xludf.DUMMYFUNCTION("""COMPUTED_VALUE"""),"19AI408")</f>
        <v>19AI408</v>
      </c>
      <c r="F36" s="7" t="str">
        <f>IFERROR(__xludf.DUMMYFUNCTION("""COMPUTED_VALUE"""),"Data Structures")</f>
        <v>Data Structures</v>
      </c>
      <c r="G36" s="2" t="str">
        <f>IFERROR(__xludf.DUMMYFUNCTION("""COMPUTED_VALUE"""),"19AI304 / CS3304")</f>
        <v>19AI304 / CS3304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IFERROR(__xludf.DUMMYFUNCTION("""COMPUTED_VALUE"""),"CS3404")</f>
        <v>CS3404</v>
      </c>
      <c r="E37" s="2" t="str">
        <f>IFERROR(__xludf.DUMMYFUNCTION("""COMPUTED_VALUE"""),"19AI404")</f>
        <v>19AI404</v>
      </c>
      <c r="F37" s="7" t="str">
        <f>IFERROR(__xludf.DUMMYFUNCTION("""COMPUTED_VALUE"""),"Analysis of Algorithms")</f>
        <v>Analysis of Algorithms</v>
      </c>
      <c r="G37" s="2" t="str">
        <f>IFERROR(__xludf.DUMMYFUNCTION("""COMPUTED_VALUE"""),"19AI301")</f>
        <v>19AI301</v>
      </c>
      <c r="H37" s="2">
        <f>IFERROR(__xludf.DUMMYFUNCTION("""COMPUTED_VALUE"""),2)</f>
        <v>2</v>
      </c>
      <c r="I37" s="2">
        <f>IFERROR(__xludf.DUMMYFUNCTION("""COMPUTED_VALUE"""),1)</f>
        <v>1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IFERROR(__xludf.DUMMYFUNCTION("""COMPUTED_VALUE"""),"CS3405")</f>
        <v>CS3405</v>
      </c>
      <c r="E38" s="2" t="str">
        <f>IFERROR(__xludf.DUMMYFUNCTION("""COMPUTED_VALUE"""),"19AI405")</f>
        <v>19AI405</v>
      </c>
      <c r="F38" s="7" t="str">
        <f>IFERROR(__xludf.DUMMYFUNCTION("""COMPUTED_VALUE"""),"Fundamentals of Artificial Intelligence")</f>
        <v>Fundamentals of Artificial Intelligence</v>
      </c>
      <c r="G38" s="2" t="str">
        <f>IFERROR(__xludf.DUMMYFUNCTION("""COMPUTED_VALUE"""),"19CS301")</f>
        <v>19CS301</v>
      </c>
      <c r="H38" s="2">
        <f>IFERROR(__xludf.DUMMYFUNCTION("""COMPUTED_VALUE"""),2)</f>
        <v>2</v>
      </c>
      <c r="I38" s="2">
        <f>IFERROR(__xludf.DUMMYFUNCTION("""COMPUTED_VALUE"""),1)</f>
        <v>1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IFERROR(__xludf.DUMMYFUNCTION("""COMPUTED_VALUE"""),"CS3550")</f>
        <v>CS3550</v>
      </c>
      <c r="E39" s="2" t="str">
        <f>IFERROR(__xludf.DUMMYFUNCTION("""COMPUTED_VALUE"""),"19AI550")</f>
        <v>19AI550</v>
      </c>
      <c r="F39" s="7" t="str">
        <f>IFERROR(__xludf.DUMMYFUNCTION("""COMPUTED_VALUE"""),"Artificial Intelligence for Games")</f>
        <v>Artificial Intelligence for Games</v>
      </c>
      <c r="G39" s="2" t="str">
        <f>IFERROR(__xludf.DUMMYFUNCTION("""COMPUTED_VALUE"""),"-")</f>
        <v>-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IFERROR(__xludf.DUMMYFUNCTION("""COMPUTED_VALUE"""),"CS3406")</f>
        <v>CS3406</v>
      </c>
      <c r="E40" s="2" t="str">
        <f>IFERROR(__xludf.DUMMYFUNCTION("""COMPUTED_VALUE"""),"19AI406")</f>
        <v>19AI406</v>
      </c>
      <c r="F40" s="7" t="str">
        <f>IFERROR(__xludf.DUMMYFUNCTION("""COMPUTED_VALUE"""),"Digital Image Processing Techniques")</f>
        <v>Digital Image Processing Techniques</v>
      </c>
      <c r="G40" s="2" t="str">
        <f>IFERROR(__xludf.DUMMYFUNCTION("""COMPUTED_VALUE"""),"-")</f>
        <v>-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IFERROR(__xludf.DUMMYFUNCTION("""COMPUTED_VALUE"""),"CS3409")</f>
        <v>CS3409</v>
      </c>
      <c r="E41" s="2" t="str">
        <f>IFERROR(__xludf.DUMMYFUNCTION("""COMPUTED_VALUE"""),"19AI409")</f>
        <v>19AI409</v>
      </c>
      <c r="F41" s="7" t="str">
        <f>IFERROR(__xludf.DUMMYFUNCTION("""COMPUTED_VALUE"""),"Applied Artificial Intelligence")</f>
        <v>Applied Artificial Intelligence</v>
      </c>
      <c r="G41" s="2" t="str">
        <f>IFERROR(__xludf.DUMMYFUNCTION("""COMPUTED_VALUE"""),"19AI405/19CS301")</f>
        <v>19AI405/19CS301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IFERROR(__xludf.DUMMYFUNCTION("""COMPUTED_VALUE"""),"CS3410")</f>
        <v>CS3410</v>
      </c>
      <c r="E42" s="2" t="str">
        <f>IFERROR(__xludf.DUMMYFUNCTION("""COMPUTED_VALUE"""),"19AI410")</f>
        <v>19AI410</v>
      </c>
      <c r="F42" s="7" t="str">
        <f>IFERROR(__xludf.DUMMYFUNCTION("""COMPUTED_VALUE"""),"Introduction to Machine Learning")</f>
        <v>Introduction to Machine Learning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IFERROR(__xludf.DUMMYFUNCTION("""COMPUTED_VALUE"""),"CS4401")</f>
        <v>CS4401</v>
      </c>
      <c r="E43" s="2" t="str">
        <f>IFERROR(__xludf.DUMMYFUNCTION("""COMPUTED_VALUE"""),"19AM401")</f>
        <v>19AM401</v>
      </c>
      <c r="F43" s="3" t="str">
        <f>IFERROR(__xludf.DUMMYFUNCTION("""COMPUTED_VALUE"""),"Time Series Analysis and Forecasting")</f>
        <v>Time Series Analysis and Forecasting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IFERROR(__xludf.DUMMYFUNCTION("""COMPUTED_VALUE"""),1)</f>
        <v>1</v>
      </c>
      <c r="J43" s="2">
        <f>IFERROR(__xludf.DUMMYFUNCTION("""COMPUTED_VALUE"""),4)</f>
        <v>4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IFERROR(__xludf.DUMMYFUNCTION("""COMPUTED_VALUE"""),"CS3411")</f>
        <v>CS3411</v>
      </c>
      <c r="E44" s="2" t="str">
        <f>IFERROR(__xludf.DUMMYFUNCTION("""COMPUTED_VALUE"""),"19AI411")</f>
        <v>19AI411</v>
      </c>
      <c r="F44" s="7" t="str">
        <f>IFERROR(__xludf.DUMMYFUNCTION("""COMPUTED_VALUE"""),"Neural Networks")</f>
        <v>Neural Networks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IFERROR(__xludf.DUMMYFUNCTION("""COMPUTED_VALUE"""),"CS3505")</f>
        <v>CS3505</v>
      </c>
      <c r="E45" s="2" t="str">
        <f>IFERROR(__xludf.DUMMYFUNCTION("""COMPUTED_VALUE"""),"19AI505")</f>
        <v>19AI505</v>
      </c>
      <c r="F45" s="3" t="str">
        <f>IFERROR(__xludf.DUMMYFUNCTION("""COMPUTED_VALUE"""),"Reinforcement Learning")</f>
        <v>Reinforcement Learning</v>
      </c>
      <c r="G45" s="2" t="str">
        <f>IFERROR(__xludf.DUMMYFUNCTION("""COMPUTED_VALUE"""),"19CS301")</f>
        <v>19CS301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IFERROR(__xludf.DUMMYFUNCTION("""COMPUTED_VALUE"""),"PC")</f>
        <v>PC</v>
      </c>
      <c r="D46" s="2" t="str">
        <f>IFERROR(__xludf.DUMMYFUNCTION("""COMPUTED_VALUE"""),"CS3413")</f>
        <v>CS3413</v>
      </c>
      <c r="E46" s="2" t="str">
        <f>IFERROR(__xludf.DUMMYFUNCTION("""COMPUTED_VALUE"""),"19AI413")</f>
        <v>19AI413</v>
      </c>
      <c r="F46" s="7" t="str">
        <f>IFERROR(__xludf.DUMMYFUNCTION("""COMPUTED_VALUE"""),"Deep Learning and its Applications")</f>
        <v>Deep Learning and its Applications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 
")</f>
        <v>PE 
</v>
      </c>
      <c r="D47" s="2" t="str">
        <f>IFERROR(__xludf.DUMMYFUNCTION("""COMPUTED_VALUE"""),"CS3501")</f>
        <v>CS3501</v>
      </c>
      <c r="E47" s="2" t="str">
        <f>IFERROR(__xludf.DUMMYFUNCTION("""COMPUTED_VALUE"""),"19AI501")</f>
        <v>19AI501</v>
      </c>
      <c r="F47" s="3" t="str">
        <f>IFERROR(__xludf.DUMMYFUNCTION("""COMPUTED_VALUE"""),"Applications of Artificial Intelligence")</f>
        <v>Applications of Artificial Intelligence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 
")</f>
        <v>PE 
</v>
      </c>
      <c r="D48" s="2" t="str">
        <f>IFERROR(__xludf.DUMMYFUNCTION("""COMPUTED_VALUE"""),"CS3502")</f>
        <v>CS3502</v>
      </c>
      <c r="E48" s="2" t="str">
        <f>IFERROR(__xludf.DUMMYFUNCTION("""COMPUTED_VALUE"""),"19AI502")</f>
        <v>19AI502</v>
      </c>
      <c r="F48" s="7" t="str">
        <f>IFERROR(__xludf.DUMMYFUNCTION("""COMPUTED_VALUE"""),"Applied Natural Language Processing")</f>
        <v>Applied Natural Language Processing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 
")</f>
        <v>PE 
</v>
      </c>
      <c r="D49" s="2" t="str">
        <f>IFERROR(__xludf.DUMMYFUNCTION("""COMPUTED_VALUE"""),"CS3503")</f>
        <v>CS3503</v>
      </c>
      <c r="E49" s="2" t="str">
        <f>IFERROR(__xludf.DUMMYFUNCTION("""COMPUTED_VALUE"""),"19AI503")</f>
        <v>19AI503</v>
      </c>
      <c r="F49" s="7" t="str">
        <f>IFERROR(__xludf.DUMMYFUNCTION("""COMPUTED_VALUE"""),"Computer Vision")</f>
        <v>Computer Vision</v>
      </c>
      <c r="G49" s="2" t="str">
        <f>IFERROR(__xludf.DUMMYFUNCTION("""COMPUTED_VALUE"""),"19CS301")</f>
        <v>19CS301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 
")</f>
        <v>PE 
</v>
      </c>
      <c r="D50" s="2" t="str">
        <f>IFERROR(__xludf.DUMMYFUNCTION("""COMPUTED_VALUE"""),"CS3504")</f>
        <v>CS3504</v>
      </c>
      <c r="E50" s="2" t="str">
        <f>IFERROR(__xludf.DUMMYFUNCTION("""COMPUTED_VALUE"""),"19AI504")</f>
        <v>19AI504</v>
      </c>
      <c r="F50" s="7" t="str">
        <f>IFERROR(__xludf.DUMMYFUNCTION("""COMPUTED_VALUE"""),"Mobile Robotics")</f>
        <v>Mobile Robotics</v>
      </c>
      <c r="G50" s="2" t="str">
        <f>IFERROR(__xludf.DUMMYFUNCTION("""COMPUTED_VALUE"""),"-")</f>
        <v>-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 
")</f>
        <v>PE 
</v>
      </c>
      <c r="D51" s="2" t="str">
        <f>IFERROR(__xludf.DUMMYFUNCTION("""COMPUTED_VALUE"""),"CS3506")</f>
        <v>CS3506</v>
      </c>
      <c r="E51" s="2" t="str">
        <f>IFERROR(__xludf.DUMMYFUNCTION("""COMPUTED_VALUE"""),"19AI506")</f>
        <v>19AI506</v>
      </c>
      <c r="F51" s="3" t="str">
        <f>IFERROR(__xludf.DUMMYFUNCTION("""COMPUTED_VALUE"""),"Speech Analysis and Processing")</f>
        <v>Speech Analysis and Processing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 
")</f>
        <v>PE 
</v>
      </c>
      <c r="D52" s="2" t="str">
        <f>IFERROR(__xludf.DUMMYFUNCTION("""COMPUTED_VALUE"""),"CS3507")</f>
        <v>CS3507</v>
      </c>
      <c r="E52" s="2" t="str">
        <f>IFERROR(__xludf.DUMMYFUNCTION("""COMPUTED_VALUE"""),"19AI507")</f>
        <v>19AI507</v>
      </c>
      <c r="F52" s="7" t="str">
        <f>IFERROR(__xludf.DUMMYFUNCTION("""COMPUTED_VALUE"""),"Special Topics in Artificial Intelligence")</f>
        <v>Special Topics in Artificial Intelligence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 
")</f>
        <v>PE 
</v>
      </c>
      <c r="D53" s="2" t="str">
        <f>IFERROR(__xludf.DUMMYFUNCTION("""COMPUTED_VALUE"""),"CS3508")</f>
        <v>CS3508</v>
      </c>
      <c r="E53" s="2" t="str">
        <f>IFERROR(__xludf.DUMMYFUNCTION("""COMPUTED_VALUE"""),"19AI508")</f>
        <v>19AI508</v>
      </c>
      <c r="F53" s="3" t="str">
        <f>IFERROR(__xludf.DUMMYFUNCTION("""COMPUTED_VALUE"""),"Soft Computing Techniques")</f>
        <v>Soft Computing Techniques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 
")</f>
        <v>PE 
</v>
      </c>
      <c r="D54" s="2" t="str">
        <f>IFERROR(__xludf.DUMMYFUNCTION("""COMPUTED_VALUE"""),"CS3509")</f>
        <v>CS3509</v>
      </c>
      <c r="E54" s="2" t="str">
        <f>IFERROR(__xludf.DUMMYFUNCTION("""COMPUTED_VALUE"""),"19AI509")</f>
        <v>19AI509</v>
      </c>
      <c r="F54" s="7" t="str">
        <f>IFERROR(__xludf.DUMMYFUNCTION("""COMPUTED_VALUE"""),"Concepts of Virtual And Augmented Reality")</f>
        <v>Concepts of Virtual And Augmented Reality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 
")</f>
        <v>PE 
</v>
      </c>
      <c r="D55" s="2" t="str">
        <f>IFERROR(__xludf.DUMMYFUNCTION("""COMPUTED_VALUE"""),"CS3510")</f>
        <v>CS3510</v>
      </c>
      <c r="E55" s="2" t="str">
        <f>IFERROR(__xludf.DUMMYFUNCTION("""COMPUTED_VALUE"""),"19AI510")</f>
        <v>19AI510</v>
      </c>
      <c r="F55" s="7" t="str">
        <f>IFERROR(__xludf.DUMMYFUNCTION("""COMPUTED_VALUE"""),"Mobile VR And AI In Unity")</f>
        <v>Mobile VR And AI In Unity</v>
      </c>
      <c r="G55" s="2" t="str">
        <f>IFERROR(__xludf.DUMMYFUNCTION("""COMPUTED_VALUE"""),"19AI410/19CS302")</f>
        <v>19AI410/19CS302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 
")</f>
        <v>PE 
</v>
      </c>
      <c r="D56" s="2" t="str">
        <f>IFERROR(__xludf.DUMMYFUNCTION("""COMPUTED_VALUE"""),"CS3511")</f>
        <v>CS3511</v>
      </c>
      <c r="E56" s="2" t="str">
        <f>IFERROR(__xludf.DUMMYFUNCTION("""COMPUTED_VALUE"""),"19AI511")</f>
        <v>19AI511</v>
      </c>
      <c r="F56" s="7" t="str">
        <f>IFERROR(__xludf.DUMMYFUNCTION("""COMPUTED_VALUE"""),"Scientific and Engineering Data Visualization")</f>
        <v>Scientific and Engineering Data Visualization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 
")</f>
        <v>PE 
</v>
      </c>
      <c r="D57" s="2" t="str">
        <f>IFERROR(__xludf.DUMMYFUNCTION("""COMPUTED_VALUE"""),"CS3512")</f>
        <v>CS3512</v>
      </c>
      <c r="E57" s="2" t="str">
        <f>IFERROR(__xludf.DUMMYFUNCTION("""COMPUTED_VALUE"""),"19AI512")</f>
        <v>19AI512</v>
      </c>
      <c r="F57" s="7" t="str">
        <f>IFERROR(__xludf.DUMMYFUNCTION("""COMPUTED_VALUE"""),"NoSQL Database Design")</f>
        <v>NoSQL Database Design</v>
      </c>
      <c r="G57" s="2" t="str">
        <f>IFERROR(__xludf.DUMMYFUNCTION("""COMPUTED_VALUE"""),"19CS301")</f>
        <v>19CS301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 
")</f>
        <v>PE 
</v>
      </c>
      <c r="D58" s="2" t="str">
        <f>IFERROR(__xludf.DUMMYFUNCTION("""COMPUTED_VALUE"""),"CS3513")</f>
        <v>CS3513</v>
      </c>
      <c r="E58" s="2" t="str">
        <f>IFERROR(__xludf.DUMMYFUNCTION("""COMPUTED_VALUE"""),"19AI513")</f>
        <v>19AI513</v>
      </c>
      <c r="F58" s="7" t="str">
        <f>IFERROR(__xludf.DUMMYFUNCTION("""COMPUTED_VALUE"""),"Game Programming")</f>
        <v>Game Programming</v>
      </c>
      <c r="G58" s="2" t="str">
        <f>IFERROR(__xludf.DUMMYFUNCTION("""COMPUTED_VALUE"""),"19CS401")</f>
        <v>19CS401</v>
      </c>
      <c r="H58" s="2">
        <f>IFERROR(__xludf.DUMMYFUNCTION("""COMPUTED_VALUE"""),2)</f>
        <v>2</v>
      </c>
      <c r="I58" s="2">
        <f>IFERROR(__xludf.DUMMYFUNCTION("""COMPUTED_VALUE"""),2)</f>
        <v>2</v>
      </c>
      <c r="J58" s="2">
        <f>IFERROR(__xludf.DUMMYFUNCTION("""COMPUTED_VALUE"""),4)</f>
        <v>4</v>
      </c>
      <c r="K58" s="2" t="str">
        <f>IFERROR(__xludf.DUMMYFUNCTION("""COMPUTED_VALUE"""),"CGPA")</f>
        <v>CGPA</v>
      </c>
      <c r="L58" s="2" t="str">
        <f>IFERROR(__xludf.DUMMYFUNCTION("""COMPUTED_VALUE"""),"TIP (10 Expts)")</f>
        <v>TIP (10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 
")</f>
        <v>PE 
</v>
      </c>
      <c r="D59" s="2" t="str">
        <f>IFERROR(__xludf.DUMMYFUNCTION("""COMPUTED_VALUE"""),"CS3514")</f>
        <v>CS3514</v>
      </c>
      <c r="E59" s="2" t="str">
        <f>IFERROR(__xludf.DUMMYFUNCTION("""COMPUTED_VALUE"""),"19AI514")</f>
        <v>19AI514</v>
      </c>
      <c r="F59" s="7" t="str">
        <f>IFERROR(__xludf.DUMMYFUNCTION("""COMPUTED_VALUE"""),"Self Driving Car")</f>
        <v>Self Driving Car</v>
      </c>
      <c r="G59" s="2" t="str">
        <f>IFERROR(__xludf.DUMMYFUNCTION("""COMPUTED_VALUE"""),"19CS301/19AI410")</f>
        <v>19CS301/19AI410</v>
      </c>
      <c r="H59" s="2">
        <f>IFERROR(__xludf.DUMMYFUNCTION("""COMPUTED_VALUE"""),2)</f>
        <v>2</v>
      </c>
      <c r="I59" s="2">
        <f>IFERROR(__xludf.DUMMYFUNCTION("""COMPUTED_VALUE"""),2)</f>
        <v>2</v>
      </c>
      <c r="J59" s="2">
        <f>IFERROR(__xludf.DUMMYFUNCTION("""COMPUTED_VALUE"""),4)</f>
        <v>4</v>
      </c>
      <c r="K59" s="2" t="str">
        <f>IFERROR(__xludf.DUMMYFUNCTION("""COMPUTED_VALUE"""),"CGPA")</f>
        <v>CGPA</v>
      </c>
      <c r="L59" s="2" t="str">
        <f>IFERROR(__xludf.DUMMYFUNCTION("""COMPUTED_VALUE"""),"TIP (10 Expts)")</f>
        <v>TIP (10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 
")</f>
        <v>PE 
</v>
      </c>
      <c r="D60" s="2" t="str">
        <f>IFERROR(__xludf.DUMMYFUNCTION("""COMPUTED_VALUE"""),"CS3515")</f>
        <v>CS3515</v>
      </c>
      <c r="E60" s="2" t="str">
        <f>IFERROR(__xludf.DUMMYFUNCTION("""COMPUTED_VALUE"""),"19AI515")</f>
        <v>19AI515</v>
      </c>
      <c r="F60" s="7" t="str">
        <f>IFERROR(__xludf.DUMMYFUNCTION("""COMPUTED_VALUE"""),"Smart Manufacturing Technology")</f>
        <v>Smart Manufacturing Technology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 
")</f>
        <v>PE 
</v>
      </c>
      <c r="D61" s="2" t="str">
        <f>IFERROR(__xludf.DUMMYFUNCTION("""COMPUTED_VALUE"""),"CS1523")</f>
        <v>CS1523</v>
      </c>
      <c r="E61" s="2" t="str">
        <f>IFERROR(__xludf.DUMMYFUNCTION("""COMPUTED_VALUE"""),"19CS523")</f>
        <v>19CS523</v>
      </c>
      <c r="F61" s="7" t="str">
        <f>IFERROR(__xludf.DUMMYFUNCTION("""COMPUTED_VALUE"""),"Information Retrieval")</f>
        <v>Information Retrieval</v>
      </c>
      <c r="G61" s="2" t="str">
        <f>IFERROR(__xludf.DUMMYFUNCTION("""COMPUTED_VALUE"""),"19AI410/ 19CS501/19CS413")</f>
        <v>19AI410/ 19CS501/19CS413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 
")</f>
        <v>PE 
</v>
      </c>
      <c r="D62" s="2" t="str">
        <f>IFERROR(__xludf.DUMMYFUNCTION("""COMPUTED_VALUE"""),"CS3516")</f>
        <v>CS3516</v>
      </c>
      <c r="E62" s="2" t="str">
        <f>IFERROR(__xludf.DUMMYFUNCTION("""COMPUTED_VALUE"""),"19AI516")</f>
        <v>19AI516</v>
      </c>
      <c r="F62" s="7" t="str">
        <f>IFERROR(__xludf.DUMMYFUNCTION("""COMPUTED_VALUE"""),"Big Data Mining and Analysis")</f>
        <v>Big Data Mining and Analysis</v>
      </c>
      <c r="G62" s="2" t="str">
        <f>IFERROR(__xludf.DUMMYFUNCTION("""COMPUTED_VALUE"""),"19AI408/ 19CS410/19IT405")</f>
        <v>19AI408/ 19CS410/19IT405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 
")</f>
        <v>PE 
</v>
      </c>
      <c r="D63" s="2" t="str">
        <f>IFERROR(__xludf.DUMMYFUNCTION("""COMPUTED_VALUE"""),"CS3517")</f>
        <v>CS3517</v>
      </c>
      <c r="E63" s="2" t="str">
        <f>IFERROR(__xludf.DUMMYFUNCTION("""COMPUTED_VALUE"""),"19AI517")</f>
        <v>19AI517</v>
      </c>
      <c r="F63" s="7" t="str">
        <f>IFERROR(__xludf.DUMMYFUNCTION("""COMPUTED_VALUE"""),"Business Analytics")</f>
        <v>Business Analytics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 
")</f>
        <v>PE 
</v>
      </c>
      <c r="D64" s="2" t="str">
        <f>IFERROR(__xludf.DUMMYFUNCTION("""COMPUTED_VALUE"""),"CS3518")</f>
        <v>CS3518</v>
      </c>
      <c r="E64" s="2" t="str">
        <f>IFERROR(__xludf.DUMMYFUNCTION("""COMPUTED_VALUE"""),"19AI518")</f>
        <v>19AI518</v>
      </c>
      <c r="F64" s="7" t="str">
        <f>IFERROR(__xludf.DUMMYFUNCTION("""COMPUTED_VALUE"""),"Cognitive Systems")</f>
        <v>Cognitive Systems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 
")</f>
        <v>PE 
</v>
      </c>
      <c r="D65" s="2" t="str">
        <f>IFERROR(__xludf.DUMMYFUNCTION("""COMPUTED_VALUE"""),"CS3519")</f>
        <v>CS3519</v>
      </c>
      <c r="E65" s="2" t="str">
        <f>IFERROR(__xludf.DUMMYFUNCTION("""COMPUTED_VALUE"""),"19AI519")</f>
        <v>19AI519</v>
      </c>
      <c r="F65" s="7" t="str">
        <f>IFERROR(__xludf.DUMMYFUNCTION("""COMPUTED_VALUE"""),"Distributed Database")</f>
        <v>Distributed Database</v>
      </c>
      <c r="G65" s="2" t="str">
        <f>IFERROR(__xludf.DUMMYFUNCTION("""COMPUTED_VALUE"""),"19CS404")</f>
        <v>19CS404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 
")</f>
        <v>PE 
</v>
      </c>
      <c r="D66" s="2" t="str">
        <f>IFERROR(__xludf.DUMMYFUNCTION("""COMPUTED_VALUE"""),"CS3520")</f>
        <v>CS3520</v>
      </c>
      <c r="E66" s="2" t="str">
        <f>IFERROR(__xludf.DUMMYFUNCTION("""COMPUTED_VALUE"""),"19AI520")</f>
        <v>19AI520</v>
      </c>
      <c r="F66" s="7" t="str">
        <f>IFERROR(__xludf.DUMMYFUNCTION("""COMPUTED_VALUE"""),"Data Mining and Warehousing")</f>
        <v>Data Mining and Warehousing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 
")</f>
        <v>PE 
</v>
      </c>
      <c r="D67" s="2" t="str">
        <f>IFERROR(__xludf.DUMMYFUNCTION("""COMPUTED_VALUE"""),"CS3521")</f>
        <v>CS3521</v>
      </c>
      <c r="E67" s="2" t="str">
        <f>IFERROR(__xludf.DUMMYFUNCTION("""COMPUTED_VALUE"""),"19AI521")</f>
        <v>19AI521</v>
      </c>
      <c r="F67" s="7" t="str">
        <f>IFERROR(__xludf.DUMMYFUNCTION("""COMPUTED_VALUE"""),"Expert Systems")</f>
        <v>Expert Systems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 
")</f>
        <v>PE 
</v>
      </c>
      <c r="D68" s="2" t="str">
        <f>IFERROR(__xludf.DUMMYFUNCTION("""COMPUTED_VALUE"""),"CS3522")</f>
        <v>CS3522</v>
      </c>
      <c r="E68" s="2" t="str">
        <f>IFERROR(__xludf.DUMMYFUNCTION("""COMPUTED_VALUE"""),"19AI522")</f>
        <v>19AI522</v>
      </c>
      <c r="F68" s="7" t="str">
        <f>IFERROR(__xludf.DUMMYFUNCTION("""COMPUTED_VALUE"""),"Knowledge Engineering")</f>
        <v>Knowledge Engineering</v>
      </c>
      <c r="G68" s="2" t="str">
        <f>IFERROR(__xludf.DUMMYFUNCTION("""COMPUTED_VALUE"""),"19CS410")</f>
        <v>19CS410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 
")</f>
        <v>PE 
</v>
      </c>
      <c r="D69" s="2" t="str">
        <f>IFERROR(__xludf.DUMMYFUNCTION("""COMPUTED_VALUE"""),"CS3523")</f>
        <v>CS3523</v>
      </c>
      <c r="E69" s="2" t="str">
        <f>IFERROR(__xludf.DUMMYFUNCTION("""COMPUTED_VALUE"""),"19AI523")</f>
        <v>19AI523</v>
      </c>
      <c r="F69" s="7" t="str">
        <f>IFERROR(__xludf.DUMMYFUNCTION("""COMPUTED_VALUE"""),"Mobile Database")</f>
        <v>Mobile Database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 
")</f>
        <v>PE 
</v>
      </c>
      <c r="D70" s="2" t="str">
        <f>IFERROR(__xludf.DUMMYFUNCTION("""COMPUTED_VALUE"""),"CS3524")</f>
        <v>CS3524</v>
      </c>
      <c r="E70" s="2" t="str">
        <f>IFERROR(__xludf.DUMMYFUNCTION("""COMPUTED_VALUE"""),"19AI524")</f>
        <v>19AI524</v>
      </c>
      <c r="F70" s="7" t="str">
        <f>IFERROR(__xludf.DUMMYFUNCTION("""COMPUTED_VALUE"""),"Multimedia Database")</f>
        <v>Multimedia Database</v>
      </c>
      <c r="G70" s="2" t="str">
        <f>IFERROR(__xludf.DUMMYFUNCTION("""COMPUTED_VALUE"""),"19CS410")</f>
        <v>19CS410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 
")</f>
        <v>PE 
</v>
      </c>
      <c r="D71" s="2" t="str">
        <f>IFERROR(__xludf.DUMMYFUNCTION("""COMPUTED_VALUE"""),"CS3525")</f>
        <v>CS3525</v>
      </c>
      <c r="E71" s="2" t="str">
        <f>IFERROR(__xludf.DUMMYFUNCTION("""COMPUTED_VALUE"""),"19AI525")</f>
        <v>19AI525</v>
      </c>
      <c r="F71" s="7" t="str">
        <f>IFERROR(__xludf.DUMMYFUNCTION("""COMPUTED_VALUE"""),"Video Processing")</f>
        <v>Video Processing</v>
      </c>
      <c r="G71" s="2" t="str">
        <f>IFERROR(__xludf.DUMMYFUNCTION("""COMPUTED_VALUE"""),"19CS301")</f>
        <v>19CS301</v>
      </c>
      <c r="H71" s="2">
        <f>IFERROR(__xludf.DUMMYFUNCTION("""COMPUTED_VALUE"""),2)</f>
        <v>2</v>
      </c>
      <c r="I71" s="2">
        <f>IFERROR(__xludf.DUMMYFUNCTION("""COMPUTED_VALUE"""),1)</f>
        <v>1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 
")</f>
        <v>PE 
</v>
      </c>
      <c r="D72" s="2" t="str">
        <f>IFERROR(__xludf.DUMMYFUNCTION("""COMPUTED_VALUE"""),"CS4501")</f>
        <v>CS4501</v>
      </c>
      <c r="E72" s="2" t="str">
        <f>IFERROR(__xludf.DUMMYFUNCTION("""COMPUTED_VALUE"""),"19AM501")</f>
        <v>19AM501</v>
      </c>
      <c r="F72" s="3" t="str">
        <f>IFERROR(__xludf.DUMMYFUNCTION("""COMPUTED_VALUE"""),"Machine Learning for Bioinformatics")</f>
        <v>Machine Learning for Bioinformatics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 
")</f>
        <v>PE 
</v>
      </c>
      <c r="D73" s="2" t="str">
        <f>IFERROR(__xludf.DUMMYFUNCTION("""COMPUTED_VALUE"""),"CS4502")</f>
        <v>CS4502</v>
      </c>
      <c r="E73" s="2" t="str">
        <f>IFERROR(__xludf.DUMMYFUNCTION("""COMPUTED_VALUE"""),"19AM502")</f>
        <v>19AM502</v>
      </c>
      <c r="F73" s="7" t="str">
        <f>IFERROR(__xludf.DUMMYFUNCTION("""COMPUTED_VALUE"""),"Genetic Algorithms")</f>
        <v>Genetic Algorithms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 
")</f>
        <v>PE 
</v>
      </c>
      <c r="D74" s="2" t="str">
        <f>IFERROR(__xludf.DUMMYFUNCTION("""COMPUTED_VALUE"""),"CS4503")</f>
        <v>CS4503</v>
      </c>
      <c r="E74" s="2" t="str">
        <f>IFERROR(__xludf.DUMMYFUNCTION("""COMPUTED_VALUE"""),"19AM503")</f>
        <v>19AM503</v>
      </c>
      <c r="F74" s="3" t="str">
        <f>IFERROR(__xludf.DUMMYFUNCTION("""COMPUTED_VALUE"""),"Data Modeling")</f>
        <v>Data Modeling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 
")</f>
        <v>PE 
</v>
      </c>
      <c r="D75" s="2" t="str">
        <f>IFERROR(__xludf.DUMMYFUNCTION("""COMPUTED_VALUE"""),"CS4504")</f>
        <v>CS4504</v>
      </c>
      <c r="E75" s="2" t="str">
        <f>IFERROR(__xludf.DUMMYFUNCTION("""COMPUTED_VALUE"""),"19AM504")</f>
        <v>19AM504</v>
      </c>
      <c r="F75" s="7" t="str">
        <f>IFERROR(__xludf.DUMMYFUNCTION("""COMPUTED_VALUE"""),"Brain Computer Interaction")</f>
        <v>Brain Computer Interaction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 
")</f>
        <v>PE 
</v>
      </c>
      <c r="D76" s="2" t="str">
        <f>IFERROR(__xludf.DUMMYFUNCTION("""COMPUTED_VALUE"""),"CS3526")</f>
        <v>CS3526</v>
      </c>
      <c r="E76" s="2" t="str">
        <f>IFERROR(__xludf.DUMMYFUNCTION("""COMPUTED_VALUE"""),"19AI526")</f>
        <v>19AI526</v>
      </c>
      <c r="F76" s="7" t="str">
        <f>IFERROR(__xludf.DUMMYFUNCTION("""COMPUTED_VALUE"""),"Information Security and Access Control")</f>
        <v>Information Security and Access Control</v>
      </c>
      <c r="G76" s="2" t="str">
        <f>IFERROR(__xludf.DUMMYFUNCTION("""COMPUTED_VALUE"""),"19AI527")</f>
        <v>19AI527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 
")</f>
        <v>PE 
</v>
      </c>
      <c r="D77" s="2" t="str">
        <f>IFERROR(__xludf.DUMMYFUNCTION("""COMPUTED_VALUE"""),"CS3527")</f>
        <v>CS3527</v>
      </c>
      <c r="E77" s="2" t="str">
        <f>IFERROR(__xludf.DUMMYFUNCTION("""COMPUTED_VALUE"""),"19AI527")</f>
        <v>19AI527</v>
      </c>
      <c r="F77" s="7" t="str">
        <f>IFERROR(__xludf.DUMMYFUNCTION("""COMPUTED_VALUE"""),"Security Assessment and Risk Analysis")</f>
        <v>Security Assessment and Risk Analysis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IFERROR(__xludf.DUMMYFUNCTION("""COMPUTED_VALUE"""),1)</f>
        <v>1</v>
      </c>
      <c r="J77" s="2">
        <f>IFERROR(__xludf.DUMMYFUNCTION("""COMPUTED_VALUE"""),4)</f>
        <v>4</v>
      </c>
      <c r="K77" s="2" t="str">
        <f>IFERROR(__xludf.DUMMYFUNCTION("""COMPUTED_VALUE"""),"CGPA")</f>
        <v>CGPA</v>
      </c>
      <c r="L77" s="2" t="str">
        <f>IFERROR(__xludf.DUMMYFUNCTION("""COMPUTED_VALUE"""),"TIP (6 Expts)")</f>
        <v>TIP (6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 
")</f>
        <v>PE 
</v>
      </c>
      <c r="D78" s="2" t="str">
        <f>IFERROR(__xludf.DUMMYFUNCTION("""COMPUTED_VALUE"""),"CS1407")</f>
        <v>CS1407</v>
      </c>
      <c r="E78" s="2" t="str">
        <f>IFERROR(__xludf.DUMMYFUNCTION("""COMPUTED_VALUE"""),"19CS407")</f>
        <v>19CS407</v>
      </c>
      <c r="F78" s="7" t="str">
        <f>IFERROR(__xludf.DUMMYFUNCTION("""COMPUTED_VALUE"""),"Theory of Computation")</f>
        <v>Theory of Computation</v>
      </c>
      <c r="G78" s="2" t="str">
        <f>IFERROR(__xludf.DUMMYFUNCTION("""COMPUTED_VALUE"""),"19MA206")</f>
        <v>19MA206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 
")</f>
        <v>PE 
</v>
      </c>
      <c r="D79" s="2" t="str">
        <f>IFERROR(__xludf.DUMMYFUNCTION("""COMPUTED_VALUE"""),"CS1408")</f>
        <v>CS1408</v>
      </c>
      <c r="E79" s="2" t="str">
        <f>IFERROR(__xludf.DUMMYFUNCTION("""COMPUTED_VALUE"""),"19CS408")</f>
        <v>19CS408</v>
      </c>
      <c r="F79" s="7" t="str">
        <f>IFERROR(__xludf.DUMMYFUNCTION("""COMPUTED_VALUE"""),"Software Engineering")</f>
        <v>Software Engineering</v>
      </c>
      <c r="G79" s="2" t="str">
        <f>IFERROR(__xludf.DUMMYFUNCTION("""COMPUTED_VALUE"""),"-")</f>
        <v>-</v>
      </c>
      <c r="H79" s="2">
        <f>IFERROR(__xludf.DUMMYFUNCTION("""COMPUTED_VALUE"""),3)</f>
        <v>3</v>
      </c>
      <c r="I79" s="2">
        <f>IFERROR(__xludf.DUMMYFUNCTION("""COMPUTED_VALUE"""),1)</f>
        <v>1</v>
      </c>
      <c r="J79" s="2">
        <f>IFERROR(__xludf.DUMMYFUNCTION("""COMPUTED_VALUE"""),4)</f>
        <v>4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 
")</f>
        <v>PE 
</v>
      </c>
      <c r="D80" s="2" t="str">
        <f>IFERROR(__xludf.DUMMYFUNCTION("""COMPUTED_VALUE"""),"CS1409")</f>
        <v>CS1409</v>
      </c>
      <c r="E80" s="2" t="str">
        <f>IFERROR(__xludf.DUMMYFUNCTION("""COMPUTED_VALUE"""),"19CS409")</f>
        <v>19CS409</v>
      </c>
      <c r="F80" s="7" t="str">
        <f>IFERROR(__xludf.DUMMYFUNCTION("""COMPUTED_VALUE"""),"Compiler Design")</f>
        <v>Compiler Design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IFERROR(__xludf.DUMMYFUNCTION("""COMPUTED_VALUE"""),1)</f>
        <v>1</v>
      </c>
      <c r="J80" s="2">
        <f>IFERROR(__xludf.DUMMYFUNCTION("""COMPUTED_VALUE"""),4)</f>
        <v>4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 
")</f>
        <v>PE 
</v>
      </c>
      <c r="D81" s="2" t="str">
        <f>IFERROR(__xludf.DUMMYFUNCTION("""COMPUTED_VALUE"""),"CS3528")</f>
        <v>CS3528</v>
      </c>
      <c r="E81" s="2" t="str">
        <f>IFERROR(__xludf.DUMMYFUNCTION("""COMPUTED_VALUE"""),"19AI528")</f>
        <v>19AI528</v>
      </c>
      <c r="F81" s="7" t="str">
        <f>IFERROR(__xludf.DUMMYFUNCTION("""COMPUTED_VALUE"""),"Advanced Graph Theory and Applications")</f>
        <v>Advanced Graph Theory and Applications</v>
      </c>
      <c r="G81" s="2" t="str">
        <f>IFERROR(__xludf.DUMMYFUNCTION("""COMPUTED_VALUE"""),"19CS402")</f>
        <v>19CS402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 
")</f>
        <v>PE 
</v>
      </c>
      <c r="D82" s="2" t="str">
        <f>IFERROR(__xludf.DUMMYFUNCTION("""COMPUTED_VALUE"""),"CS3529")</f>
        <v>CS3529</v>
      </c>
      <c r="E82" s="2" t="str">
        <f>IFERROR(__xludf.DUMMYFUNCTION("""COMPUTED_VALUE"""),"19AI529")</f>
        <v>19AI529</v>
      </c>
      <c r="F82" s="7" t="str">
        <f>IFERROR(__xludf.DUMMYFUNCTION("""COMPUTED_VALUE"""),"Advanced Data Structures")</f>
        <v>Advanced Data Structures</v>
      </c>
      <c r="G82" s="2" t="str">
        <f>IFERROR(__xludf.DUMMYFUNCTION("""COMPUTED_VALUE"""),"19CS401")</f>
        <v>19CS401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 
")</f>
        <v>PE 
</v>
      </c>
      <c r="D83" s="2" t="str">
        <f>IFERROR(__xludf.DUMMYFUNCTION("""COMPUTED_VALUE"""),"CS3530")</f>
        <v>CS3530</v>
      </c>
      <c r="E83" s="2" t="str">
        <f>IFERROR(__xludf.DUMMYFUNCTION("""COMPUTED_VALUE"""),"19AI530")</f>
        <v>19AI530</v>
      </c>
      <c r="F83" s="7" t="str">
        <f>IFERROR(__xludf.DUMMYFUNCTION("""COMPUTED_VALUE"""),"Control of Robotic Systems")</f>
        <v>Control of Robotic Systems</v>
      </c>
      <c r="G83" s="2" t="str">
        <f>IFERROR(__xludf.DUMMYFUNCTION("""COMPUTED_VALUE"""),"-")</f>
        <v>-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 
")</f>
        <v>PE 
</v>
      </c>
      <c r="D84" s="2" t="str">
        <f>IFERROR(__xludf.DUMMYFUNCTION("""COMPUTED_VALUE"""),"CS3531")</f>
        <v>CS3531</v>
      </c>
      <c r="E84" s="2" t="str">
        <f>IFERROR(__xludf.DUMMYFUNCTION("""COMPUTED_VALUE"""),"19AI531")</f>
        <v>19AI531</v>
      </c>
      <c r="F84" s="7" t="str">
        <f>IFERROR(__xludf.DUMMYFUNCTION("""COMPUTED_VALUE"""),"Cryptography and Security")</f>
        <v>Cryptography and Security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 
")</f>
        <v>PE 
</v>
      </c>
      <c r="D85" s="2" t="str">
        <f>IFERROR(__xludf.DUMMYFUNCTION("""COMPUTED_VALUE"""),"CS3532")</f>
        <v>CS3532</v>
      </c>
      <c r="E85" s="2" t="str">
        <f>IFERROR(__xludf.DUMMYFUNCTION("""COMPUTED_VALUE"""),"19AI532")</f>
        <v>19AI532</v>
      </c>
      <c r="F85" s="7" t="str">
        <f>IFERROR(__xludf.DUMMYFUNCTION("""COMPUTED_VALUE"""),"Information Theory for Cyber Security")</f>
        <v>Information Theory for Cyber Security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 
")</f>
        <v>PE 
</v>
      </c>
      <c r="D86" s="2" t="str">
        <f>IFERROR(__xludf.DUMMYFUNCTION("""COMPUTED_VALUE"""),"CS3533")</f>
        <v>CS3533</v>
      </c>
      <c r="E86" s="2" t="str">
        <f>IFERROR(__xludf.DUMMYFUNCTION("""COMPUTED_VALUE"""),"19AI533")</f>
        <v>19AI533</v>
      </c>
      <c r="F86" s="7" t="str">
        <f>IFERROR(__xludf.DUMMYFUNCTION("""COMPUTED_VALUE"""),"Introduction to Robotics")</f>
        <v>Introduction to Robotics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 
")</f>
        <v>PE 
</v>
      </c>
      <c r="D87" s="2" t="str">
        <f>IFERROR(__xludf.DUMMYFUNCTION("""COMPUTED_VALUE"""),"CS3534")</f>
        <v>CS3534</v>
      </c>
      <c r="E87" s="2" t="str">
        <f>IFERROR(__xludf.DUMMYFUNCTION("""COMPUTED_VALUE"""),"19AI534")</f>
        <v>19AI534</v>
      </c>
      <c r="F87" s="7" t="str">
        <f>IFERROR(__xludf.DUMMYFUNCTION("""COMPUTED_VALUE"""),"Kinematics and Dynamics of Robots")</f>
        <v>Kinematics and Dynamics of Robots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 
")</f>
        <v>PE 
</v>
      </c>
      <c r="D88" s="2" t="str">
        <f>IFERROR(__xludf.DUMMYFUNCTION("""COMPUTED_VALUE"""),"CS3535")</f>
        <v>CS3535</v>
      </c>
      <c r="E88" s="2" t="str">
        <f>IFERROR(__xludf.DUMMYFUNCTION("""COMPUTED_VALUE"""),"19AI535")</f>
        <v>19AI535</v>
      </c>
      <c r="F88" s="7" t="str">
        <f>IFERROR(__xludf.DUMMYFUNCTION("""COMPUTED_VALUE"""),"Robotic Sensors")</f>
        <v>Robotic Sensors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 
")</f>
        <v>PE 
</v>
      </c>
      <c r="D89" s="2" t="str">
        <f>IFERROR(__xludf.DUMMYFUNCTION("""COMPUTED_VALUE"""),"CS3536")</f>
        <v>CS3536</v>
      </c>
      <c r="E89" s="2" t="str">
        <f>IFERROR(__xludf.DUMMYFUNCTION("""COMPUTED_VALUE"""),"19AI536")</f>
        <v>19AI536</v>
      </c>
      <c r="F89" s="7" t="str">
        <f>IFERROR(__xludf.DUMMYFUNCTION("""COMPUTED_VALUE"""),"Steganography and Digital Watermarking")</f>
        <v>Steganography and Digital Watermarking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 
")</f>
        <v>PE 
</v>
      </c>
      <c r="D90" s="2" t="str">
        <f>IFERROR(__xludf.DUMMYFUNCTION("""COMPUTED_VALUE"""),"CS3537")</f>
        <v>CS3537</v>
      </c>
      <c r="E90" s="2" t="str">
        <f>IFERROR(__xludf.DUMMYFUNCTION("""COMPUTED_VALUE"""),"19AI537")</f>
        <v>19AI537</v>
      </c>
      <c r="F90" s="7" t="str">
        <f>IFERROR(__xludf.DUMMYFUNCTION("""COMPUTED_VALUE"""),"Computer Graphics for Virtual Reality")</f>
        <v>Computer Graphics for Virtual Reality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 
")</f>
        <v>PE 
</v>
      </c>
      <c r="D91" s="2" t="str">
        <f>IFERROR(__xludf.DUMMYFUNCTION("""COMPUTED_VALUE"""),"CS3538")</f>
        <v>CS3538</v>
      </c>
      <c r="E91" s="2" t="str">
        <f>IFERROR(__xludf.DUMMYFUNCTION("""COMPUTED_VALUE"""),"19AI538")</f>
        <v>19AI538</v>
      </c>
      <c r="F91" s="7" t="str">
        <f>IFERROR(__xludf.DUMMYFUNCTION("""COMPUTED_VALUE"""),"Mathematical Modelling and Computer Aided Engineering")</f>
        <v>Mathematical Modelling and Computer Aided Engineering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 
")</f>
        <v>PE 
</v>
      </c>
      <c r="D92" s="2" t="str">
        <f>IFERROR(__xludf.DUMMYFUNCTION("""COMPUTED_VALUE"""),"CS3539")</f>
        <v>CS3539</v>
      </c>
      <c r="E92" s="2" t="str">
        <f>IFERROR(__xludf.DUMMYFUNCTION("""COMPUTED_VALUE"""),"19AI539")</f>
        <v>19AI539</v>
      </c>
      <c r="F92" s="7" t="str">
        <f>IFERROR(__xludf.DUMMYFUNCTION("""COMPUTED_VALUE"""),"Mobile User Interface Development")</f>
        <v>Mobile User Interface Development</v>
      </c>
      <c r="G92" s="2" t="str">
        <f>IFERROR(__xludf.DUMMYFUNCTION("""COMPUTED_VALUE"""),"19CS401")</f>
        <v>19CS401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 
")</f>
        <v>PE 
</v>
      </c>
      <c r="D93" s="2" t="str">
        <f>IFERROR(__xludf.DUMMYFUNCTION("""COMPUTED_VALUE"""),"CS3540")</f>
        <v>CS3540</v>
      </c>
      <c r="E93" s="2" t="str">
        <f>IFERROR(__xludf.DUMMYFUNCTION("""COMPUTED_VALUE"""),"19AI540")</f>
        <v>19AI540</v>
      </c>
      <c r="F93" s="7" t="str">
        <f>IFERROR(__xludf.DUMMYFUNCTION("""COMPUTED_VALUE"""),"Programming Mobile Devices")</f>
        <v>Programming Mobile Devices</v>
      </c>
      <c r="G93" s="2" t="str">
        <f>IFERROR(__xludf.DUMMYFUNCTION("""COMPUTED_VALUE"""),"19CS401")</f>
        <v>19CS401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 
")</f>
        <v>PE 
</v>
      </c>
      <c r="D94" s="2" t="str">
        <f>IFERROR(__xludf.DUMMYFUNCTION("""COMPUTED_VALUE"""),"CS3541")</f>
        <v>CS3541</v>
      </c>
      <c r="E94" s="2" t="str">
        <f>IFERROR(__xludf.DUMMYFUNCTION("""COMPUTED_VALUE"""),"19AI541")</f>
        <v>19AI541</v>
      </c>
      <c r="F94" s="7" t="str">
        <f>IFERROR(__xludf.DUMMYFUNCTION("""COMPUTED_VALUE"""),"Cloud Computing")</f>
        <v>Cloud Computing</v>
      </c>
      <c r="G94" s="2" t="str">
        <f>IFERROR(__xludf.DUMMYFUNCTION("""COMPUTED_VALUE"""),"19CS406")</f>
        <v>19CS406</v>
      </c>
      <c r="H94" s="2">
        <f>IFERROR(__xludf.DUMMYFUNCTION("""COMPUTED_VALUE"""),3)</f>
        <v>3</v>
      </c>
      <c r="I94" s="2">
        <f>IFERROR(__xludf.DUMMYFUNCTION("""COMPUTED_VALUE"""),1)</f>
        <v>1</v>
      </c>
      <c r="J94" s="2">
        <f>IFERROR(__xludf.DUMMYFUNCTION("""COMPUTED_VALUE"""),4)</f>
        <v>4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 
")</f>
        <v>PE 
</v>
      </c>
      <c r="D95" s="2" t="str">
        <f>IFERROR(__xludf.DUMMYFUNCTION("""COMPUTED_VALUE"""),"CS3542")</f>
        <v>CS3542</v>
      </c>
      <c r="E95" s="2" t="str">
        <f>IFERROR(__xludf.DUMMYFUNCTION("""COMPUTED_VALUE"""),"19AI542")</f>
        <v>19AI542</v>
      </c>
      <c r="F95" s="7" t="str">
        <f>IFERROR(__xludf.DUMMYFUNCTION("""COMPUTED_VALUE"""),"Agile Software Development")</f>
        <v>Agile Software Development</v>
      </c>
      <c r="G95" s="2" t="str">
        <f>IFERROR(__xludf.DUMMYFUNCTION("""COMPUTED_VALUE"""),"19CS301")</f>
        <v>19CS301</v>
      </c>
      <c r="H95" s="2">
        <f>IFERROR(__xludf.DUMMYFUNCTION("""COMPUTED_VALUE"""),3)</f>
        <v>3</v>
      </c>
      <c r="I95" s="2">
        <f>IFERROR(__xludf.DUMMYFUNCTION("""COMPUTED_VALUE"""),1)</f>
        <v>1</v>
      </c>
      <c r="J95" s="2">
        <f>IFERROR(__xludf.DUMMYFUNCTION("""COMPUTED_VALUE"""),4)</f>
        <v>4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 
")</f>
        <v>PE 
</v>
      </c>
      <c r="D96" s="2" t="str">
        <f>IFERROR(__xludf.DUMMYFUNCTION("""COMPUTED_VALUE"""),"CS3543")</f>
        <v>CS3543</v>
      </c>
      <c r="E96" s="2" t="str">
        <f>IFERROR(__xludf.DUMMYFUNCTION("""COMPUTED_VALUE"""),"19AI543")</f>
        <v>19AI543</v>
      </c>
      <c r="F96" s="7" t="str">
        <f>IFERROR(__xludf.DUMMYFUNCTION("""COMPUTED_VALUE"""),"Software Testing")</f>
        <v>Software Testing</v>
      </c>
      <c r="G96" s="2" t="str">
        <f>IFERROR(__xludf.DUMMYFUNCTION("""COMPUTED_VALUE"""),"19CS301")</f>
        <v>19CS301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 
")</f>
        <v>PE 
</v>
      </c>
      <c r="D97" s="2" t="str">
        <f>IFERROR(__xludf.DUMMYFUNCTION("""COMPUTED_VALUE"""),"CS3544")</f>
        <v>CS3544</v>
      </c>
      <c r="E97" s="2" t="str">
        <f>IFERROR(__xludf.DUMMYFUNCTION("""COMPUTED_VALUE"""),"19AI544")</f>
        <v>19AI544</v>
      </c>
      <c r="F97" s="7" t="str">
        <f>IFERROR(__xludf.DUMMYFUNCTION("""COMPUTED_VALUE"""),"Virtualization and Containerization")</f>
        <v>Virtualization and Containerization</v>
      </c>
      <c r="G97" s="2" t="str">
        <f>IFERROR(__xludf.DUMMYFUNCTION("""COMPUTED_VALUE"""),"19CS405/19CS406")</f>
        <v>19CS405/19CS406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 
")</f>
        <v>PE 
</v>
      </c>
      <c r="D98" s="2" t="str">
        <f>IFERROR(__xludf.DUMMYFUNCTION("""COMPUTED_VALUE"""),"CS3545")</f>
        <v>CS3545</v>
      </c>
      <c r="E98" s="2" t="str">
        <f>IFERROR(__xludf.DUMMYFUNCTION("""COMPUTED_VALUE"""),"19AI545")</f>
        <v>19AI545</v>
      </c>
      <c r="F98" s="7" t="str">
        <f>IFERROR(__xludf.DUMMYFUNCTION("""COMPUTED_VALUE"""),"Modern Web Application Development")</f>
        <v>Modern Web Application Development</v>
      </c>
      <c r="G98" s="2" t="str">
        <f>IFERROR(__xludf.DUMMYFUNCTION("""COMPUTED_VALUE"""),"19CS410")</f>
        <v>19CS410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 
")</f>
        <v>PE 
</v>
      </c>
      <c r="D99" s="2" t="str">
        <f>IFERROR(__xludf.DUMMYFUNCTION("""COMPUTED_VALUE"""),"CS3546")</f>
        <v>CS3546</v>
      </c>
      <c r="E99" s="2" t="str">
        <f>IFERROR(__xludf.DUMMYFUNCTION("""COMPUTED_VALUE"""),"19AI546")</f>
        <v>19AI546</v>
      </c>
      <c r="F99" s="7" t="str">
        <f>IFERROR(__xludf.DUMMYFUNCTION("""COMPUTED_VALUE"""),"Web Server Programming")</f>
        <v>Web Server Programming</v>
      </c>
      <c r="G99" s="2" t="str">
        <f>IFERROR(__xludf.DUMMYFUNCTION("""COMPUTED_VALUE"""),"19CS401")</f>
        <v>19CS401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 
")</f>
        <v>PE 
</v>
      </c>
      <c r="D100" s="2" t="str">
        <f>IFERROR(__xludf.DUMMYFUNCTION("""COMPUTED_VALUE"""),"CS3547")</f>
        <v>CS3547</v>
      </c>
      <c r="E100" s="2" t="str">
        <f>IFERROR(__xludf.DUMMYFUNCTION("""COMPUTED_VALUE"""),"19AI547")</f>
        <v>19AI547</v>
      </c>
      <c r="F100" s="7" t="str">
        <f>IFERROR(__xludf.DUMMYFUNCTION("""COMPUTED_VALUE"""),"Blockchain for Business")</f>
        <v>Blockchain for Business</v>
      </c>
      <c r="G100" s="2" t="str">
        <f>IFERROR(__xludf.DUMMYFUNCTION("""COMPUTED_VALUE"""),"19CS301")</f>
        <v>19CS301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 
")</f>
        <v>PE 
</v>
      </c>
      <c r="D101" s="2" t="str">
        <f>IFERROR(__xludf.DUMMYFUNCTION("""COMPUTED_VALUE"""),"CS3407")</f>
        <v>CS3407</v>
      </c>
      <c r="E101" s="2" t="str">
        <f>IFERROR(__xludf.DUMMYFUNCTION("""COMPUTED_VALUE"""),"19AI407")</f>
        <v>19AI407</v>
      </c>
      <c r="F101" s="7" t="str">
        <f>IFERROR(__xludf.DUMMYFUNCTION("""COMPUTED_VALUE"""),"Parallel Computing Architecture")</f>
        <v>Parallel Computing Architecture</v>
      </c>
      <c r="G101" s="2" t="str">
        <f>IFERROR(__xludf.DUMMYFUNCTION("""COMPUTED_VALUE"""),"-")</f>
        <v>-</v>
      </c>
      <c r="H101" s="2">
        <f>IFERROR(__xludf.DUMMYFUNCTION("""COMPUTED_VALUE"""),3)</f>
        <v>3</v>
      </c>
      <c r="I101" s="2">
        <f>IFERROR(__xludf.DUMMYFUNCTION("""COMPUTED_VALUE"""),1)</f>
        <v>1</v>
      </c>
      <c r="J101" s="2">
        <f>IFERROR(__xludf.DUMMYFUNCTION("""COMPUTED_VALUE"""),4)</f>
        <v>4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 
")</f>
        <v>PE 
</v>
      </c>
      <c r="D102" s="2" t="str">
        <f>IFERROR(__xludf.DUMMYFUNCTION("""COMPUTED_VALUE"""),"CS4514")</f>
        <v>CS4514</v>
      </c>
      <c r="E102" s="2" t="str">
        <f>IFERROR(__xludf.DUMMYFUNCTION("""COMPUTED_VALUE"""),"19AM514")</f>
        <v>19AM514</v>
      </c>
      <c r="F102" s="7" t="str">
        <f>IFERROR(__xludf.DUMMYFUNCTION("""COMPUTED_VALUE"""),"Motion Planning Techniques")</f>
        <v>Motion Planning Techniques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 
")</f>
        <v>PE 
</v>
      </c>
      <c r="D103" s="2" t="str">
        <f>IFERROR(__xludf.DUMMYFUNCTION("""COMPUTED_VALUE"""),"CS4505")</f>
        <v>CS4505</v>
      </c>
      <c r="E103" s="2" t="str">
        <f>IFERROR(__xludf.DUMMYFUNCTION("""COMPUTED_VALUE"""),"19AM505")</f>
        <v>19AM505</v>
      </c>
      <c r="F103" s="7" t="str">
        <f>IFERROR(__xludf.DUMMYFUNCTION("""COMPUTED_VALUE"""),"Statistical Learning Theory")</f>
        <v>Statistical Learning Theory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 
")</f>
        <v>PE 
</v>
      </c>
      <c r="D104" s="2" t="str">
        <f>IFERROR(__xludf.DUMMYFUNCTION("""COMPUTED_VALUE"""),"CS4506")</f>
        <v>CS4506</v>
      </c>
      <c r="E104" s="2" t="str">
        <f>IFERROR(__xludf.DUMMYFUNCTION("""COMPUTED_VALUE"""),"19AM506")</f>
        <v>19AM506</v>
      </c>
      <c r="F104" s="7" t="str">
        <f>IFERROR(__xludf.DUMMYFUNCTION("""COMPUTED_VALUE"""),"Sensors and Actuators for IoT")</f>
        <v>Sensors and Actuators for IoT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 
")</f>
        <v>PE 
</v>
      </c>
      <c r="D105" s="2" t="str">
        <f>IFERROR(__xludf.DUMMYFUNCTION("""COMPUTED_VALUE"""),"CS4507")</f>
        <v>CS4507</v>
      </c>
      <c r="E105" s="2" t="str">
        <f>IFERROR(__xludf.DUMMYFUNCTION("""COMPUTED_VALUE"""),"19AM507")</f>
        <v>19AM507</v>
      </c>
      <c r="F105" s="7" t="str">
        <f>IFERROR(__xludf.DUMMYFUNCTION("""COMPUTED_VALUE"""),"Security and Trust in IoT")</f>
        <v>Security and Trust in IoT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 
")</f>
        <v>PE 
</v>
      </c>
      <c r="D106" s="2" t="str">
        <f>IFERROR(__xludf.DUMMYFUNCTION("""COMPUTED_VALUE"""),"CS4508")</f>
        <v>CS4508</v>
      </c>
      <c r="E106" s="2" t="str">
        <f>IFERROR(__xludf.DUMMYFUNCTION("""COMPUTED_VALUE"""),"19AM508")</f>
        <v>19AM508</v>
      </c>
      <c r="F106" s="7" t="str">
        <f>IFERROR(__xludf.DUMMYFUNCTION("""COMPUTED_VALUE"""),"Introduction to IoT")</f>
        <v>Introduction to IoT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 
")</f>
        <v>PE 
</v>
      </c>
      <c r="D107" s="2" t="str">
        <f>IFERROR(__xludf.DUMMYFUNCTION("""COMPUTED_VALUE"""),"CS4509")</f>
        <v>CS4509</v>
      </c>
      <c r="E107" s="2" t="str">
        <f>IFERROR(__xludf.DUMMYFUNCTION("""COMPUTED_VALUE"""),"19AM509")</f>
        <v>19AM509</v>
      </c>
      <c r="F107" s="7" t="str">
        <f>IFERROR(__xludf.DUMMYFUNCTION("""COMPUTED_VALUE"""),"Industrial Internet of Things")</f>
        <v>Industrial Internet of Things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 
")</f>
        <v>PE 
</v>
      </c>
      <c r="D108" s="2" t="str">
        <f>IFERROR(__xludf.DUMMYFUNCTION("""COMPUTED_VALUE"""),"CS4510")</f>
        <v>CS4510</v>
      </c>
      <c r="E108" s="2" t="str">
        <f>IFERROR(__xludf.DUMMYFUNCTION("""COMPUTED_VALUE"""),"19AM510")</f>
        <v>19AM510</v>
      </c>
      <c r="F108" s="7" t="str">
        <f>IFERROR(__xludf.DUMMYFUNCTION("""COMPUTED_VALUE"""),"Software for Embedded Systems")</f>
        <v>Software for Embedded Systems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 
")</f>
        <v>PE 
</v>
      </c>
      <c r="D109" s="2" t="str">
        <f>IFERROR(__xludf.DUMMYFUNCTION("""COMPUTED_VALUE"""),"CS4511")</f>
        <v>CS4511</v>
      </c>
      <c r="E109" s="2" t="str">
        <f>IFERROR(__xludf.DUMMYFUNCTION("""COMPUTED_VALUE"""),"19AM511")</f>
        <v>19AM511</v>
      </c>
      <c r="F109" s="7" t="str">
        <f>IFERROR(__xludf.DUMMYFUNCTION("""COMPUTED_VALUE"""),"IoT Architecture and Protocols")</f>
        <v>IoT Architecture and Protocols</v>
      </c>
      <c r="G109" s="2" t="str">
        <f>IFERROR(__xludf.DUMMYFUNCTION("""COMPUTED_VALUE"""),"-")</f>
        <v>-</v>
      </c>
      <c r="H109" s="2">
        <f>IFERROR(__xludf.DUMMYFUNCTION("""COMPUTED_VALUE"""),3)</f>
        <v>3</v>
      </c>
      <c r="I109" s="2">
        <f>IFERROR(__xludf.DUMMYFUNCTION("""COMPUTED_VALUE"""),0)</f>
        <v>0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IFERROR(__xludf.DUMMYFUNCTION("""COMPUTED_VALUE"""),"Theory")</f>
        <v>Theory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 
")</f>
        <v>PE 
</v>
      </c>
      <c r="D110" s="2" t="str">
        <f>IFERROR(__xludf.DUMMYFUNCTION("""COMPUTED_VALUE"""),"CS4512")</f>
        <v>CS4512</v>
      </c>
      <c r="E110" s="2" t="str">
        <f>IFERROR(__xludf.DUMMYFUNCTION("""COMPUTED_VALUE"""),"19AM512")</f>
        <v>19AM512</v>
      </c>
      <c r="F110" s="7" t="str">
        <f>IFERROR(__xludf.DUMMYFUNCTION("""COMPUTED_VALUE"""),"Arduino for IoT")</f>
        <v>Arduino for IoT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 
")</f>
        <v>PE 
</v>
      </c>
      <c r="D111" s="2" t="str">
        <f>IFERROR(__xludf.DUMMYFUNCTION("""COMPUTED_VALUE"""),"CS4513")</f>
        <v>CS4513</v>
      </c>
      <c r="E111" s="2" t="str">
        <f>IFERROR(__xludf.DUMMYFUNCTION("""COMPUTED_VALUE"""),"19AM513")</f>
        <v>19AM513</v>
      </c>
      <c r="F111" s="7" t="str">
        <f>IFERROR(__xludf.DUMMYFUNCTION("""COMPUTED_VALUE"""),"Raspberry Pi for IoT")</f>
        <v>Raspberry Pi for IoT</v>
      </c>
      <c r="G111" s="2" t="str">
        <f>IFERROR(__xludf.DUMMYFUNCTION("""COMPUTED_VALUE"""),"-")</f>
        <v>-</v>
      </c>
      <c r="H111" s="2">
        <f>IFERROR(__xludf.DUMMYFUNCTION("""COMPUTED_VALUE"""),2)</f>
        <v>2</v>
      </c>
      <c r="I111" s="2">
        <f>IFERROR(__xludf.DUMMYFUNCTION("""COMPUTED_VALUE"""),1)</f>
        <v>1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 
")</f>
        <v>PE 
</v>
      </c>
      <c r="D112" s="2" t="str">
        <f>IFERROR(__xludf.DUMMYFUNCTION("""COMPUTED_VALUE"""),"CS4515")</f>
        <v>CS4515</v>
      </c>
      <c r="E112" s="2" t="str">
        <f>IFERROR(__xludf.DUMMYFUNCTION("""COMPUTED_VALUE"""),"19AM515")</f>
        <v>19AM515</v>
      </c>
      <c r="F112" s="7" t="str">
        <f>IFERROR(__xludf.DUMMYFUNCTION("""COMPUTED_VALUE"""),"Advanced Java Programming")</f>
        <v>Advanced Java Programming</v>
      </c>
      <c r="G112" s="2" t="str">
        <f>IFERROR(__xludf.DUMMYFUNCTION("""COMPUTED_VALUE"""),"-")</f>
        <v>-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 
")</f>
        <v>PE 
</v>
      </c>
      <c r="D113" s="2" t="str">
        <f>IFERROR(__xludf.DUMMYFUNCTION("""COMPUTED_VALUE"""),"CS1420")</f>
        <v>CS1420</v>
      </c>
      <c r="E113" s="2" t="str">
        <f>IFERROR(__xludf.DUMMYFUNCTION("""COMPUTED_VALUE"""),"19CS420")</f>
        <v>19CS420</v>
      </c>
      <c r="F113" s="7" t="str">
        <f>IFERROR(__xludf.DUMMYFUNCTION("""COMPUTED_VALUE"""),"Prototyping of IoT Systems")</f>
        <v>Prototyping of IoT Systems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 
")</f>
        <v>PE 
</v>
      </c>
      <c r="D114" s="2" t="str">
        <f>IFERROR(__xludf.DUMMYFUNCTION("""COMPUTED_VALUE"""),"CS1542")</f>
        <v>CS1542</v>
      </c>
      <c r="E114" s="2" t="str">
        <f>IFERROR(__xludf.DUMMYFUNCTION("""COMPUTED_VALUE"""),"19CS542")</f>
        <v>19CS542</v>
      </c>
      <c r="F114" s="7" t="str">
        <f>IFERROR(__xludf.DUMMYFUNCTION("""COMPUTED_VALUE"""),"Embedded Board Design")</f>
        <v>Embedded Board Design</v>
      </c>
      <c r="G114" s="2" t="str">
        <f>IFERROR(__xludf.DUMMYFUNCTION("""COMPUTED_VALUE"""),"-")</f>
        <v>-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 
")</f>
        <v>PE 
</v>
      </c>
      <c r="D115" s="2" t="str">
        <f>IFERROR(__xludf.DUMMYFUNCTION("""COMPUTED_VALUE"""),"CS3553")</f>
        <v>CS3553</v>
      </c>
      <c r="E115" s="2" t="str">
        <f>IFERROR(__xludf.DUMMYFUNCTION("""COMPUTED_VALUE"""),"19AI553")</f>
        <v>19AI553</v>
      </c>
      <c r="F115" s="7" t="str">
        <f>IFERROR(__xludf.DUMMYFUNCTION("""COMPUTED_VALUE"""),"Advanced Java Web Applications")</f>
        <v>Advanced Java Web Applications</v>
      </c>
      <c r="G115" s="2" t="str">
        <f>IFERROR(__xludf.DUMMYFUNCTION("""COMPUTED_VALUE"""),"19AI307")</f>
        <v>19AI307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 
")</f>
        <v>PE 
</v>
      </c>
      <c r="D116" s="2" t="str">
        <f>IFERROR(__xludf.DUMMYFUNCTION("""COMPUTED_VALUE"""),"CS1417")</f>
        <v>CS1417</v>
      </c>
      <c r="E116" s="2" t="str">
        <f>IFERROR(__xludf.DUMMYFUNCTION("""COMPUTED_VALUE"""),"19CS417")</f>
        <v>19CS417</v>
      </c>
      <c r="F116" s="7" t="str">
        <f>IFERROR(__xludf.DUMMYFUNCTION("""COMPUTED_VALUE"""),"Ethical Hacking Techniques")</f>
        <v>Ethical Hacking Techniques</v>
      </c>
      <c r="G116" s="2" t="str">
        <f>IFERROR(__xludf.DUMMYFUNCTION("""COMPUTED_VALUE"""),"-")</f>
        <v>-</v>
      </c>
      <c r="H116" s="2">
        <f>IFERROR(__xludf.DUMMYFUNCTION("""COMPUTED_VALUE"""),2)</f>
        <v>2</v>
      </c>
      <c r="I116" s="2">
        <f>IFERROR(__xludf.DUMMYFUNCTION("""COMPUTED_VALUE"""),1)</f>
        <v>1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IFERROR(__xludf.DUMMYFUNCTION("""COMPUTED_VALUE"""),"TIP (6 Expts)")</f>
        <v>TIP (6 Expts)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IFERROR(__xludf.DUMMYFUNCTION("""COMPUTED_VALUE"""),"CS1546")</f>
        <v>CS1546</v>
      </c>
      <c r="E117" s="2" t="str">
        <f>IFERROR(__xludf.DUMMYFUNCTION("""COMPUTED_VALUE"""),"19CS546")</f>
        <v>19CS546</v>
      </c>
      <c r="F117" s="7" t="str">
        <f>IFERROR(__xludf.DUMMYFUNCTION("""COMPUTED_VALUE"""),"Kernel Programming")</f>
        <v>Kernel Programming</v>
      </c>
      <c r="G117" s="2" t="str">
        <f>IFERROR(__xludf.DUMMYFUNCTION("""COMPUTED_VALUE"""),"-")</f>
        <v>-</v>
      </c>
      <c r="H117" s="2">
        <f>IFERROR(__xludf.DUMMYFUNCTION("""COMPUTED_VALUE"""),2)</f>
        <v>2</v>
      </c>
      <c r="I117" s="2">
        <f>IFERROR(__xludf.DUMMYFUNCTION("""COMPUTED_VALUE"""),1)</f>
        <v>1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IFERROR(__xludf.DUMMYFUNCTION("""COMPUTED_VALUE"""),"TIP (6 Expts)")</f>
        <v>TIP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 
")</f>
        <v>PE 
</v>
      </c>
      <c r="D118" s="2" t="str">
        <f>IFERROR(__xludf.DUMMYFUNCTION("""COMPUTED_VALUE"""),"CS1545")</f>
        <v>CS1545</v>
      </c>
      <c r="E118" s="2" t="str">
        <f>IFERROR(__xludf.DUMMYFUNCTION("""COMPUTED_VALUE"""),"19CS545")</f>
        <v>19CS545</v>
      </c>
      <c r="F118" s="7" t="str">
        <f>IFERROR(__xludf.DUMMYFUNCTION("""COMPUTED_VALUE"""),"Open Source Operating System")</f>
        <v>Open Source Operating System</v>
      </c>
      <c r="G118" s="2" t="str">
        <f>IFERROR(__xludf.DUMMYFUNCTION("""COMPUTED_VALUE"""),"-")</f>
        <v>-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 
")</f>
        <v>PE 
</v>
      </c>
      <c r="D119" s="2" t="str">
        <f>IFERROR(__xludf.DUMMYFUNCTION("""COMPUTED_VALUE"""),"CS1418")</f>
        <v>CS1418</v>
      </c>
      <c r="E119" s="2" t="str">
        <f>IFERROR(__xludf.DUMMYFUNCTION("""COMPUTED_VALUE"""),"19CS418")</f>
        <v>19CS418</v>
      </c>
      <c r="F119" s="7" t="str">
        <f>IFERROR(__xludf.DUMMYFUNCTION("""COMPUTED_VALUE"""),"Cyber Law and Compliance")</f>
        <v>Cyber Law and Compliance</v>
      </c>
      <c r="G119" s="2" t="str">
        <f>IFERROR(__xludf.DUMMYFUNCTION("""COMPUTED_VALUE"""),"-")</f>
        <v>-</v>
      </c>
      <c r="H119" s="2">
        <f>IFERROR(__xludf.DUMMYFUNCTION("""COMPUTED_VALUE"""),3)</f>
        <v>3</v>
      </c>
      <c r="I119" s="2">
        <f>IFERROR(__xludf.DUMMYFUNCTION("""COMPUTED_VALUE"""),0)</f>
        <v>0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IFERROR(__xludf.DUMMYFUNCTION("""COMPUTED_VALUE"""),"Theory")</f>
        <v>Theory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IFERROR(__xludf.DUMMYFUNCTION("""COMPUTED_VALUE"""),"CS1567")</f>
        <v>CS1567</v>
      </c>
      <c r="E120" s="2" t="str">
        <f>IFERROR(__xludf.DUMMYFUNCTION("""COMPUTED_VALUE"""),"19CS567")</f>
        <v>19CS567</v>
      </c>
      <c r="F120" s="7" t="str">
        <f>IFERROR(__xludf.DUMMYFUNCTION("""COMPUTED_VALUE"""),"Cloud Native App Development")</f>
        <v>Cloud Native App Development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IFERROR(__xludf.DUMMYFUNCTION("""COMPUTED_VALUE"""),"CS1305")</f>
        <v>CS1305</v>
      </c>
      <c r="E121" s="2" t="str">
        <f>IFERROR(__xludf.DUMMYFUNCTION("""COMPUTED_VALUE"""),"19CS305")</f>
        <v>19CS305</v>
      </c>
      <c r="F121" s="7" t="str">
        <f>IFERROR(__xludf.DUMMYFUNCTION("""COMPUTED_VALUE"""),"Computer Architecture")</f>
        <v>Computer Architecture</v>
      </c>
      <c r="G121" s="2" t="str">
        <f>IFERROR(__xludf.DUMMYFUNCTION("""COMPUTED_VALUE"""),"-")</f>
        <v>-</v>
      </c>
      <c r="H121" s="2">
        <f>IFERROR(__xludf.DUMMYFUNCTION("""COMPUTED_VALUE"""),3)</f>
        <v>3</v>
      </c>
      <c r="I121" s="2">
        <f>IFERROR(__xludf.DUMMYFUNCTION("""COMPUTED_VALUE"""),0)</f>
        <v>0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IFERROR(__xludf.DUMMYFUNCTION("""COMPUTED_VALUE"""),"Theory")</f>
        <v>Theory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IFERROR(__xludf.DUMMYFUNCTION("""COMPUTED_VALUE"""),"CS4516")</f>
        <v>CS4516</v>
      </c>
      <c r="E122" s="2" t="str">
        <f>IFERROR(__xludf.DUMMYFUNCTION("""COMPUTED_VALUE"""),"19AM516")</f>
        <v>19AM516</v>
      </c>
      <c r="F122" s="7" t="str">
        <f>IFERROR(__xludf.DUMMYFUNCTION("""COMPUTED_VALUE"""),"Python Programming for IoT")</f>
        <v>Python Programming for IoT</v>
      </c>
      <c r="G122" s="2" t="str">
        <f>IFERROR(__xludf.DUMMYFUNCTION("""COMPUTED_VALUE"""),"-")</f>
        <v>-</v>
      </c>
      <c r="H122" s="2">
        <f>IFERROR(__xludf.DUMMYFUNCTION("""COMPUTED_VALUE"""),3)</f>
        <v>3</v>
      </c>
      <c r="I122" s="2">
        <f>IFERROR(__xludf.DUMMYFUNCTION("""COMPUTED_VALUE"""),0)</f>
        <v>0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IFERROR(__xludf.DUMMYFUNCTION("""COMPUTED_VALUE"""),"Theory")</f>
        <v>Theory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IFERROR(__xludf.DUMMYFUNCTION("""COMPUTED_VALUE"""),"CS4517")</f>
        <v>CS4517</v>
      </c>
      <c r="E123" s="26" t="str">
        <f>IFERROR(__xludf.DUMMYFUNCTION("""COMPUTED_VALUE"""),"19AM517")</f>
        <v>19AM517</v>
      </c>
      <c r="F123" s="27" t="str">
        <f>IFERROR(__xludf.DUMMYFUNCTION("""COMPUTED_VALUE"""),"Applications of IoT in Robotics")</f>
        <v>Applications of IoT in Robotics</v>
      </c>
      <c r="G123" s="26" t="str">
        <f>IFERROR(__xludf.DUMMYFUNCTION("""COMPUTED_VALUE"""),"-")</f>
        <v>-</v>
      </c>
      <c r="H123" s="26">
        <f>IFERROR(__xludf.DUMMYFUNCTION("""COMPUTED_VALUE"""),3)</f>
        <v>3</v>
      </c>
      <c r="I123" s="26">
        <f>IFERROR(__xludf.DUMMYFUNCTION("""COMPUTED_VALUE"""),0)</f>
        <v>0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IFERROR(__xludf.DUMMYFUNCTION("""COMPUTED_VALUE"""),"Theory")</f>
        <v>Theory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IFERROR(__xludf.DUMMYFUNCTION("""COMPUTED_VALUE"""),"CS4518")</f>
        <v>CS4518</v>
      </c>
      <c r="E124" s="26" t="str">
        <f>IFERROR(__xludf.DUMMYFUNCTION("""COMPUTED_VALUE"""),"19AM518")</f>
        <v>19AM518</v>
      </c>
      <c r="F124" s="27" t="str">
        <f>IFERROR(__xludf.DUMMYFUNCTION("""COMPUTED_VALUE"""),"Programming for IoT Boards")</f>
        <v>Programming for IoT Boards</v>
      </c>
      <c r="G124" s="26" t="str">
        <f>IFERROR(__xludf.DUMMYFUNCTION("""COMPUTED_VALUE"""),"-")</f>
        <v>-</v>
      </c>
      <c r="H124" s="26">
        <f>IFERROR(__xludf.DUMMYFUNCTION("""COMPUTED_VALUE"""),3)</f>
        <v>3</v>
      </c>
      <c r="I124" s="26">
        <f>IFERROR(__xludf.DUMMYFUNCTION("""COMPUTED_VALUE"""),0)</f>
        <v>0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IFERROR(__xludf.DUMMYFUNCTION("""COMPUTED_VALUE"""),"Theory")</f>
        <v>Theory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IFERROR(__xludf.DUMMYFUNCTION("""COMPUTED_VALUE"""),"CS4519")</f>
        <v>CS4519</v>
      </c>
      <c r="E125" s="26" t="str">
        <f>IFERROR(__xludf.DUMMYFUNCTION("""COMPUTED_VALUE"""),"19AM519")</f>
        <v>19AM519</v>
      </c>
      <c r="F125" s="27" t="str">
        <f>IFERROR(__xludf.DUMMYFUNCTION("""COMPUTED_VALUE"""),"Design of Smart Cities")</f>
        <v>Design of Smart Cities</v>
      </c>
      <c r="G125" s="26" t="str">
        <f>IFERROR(__xludf.DUMMYFUNCTION("""COMPUTED_VALUE"""),"-")</f>
        <v>-</v>
      </c>
      <c r="H125" s="26">
        <f>IFERROR(__xludf.DUMMYFUNCTION("""COMPUTED_VALUE"""),3)</f>
        <v>3</v>
      </c>
      <c r="I125" s="26">
        <f>IFERROR(__xludf.DUMMYFUNCTION("""COMPUTED_VALUE"""),0)</f>
        <v>0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IFERROR(__xludf.DUMMYFUNCTION("""COMPUTED_VALUE"""),"Theory")</f>
        <v>Theory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IFERROR(__xludf.DUMMYFUNCTION("""COMPUTED_VALUE"""),"CS4520")</f>
        <v>CS4520</v>
      </c>
      <c r="E126" s="26" t="str">
        <f>IFERROR(__xludf.DUMMYFUNCTION("""COMPUTED_VALUE"""),"19AM520")</f>
        <v>19AM520</v>
      </c>
      <c r="F126" s="27" t="str">
        <f>IFERROR(__xludf.DUMMYFUNCTION("""COMPUTED_VALUE"""),"IoT and Multimedia Technology")</f>
        <v>IoT and Multimedia Technology</v>
      </c>
      <c r="G126" s="26" t="str">
        <f>IFERROR(__xludf.DUMMYFUNCTION("""COMPUTED_VALUE"""),"-")</f>
        <v>-</v>
      </c>
      <c r="H126" s="26">
        <f>IFERROR(__xludf.DUMMYFUNCTION("""COMPUTED_VALUE"""),3)</f>
        <v>3</v>
      </c>
      <c r="I126" s="26">
        <f>IFERROR(__xludf.DUMMYFUNCTION("""COMPUTED_VALUE"""),0)</f>
        <v>0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IFERROR(__xludf.DUMMYFUNCTION("""COMPUTED_VALUE"""),"Theory")</f>
        <v>Theory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IFERROR(__xludf.DUMMYFUNCTION("""COMPUTED_VALUE"""),"CS4521")</f>
        <v>CS4521</v>
      </c>
      <c r="E127" s="26" t="str">
        <f>IFERROR(__xludf.DUMMYFUNCTION("""COMPUTED_VALUE"""),"19AM521")</f>
        <v>19AM521</v>
      </c>
      <c r="F127" s="27" t="str">
        <f>IFERROR(__xludf.DUMMYFUNCTION("""COMPUTED_VALUE"""),"Mobile Application Development for IoT")</f>
        <v>Mobile Application Development for IoT</v>
      </c>
      <c r="G127" s="26" t="str">
        <f>IFERROR(__xludf.DUMMYFUNCTION("""COMPUTED_VALUE"""),"-")</f>
        <v>-</v>
      </c>
      <c r="H127" s="26">
        <f>IFERROR(__xludf.DUMMYFUNCTION("""COMPUTED_VALUE"""),3)</f>
        <v>3</v>
      </c>
      <c r="I127" s="26">
        <f>IFERROR(__xludf.DUMMYFUNCTION("""COMPUTED_VALUE"""),0)</f>
        <v>0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IFERROR(__xludf.DUMMYFUNCTION("""COMPUTED_VALUE"""),"Theory")</f>
        <v>Theory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IFERROR(__xludf.DUMMYFUNCTION("""COMPUTED_VALUE"""),"CS4522")</f>
        <v>CS4522</v>
      </c>
      <c r="E128" s="26" t="str">
        <f>IFERROR(__xludf.DUMMYFUNCTION("""COMPUTED_VALUE"""),"19AM522")</f>
        <v>19AM522</v>
      </c>
      <c r="F128" s="27" t="str">
        <f>IFERROR(__xludf.DUMMYFUNCTION("""COMPUTED_VALUE"""),"Open Source Programming for IoT")</f>
        <v>Open Source Programming for IoT</v>
      </c>
      <c r="G128" s="26" t="str">
        <f>IFERROR(__xludf.DUMMYFUNCTION("""COMPUTED_VALUE"""),"-")</f>
        <v>-</v>
      </c>
      <c r="H128" s="26">
        <f>IFERROR(__xludf.DUMMYFUNCTION("""COMPUTED_VALUE"""),3)</f>
        <v>3</v>
      </c>
      <c r="I128" s="26">
        <f>IFERROR(__xludf.DUMMYFUNCTION("""COMPUTED_VALUE"""),0)</f>
        <v>0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IFERROR(__xludf.DUMMYFUNCTION("""COMPUTED_VALUE"""),"Theory")</f>
        <v>Theory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IFERROR(__xludf.DUMMYFUNCTION("""COMPUTED_VALUE"""),"NA")</f>
        <v>NA</v>
      </c>
      <c r="E129" s="26" t="str">
        <f>IFERROR(__xludf.DUMMYFUNCTION("""COMPUTED_VALUE"""),"19CS301")</f>
        <v>19CS301</v>
      </c>
      <c r="F129" s="27" t="str">
        <f>IFERROR(__xludf.DUMMYFUNCTION("""COMPUTED_VALUE"""),"Problem Solving and Python Programming")</f>
        <v>Problem Solving and Python Programming</v>
      </c>
      <c r="G129" s="26" t="str">
        <f>IFERROR(__xludf.DUMMYFUNCTION("""COMPUTED_VALUE"""),"-")</f>
        <v>-</v>
      </c>
      <c r="H129" s="26">
        <f>IFERROR(__xludf.DUMMYFUNCTION("""COMPUTED_VALUE"""),3)</f>
        <v>3</v>
      </c>
      <c r="I129" s="26">
        <f>IFERROR(__xludf.DUMMYFUNCTION("""COMPUTED_VALUE"""),1)</f>
        <v>1</v>
      </c>
      <c r="J129" s="26">
        <f>IFERROR(__xludf.DUMMYFUNCTION("""COMPUTED_VALUE"""),4)</f>
        <v>4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IFERROR(__xludf.DUMMYFUNCTION("""COMPUTED_VALUE"""),"NA")</f>
        <v>NA</v>
      </c>
      <c r="E130" s="26" t="str">
        <f>IFERROR(__xludf.DUMMYFUNCTION("""COMPUTED_VALUE"""),"19CS302")</f>
        <v>19CS302</v>
      </c>
      <c r="F130" s="27" t="str">
        <f>IFERROR(__xludf.DUMMYFUNCTION("""COMPUTED_VALUE"""),"Programming in C")</f>
        <v>Programming in C</v>
      </c>
      <c r="G130" s="26" t="str">
        <f>IFERROR(__xludf.DUMMYFUNCTION("""COMPUTED_VALUE"""),"-")</f>
        <v>-</v>
      </c>
      <c r="H130" s="26">
        <f>IFERROR(__xludf.DUMMYFUNCTION("""COMPUTED_VALUE"""),2)</f>
        <v>2</v>
      </c>
      <c r="I130" s="26">
        <f>IFERROR(__xludf.DUMMYFUNCTION("""COMPUTED_VALUE"""),2)</f>
        <v>2</v>
      </c>
      <c r="J130" s="26">
        <f>IFERROR(__xludf.DUMMYFUNCTION("""COMPUTED_VALUE"""),4)</f>
        <v>4</v>
      </c>
      <c r="K130" s="26" t="str">
        <f>IFERROR(__xludf.DUMMYFUNCTION("""COMPUTED_VALUE"""),"CGPA")</f>
        <v>CGPA</v>
      </c>
      <c r="L130" s="26" t="str">
        <f>IFERROR(__xludf.DUMMYFUNCTION("""COMPUTED_VALUE"""),"TIP (10 Expts)")</f>
        <v>TIP (10 Expts)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IFERROR(__xludf.DUMMYFUNCTION("""COMPUTED_VALUE"""),"NA")</f>
        <v>NA</v>
      </c>
      <c r="E131" s="26" t="str">
        <f>IFERROR(__xludf.DUMMYFUNCTION("""COMPUTED_VALUE"""),"19CS308")</f>
        <v>19CS308</v>
      </c>
      <c r="F131" s="27" t="str">
        <f>IFERROR(__xludf.DUMMYFUNCTION("""COMPUTED_VALUE"""),"Software Testing Laboratory")</f>
        <v>Software Testing Laboratory</v>
      </c>
      <c r="G131" s="26" t="str">
        <f>IFERROR(__xludf.DUMMYFUNCTION("""COMPUTED_VALUE"""),"19CS410/19AI401")</f>
        <v>19CS410/19AI401</v>
      </c>
      <c r="H131" s="26">
        <f>IFERROR(__xludf.DUMMYFUNCTION("""COMPUTED_VALUE"""),0)</f>
        <v>0</v>
      </c>
      <c r="I131" s="26">
        <f>IFERROR(__xludf.DUMMYFUNCTION("""COMPUTED_VALUE"""),2)</f>
        <v>2</v>
      </c>
      <c r="J131" s="26">
        <f>IFERROR(__xludf.DUMMYFUNCTION("""COMPUTED_VALUE"""),2)</f>
        <v>2</v>
      </c>
      <c r="K131" s="26" t="str">
        <f>IFERROR(__xludf.DUMMYFUNCTION("""COMPUTED_VALUE"""),"CGPA")</f>
        <v>CGPA</v>
      </c>
      <c r="L131" s="26" t="str">
        <f>IFERROR(__xludf.DUMMYFUNCTION("""COMPUTED_VALUE"""),"Practical (10 Expts)")</f>
        <v>Practical (10 Expts)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IFERROR(__xludf.DUMMYFUNCTION("""COMPUTED_VALUE"""),"NA")</f>
        <v>NA</v>
      </c>
      <c r="E132" s="26" t="str">
        <f>IFERROR(__xludf.DUMMYFUNCTION("""COMPUTED_VALUE"""),"19CS402")</f>
        <v>19CS402</v>
      </c>
      <c r="F132" s="27" t="str">
        <f>IFERROR(__xludf.DUMMYFUNCTION("""COMPUTED_VALUE"""),"Design and Analysis of Algorithms")</f>
        <v>Design and Analysis of Algorithms</v>
      </c>
      <c r="G132" s="26" t="str">
        <f>IFERROR(__xludf.DUMMYFUNCTION("""COMPUTED_VALUE"""),"19CS401")</f>
        <v>19CS401</v>
      </c>
      <c r="H132" s="26">
        <f>IFERROR(__xludf.DUMMYFUNCTION("""COMPUTED_VALUE"""),3)</f>
        <v>3</v>
      </c>
      <c r="I132" s="26">
        <f>IFERROR(__xludf.DUMMYFUNCTION("""COMPUTED_VALUE"""),0)</f>
        <v>0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IFERROR(__xludf.DUMMYFUNCTION("""COMPUTED_VALUE"""),"NA")</f>
        <v>NA</v>
      </c>
      <c r="E133" s="26" t="str">
        <f>IFERROR(__xludf.DUMMYFUNCTION("""COMPUTED_VALUE"""),"19CS403")</f>
        <v>19CS403</v>
      </c>
      <c r="F133" s="27" t="str">
        <f>IFERROR(__xludf.DUMMYFUNCTION("""COMPUTED_VALUE"""),"Programming Paradigms")</f>
        <v>Programming Paradigms</v>
      </c>
      <c r="G133" s="26" t="str">
        <f>IFERROR(__xludf.DUMMYFUNCTION("""COMPUTED_VALUE"""),"19CS401")</f>
        <v>19CS401</v>
      </c>
      <c r="H133" s="26">
        <f>IFERROR(__xludf.DUMMYFUNCTION("""COMPUTED_VALUE"""),3)</f>
        <v>3</v>
      </c>
      <c r="I133" s="26">
        <f>IFERROR(__xludf.DUMMYFUNCTION("""COMPUTED_VALUE"""),1)</f>
        <v>1</v>
      </c>
      <c r="J133" s="26">
        <f>IFERROR(__xludf.DUMMYFUNCTION("""COMPUTED_VALUE"""),4)</f>
        <v>4</v>
      </c>
      <c r="K133" s="26" t="str">
        <f>IFERROR(__xludf.DUMMYFUNCTION("""COMPUTED_VALUE"""),"CGPA")</f>
        <v>CGPA</v>
      </c>
      <c r="L133" s="26" t="str">
        <f>IFERROR(__xludf.DUMMYFUNCTION("""COMPUTED_VALUE"""),"TIP (6 Expts)")</f>
        <v>TIP (6 Expts)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IFERROR(__xludf.DUMMYFUNCTION("""COMPUTED_VALUE"""),"NA")</f>
        <v>NA</v>
      </c>
      <c r="E134" s="26" t="str">
        <f>IFERROR(__xludf.DUMMYFUNCTION("""COMPUTED_VALUE"""),"19CS410")</f>
        <v>19CS410</v>
      </c>
      <c r="F134" s="27" t="str">
        <f>IFERROR(__xludf.DUMMYFUNCTION("""COMPUTED_VALUE"""),"Web Programming")</f>
        <v>Web Programming</v>
      </c>
      <c r="G134" s="26" t="str">
        <f>IFERROR(__xludf.DUMMYFUNCTION("""COMPUTED_VALUE"""),"-")</f>
        <v>-</v>
      </c>
      <c r="H134" s="26">
        <f>IFERROR(__xludf.DUMMYFUNCTION("""COMPUTED_VALUE"""),3)</f>
        <v>3</v>
      </c>
      <c r="I134" s="26">
        <f>IFERROR(__xludf.DUMMYFUNCTION("""COMPUTED_VALUE"""),1)</f>
        <v>1</v>
      </c>
      <c r="J134" s="26">
        <f>IFERROR(__xludf.DUMMYFUNCTION("""COMPUTED_VALUE"""),4)</f>
        <v>4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IFERROR(__xludf.DUMMYFUNCTION("""COMPUTED_VALUE"""),"NA")</f>
        <v>NA</v>
      </c>
      <c r="E135" s="26" t="str">
        <f>IFERROR(__xludf.DUMMYFUNCTION("""COMPUTED_VALUE"""),"19CS411")</f>
        <v>19CS411</v>
      </c>
      <c r="F135" s="27" t="str">
        <f>IFERROR(__xludf.DUMMYFUNCTION("""COMPUTED_VALUE"""),"Virtualization and Cloud Computing")</f>
        <v>Virtualization and Cloud Computing</v>
      </c>
      <c r="G135" s="26" t="str">
        <f>IFERROR(__xludf.DUMMYFUNCTION("""COMPUTED_VALUE"""),"19CS406")</f>
        <v>19CS406</v>
      </c>
      <c r="H135" s="26">
        <f>IFERROR(__xludf.DUMMYFUNCTION("""COMPUTED_VALUE"""),3)</f>
        <v>3</v>
      </c>
      <c r="I135" s="26">
        <f>IFERROR(__xludf.DUMMYFUNCTION("""COMPUTED_VALUE"""),1)</f>
        <v>1</v>
      </c>
      <c r="J135" s="26">
        <f>IFERROR(__xludf.DUMMYFUNCTION("""COMPUTED_VALUE"""),4)</f>
        <v>4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IFERROR(__xludf.DUMMYFUNCTION("""COMPUTED_VALUE"""),"NA")</f>
        <v>NA</v>
      </c>
      <c r="E136" s="26" t="str">
        <f>IFERROR(__xludf.DUMMYFUNCTION("""COMPUTED_VALUE"""),"19CS412")</f>
        <v>19CS412</v>
      </c>
      <c r="F136" s="27" t="str">
        <f>IFERROR(__xludf.DUMMYFUNCTION("""COMPUTED_VALUE"""),"Cryptography and Network Security")</f>
        <v>Cryptography and Network Security</v>
      </c>
      <c r="G136" s="26" t="str">
        <f>IFERROR(__xludf.DUMMYFUNCTION("""COMPUTED_VALUE"""),"19CS406")</f>
        <v>19CS406</v>
      </c>
      <c r="H136" s="26">
        <f>IFERROR(__xludf.DUMMYFUNCTION("""COMPUTED_VALUE"""),3)</f>
        <v>3</v>
      </c>
      <c r="I136" s="26">
        <f>IFERROR(__xludf.DUMMYFUNCTION("""COMPUTED_VALUE"""),1)</f>
        <v>1</v>
      </c>
      <c r="J136" s="26">
        <f>IFERROR(__xludf.DUMMYFUNCTION("""COMPUTED_VALUE"""),4)</f>
        <v>4</v>
      </c>
      <c r="K136" s="26" t="str">
        <f>IFERROR(__xludf.DUMMYFUNCTION("""COMPUTED_VALUE"""),"CGPA")</f>
        <v>CGPA</v>
      </c>
      <c r="L136" s="26" t="str">
        <f>IFERROR(__xludf.DUMMYFUNCTION("""COMPUTED_VALUE"""),"TIP (6 Expts)")</f>
        <v>TIP (6 Expts)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IFERROR(__xludf.DUMMYFUNCTION("""COMPUTED_VALUE"""),"CS1416")</f>
        <v>CS1416</v>
      </c>
      <c r="E137" s="26" t="str">
        <f>IFERROR(__xludf.DUMMYFUNCTION("""COMPUTED_VALUE"""),"19CS416")</f>
        <v>19CS416</v>
      </c>
      <c r="F137" s="27" t="str">
        <f>IFERROR(__xludf.DUMMYFUNCTION("""COMPUTED_VALUE"""),"Cloud Security")</f>
        <v>Cloud Security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IFERROR(__xludf.DUMMYFUNCTION("""COMPUTED_VALUE"""),"CS1415")</f>
        <v>CS1415</v>
      </c>
      <c r="E138" s="26" t="str">
        <f>IFERROR(__xludf.DUMMYFUNCTION("""COMPUTED_VALUE"""),"19CS415")</f>
        <v>19CS415</v>
      </c>
      <c r="F138" s="27" t="str">
        <f>IFERROR(__xludf.DUMMYFUNCTION("""COMPUTED_VALUE"""),"Cryptography")</f>
        <v>Cryptography</v>
      </c>
      <c r="G138" s="26" t="str">
        <f>IFERROR(__xludf.DUMMYFUNCTION("""COMPUTED_VALUE"""),"-")</f>
        <v>-</v>
      </c>
      <c r="H138" s="26">
        <f>IFERROR(__xludf.DUMMYFUNCTION("""COMPUTED_VALUE"""),2)</f>
        <v>2</v>
      </c>
      <c r="I138" s="26">
        <f>IFERROR(__xludf.DUMMYFUNCTION("""COMPUTED_VALUE"""),1)</f>
        <v>1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IFERROR(__xludf.DUMMYFUNCTION("""COMPUTED_VALUE"""),"TIP (6 Expts)")</f>
        <v>TIP (6 Expts)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IFERROR(__xludf.DUMMYFUNCTION("""COMPUTED_VALUE"""),"CS1419")</f>
        <v>CS1419</v>
      </c>
      <c r="E139" s="26" t="str">
        <f>IFERROR(__xludf.DUMMYFUNCTION("""COMPUTED_VALUE"""),"19CS419")</f>
        <v>19CS419</v>
      </c>
      <c r="F139" s="27" t="str">
        <f>IFERROR(__xludf.DUMMYFUNCTION("""COMPUTED_VALUE"""),"Digital Forensics and Digital Investigations")</f>
        <v>Digital Forensics and Digital Investigations</v>
      </c>
      <c r="G139" s="26" t="str">
        <f>IFERROR(__xludf.DUMMYFUNCTION("""COMPUTED_VALUE"""),"-")</f>
        <v>-</v>
      </c>
      <c r="H139" s="26">
        <f>IFERROR(__xludf.DUMMYFUNCTION("""COMPUTED_VALUE"""),2)</f>
        <v>2</v>
      </c>
      <c r="I139" s="26">
        <f>IFERROR(__xludf.DUMMYFUNCTION("""COMPUTED_VALUE"""),1)</f>
        <v>1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IFERROR(__xludf.DUMMYFUNCTION("""COMPUTED_VALUE"""),"TIP (6 Expts)")</f>
        <v>TIP (6 Expts)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IFERROR(__xludf.DUMMYFUNCTION("""COMPUTED_VALUE"""),"CS1421")</f>
        <v>CS1421</v>
      </c>
      <c r="E140" s="26" t="str">
        <f>IFERROR(__xludf.DUMMYFUNCTION("""COMPUTED_VALUE"""),"19CS421")</f>
        <v>19CS421</v>
      </c>
      <c r="F140" s="27" t="str">
        <f>IFERROR(__xludf.DUMMYFUNCTION("""COMPUTED_VALUE"""),"Edge Computing")</f>
        <v>Edge Computing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IFERROR(__xludf.DUMMYFUNCTION("""COMPUTED_VALUE"""),"CS1422")</f>
        <v>CS1422</v>
      </c>
      <c r="E141" s="26" t="str">
        <f>IFERROR(__xludf.DUMMYFUNCTION("""COMPUTED_VALUE"""),"19CS422")</f>
        <v>19CS422</v>
      </c>
      <c r="F141" s="27" t="str">
        <f>IFERROR(__xludf.DUMMYFUNCTION("""COMPUTED_VALUE"""),"Security for IoT Systems")</f>
        <v>Security for IoT Systems</v>
      </c>
      <c r="G141" s="26" t="str">
        <f>IFERROR(__xludf.DUMMYFUNCTION("""COMPUTED_VALUE"""),"-")</f>
        <v>-</v>
      </c>
      <c r="H141" s="26">
        <f>IFERROR(__xludf.DUMMYFUNCTION("""COMPUTED_VALUE"""),3)</f>
        <v>3</v>
      </c>
      <c r="I141" s="26">
        <f>IFERROR(__xludf.DUMMYFUNCTION("""COMPUTED_VALUE"""),0)</f>
        <v>0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IFERROR(__xludf.DUMMYFUNCTION("""COMPUTED_VALUE"""),"Theory")</f>
        <v>Theory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IFERROR(__xludf.DUMMYFUNCTION("""COMPUTED_VALUE"""),"CS1516")</f>
        <v>CS1516</v>
      </c>
      <c r="E142" s="26" t="str">
        <f>IFERROR(__xludf.DUMMYFUNCTION("""COMPUTED_VALUE"""),"19CS516")</f>
        <v>19CS516</v>
      </c>
      <c r="F142" s="27" t="str">
        <f>IFERROR(__xludf.DUMMYFUNCTION("""COMPUTED_VALUE"""),"Software Testing and Quality Assurance")</f>
        <v>Software Testing and Quality Assurance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IFERROR(__xludf.DUMMYFUNCTION("""COMPUTED_VALUE"""),0)</f>
        <v>0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IFERROR(__xludf.DUMMYFUNCTION("""COMPUTED_VALUE"""),"Theory")</f>
        <v>Theory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IFERROR(__xludf.DUMMYFUNCTION("""COMPUTED_VALUE"""),"CS1533")</f>
        <v>CS1533</v>
      </c>
      <c r="E143" s="26" t="str">
        <f>IFERROR(__xludf.DUMMYFUNCTION("""COMPUTED_VALUE"""),"19CS533")</f>
        <v>19CS533</v>
      </c>
      <c r="F143" s="27" t="str">
        <f>IFERROR(__xludf.DUMMYFUNCTION("""COMPUTED_VALUE"""),"Information Security Intelligence and Analytics using Big Data")</f>
        <v>Information Security Intelligence and Analytics using Big Data</v>
      </c>
      <c r="G143" s="26" t="str">
        <f>IFERROR(__xludf.DUMMYFUNCTION("""COMPUTED_VALUE"""),"-")</f>
        <v>-</v>
      </c>
      <c r="H143" s="26">
        <f>IFERROR(__xludf.DUMMYFUNCTION("""COMPUTED_VALUE"""),2)</f>
        <v>2</v>
      </c>
      <c r="I143" s="26">
        <f>IFERROR(__xludf.DUMMYFUNCTION("""COMPUTED_VALUE"""),1)</f>
        <v>1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IFERROR(__xludf.DUMMYFUNCTION("""COMPUTED_VALUE"""),"TIP (6 Expts)")</f>
        <v>TIP (6 Expts)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IFERROR(__xludf.DUMMYFUNCTION("""COMPUTED_VALUE"""),"CS1534")</f>
        <v>CS1534</v>
      </c>
      <c r="E144" s="26" t="str">
        <f>IFERROR(__xludf.DUMMYFUNCTION("""COMPUTED_VALUE"""),"19CS534")</f>
        <v>19CS534</v>
      </c>
      <c r="F144" s="27" t="str">
        <f>IFERROR(__xludf.DUMMYFUNCTION("""COMPUTED_VALUE"""),"Prevention Methodology for Cybersecurity")</f>
        <v>Prevention Methodology for Cybersecurity</v>
      </c>
      <c r="G144" s="26" t="str">
        <f>IFERROR(__xludf.DUMMYFUNCTION("""COMPUTED_VALUE"""),"-")</f>
        <v>-</v>
      </c>
      <c r="H144" s="26">
        <f>IFERROR(__xludf.DUMMYFUNCTION("""COMPUTED_VALUE"""),2)</f>
        <v>2</v>
      </c>
      <c r="I144" s="26">
        <f>IFERROR(__xludf.DUMMYFUNCTION("""COMPUTED_VALUE"""),1)</f>
        <v>1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IFERROR(__xludf.DUMMYFUNCTION("""COMPUTED_VALUE"""),"TIP (6 Expts)")</f>
        <v>TIP (6 Expts)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IFERROR(__xludf.DUMMYFUNCTION("""COMPUTED_VALUE"""),"CS1535")</f>
        <v>CS1535</v>
      </c>
      <c r="E145" s="26" t="str">
        <f>IFERROR(__xludf.DUMMYFUNCTION("""COMPUTED_VALUE"""),"19CS535")</f>
        <v>19CS535</v>
      </c>
      <c r="F145" s="27" t="str">
        <f>IFERROR(__xludf.DUMMYFUNCTION("""COMPUTED_VALUE"""),"Trusted Network Systems")</f>
        <v>Trusted Network Systems</v>
      </c>
      <c r="G145" s="26" t="str">
        <f>IFERROR(__xludf.DUMMYFUNCTION("""COMPUTED_VALUE"""),"-")</f>
        <v>-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IFERROR(__xludf.DUMMYFUNCTION("""COMPUTED_VALUE"""),"CS1536")</f>
        <v>CS1536</v>
      </c>
      <c r="E146" s="26" t="str">
        <f>IFERROR(__xludf.DUMMYFUNCTION("""COMPUTED_VALUE"""),"19CS536")</f>
        <v>19CS536</v>
      </c>
      <c r="F146" s="27" t="str">
        <f>IFERROR(__xludf.DUMMYFUNCTION("""COMPUTED_VALUE"""),"Firewalls and Intrusion Detection System")</f>
        <v>Firewalls and Intrusion Detection System</v>
      </c>
      <c r="G146" s="26" t="str">
        <f>IFERROR(__xludf.DUMMYFUNCTION("""COMPUTED_VALUE"""),"-")</f>
        <v>-</v>
      </c>
      <c r="H146" s="26">
        <f>IFERROR(__xludf.DUMMYFUNCTION("""COMPUTED_VALUE"""),2)</f>
        <v>2</v>
      </c>
      <c r="I146" s="26">
        <f>IFERROR(__xludf.DUMMYFUNCTION("""COMPUTED_VALUE"""),1)</f>
        <v>1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IFERROR(__xludf.DUMMYFUNCTION("""COMPUTED_VALUE"""),"TIP (6 Expts)")</f>
        <v>TIP (6 Expts)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IFERROR(__xludf.DUMMYFUNCTION("""COMPUTED_VALUE"""),"CS1537")</f>
        <v>CS1537</v>
      </c>
      <c r="E147" s="26" t="str">
        <f>IFERROR(__xludf.DUMMYFUNCTION("""COMPUTED_VALUE"""),"19CS537")</f>
        <v>19CS537</v>
      </c>
      <c r="F147" s="27" t="str">
        <f>IFERROR(__xludf.DUMMYFUNCTION("""COMPUTED_VALUE"""),"Secure Software Engineering")</f>
        <v>Secure Software Engineering</v>
      </c>
      <c r="G147" s="26" t="str">
        <f>IFERROR(__xludf.DUMMYFUNCTION("""COMPUTED_VALUE"""),"-")</f>
        <v>-</v>
      </c>
      <c r="H147" s="26">
        <f>IFERROR(__xludf.DUMMYFUNCTION("""COMPUTED_VALUE"""),2)</f>
        <v>2</v>
      </c>
      <c r="I147" s="26">
        <f>IFERROR(__xludf.DUMMYFUNCTION("""COMPUTED_VALUE"""),1)</f>
        <v>1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IFERROR(__xludf.DUMMYFUNCTION("""COMPUTED_VALUE"""),"TIP (6 Expts)")</f>
        <v>TIP (6 Expts)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IFERROR(__xludf.DUMMYFUNCTION("""COMPUTED_VALUE"""),"CS1538")</f>
        <v>CS1538</v>
      </c>
      <c r="E148" s="26" t="str">
        <f>IFERROR(__xludf.DUMMYFUNCTION("""COMPUTED_VALUE"""),"19CS538")</f>
        <v>19CS538</v>
      </c>
      <c r="F148" s="27" t="str">
        <f>IFERROR(__xludf.DUMMYFUNCTION("""COMPUTED_VALUE"""),"System Security")</f>
        <v>System Security</v>
      </c>
      <c r="G148" s="26" t="str">
        <f>IFERROR(__xludf.DUMMYFUNCTION("""COMPUTED_VALUE"""),"-")</f>
        <v>-</v>
      </c>
      <c r="H148" s="26">
        <f>IFERROR(__xludf.DUMMYFUNCTION("""COMPUTED_VALUE"""),3)</f>
        <v>3</v>
      </c>
      <c r="I148" s="26">
        <f>IFERROR(__xludf.DUMMYFUNCTION("""COMPUTED_VALUE"""),0)</f>
        <v>0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IFERROR(__xludf.DUMMYFUNCTION("""COMPUTED_VALUE"""),"Theory")</f>
        <v>Theory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IFERROR(__xludf.DUMMYFUNCTION("""COMPUTED_VALUE"""),"CS1539")</f>
        <v>CS1539</v>
      </c>
      <c r="E149" s="26" t="str">
        <f>IFERROR(__xludf.DUMMYFUNCTION("""COMPUTED_VALUE"""),"19CS539")</f>
        <v>19CS539</v>
      </c>
      <c r="F149" s="27" t="str">
        <f>IFERROR(__xludf.DUMMYFUNCTION("""COMPUTED_VALUE"""),"Hardware Security")</f>
        <v>Hardware Security</v>
      </c>
      <c r="G149" s="26" t="str">
        <f>IFERROR(__xludf.DUMMYFUNCTION("""COMPUTED_VALUE"""),"-")</f>
        <v>-</v>
      </c>
      <c r="H149" s="26">
        <f>IFERROR(__xludf.DUMMYFUNCTION("""COMPUTED_VALUE"""),3)</f>
        <v>3</v>
      </c>
      <c r="I149" s="26">
        <f>IFERROR(__xludf.DUMMYFUNCTION("""COMPUTED_VALUE"""),0)</f>
        <v>0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IFERROR(__xludf.DUMMYFUNCTION("""COMPUTED_VALUE"""),"Theory")</f>
        <v>Theory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IFERROR(__xludf.DUMMYFUNCTION("""COMPUTED_VALUE"""),"CS1540")</f>
        <v>CS1540</v>
      </c>
      <c r="E150" s="26" t="str">
        <f>IFERROR(__xludf.DUMMYFUNCTION("""COMPUTED_VALUE"""),"19CS540")</f>
        <v>19CS540</v>
      </c>
      <c r="F150" s="27" t="str">
        <f>IFERROR(__xludf.DUMMYFUNCTION("""COMPUTED_VALUE"""),"Fog Computing")</f>
        <v>Fog Computing</v>
      </c>
      <c r="G150" s="26" t="str">
        <f>IFERROR(__xludf.DUMMYFUNCTION("""COMPUTED_VALUE"""),"-")</f>
        <v>-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IFERROR(__xludf.DUMMYFUNCTION("""COMPUTED_VALUE"""),"CS1543")</f>
        <v>CS1543</v>
      </c>
      <c r="E151" s="26" t="str">
        <f>IFERROR(__xludf.DUMMYFUNCTION("""COMPUTED_VALUE"""),"19CS543")</f>
        <v>19CS543</v>
      </c>
      <c r="F151" s="27" t="str">
        <f>IFERROR(__xludf.DUMMYFUNCTION("""COMPUTED_VALUE"""),"Embedded Board Manufacturing")</f>
        <v>Embedded Board Manufacturing</v>
      </c>
      <c r="G151" s="26" t="str">
        <f>IFERROR(__xludf.DUMMYFUNCTION("""COMPUTED_VALUE"""),"-")</f>
        <v>-</v>
      </c>
      <c r="H151" s="26">
        <f>IFERROR(__xludf.DUMMYFUNCTION("""COMPUTED_VALUE"""),2)</f>
        <v>2</v>
      </c>
      <c r="I151" s="26">
        <f>IFERROR(__xludf.DUMMYFUNCTION("""COMPUTED_VALUE"""),1)</f>
        <v>1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IFERROR(__xludf.DUMMYFUNCTION("""COMPUTED_VALUE"""),"TIP (6 Expts)")</f>
        <v>TIP (6 Expts)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IFERROR(__xludf.DUMMYFUNCTION("""COMPUTED_VALUE"""),"CS1548")</f>
        <v>CS1548</v>
      </c>
      <c r="E152" s="26" t="str">
        <f>IFERROR(__xludf.DUMMYFUNCTION("""COMPUTED_VALUE"""),"19CS548")</f>
        <v>19CS548</v>
      </c>
      <c r="F152" s="27" t="str">
        <f>IFERROR(__xludf.DUMMYFUNCTION("""COMPUTED_VALUE"""),"Cloud Services Management")</f>
        <v>Cloud Services Management</v>
      </c>
      <c r="G152" s="26" t="str">
        <f>IFERROR(__xludf.DUMMYFUNCTION("""COMPUTED_VALUE"""),"-")</f>
        <v>-</v>
      </c>
      <c r="H152" s="26">
        <f>IFERROR(__xludf.DUMMYFUNCTION("""COMPUTED_VALUE"""),2)</f>
        <v>2</v>
      </c>
      <c r="I152" s="26">
        <f>IFERROR(__xludf.DUMMYFUNCTION("""COMPUTED_VALUE"""),1)</f>
        <v>1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IFERROR(__xludf.DUMMYFUNCTION("""COMPUTED_VALUE"""),"TIP (6 Expts)")</f>
        <v>TIP (6 Expts)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IFERROR(__xludf.DUMMYFUNCTION("""COMPUTED_VALUE"""),"CS1549")</f>
        <v>CS1549</v>
      </c>
      <c r="E153" s="26" t="str">
        <f>IFERROR(__xludf.DUMMYFUNCTION("""COMPUTED_VALUE"""),"19CS549")</f>
        <v>19CS549</v>
      </c>
      <c r="F153" s="27" t="str">
        <f>IFERROR(__xludf.DUMMYFUNCTION("""COMPUTED_VALUE"""),"UI and UX Design")</f>
        <v>UI and UX Design</v>
      </c>
      <c r="G153" s="26" t="str">
        <f>IFERROR(__xludf.DUMMYFUNCTION("""COMPUTED_VALUE"""),"-")</f>
        <v>-</v>
      </c>
      <c r="H153" s="26">
        <f>IFERROR(__xludf.DUMMYFUNCTION("""COMPUTED_VALUE"""),2)</f>
        <v>2</v>
      </c>
      <c r="I153" s="26">
        <f>IFERROR(__xludf.DUMMYFUNCTION("""COMPUTED_VALUE"""),1)</f>
        <v>1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IFERROR(__xludf.DUMMYFUNCTION("""COMPUTED_VALUE"""),"TIP (6 Expts)")</f>
        <v>TIP (6 Expts)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IFERROR(__xludf.DUMMYFUNCTION("""COMPUTED_VALUE"""),"CS1551")</f>
        <v>CS1551</v>
      </c>
      <c r="E154" s="26" t="str">
        <f>IFERROR(__xludf.DUMMYFUNCTION("""COMPUTED_VALUE"""),"19CS551")</f>
        <v>19CS551</v>
      </c>
      <c r="F154" s="27" t="str">
        <f>IFERROR(__xludf.DUMMYFUNCTION("""COMPUTED_VALUE"""),"Software Testing and Automation")</f>
        <v>Software Testing and Automation</v>
      </c>
      <c r="G154" s="26" t="str">
        <f>IFERROR(__xludf.DUMMYFUNCTION("""COMPUTED_VALUE"""),"-")</f>
        <v>-</v>
      </c>
      <c r="H154" s="26">
        <f>IFERROR(__xludf.DUMMYFUNCTION("""COMPUTED_VALUE"""),2)</f>
        <v>2</v>
      </c>
      <c r="I154" s="26">
        <f>IFERROR(__xludf.DUMMYFUNCTION("""COMPUTED_VALUE"""),1)</f>
        <v>1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IFERROR(__xludf.DUMMYFUNCTION("""COMPUTED_VALUE"""),"TIP (6 Expts)")</f>
        <v>TIP (6 Expts)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IFERROR(__xludf.DUMMYFUNCTION("""COMPUTED_VALUE"""),"CS1552")</f>
        <v>CS1552</v>
      </c>
      <c r="E155" s="26" t="str">
        <f>IFERROR(__xludf.DUMMYFUNCTION("""COMPUTED_VALUE"""),"19CS552")</f>
        <v>19CS552</v>
      </c>
      <c r="F155" s="27" t="str">
        <f>IFERROR(__xludf.DUMMYFUNCTION("""COMPUTED_VALUE"""),"DevOps")</f>
        <v>DevOps</v>
      </c>
      <c r="G155" s="26" t="str">
        <f>IFERROR(__xludf.DUMMYFUNCTION("""COMPUTED_VALUE"""),"-")</f>
        <v>-</v>
      </c>
      <c r="H155" s="26">
        <f>IFERROR(__xludf.DUMMYFUNCTION("""COMPUTED_VALUE"""),2)</f>
        <v>2</v>
      </c>
      <c r="I155" s="26">
        <f>IFERROR(__xludf.DUMMYFUNCTION("""COMPUTED_VALUE"""),1)</f>
        <v>1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IFERROR(__xludf.DUMMYFUNCTION("""COMPUTED_VALUE"""),"TIP (6 Expts)")</f>
        <v>TIP (6 Expts)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IFERROR(__xludf.DUMMYFUNCTION("""COMPUTED_VALUE"""),"CS1553")</f>
        <v>CS1553</v>
      </c>
      <c r="E156" s="26" t="str">
        <f>IFERROR(__xludf.DUMMYFUNCTION("""COMPUTED_VALUE"""),"19CS553")</f>
        <v>19CS553</v>
      </c>
      <c r="F156" s="27" t="str">
        <f>IFERROR(__xludf.DUMMYFUNCTION("""COMPUTED_VALUE"""),"Web Application Security")</f>
        <v>Web Application Security</v>
      </c>
      <c r="G156" s="26" t="str">
        <f>IFERROR(__xludf.DUMMYFUNCTION("""COMPUTED_VALUE"""),"-")</f>
        <v>-</v>
      </c>
      <c r="H156" s="26">
        <f>IFERROR(__xludf.DUMMYFUNCTION("""COMPUTED_VALUE"""),2)</f>
        <v>2</v>
      </c>
      <c r="I156" s="26">
        <f>IFERROR(__xludf.DUMMYFUNCTION("""COMPUTED_VALUE"""),1)</f>
        <v>1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IFERROR(__xludf.DUMMYFUNCTION("""COMPUTED_VALUE"""),"TIP (6 Expts)")</f>
        <v>TIP (6 Expts)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IFERROR(__xludf.DUMMYFUNCTION("""COMPUTED_VALUE"""),"CS1565")</f>
        <v>CS1565</v>
      </c>
      <c r="E157" s="26" t="str">
        <f>IFERROR(__xludf.DUMMYFUNCTION("""COMPUTED_VALUE"""),"19CS565")</f>
        <v>19CS565</v>
      </c>
      <c r="F157" s="27" t="str">
        <f>IFERROR(__xludf.DUMMYFUNCTION("""COMPUTED_VALUE"""),"Robotic Process Automation")</f>
        <v>Robotic Process Automation</v>
      </c>
      <c r="G157" s="26" t="str">
        <f>IFERROR(__xludf.DUMMYFUNCTION("""COMPUTED_VALUE"""),"-")</f>
        <v>-</v>
      </c>
      <c r="H157" s="26">
        <f>IFERROR(__xludf.DUMMYFUNCTION("""COMPUTED_VALUE"""),2)</f>
        <v>2</v>
      </c>
      <c r="I157" s="26">
        <f>IFERROR(__xludf.DUMMYFUNCTION("""COMPUTED_VALUE"""),1)</f>
        <v>1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IFERROR(__xludf.DUMMYFUNCTION("""COMPUTED_VALUE"""),"TIP (6 Expts)")</f>
        <v>TIP (6 Expts)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IFERROR(__xludf.DUMMYFUNCTION("""COMPUTED_VALUE"""),"CS1566")</f>
        <v>CS1566</v>
      </c>
      <c r="E158" s="26" t="str">
        <f>IFERROR(__xludf.DUMMYFUNCTION("""COMPUTED_VALUE"""),"19CS566")</f>
        <v>19CS566</v>
      </c>
      <c r="F158" s="27" t="str">
        <f>IFERROR(__xludf.DUMMYFUNCTION("""COMPUTED_VALUE"""),"Software Project Management and Version Control")</f>
        <v>Software Project Management and Version Control</v>
      </c>
      <c r="G158" s="26" t="str">
        <f>IFERROR(__xludf.DUMMYFUNCTION("""COMPUTED_VALUE"""),"-")</f>
        <v>-</v>
      </c>
      <c r="H158" s="26">
        <f>IFERROR(__xludf.DUMMYFUNCTION("""COMPUTED_VALUE"""),3)</f>
        <v>3</v>
      </c>
      <c r="I158" s="26">
        <f>IFERROR(__xludf.DUMMYFUNCTION("""COMPUTED_VALUE"""),0)</f>
        <v>0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IFERROR(__xludf.DUMMYFUNCTION("""COMPUTED_VALUE"""),"CS1579")</f>
        <v>CS1579</v>
      </c>
      <c r="E159" s="26" t="str">
        <f>IFERROR(__xludf.DUMMYFUNCTION("""COMPUTED_VALUE"""),"19CS579")</f>
        <v>19CS579</v>
      </c>
      <c r="F159" s="27" t="str">
        <f>IFERROR(__xludf.DUMMYFUNCTION("""COMPUTED_VALUE"""),"Generative AI Application Development")</f>
        <v>Generative AI Application Development</v>
      </c>
      <c r="G159" s="26" t="str">
        <f>IFERROR(__xludf.DUMMYFUNCTION("""COMPUTED_VALUE"""),"-")</f>
        <v>-</v>
      </c>
      <c r="H159" s="26">
        <f>IFERROR(__xludf.DUMMYFUNCTION("""COMPUTED_VALUE"""),2)</f>
        <v>2</v>
      </c>
      <c r="I159" s="26">
        <f>IFERROR(__xludf.DUMMYFUNCTION("""COMPUTED_VALUE"""),1)</f>
        <v>1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IFERROR(__xludf.DUMMYFUNCTION("""COMPUTED_VALUE"""),"TIP (6 Expts)")</f>
        <v>TIP (6 Expts)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IFERROR(__xludf.DUMMYFUNCTION("""COMPUTED_VALUE"""),"CS1568")</f>
        <v>CS1568</v>
      </c>
      <c r="E160" s="26" t="str">
        <f>IFERROR(__xludf.DUMMYFUNCTION("""COMPUTED_VALUE"""),"19CS568")</f>
        <v>19CS568</v>
      </c>
      <c r="F160" s="27" t="str">
        <f>IFERROR(__xludf.DUMMYFUNCTION("""COMPUTED_VALUE"""),"Fine Tuning Large Language Models")</f>
        <v>Fine Tuning Large Language Models</v>
      </c>
      <c r="G160" s="26" t="str">
        <f>IFERROR(__xludf.DUMMYFUNCTION("""COMPUTED_VALUE"""),"-")</f>
        <v>-</v>
      </c>
      <c r="H160" s="26">
        <f>IFERROR(__xludf.DUMMYFUNCTION("""COMPUTED_VALUE"""),3)</f>
        <v>3</v>
      </c>
      <c r="I160" s="26">
        <f>IFERROR(__xludf.DUMMYFUNCTION("""COMPUTED_VALUE"""),0)</f>
        <v>0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IFERROR(__xludf.DUMMYFUNCTION("""COMPUTED_VALUE"""),"Theory")</f>
        <v>Theory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IFERROR(__xludf.DUMMYFUNCTION("""COMPUTED_VALUE"""),"CS1569")</f>
        <v>CS1569</v>
      </c>
      <c r="E161" s="26" t="str">
        <f>IFERROR(__xludf.DUMMYFUNCTION("""COMPUTED_VALUE"""),"19CS569")</f>
        <v>19CS569</v>
      </c>
      <c r="F161" s="27" t="str">
        <f>IFERROR(__xludf.DUMMYFUNCTION("""COMPUTED_VALUE"""),"Applied Data Science")</f>
        <v>Applied Data Science</v>
      </c>
      <c r="G161" s="26" t="str">
        <f>IFERROR(__xludf.DUMMYFUNCTION("""COMPUTED_VALUE"""),"-")</f>
        <v>-</v>
      </c>
      <c r="H161" s="26">
        <f>IFERROR(__xludf.DUMMYFUNCTION("""COMPUTED_VALUE"""),2)</f>
        <v>2</v>
      </c>
      <c r="I161" s="26">
        <f>IFERROR(__xludf.DUMMYFUNCTION("""COMPUTED_VALUE"""),1)</f>
        <v>1</v>
      </c>
      <c r="J161" s="26">
        <f>IFERROR(__xludf.DUMMYFUNCTION("""COMPUTED_VALUE"""),3)</f>
        <v>3</v>
      </c>
      <c r="K161" s="26" t="str">
        <f>IFERROR(__xludf.DUMMYFUNCTION("""COMPUTED_VALUE"""),"CGPA")</f>
        <v>CGPA</v>
      </c>
      <c r="L161" s="26" t="str">
        <f>IFERROR(__xludf.DUMMYFUNCTION("""COMPUTED_VALUE"""),"TIP (6 Expts)")</f>
        <v>TIP (6 Expts)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IFERROR(__xludf.DUMMYFUNCTION("""COMPUTED_VALUE"""),"CS1570")</f>
        <v>CS1570</v>
      </c>
      <c r="E162" s="26" t="str">
        <f>IFERROR(__xludf.DUMMYFUNCTION("""COMPUTED_VALUE"""),"19CS570")</f>
        <v>19CS570</v>
      </c>
      <c r="F162" s="27" t="str">
        <f>IFERROR(__xludf.DUMMYFUNCTION("""COMPUTED_VALUE"""),"Entrepreneurship and Small Business Development")</f>
        <v>Entrepreneurship and Small Business Development</v>
      </c>
      <c r="G162" s="26" t="str">
        <f>IFERROR(__xludf.DUMMYFUNCTION("""COMPUTED_VALUE"""),"-")</f>
        <v>-</v>
      </c>
      <c r="H162" s="26">
        <f>IFERROR(__xludf.DUMMYFUNCTION("""COMPUTED_VALUE"""),2)</f>
        <v>2</v>
      </c>
      <c r="I162" s="26">
        <f>IFERROR(__xludf.DUMMYFUNCTION("""COMPUTED_VALUE"""),1)</f>
        <v>1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IFERROR(__xludf.DUMMYFUNCTION("""COMPUTED_VALUE"""),"TIP (6 Expts)")</f>
        <v>TIP (6 Expts)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IFERROR(__xludf.DUMMYFUNCTION("""COMPUTED_VALUE"""),"CS1571")</f>
        <v>CS1571</v>
      </c>
      <c r="E163" s="26" t="str">
        <f>IFERROR(__xludf.DUMMYFUNCTION("""COMPUTED_VALUE"""),"19CS571")</f>
        <v>19CS571</v>
      </c>
      <c r="F163" s="27" t="str">
        <f>IFERROR(__xludf.DUMMYFUNCTION("""COMPUTED_VALUE"""),"Software Development and Operations")</f>
        <v>Software Development and Operations</v>
      </c>
      <c r="G163" s="26" t="str">
        <f>IFERROR(__xludf.DUMMYFUNCTION("""COMPUTED_VALUE"""),"-")</f>
        <v>-</v>
      </c>
      <c r="H163" s="26">
        <f>IFERROR(__xludf.DUMMYFUNCTION("""COMPUTED_VALUE"""),3)</f>
        <v>3</v>
      </c>
      <c r="I163" s="26">
        <f>IFERROR(__xludf.DUMMYFUNCTION("""COMPUTED_VALUE"""),0)</f>
        <v>0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IFERROR(__xludf.DUMMYFUNCTION("""COMPUTED_VALUE"""),"Theory")</f>
        <v>Theory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IFERROR(__xludf.DUMMYFUNCTION("""COMPUTED_VALUE"""),"CS1572")</f>
        <v>CS1572</v>
      </c>
      <c r="E164" s="26" t="str">
        <f>IFERROR(__xludf.DUMMYFUNCTION("""COMPUTED_VALUE"""),"19CS572")</f>
        <v>19CS572</v>
      </c>
      <c r="F164" s="27" t="str">
        <f>IFERROR(__xludf.DUMMYFUNCTION("""COMPUTED_VALUE"""),"Serverless App Development")</f>
        <v>Serverless App Development</v>
      </c>
      <c r="G164" s="26" t="str">
        <f>IFERROR(__xludf.DUMMYFUNCTION("""COMPUTED_VALUE"""),"-")</f>
        <v>-</v>
      </c>
      <c r="H164" s="26">
        <f>IFERROR(__xludf.DUMMYFUNCTION("""COMPUTED_VALUE"""),3)</f>
        <v>3</v>
      </c>
      <c r="I164" s="26">
        <f>IFERROR(__xludf.DUMMYFUNCTION("""COMPUTED_VALUE"""),0)</f>
        <v>0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IFERROR(__xludf.DUMMYFUNCTION("""COMPUTED_VALUE"""),"Theory")</f>
        <v>Theory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IFERROR(__xludf.DUMMYFUNCTION("""COMPUTED_VALUE"""),"CS1573")</f>
        <v>CS1573</v>
      </c>
      <c r="E165" s="26" t="str">
        <f>IFERROR(__xludf.DUMMYFUNCTION("""COMPUTED_VALUE"""),"19CS573")</f>
        <v>19CS573</v>
      </c>
      <c r="F165" s="27" t="str">
        <f>IFERROR(__xludf.DUMMYFUNCTION("""COMPUTED_VALUE"""),"Enterprise Cloud Architecture")</f>
        <v>Enterprise Cloud Architecture</v>
      </c>
      <c r="G165" s="26" t="str">
        <f>IFERROR(__xludf.DUMMYFUNCTION("""COMPUTED_VALUE"""),"-")</f>
        <v>-</v>
      </c>
      <c r="H165" s="26">
        <f>IFERROR(__xludf.DUMMYFUNCTION("""COMPUTED_VALUE"""),3)</f>
        <v>3</v>
      </c>
      <c r="I165" s="26">
        <f>IFERROR(__xludf.DUMMYFUNCTION("""COMPUTED_VALUE"""),0)</f>
        <v>0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IFERROR(__xludf.DUMMYFUNCTION("""COMPUTED_VALUE"""),"Theory")</f>
        <v>Theory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IFERROR(__xludf.DUMMYFUNCTION("""COMPUTED_VALUE"""),164)</f>
        <v>164</v>
      </c>
      <c r="B166" s="26"/>
      <c r="C166" s="26" t="str">
        <f>IFERROR(__xludf.DUMMYFUNCTION("""COMPUTED_VALUE"""),"PE")</f>
        <v>PE</v>
      </c>
      <c r="D166" s="26" t="str">
        <f>IFERROR(__xludf.DUMMYFUNCTION("""COMPUTED_VALUE"""),"CS1574")</f>
        <v>CS1574</v>
      </c>
      <c r="E166" s="26" t="str">
        <f>IFERROR(__xludf.DUMMYFUNCTION("""COMPUTED_VALUE"""),"19CS574")</f>
        <v>19CS574</v>
      </c>
      <c r="F166" s="27" t="str">
        <f>IFERROR(__xludf.DUMMYFUNCTION("""COMPUTED_VALUE"""),"Advanced Class Design and Object-Oriented Techniques")</f>
        <v>Advanced Class Design and Object-Oriented Techniques</v>
      </c>
      <c r="G166" s="26" t="str">
        <f>IFERROR(__xludf.DUMMYFUNCTION("""COMPUTED_VALUE"""),"-")</f>
        <v>-</v>
      </c>
      <c r="H166" s="26">
        <f>IFERROR(__xludf.DUMMYFUNCTION("""COMPUTED_VALUE"""),3)</f>
        <v>3</v>
      </c>
      <c r="I166" s="26">
        <f>IFERROR(__xludf.DUMMYFUNCTION("""COMPUTED_VALUE"""),0)</f>
        <v>0</v>
      </c>
      <c r="J166" s="26">
        <f>IFERROR(__xludf.DUMMYFUNCTION("""COMPUTED_VALUE"""),3)</f>
        <v>3</v>
      </c>
      <c r="K166" s="26" t="str">
        <f>IFERROR(__xludf.DUMMYFUNCTION("""COMPUTED_VALUE"""),"CGPA")</f>
        <v>CGPA</v>
      </c>
      <c r="L166" s="26" t="str">
        <f>IFERROR(__xludf.DUMMYFUNCTION("""COMPUTED_VALUE"""),"Theory")</f>
        <v>Theory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IFERROR(__xludf.DUMMYFUNCTION("""COMPUTED_VALUE"""),165)</f>
        <v>165</v>
      </c>
      <c r="B167" s="26"/>
      <c r="C167" s="26" t="str">
        <f>IFERROR(__xludf.DUMMYFUNCTION("""COMPUTED_VALUE"""),"PE")</f>
        <v>PE</v>
      </c>
      <c r="D167" s="26" t="str">
        <f>IFERROR(__xludf.DUMMYFUNCTION("""COMPUTED_VALUE"""),"CS1575")</f>
        <v>CS1575</v>
      </c>
      <c r="E167" s="26" t="str">
        <f>IFERROR(__xludf.DUMMYFUNCTION("""COMPUTED_VALUE"""),"19CS575")</f>
        <v>19CS575</v>
      </c>
      <c r="F167" s="27" t="str">
        <f>IFERROR(__xludf.DUMMYFUNCTION("""COMPUTED_VALUE"""),"Low-Code App Development")</f>
        <v>Low-Code App Development</v>
      </c>
      <c r="G167" s="26" t="str">
        <f>IFERROR(__xludf.DUMMYFUNCTION("""COMPUTED_VALUE"""),"-")</f>
        <v>-</v>
      </c>
      <c r="H167" s="26">
        <f>IFERROR(__xludf.DUMMYFUNCTION("""COMPUTED_VALUE"""),3)</f>
        <v>3</v>
      </c>
      <c r="I167" s="26">
        <f>IFERROR(__xludf.DUMMYFUNCTION("""COMPUTED_VALUE"""),0)</f>
        <v>0</v>
      </c>
      <c r="J167" s="26">
        <f>IFERROR(__xludf.DUMMYFUNCTION("""COMPUTED_VALUE"""),3)</f>
        <v>3</v>
      </c>
      <c r="K167" s="26" t="str">
        <f>IFERROR(__xludf.DUMMYFUNCTION("""COMPUTED_VALUE"""),"CGPA")</f>
        <v>CGPA</v>
      </c>
      <c r="L167" s="26" t="str">
        <f>IFERROR(__xludf.DUMMYFUNCTION("""COMPUTED_VALUE"""),"Theory")</f>
        <v>Theory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IFERROR(__xludf.DUMMYFUNCTION("""COMPUTED_VALUE"""),166)</f>
        <v>166</v>
      </c>
      <c r="B168" s="26"/>
      <c r="C168" s="26" t="str">
        <f>IFERROR(__xludf.DUMMYFUNCTION("""COMPUTED_VALUE"""),"PE")</f>
        <v>PE</v>
      </c>
      <c r="D168" s="26" t="str">
        <f>IFERROR(__xludf.DUMMYFUNCTION("""COMPUTED_VALUE"""),"CS1577")</f>
        <v>CS1577</v>
      </c>
      <c r="E168" s="26" t="str">
        <f>IFERROR(__xludf.DUMMYFUNCTION("""COMPUTED_VALUE"""),"19CS577")</f>
        <v>19CS577</v>
      </c>
      <c r="F168" s="27" t="str">
        <f>IFERROR(__xludf.DUMMYFUNCTION("""COMPUTED_VALUE"""),"Cloud System Administration")</f>
        <v>Cloud System Administration</v>
      </c>
      <c r="G168" s="26" t="str">
        <f>IFERROR(__xludf.DUMMYFUNCTION("""COMPUTED_VALUE"""),"-")</f>
        <v>-</v>
      </c>
      <c r="H168" s="26">
        <f>IFERROR(__xludf.DUMMYFUNCTION("""COMPUTED_VALUE"""),3)</f>
        <v>3</v>
      </c>
      <c r="I168" s="26">
        <f>IFERROR(__xludf.DUMMYFUNCTION("""COMPUTED_VALUE"""),0)</f>
        <v>0</v>
      </c>
      <c r="J168" s="26">
        <f>IFERROR(__xludf.DUMMYFUNCTION("""COMPUTED_VALUE"""),3)</f>
        <v>3</v>
      </c>
      <c r="K168" s="26" t="str">
        <f>IFERROR(__xludf.DUMMYFUNCTION("""COMPUTED_VALUE"""),"CGPA")</f>
        <v>CGPA</v>
      </c>
      <c r="L168" s="26" t="str">
        <f>IFERROR(__xludf.DUMMYFUNCTION("""COMPUTED_VALUE"""),"Theory")</f>
        <v>Theory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IFERROR(__xludf.DUMMYFUNCTION("""COMPUTED_VALUE"""),167)</f>
        <v>167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IFERROR(__xludf.DUMMYFUNCTION("""COMPUTED_VALUE"""),"CS1578")</f>
        <v>CS1578</v>
      </c>
      <c r="E169" s="26" t="str">
        <f>IFERROR(__xludf.DUMMYFUNCTION("""COMPUTED_VALUE"""),"19CS578")</f>
        <v>19CS578</v>
      </c>
      <c r="F169" s="27" t="str">
        <f>IFERROR(__xludf.DUMMYFUNCTION("""COMPUTED_VALUE"""),"Machine Learning Operations")</f>
        <v>Machine Learning Operations</v>
      </c>
      <c r="G169" s="26" t="str">
        <f>IFERROR(__xludf.DUMMYFUNCTION("""COMPUTED_VALUE"""),"-")</f>
        <v>-</v>
      </c>
      <c r="H169" s="26">
        <f>IFERROR(__xludf.DUMMYFUNCTION("""COMPUTED_VALUE"""),3)</f>
        <v>3</v>
      </c>
      <c r="I169" s="26">
        <f>IFERROR(__xludf.DUMMYFUNCTION("""COMPUTED_VALUE"""),0)</f>
        <v>0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IFERROR(__xludf.DUMMYFUNCTION("""COMPUTED_VALUE"""),"Theory")</f>
        <v>Theory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IFERROR(__xludf.DUMMYFUNCTION("""COMPUTED_VALUE"""),168)</f>
        <v>168</v>
      </c>
      <c r="B170" s="26"/>
      <c r="C170" s="26" t="str">
        <f>IFERROR(__xludf.DUMMYFUNCTION("""COMPUTED_VALUE"""),"PE")</f>
        <v>PE</v>
      </c>
      <c r="D170" s="26" t="str">
        <f>IFERROR(__xludf.DUMMYFUNCTION("""COMPUTED_VALUE"""),"CS2406")</f>
        <v>CS2406</v>
      </c>
      <c r="E170" s="26" t="str">
        <f>IFERROR(__xludf.DUMMYFUNCTION("""COMPUTED_VALUE"""),"19IT406")</f>
        <v>19IT406</v>
      </c>
      <c r="F170" s="27" t="str">
        <f>IFERROR(__xludf.DUMMYFUNCTION("""COMPUTED_VALUE"""),"Grid and Cloud Computing")</f>
        <v>Grid and Cloud Computing</v>
      </c>
      <c r="G170" s="26" t="str">
        <f>IFERROR(__xludf.DUMMYFUNCTION("""COMPUTED_VALUE"""),"-")</f>
        <v>-</v>
      </c>
      <c r="H170" s="26">
        <f>IFERROR(__xludf.DUMMYFUNCTION("""COMPUTED_VALUE"""),3)</f>
        <v>3</v>
      </c>
      <c r="I170" s="26">
        <f>IFERROR(__xludf.DUMMYFUNCTION("""COMPUTED_VALUE"""),1)</f>
        <v>1</v>
      </c>
      <c r="J170" s="26">
        <f>IFERROR(__xludf.DUMMYFUNCTION("""COMPUTED_VALUE"""),4)</f>
        <v>4</v>
      </c>
      <c r="K170" s="26" t="str">
        <f>IFERROR(__xludf.DUMMYFUNCTION("""COMPUTED_VALUE"""),"CGPA")</f>
        <v>CGPA</v>
      </c>
      <c r="L170" s="26" t="str">
        <f>IFERROR(__xludf.DUMMYFUNCTION("""COMPUTED_VALUE"""),"TIP (6 Expts)")</f>
        <v>TIP (6 Expts)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IFERROR(__xludf.DUMMYFUNCTION("""COMPUTED_VALUE"""),169)</f>
        <v>169</v>
      </c>
      <c r="B171" s="26"/>
      <c r="C171" s="26" t="str">
        <f>IFERROR(__xludf.DUMMYFUNCTION("""COMPUTED_VALUE"""),"PE")</f>
        <v>PE</v>
      </c>
      <c r="D171" s="26" t="str">
        <f>IFERROR(__xludf.DUMMYFUNCTION("""COMPUTED_VALUE"""),"CS2408")</f>
        <v>CS2408</v>
      </c>
      <c r="E171" s="26" t="str">
        <f>IFERROR(__xludf.DUMMYFUNCTION("""COMPUTED_VALUE"""),"19IT408")</f>
        <v>19IT408</v>
      </c>
      <c r="F171" s="27" t="str">
        <f>IFERROR(__xludf.DUMMYFUNCTION("""COMPUTED_VALUE"""),"Distributed Computing")</f>
        <v>Distributed Computing</v>
      </c>
      <c r="G171" s="26" t="str">
        <f>IFERROR(__xludf.DUMMYFUNCTION("""COMPUTED_VALUE"""),"-")</f>
        <v>-</v>
      </c>
      <c r="H171" s="26">
        <f>IFERROR(__xludf.DUMMYFUNCTION("""COMPUTED_VALUE"""),3)</f>
        <v>3</v>
      </c>
      <c r="I171" s="26">
        <f>IFERROR(__xludf.DUMMYFUNCTION("""COMPUTED_VALUE"""),0)</f>
        <v>0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IFERROR(__xludf.DUMMYFUNCTION("""COMPUTED_VALUE"""),"Theory")</f>
        <v>Theory</v>
      </c>
      <c r="M171" s="26"/>
      <c r="N171" s="26"/>
      <c r="O171" s="26"/>
      <c r="P171" s="26"/>
      <c r="Q171" s="26"/>
      <c r="R171" s="26"/>
    </row>
    <row r="172" ht="13.2" spans="1:18">
      <c r="A172" s="26">
        <f>IFERROR(__xludf.DUMMYFUNCTION("""COMPUTED_VALUE"""),170)</f>
        <v>170</v>
      </c>
      <c r="B172" s="26"/>
      <c r="C172" s="26" t="str">
        <f>IFERROR(__xludf.DUMMYFUNCTION("""COMPUTED_VALUE"""),"PE")</f>
        <v>PE</v>
      </c>
      <c r="D172" s="26" t="str">
        <f>IFERROR(__xludf.DUMMYFUNCTION("""COMPUTED_VALUE"""),"CS2501")</f>
        <v>CS2501</v>
      </c>
      <c r="E172" s="26" t="str">
        <f>IFERROR(__xludf.DUMMYFUNCTION("""COMPUTED_VALUE"""),"19IT501")</f>
        <v>19IT501</v>
      </c>
      <c r="F172" s="27" t="str">
        <f>IFERROR(__xludf.DUMMYFUNCTION("""COMPUTED_VALUE"""),"Information Theory and Coding Techniques")</f>
        <v>Information Theory and Coding Techniques</v>
      </c>
      <c r="G172" s="26" t="str">
        <f>IFERROR(__xludf.DUMMYFUNCTION("""COMPUTED_VALUE"""),"-")</f>
        <v>-</v>
      </c>
      <c r="H172" s="26">
        <f>IFERROR(__xludf.DUMMYFUNCTION("""COMPUTED_VALUE"""),3)</f>
        <v>3</v>
      </c>
      <c r="I172" s="26">
        <f>IFERROR(__xludf.DUMMYFUNCTION("""COMPUTED_VALUE"""),0)</f>
        <v>0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IFERROR(__xludf.DUMMYFUNCTION("""COMPUTED_VALUE"""),"Theory")</f>
        <v>Theory</v>
      </c>
      <c r="M172" s="26"/>
      <c r="N172" s="26"/>
      <c r="O172" s="26"/>
      <c r="P172" s="26"/>
      <c r="Q172" s="26"/>
      <c r="R172" s="26"/>
    </row>
    <row r="173" ht="13.2" spans="1:18">
      <c r="A173" s="26">
        <f>IFERROR(__xludf.DUMMYFUNCTION("""COMPUTED_VALUE"""),171)</f>
        <v>171</v>
      </c>
      <c r="B173" s="26"/>
      <c r="C173" s="26" t="str">
        <f>IFERROR(__xludf.DUMMYFUNCTION("""COMPUTED_VALUE"""),"PE")</f>
        <v>PE</v>
      </c>
      <c r="D173" s="26" t="str">
        <f>IFERROR(__xludf.DUMMYFUNCTION("""COMPUTED_VALUE"""),"CS2502")</f>
        <v>CS2502</v>
      </c>
      <c r="E173" s="26" t="str">
        <f>IFERROR(__xludf.DUMMYFUNCTION("""COMPUTED_VALUE"""),"19IT502")</f>
        <v>19IT502</v>
      </c>
      <c r="F173" s="27" t="str">
        <f>IFERROR(__xludf.DUMMYFUNCTION("""COMPUTED_VALUE"""),"Enterprise Resource Planning")</f>
        <v>Enterprise Resource Planning</v>
      </c>
      <c r="G173" s="26" t="str">
        <f>IFERROR(__xludf.DUMMYFUNCTION("""COMPUTED_VALUE"""),"-")</f>
        <v>-</v>
      </c>
      <c r="H173" s="26">
        <f>IFERROR(__xludf.DUMMYFUNCTION("""COMPUTED_VALUE"""),3)</f>
        <v>3</v>
      </c>
      <c r="I173" s="26">
        <f>IFERROR(__xludf.DUMMYFUNCTION("""COMPUTED_VALUE"""),0)</f>
        <v>0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IFERROR(__xludf.DUMMYFUNCTION("""COMPUTED_VALUE"""),"Theory")</f>
        <v>Theory</v>
      </c>
      <c r="M173" s="26"/>
      <c r="N173" s="26"/>
      <c r="O173" s="26"/>
      <c r="P173" s="26"/>
      <c r="Q173" s="26"/>
      <c r="R173" s="26"/>
    </row>
    <row r="174" ht="13.2" spans="1:18">
      <c r="A174" s="26">
        <f>IFERROR(__xludf.DUMMYFUNCTION("""COMPUTED_VALUE"""),172)</f>
        <v>172</v>
      </c>
      <c r="B174" s="26"/>
      <c r="C174" s="26" t="str">
        <f>IFERROR(__xludf.DUMMYFUNCTION("""COMPUTED_VALUE"""),"PE")</f>
        <v>PE</v>
      </c>
      <c r="D174" s="26" t="str">
        <f>IFERROR(__xludf.DUMMYFUNCTION("""COMPUTED_VALUE"""),"CS2503")</f>
        <v>CS2503</v>
      </c>
      <c r="E174" s="26" t="str">
        <f>IFERROR(__xludf.DUMMYFUNCTION("""COMPUTED_VALUE"""),"19IT503")</f>
        <v>19IT503</v>
      </c>
      <c r="F174" s="27" t="str">
        <f>IFERROR(__xludf.DUMMYFUNCTION("""COMPUTED_VALUE"""),"User Interface Design")</f>
        <v>User Interface Design</v>
      </c>
      <c r="G174" s="26" t="str">
        <f>IFERROR(__xludf.DUMMYFUNCTION("""COMPUTED_VALUE"""),"-")</f>
        <v>-</v>
      </c>
      <c r="H174" s="26">
        <f>IFERROR(__xludf.DUMMYFUNCTION("""COMPUTED_VALUE"""),3)</f>
        <v>3</v>
      </c>
      <c r="I174" s="26">
        <f>IFERROR(__xludf.DUMMYFUNCTION("""COMPUTED_VALUE"""),0)</f>
        <v>0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IFERROR(__xludf.DUMMYFUNCTION("""COMPUTED_VALUE"""),"Theory")</f>
        <v>Theory</v>
      </c>
      <c r="M174" s="26"/>
      <c r="N174" s="26"/>
      <c r="O174" s="26"/>
      <c r="P174" s="26"/>
      <c r="Q174" s="26"/>
      <c r="R174" s="26"/>
    </row>
    <row r="175" ht="13.2" spans="1:18">
      <c r="A175" s="26">
        <f>IFERROR(__xludf.DUMMYFUNCTION("""COMPUTED_VALUE"""),173)</f>
        <v>173</v>
      </c>
      <c r="B175" s="26"/>
      <c r="C175" s="26" t="str">
        <f>IFERROR(__xludf.DUMMYFUNCTION("""COMPUTED_VALUE"""),"PE")</f>
        <v>PE</v>
      </c>
      <c r="D175" s="26" t="str">
        <f>IFERROR(__xludf.DUMMYFUNCTION("""COMPUTED_VALUE"""),"CS2504")</f>
        <v>CS2504</v>
      </c>
      <c r="E175" s="26" t="str">
        <f>IFERROR(__xludf.DUMMYFUNCTION("""COMPUTED_VALUE"""),"19IT504")</f>
        <v>19IT504</v>
      </c>
      <c r="F175" s="27" t="str">
        <f>IFERROR(__xludf.DUMMYFUNCTION("""COMPUTED_VALUE"""),"Information Storage Management")</f>
        <v>Information Storage Management</v>
      </c>
      <c r="G175" s="26" t="str">
        <f>IFERROR(__xludf.DUMMYFUNCTION("""COMPUTED_VALUE"""),"-")</f>
        <v>-</v>
      </c>
      <c r="H175" s="26">
        <f>IFERROR(__xludf.DUMMYFUNCTION("""COMPUTED_VALUE"""),3)</f>
        <v>3</v>
      </c>
      <c r="I175" s="26">
        <f>IFERROR(__xludf.DUMMYFUNCTION("""COMPUTED_VALUE"""),0)</f>
        <v>0</v>
      </c>
      <c r="J175" s="26">
        <f>IFERROR(__xludf.DUMMYFUNCTION("""COMPUTED_VALUE"""),3)</f>
        <v>3</v>
      </c>
      <c r="K175" s="26" t="str">
        <f>IFERROR(__xludf.DUMMYFUNCTION("""COMPUTED_VALUE"""),"CGPA")</f>
        <v>CGPA</v>
      </c>
      <c r="L175" s="26" t="str">
        <f>IFERROR(__xludf.DUMMYFUNCTION("""COMPUTED_VALUE"""),"Theory")</f>
        <v>Theory</v>
      </c>
      <c r="M175" s="26"/>
      <c r="N175" s="26"/>
      <c r="O175" s="26"/>
      <c r="P175" s="26"/>
      <c r="Q175" s="26"/>
      <c r="R175" s="26"/>
    </row>
    <row r="176" ht="13.2" spans="1:18">
      <c r="A176" s="26">
        <f>IFERROR(__xludf.DUMMYFUNCTION("""COMPUTED_VALUE"""),174)</f>
        <v>174</v>
      </c>
      <c r="B176" s="26"/>
      <c r="C176" s="26" t="str">
        <f>IFERROR(__xludf.DUMMYFUNCTION("""COMPUTED_VALUE"""),"PE")</f>
        <v>PE</v>
      </c>
      <c r="D176" s="26" t="str">
        <f>IFERROR(__xludf.DUMMYFUNCTION("""COMPUTED_VALUE"""),"CS2505")</f>
        <v>CS2505</v>
      </c>
      <c r="E176" s="26" t="str">
        <f>IFERROR(__xludf.DUMMYFUNCTION("""COMPUTED_VALUE"""),"19IT505")</f>
        <v>19IT505</v>
      </c>
      <c r="F176" s="27" t="str">
        <f>IFERROR(__xludf.DUMMYFUNCTION("""COMPUTED_VALUE"""),"Software Design Patterns")</f>
        <v>Software Design Patterns</v>
      </c>
      <c r="G176" s="26" t="str">
        <f>IFERROR(__xludf.DUMMYFUNCTION("""COMPUTED_VALUE"""),"-")</f>
        <v>-</v>
      </c>
      <c r="H176" s="26">
        <f>IFERROR(__xludf.DUMMYFUNCTION("""COMPUTED_VALUE"""),3)</f>
        <v>3</v>
      </c>
      <c r="I176" s="26">
        <f>IFERROR(__xludf.DUMMYFUNCTION("""COMPUTED_VALUE"""),0)</f>
        <v>0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IFERROR(__xludf.DUMMYFUNCTION("""COMPUTED_VALUE"""),"Theory")</f>
        <v>Theory</v>
      </c>
      <c r="M176" s="26"/>
      <c r="N176" s="26"/>
      <c r="O176" s="26"/>
      <c r="P176" s="26"/>
      <c r="Q176" s="26"/>
      <c r="R176" s="26"/>
    </row>
    <row r="177" ht="13.2" spans="1:18">
      <c r="A177" s="26">
        <f>IFERROR(__xludf.DUMMYFUNCTION("""COMPUTED_VALUE"""),175)</f>
        <v>175</v>
      </c>
      <c r="B177" s="26"/>
      <c r="C177" s="26" t="str">
        <f>IFERROR(__xludf.DUMMYFUNCTION("""COMPUTED_VALUE"""),"PE")</f>
        <v>PE</v>
      </c>
      <c r="D177" s="26" t="str">
        <f>IFERROR(__xludf.DUMMYFUNCTION("""COMPUTED_VALUE"""),"CS2506")</f>
        <v>CS2506</v>
      </c>
      <c r="E177" s="26" t="str">
        <f>IFERROR(__xludf.DUMMYFUNCTION("""COMPUTED_VALUE"""),"19IT506")</f>
        <v>19IT506</v>
      </c>
      <c r="F177" s="27" t="str">
        <f>IFERROR(__xludf.DUMMYFUNCTION("""COMPUTED_VALUE"""),"E-Learning Techniques")</f>
        <v>E-Learning Techniques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  <c r="P177" s="26"/>
      <c r="Q177" s="26"/>
      <c r="R177" s="26"/>
    </row>
    <row r="178" ht="13.2" spans="1:18">
      <c r="A178" s="26">
        <f>IFERROR(__xludf.DUMMYFUNCTION("""COMPUTED_VALUE"""),176)</f>
        <v>176</v>
      </c>
      <c r="B178" s="26"/>
      <c r="C178" s="26" t="str">
        <f>IFERROR(__xludf.DUMMYFUNCTION("""COMPUTED_VALUE"""),"PE")</f>
        <v>PE</v>
      </c>
      <c r="D178" s="26" t="str">
        <f>IFERROR(__xludf.DUMMYFUNCTION("""COMPUTED_VALUE"""),"CS2508")</f>
        <v>CS2508</v>
      </c>
      <c r="E178" s="26" t="str">
        <f>IFERROR(__xludf.DUMMYFUNCTION("""COMPUTED_VALUE"""),"19IT508")</f>
        <v>19IT508</v>
      </c>
      <c r="F178" s="27" t="str">
        <f>IFERROR(__xludf.DUMMYFUNCTION("""COMPUTED_VALUE"""),"TCP/IP Design and Implementation")</f>
        <v>TCP/IP Design and Implementation</v>
      </c>
      <c r="G178" s="26" t="str">
        <f>IFERROR(__xludf.DUMMYFUNCTION("""COMPUTED_VALUE"""),"-")</f>
        <v>-</v>
      </c>
      <c r="H178" s="26">
        <f>IFERROR(__xludf.DUMMYFUNCTION("""COMPUTED_VALUE"""),3)</f>
        <v>3</v>
      </c>
      <c r="I178" s="26">
        <f>IFERROR(__xludf.DUMMYFUNCTION("""COMPUTED_VALUE"""),0)</f>
        <v>0</v>
      </c>
      <c r="J178" s="26">
        <f>IFERROR(__xludf.DUMMYFUNCTION("""COMPUTED_VALUE"""),3)</f>
        <v>3</v>
      </c>
      <c r="K178" s="26" t="str">
        <f>IFERROR(__xludf.DUMMYFUNCTION("""COMPUTED_VALUE"""),"CGPA")</f>
        <v>CGPA</v>
      </c>
      <c r="L178" s="26" t="str">
        <f>IFERROR(__xludf.DUMMYFUNCTION("""COMPUTED_VALUE"""),"Theory")</f>
        <v>Theory</v>
      </c>
      <c r="M178" s="26"/>
      <c r="N178" s="26"/>
      <c r="O178" s="26"/>
      <c r="P178" s="26"/>
      <c r="Q178" s="26"/>
      <c r="R178" s="26"/>
    </row>
    <row r="179" ht="13.2" spans="1:18">
      <c r="A179" s="26">
        <f>IFERROR(__xludf.DUMMYFUNCTION("""COMPUTED_VALUE"""),177)</f>
        <v>177</v>
      </c>
      <c r="B179" s="26"/>
      <c r="C179" s="26" t="str">
        <f>IFERROR(__xludf.DUMMYFUNCTION("""COMPUTED_VALUE"""),"PE")</f>
        <v>PE</v>
      </c>
      <c r="D179" s="26" t="str">
        <f>IFERROR(__xludf.DUMMYFUNCTION("""COMPUTED_VALUE"""),"CS2509")</f>
        <v>CS2509</v>
      </c>
      <c r="E179" s="26" t="str">
        <f>IFERROR(__xludf.DUMMYFUNCTION("""COMPUTED_VALUE"""),"19IT509")</f>
        <v>19IT509</v>
      </c>
      <c r="F179" s="27" t="str">
        <f>IFERROR(__xludf.DUMMYFUNCTION("""COMPUTED_VALUE"""),"Advanced Algorithms")</f>
        <v>Advanced Algorithms</v>
      </c>
      <c r="G179" s="26" t="str">
        <f>IFERROR(__xludf.DUMMYFUNCTION("""COMPUTED_VALUE"""),"-")</f>
        <v>-</v>
      </c>
      <c r="H179" s="26">
        <f>IFERROR(__xludf.DUMMYFUNCTION("""COMPUTED_VALUE"""),3)</f>
        <v>3</v>
      </c>
      <c r="I179" s="26">
        <f>IFERROR(__xludf.DUMMYFUNCTION("""COMPUTED_VALUE"""),0)</f>
        <v>0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IFERROR(__xludf.DUMMYFUNCTION("""COMPUTED_VALUE"""),"Theory")</f>
        <v>Theory</v>
      </c>
      <c r="M179" s="26"/>
      <c r="N179" s="26"/>
      <c r="O179" s="26"/>
      <c r="P179" s="26"/>
      <c r="Q179" s="26"/>
      <c r="R179" s="26"/>
    </row>
    <row r="180" ht="13.2" spans="1:18">
      <c r="A180" s="26">
        <f>IFERROR(__xludf.DUMMYFUNCTION("""COMPUTED_VALUE"""),178)</f>
        <v>178</v>
      </c>
      <c r="B180" s="26"/>
      <c r="C180" s="26" t="str">
        <f>IFERROR(__xludf.DUMMYFUNCTION("""COMPUTED_VALUE"""),"PE")</f>
        <v>PE</v>
      </c>
      <c r="D180" s="26" t="str">
        <f>IFERROR(__xludf.DUMMYFUNCTION("""COMPUTED_VALUE"""),"CS2510")</f>
        <v>CS2510</v>
      </c>
      <c r="E180" s="26" t="str">
        <f>IFERROR(__xludf.DUMMYFUNCTION("""COMPUTED_VALUE"""),"19IT510")</f>
        <v>19IT510</v>
      </c>
      <c r="F180" s="27" t="str">
        <f>IFERROR(__xludf.DUMMYFUNCTION("""COMPUTED_VALUE"""),"Ethical Hacking")</f>
        <v>Ethical Hacking</v>
      </c>
      <c r="G180" s="26" t="str">
        <f>IFERROR(__xludf.DUMMYFUNCTION("""COMPUTED_VALUE"""),"-")</f>
        <v>-</v>
      </c>
      <c r="H180" s="26">
        <f>IFERROR(__xludf.DUMMYFUNCTION("""COMPUTED_VALUE"""),3)</f>
        <v>3</v>
      </c>
      <c r="I180" s="26">
        <f>IFERROR(__xludf.DUMMYFUNCTION("""COMPUTED_VALUE"""),0)</f>
        <v>0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IFERROR(__xludf.DUMMYFUNCTION("""COMPUTED_VALUE"""),"Theory")</f>
        <v>Theory</v>
      </c>
      <c r="M180" s="26"/>
      <c r="N180" s="26"/>
      <c r="O180" s="26"/>
      <c r="P180" s="26"/>
      <c r="Q180" s="26"/>
      <c r="R180" s="26"/>
    </row>
    <row r="181" ht="13.2" spans="1:18">
      <c r="A181" s="26">
        <f>IFERROR(__xludf.DUMMYFUNCTION("""COMPUTED_VALUE"""),179)</f>
        <v>179</v>
      </c>
      <c r="B181" s="26"/>
      <c r="C181" s="26" t="str">
        <f>IFERROR(__xludf.DUMMYFUNCTION("""COMPUTED_VALUE"""),"PE")</f>
        <v>PE</v>
      </c>
      <c r="D181" s="26" t="str">
        <f>IFERROR(__xludf.DUMMYFUNCTION("""COMPUTED_VALUE"""),"CS2511")</f>
        <v>CS2511</v>
      </c>
      <c r="E181" s="26" t="str">
        <f>IFERROR(__xludf.DUMMYFUNCTION("""COMPUTED_VALUE"""),"19IT511")</f>
        <v>19IT511</v>
      </c>
      <c r="F181" s="27" t="str">
        <f>IFERROR(__xludf.DUMMYFUNCTION("""COMPUTED_VALUE"""),"DHTML and XML")</f>
        <v>DHTML and XML</v>
      </c>
      <c r="G181" s="26" t="str">
        <f>IFERROR(__xludf.DUMMYFUNCTION("""COMPUTED_VALUE"""),"-")</f>
        <v>-</v>
      </c>
      <c r="H181" s="26">
        <f>IFERROR(__xludf.DUMMYFUNCTION("""COMPUTED_VALUE"""),3)</f>
        <v>3</v>
      </c>
      <c r="I181" s="26">
        <f>IFERROR(__xludf.DUMMYFUNCTION("""COMPUTED_VALUE"""),0)</f>
        <v>0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IFERROR(__xludf.DUMMYFUNCTION("""COMPUTED_VALUE"""),"Theory")</f>
        <v>Theory</v>
      </c>
      <c r="M181" s="26"/>
      <c r="N181" s="26"/>
      <c r="O181" s="26"/>
      <c r="P181" s="26"/>
      <c r="Q181" s="26"/>
      <c r="R181" s="26"/>
    </row>
    <row r="182" ht="13.2" spans="1:18">
      <c r="A182" s="26">
        <f>IFERROR(__xludf.DUMMYFUNCTION("""COMPUTED_VALUE"""),180)</f>
        <v>180</v>
      </c>
      <c r="B182" s="26"/>
      <c r="C182" s="26" t="str">
        <f>IFERROR(__xludf.DUMMYFUNCTION("""COMPUTED_VALUE"""),"PE")</f>
        <v>PE</v>
      </c>
      <c r="D182" s="26" t="str">
        <f>IFERROR(__xludf.DUMMYFUNCTION("""COMPUTED_VALUE"""),"CS2512")</f>
        <v>CS2512</v>
      </c>
      <c r="E182" s="26" t="str">
        <f>IFERROR(__xludf.DUMMYFUNCTION("""COMPUTED_VALUE"""),"19IT512")</f>
        <v>19IT512</v>
      </c>
      <c r="F182" s="27" t="str">
        <f>IFERROR(__xludf.DUMMYFUNCTION("""COMPUTED_VALUE"""),"E-Commerce")</f>
        <v>E-Commerce</v>
      </c>
      <c r="G182" s="26" t="str">
        <f>IFERROR(__xludf.DUMMYFUNCTION("""COMPUTED_VALUE"""),"-")</f>
        <v>-</v>
      </c>
      <c r="H182" s="26">
        <f>IFERROR(__xludf.DUMMYFUNCTION("""COMPUTED_VALUE"""),3)</f>
        <v>3</v>
      </c>
      <c r="I182" s="26">
        <f>IFERROR(__xludf.DUMMYFUNCTION("""COMPUTED_VALUE"""),0)</f>
        <v>0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IFERROR(__xludf.DUMMYFUNCTION("""COMPUTED_VALUE"""),"Theory")</f>
        <v>Theory</v>
      </c>
      <c r="M182" s="26"/>
      <c r="N182" s="26"/>
      <c r="O182" s="26"/>
      <c r="P182" s="26"/>
      <c r="Q182" s="26"/>
      <c r="R182" s="26"/>
    </row>
    <row r="183" ht="13.2" spans="1:18">
      <c r="A183" s="26">
        <f>IFERROR(__xludf.DUMMYFUNCTION("""COMPUTED_VALUE"""),181)</f>
        <v>181</v>
      </c>
      <c r="B183" s="26"/>
      <c r="C183" s="26" t="str">
        <f>IFERROR(__xludf.DUMMYFUNCTION("""COMPUTED_VALUE"""),"PE")</f>
        <v>PE</v>
      </c>
      <c r="D183" s="26" t="str">
        <f>IFERROR(__xludf.DUMMYFUNCTION("""COMPUTED_VALUE"""),"CS2513")</f>
        <v>CS2513</v>
      </c>
      <c r="E183" s="26" t="str">
        <f>IFERROR(__xludf.DUMMYFUNCTION("""COMPUTED_VALUE"""),"19IT513")</f>
        <v>19IT513</v>
      </c>
      <c r="F183" s="27" t="str">
        <f>IFERROR(__xludf.DUMMYFUNCTION("""COMPUTED_VALUE"""),"Free Open Source Software")</f>
        <v>Free Open Source Software</v>
      </c>
      <c r="G183" s="26" t="str">
        <f>IFERROR(__xludf.DUMMYFUNCTION("""COMPUTED_VALUE"""),"-")</f>
        <v>-</v>
      </c>
      <c r="H183" s="26">
        <f>IFERROR(__xludf.DUMMYFUNCTION("""COMPUTED_VALUE"""),3)</f>
        <v>3</v>
      </c>
      <c r="I183" s="26">
        <f>IFERROR(__xludf.DUMMYFUNCTION("""COMPUTED_VALUE"""),0)</f>
        <v>0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IFERROR(__xludf.DUMMYFUNCTION("""COMPUTED_VALUE"""),"Theory")</f>
        <v>Theory</v>
      </c>
      <c r="M183" s="26"/>
      <c r="N183" s="26"/>
      <c r="O183" s="26"/>
      <c r="P183" s="26"/>
      <c r="Q183" s="26"/>
      <c r="R183" s="26"/>
    </row>
    <row r="184" ht="13.2" spans="1:18">
      <c r="A184" s="26">
        <f>IFERROR(__xludf.DUMMYFUNCTION("""COMPUTED_VALUE"""),182)</f>
        <v>182</v>
      </c>
      <c r="B184" s="26"/>
      <c r="C184" s="26" t="str">
        <f>IFERROR(__xludf.DUMMYFUNCTION("""COMPUTED_VALUE"""),"PE")</f>
        <v>PE</v>
      </c>
      <c r="D184" s="26" t="str">
        <f>IFERROR(__xludf.DUMMYFUNCTION("""COMPUTED_VALUE"""),"CS2514")</f>
        <v>CS2514</v>
      </c>
      <c r="E184" s="26" t="str">
        <f>IFERROR(__xludf.DUMMYFUNCTION("""COMPUTED_VALUE"""),"19IT514")</f>
        <v>19IT514</v>
      </c>
      <c r="F184" s="27" t="str">
        <f>IFERROR(__xludf.DUMMYFUNCTION("""COMPUTED_VALUE"""),"Real Time Operating Systems")</f>
        <v>Real Time Operating Systems</v>
      </c>
      <c r="G184" s="26" t="str">
        <f>IFERROR(__xludf.DUMMYFUNCTION("""COMPUTED_VALUE"""),"-")</f>
        <v>-</v>
      </c>
      <c r="H184" s="26">
        <f>IFERROR(__xludf.DUMMYFUNCTION("""COMPUTED_VALUE"""),3)</f>
        <v>3</v>
      </c>
      <c r="I184" s="26">
        <f>IFERROR(__xludf.DUMMYFUNCTION("""COMPUTED_VALUE"""),0)</f>
        <v>0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IFERROR(__xludf.DUMMYFUNCTION("""COMPUTED_VALUE"""),"Theory")</f>
        <v>Theory</v>
      </c>
      <c r="M184" s="26"/>
      <c r="N184" s="26"/>
      <c r="O184" s="26"/>
      <c r="P184" s="26"/>
      <c r="Q184" s="26"/>
      <c r="R184" s="26"/>
    </row>
    <row r="185" ht="13.2" spans="1:18">
      <c r="A185" s="26">
        <f>IFERROR(__xludf.DUMMYFUNCTION("""COMPUTED_VALUE"""),183)</f>
        <v>183</v>
      </c>
      <c r="B185" s="26"/>
      <c r="C185" s="26" t="str">
        <f>IFERROR(__xludf.DUMMYFUNCTION("""COMPUTED_VALUE"""),"PE")</f>
        <v>PE</v>
      </c>
      <c r="D185" s="26" t="str">
        <f>IFERROR(__xludf.DUMMYFUNCTION("""COMPUTED_VALUE"""),"CS2515")</f>
        <v>CS2515</v>
      </c>
      <c r="E185" s="26" t="str">
        <f>IFERROR(__xludf.DUMMYFUNCTION("""COMPUTED_VALUE"""),"19IT515")</f>
        <v>19IT515</v>
      </c>
      <c r="F185" s="27" t="str">
        <f>IFERROR(__xludf.DUMMYFUNCTION("""COMPUTED_VALUE"""),"Software Agents")</f>
        <v>Software Agents</v>
      </c>
      <c r="G185" s="26" t="str">
        <f>IFERROR(__xludf.DUMMYFUNCTION("""COMPUTED_VALUE"""),"-")</f>
        <v>-</v>
      </c>
      <c r="H185" s="26">
        <f>IFERROR(__xludf.DUMMYFUNCTION("""COMPUTED_VALUE"""),3)</f>
        <v>3</v>
      </c>
      <c r="I185" s="26">
        <f>IFERROR(__xludf.DUMMYFUNCTION("""COMPUTED_VALUE"""),0)</f>
        <v>0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IFERROR(__xludf.DUMMYFUNCTION("""COMPUTED_VALUE"""),"Theory")</f>
        <v>Theory</v>
      </c>
      <c r="M185" s="26"/>
      <c r="N185" s="26"/>
      <c r="O185" s="26"/>
      <c r="P185" s="26"/>
      <c r="Q185" s="26"/>
      <c r="R185" s="26"/>
    </row>
    <row r="186" ht="13.2" spans="1:18">
      <c r="A186" s="26">
        <f>IFERROR(__xludf.DUMMYFUNCTION("""COMPUTED_VALUE"""),184)</f>
        <v>184</v>
      </c>
      <c r="B186" s="26"/>
      <c r="C186" s="26" t="str">
        <f>IFERROR(__xludf.DUMMYFUNCTION("""COMPUTED_VALUE"""),"PE")</f>
        <v>PE</v>
      </c>
      <c r="D186" s="26" t="str">
        <f>IFERROR(__xludf.DUMMYFUNCTION("""COMPUTED_VALUE"""),"CS3412")</f>
        <v>CS3412</v>
      </c>
      <c r="E186" s="26" t="str">
        <f>IFERROR(__xludf.DUMMYFUNCTION("""COMPUTED_VALUE"""),"19AI412")</f>
        <v>19AI412</v>
      </c>
      <c r="F186" s="27" t="str">
        <f>IFERROR(__xludf.DUMMYFUNCTION("""COMPUTED_VALUE"""),"Web Data Mining")</f>
        <v>Web Data Mining</v>
      </c>
      <c r="G186" s="26" t="str">
        <f>IFERROR(__xludf.DUMMYFUNCTION("""COMPUTED_VALUE"""),"-")</f>
        <v>-</v>
      </c>
      <c r="H186" s="26">
        <f>IFERROR(__xludf.DUMMYFUNCTION("""COMPUTED_VALUE"""),3)</f>
        <v>3</v>
      </c>
      <c r="I186" s="26">
        <f>IFERROR(__xludf.DUMMYFUNCTION("""COMPUTED_VALUE"""),1)</f>
        <v>1</v>
      </c>
      <c r="J186" s="26">
        <f>IFERROR(__xludf.DUMMYFUNCTION("""COMPUTED_VALUE"""),4)</f>
        <v>4</v>
      </c>
      <c r="K186" s="26" t="str">
        <f>IFERROR(__xludf.DUMMYFUNCTION("""COMPUTED_VALUE"""),"CGPA")</f>
        <v>CGPA</v>
      </c>
      <c r="L186" s="26" t="str">
        <f>IFERROR(__xludf.DUMMYFUNCTION("""COMPUTED_VALUE"""),"TIP (6 Expts)")</f>
        <v>TIP (6 Expts)</v>
      </c>
      <c r="M186" s="26"/>
      <c r="N186" s="26"/>
      <c r="O186" s="26"/>
      <c r="P186" s="26"/>
      <c r="Q186" s="26"/>
      <c r="R186" s="26"/>
    </row>
    <row r="187" ht="13.2" spans="1:18">
      <c r="A187" s="26">
        <f>IFERROR(__xludf.DUMMYFUNCTION("""COMPUTED_VALUE"""),185)</f>
        <v>185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IFERROR(__xludf.DUMMYFUNCTION("""COMPUTED_VALUE"""),"CS1557")</f>
        <v>CS1557</v>
      </c>
      <c r="E187" s="26" t="str">
        <f>IFERROR(__xludf.DUMMYFUNCTION("""COMPUTED_VALUE"""),"19CS557")</f>
        <v>19CS557</v>
      </c>
      <c r="F187" s="26" t="str">
        <f>IFERROR(__xludf.DUMMYFUNCTION("""COMPUTED_VALUE"""),"Software Defined Networks")</f>
        <v>Software Defined Networks</v>
      </c>
      <c r="G187" s="26" t="str">
        <f>IFERROR(__xludf.DUMMYFUNCTION("""COMPUTED_VALUE"""),"-")</f>
        <v>-</v>
      </c>
      <c r="H187" s="26">
        <f>IFERROR(__xludf.DUMMYFUNCTION("""COMPUTED_VALUE"""),2)</f>
        <v>2</v>
      </c>
      <c r="I187" s="26">
        <f>IFERROR(__xludf.DUMMYFUNCTION("""COMPUTED_VALUE"""),1)</f>
        <v>1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IFERROR(__xludf.DUMMYFUNCTION("""COMPUTED_VALUE"""),"TIP (6 Expts)")</f>
        <v>TIP (6 Expts)</v>
      </c>
      <c r="M187" s="26"/>
      <c r="N187" s="26"/>
      <c r="O187" s="26"/>
      <c r="P187" s="26"/>
      <c r="Q187" s="26"/>
      <c r="R187" s="26"/>
    </row>
    <row r="188" ht="13.2" spans="1:18">
      <c r="A188" s="26">
        <f>IFERROR(__xludf.DUMMYFUNCTION("""COMPUTED_VALUE"""),186)</f>
        <v>186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IFERROR(__xludf.DUMMYFUNCTION("""COMPUTED_VALUE"""),"CS1556")</f>
        <v>CS1556</v>
      </c>
      <c r="E188" s="26" t="str">
        <f>IFERROR(__xludf.DUMMYFUNCTION("""COMPUTED_VALUE"""),"19CS556")</f>
        <v>19CS556</v>
      </c>
      <c r="F188" s="27" t="str">
        <f>IFERROR(__xludf.DUMMYFUNCTION("""COMPUTED_VALUE"""),"Core Computing Concepts")</f>
        <v>Core Computing Concepts</v>
      </c>
      <c r="G188" s="26" t="str">
        <f>IFERROR(__xludf.DUMMYFUNCTION("""COMPUTED_VALUE"""),"-")</f>
        <v>-</v>
      </c>
      <c r="H188" s="26">
        <f>IFERROR(__xludf.DUMMYFUNCTION("""COMPUTED_VALUE"""),2)</f>
        <v>2</v>
      </c>
      <c r="I188" s="26">
        <f>IFERROR(__xludf.DUMMYFUNCTION("""COMPUTED_VALUE"""),1)</f>
        <v>1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  <c r="P188" s="26"/>
      <c r="Q188" s="26"/>
      <c r="R188" s="26"/>
    </row>
    <row r="189" ht="13.2" spans="1:18">
      <c r="A189" s="26">
        <f>IFERROR(__xludf.DUMMYFUNCTION("""COMPUTED_VALUE"""),187)</f>
        <v>187</v>
      </c>
      <c r="B189" s="26"/>
      <c r="C189" s="26" t="str">
        <f>IFERROR(__xludf.DUMMYFUNCTION("""COMPUTED_VALUE"""),"PE")</f>
        <v>PE</v>
      </c>
      <c r="D189" s="26" t="str">
        <f>IFERROR(__xludf.DUMMYFUNCTION("""COMPUTED_VALUE"""),"CS2516")</f>
        <v>CS2516</v>
      </c>
      <c r="E189" s="26" t="str">
        <f>IFERROR(__xludf.DUMMYFUNCTION("""COMPUTED_VALUE"""),"19IT516")</f>
        <v>19IT516</v>
      </c>
      <c r="F189" s="27" t="str">
        <f>IFERROR(__xludf.DUMMYFUNCTION("""COMPUTED_VALUE"""),"Business Intelligence and Analytics")</f>
        <v>Business Intelligence and Analytics</v>
      </c>
      <c r="G189" s="26" t="str">
        <f>IFERROR(__xludf.DUMMYFUNCTION("""COMPUTED_VALUE"""),"-")</f>
        <v>-</v>
      </c>
      <c r="H189" s="26">
        <f>IFERROR(__xludf.DUMMYFUNCTION("""COMPUTED_VALUE"""),3)</f>
        <v>3</v>
      </c>
      <c r="I189" s="26">
        <f>IFERROR(__xludf.DUMMYFUNCTION("""COMPUTED_VALUE"""),0)</f>
        <v>0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IFERROR(__xludf.DUMMYFUNCTION("""COMPUTED_VALUE"""),"Theory")</f>
        <v>Theory</v>
      </c>
      <c r="M189" s="26"/>
      <c r="N189" s="26"/>
      <c r="O189" s="26"/>
      <c r="P189" s="26"/>
      <c r="Q189" s="26"/>
      <c r="R189" s="26"/>
    </row>
    <row r="190" ht="13.2" spans="1:18">
      <c r="A190" s="26">
        <f>IFERROR(__xludf.DUMMYFUNCTION("""COMPUTED_VALUE"""),188)</f>
        <v>188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IFERROR(__xludf.DUMMYFUNCTION("""COMPUTED_VALUE"""),"CS1547")</f>
        <v>CS1547</v>
      </c>
      <c r="E190" s="26" t="str">
        <f>IFERROR(__xludf.DUMMYFUNCTION("""COMPUTED_VALUE"""),"19CS547")</f>
        <v>19CS547</v>
      </c>
      <c r="F190" s="27" t="str">
        <f>IFERROR(__xludf.DUMMYFUNCTION("""COMPUTED_VALUE"""),"Fundamentals of Cryptocurrency")</f>
        <v>Fundamentals of Cryptocurrency</v>
      </c>
      <c r="G190" s="26" t="str">
        <f>IFERROR(__xludf.DUMMYFUNCTION("""COMPUTED_VALUE"""),"-")</f>
        <v>-</v>
      </c>
      <c r="H190" s="26">
        <f>IFERROR(__xludf.DUMMYFUNCTION("""COMPUTED_VALUE"""),3)</f>
        <v>3</v>
      </c>
      <c r="I190" s="26">
        <f>IFERROR(__xludf.DUMMYFUNCTION("""COMPUTED_VALUE"""),0)</f>
        <v>0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IFERROR(__xludf.DUMMYFUNCTION("""COMPUTED_VALUE"""),"Theory")</f>
        <v>Theory</v>
      </c>
      <c r="M190" s="26"/>
      <c r="N190" s="26"/>
      <c r="O190" s="26"/>
      <c r="P190" s="26"/>
      <c r="Q190" s="26"/>
      <c r="R190" s="26"/>
    </row>
    <row r="191" ht="13.2" spans="1:18">
      <c r="A191" s="26">
        <f>IFERROR(__xludf.DUMMYFUNCTION("""COMPUTED_VALUE"""),189)</f>
        <v>189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IFERROR(__xludf.DUMMYFUNCTION("""COMPUTED_VALUE"""),"CS1554")</f>
        <v>CS1554</v>
      </c>
      <c r="E191" s="26" t="str">
        <f>IFERROR(__xludf.DUMMYFUNCTION("""COMPUTED_VALUE"""),"19CS554")</f>
        <v>19CS554</v>
      </c>
      <c r="F191" s="26" t="str">
        <f>IFERROR(__xludf.DUMMYFUNCTION("""COMPUTED_VALUE"""),"Stream Processing")</f>
        <v>Stream Processing</v>
      </c>
      <c r="G191" s="26" t="str">
        <f>IFERROR(__xludf.DUMMYFUNCTION("""COMPUTED_VALUE"""),"-")</f>
        <v>-</v>
      </c>
      <c r="H191" s="26">
        <f>IFERROR(__xludf.DUMMYFUNCTION("""COMPUTED_VALUE"""),2)</f>
        <v>2</v>
      </c>
      <c r="I191" s="26">
        <f>IFERROR(__xludf.DUMMYFUNCTION("""COMPUTED_VALUE"""),1)</f>
        <v>1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IFERROR(__xludf.DUMMYFUNCTION("""COMPUTED_VALUE"""),"TIP (6 Expts)")</f>
        <v>TIP (6 Expts)</v>
      </c>
      <c r="M191" s="26"/>
      <c r="N191" s="26"/>
      <c r="O191" s="26"/>
      <c r="P191" s="26"/>
      <c r="Q191" s="26"/>
      <c r="R191" s="26"/>
    </row>
    <row r="192" ht="13.2" spans="1:18">
      <c r="A192" s="26">
        <f>IFERROR(__xludf.DUMMYFUNCTION("""COMPUTED_VALUE"""),190)</f>
        <v>190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IFERROR(__xludf.DUMMYFUNCTION("""COMPUTED_VALUE"""),"CS1560")</f>
        <v>CS1560</v>
      </c>
      <c r="E192" s="26" t="str">
        <f>IFERROR(__xludf.DUMMYFUNCTION("""COMPUTED_VALUE"""),"19CS560")</f>
        <v>19CS560</v>
      </c>
      <c r="F192" s="26" t="str">
        <f>IFERROR(__xludf.DUMMYFUNCTION("""COMPUTED_VALUE"""),"Smart Contract and Solidity")</f>
        <v>Smart Contract and Solidity</v>
      </c>
      <c r="G192" s="26" t="str">
        <f>IFERROR(__xludf.DUMMYFUNCTION("""COMPUTED_VALUE"""),"-")</f>
        <v>-</v>
      </c>
      <c r="H192" s="26">
        <f>IFERROR(__xludf.DUMMYFUNCTION("""COMPUTED_VALUE"""),2)</f>
        <v>2</v>
      </c>
      <c r="I192" s="26">
        <f>IFERROR(__xludf.DUMMYFUNCTION("""COMPUTED_VALUE"""),1)</f>
        <v>1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IFERROR(__xludf.DUMMYFUNCTION("""COMPUTED_VALUE"""),"TIP (6 Expts)")</f>
        <v>TIP (6 Expts)</v>
      </c>
      <c r="M192" s="26"/>
      <c r="N192" s="26"/>
      <c r="O192" s="26"/>
      <c r="P192" s="26"/>
      <c r="Q192" s="26"/>
      <c r="R192" s="26"/>
    </row>
    <row r="193" ht="13.2" spans="1:18">
      <c r="A193" s="26">
        <f>IFERROR(__xludf.DUMMYFUNCTION("""COMPUTED_VALUE"""),191)</f>
        <v>191</v>
      </c>
      <c r="B193" s="26"/>
      <c r="C193" s="26" t="str">
        <f>IFERROR(__xludf.DUMMYFUNCTION("""COMPUTED_VALUE"""),"PE")</f>
        <v>PE</v>
      </c>
      <c r="D193" s="26" t="str">
        <f>IFERROR(__xludf.DUMMYFUNCTION("""COMPUTED_VALUE"""),"CS3548")</f>
        <v>CS3548</v>
      </c>
      <c r="E193" s="26" t="str">
        <f>IFERROR(__xludf.DUMMYFUNCTION("""COMPUTED_VALUE"""),"19AI548")</f>
        <v>19AI548</v>
      </c>
      <c r="F193" s="27" t="str">
        <f>IFERROR(__xludf.DUMMYFUNCTION("""COMPUTED_VALUE"""),"Robot Programming")</f>
        <v>Robot Programming</v>
      </c>
      <c r="G193" s="26" t="str">
        <f>IFERROR(__xludf.DUMMYFUNCTION("""COMPUTED_VALUE"""),"-")</f>
        <v>-</v>
      </c>
      <c r="H193" s="26">
        <f>IFERROR(__xludf.DUMMYFUNCTION("""COMPUTED_VALUE"""),2)</f>
        <v>2</v>
      </c>
      <c r="I193" s="26">
        <f>IFERROR(__xludf.DUMMYFUNCTION("""COMPUTED_VALUE"""),1)</f>
        <v>1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  <c r="P193" s="26"/>
      <c r="Q193" s="26"/>
      <c r="R193" s="26"/>
    </row>
    <row r="194" ht="13.2" spans="1:18">
      <c r="A194" s="26">
        <f>IFERROR(__xludf.DUMMYFUNCTION("""COMPUTED_VALUE"""),192)</f>
        <v>192</v>
      </c>
      <c r="B194" s="26"/>
      <c r="C194" s="26" t="str">
        <f>IFERROR(__xludf.DUMMYFUNCTION("""COMPUTED_VALUE"""),"PE")</f>
        <v>PE</v>
      </c>
      <c r="D194" s="26" t="str">
        <f>IFERROR(__xludf.DUMMYFUNCTION("""COMPUTED_VALUE"""),"CS3549")</f>
        <v>CS3549</v>
      </c>
      <c r="E194" s="26" t="str">
        <f>IFERROR(__xludf.DUMMYFUNCTION("""COMPUTED_VALUE"""),"19AI549")</f>
        <v>19AI549</v>
      </c>
      <c r="F194" s="27" t="str">
        <f>IFERROR(__xludf.DUMMYFUNCTION("""COMPUTED_VALUE"""),"Drone Assembly and Applications")</f>
        <v>Drone Assembly and Applications</v>
      </c>
      <c r="G194" s="26" t="str">
        <f>IFERROR(__xludf.DUMMYFUNCTION("""COMPUTED_VALUE"""),"-")</f>
        <v>-</v>
      </c>
      <c r="H194" s="26">
        <f>IFERROR(__xludf.DUMMYFUNCTION("""COMPUTED_VALUE"""),2)</f>
        <v>2</v>
      </c>
      <c r="I194" s="26">
        <f>IFERROR(__xludf.DUMMYFUNCTION("""COMPUTED_VALUE"""),1)</f>
        <v>1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  <c r="P194" s="26"/>
      <c r="Q194" s="26"/>
      <c r="R194" s="26"/>
    </row>
    <row r="195" ht="13.2" spans="1:18">
      <c r="A195" s="26">
        <f>IFERROR(__xludf.DUMMYFUNCTION("""COMPUTED_VALUE"""),193)</f>
        <v>193</v>
      </c>
      <c r="B195" s="26"/>
      <c r="C195" s="26" t="str">
        <f>IFERROR(__xludf.DUMMYFUNCTION("""COMPUTED_VALUE"""),"PE")</f>
        <v>PE</v>
      </c>
      <c r="D195" s="26" t="str">
        <f>IFERROR(__xludf.DUMMYFUNCTION("""COMPUTED_VALUE"""),"CS3551")</f>
        <v>CS3551</v>
      </c>
      <c r="E195" s="26" t="str">
        <f>IFERROR(__xludf.DUMMYFUNCTION("""COMPUTED_VALUE"""),"19AI551")</f>
        <v>19AI551</v>
      </c>
      <c r="F195" s="27" t="str">
        <f>IFERROR(__xludf.DUMMYFUNCTION("""COMPUTED_VALUE"""),"Drone Design and Control")</f>
        <v>Drone Design and Control</v>
      </c>
      <c r="G195" s="26" t="str">
        <f>IFERROR(__xludf.DUMMYFUNCTION("""COMPUTED_VALUE"""),"-")</f>
        <v>-</v>
      </c>
      <c r="H195" s="26">
        <f>IFERROR(__xludf.DUMMYFUNCTION("""COMPUTED_VALUE"""),2)</f>
        <v>2</v>
      </c>
      <c r="I195" s="26">
        <f>IFERROR(__xludf.DUMMYFUNCTION("""COMPUTED_VALUE"""),1)</f>
        <v>1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IFERROR(__xludf.DUMMYFUNCTION("""COMPUTED_VALUE"""),"TIP (6 Expts)")</f>
        <v>TIP (6 Expts)</v>
      </c>
      <c r="M195" s="26"/>
      <c r="N195" s="26"/>
      <c r="O195" s="26"/>
      <c r="P195" s="26"/>
      <c r="Q195" s="26"/>
      <c r="R195" s="26"/>
    </row>
    <row r="196" ht="13.2" spans="1:18">
      <c r="A196" s="26">
        <f>IFERROR(__xludf.DUMMYFUNCTION("""COMPUTED_VALUE"""),194)</f>
        <v>194</v>
      </c>
      <c r="B196" s="26"/>
      <c r="C196" s="26" t="str">
        <f>IFERROR(__xludf.DUMMYFUNCTION("""COMPUTED_VALUE"""),"PE")</f>
        <v>PE</v>
      </c>
      <c r="D196" s="26" t="str">
        <f>IFERROR(__xludf.DUMMYFUNCTION("""COMPUTED_VALUE"""),"CS3552")</f>
        <v>CS3552</v>
      </c>
      <c r="E196" s="26" t="str">
        <f>IFERROR(__xludf.DUMMYFUNCTION("""COMPUTED_VALUE"""),"19AI552")</f>
        <v>19AI552</v>
      </c>
      <c r="F196" s="27" t="str">
        <f>IFERROR(__xludf.DUMMYFUNCTION("""COMPUTED_VALUE"""),"Web Application User Interface Development")</f>
        <v>Web Application User Interface Development</v>
      </c>
      <c r="G196" s="26" t="str">
        <f>IFERROR(__xludf.DUMMYFUNCTION("""COMPUTED_VALUE"""),"-")</f>
        <v>-</v>
      </c>
      <c r="H196" s="26">
        <f>IFERROR(__xludf.DUMMYFUNCTION("""COMPUTED_VALUE"""),2)</f>
        <v>2</v>
      </c>
      <c r="I196" s="26">
        <f>IFERROR(__xludf.DUMMYFUNCTION("""COMPUTED_VALUE"""),1)</f>
        <v>1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IFERROR(__xludf.DUMMYFUNCTION("""COMPUTED_VALUE"""),"TIP (6 Expts)")</f>
        <v>TIP (6 Expts)</v>
      </c>
      <c r="M196" s="26"/>
      <c r="N196" s="26"/>
      <c r="O196" s="26"/>
      <c r="P196" s="26"/>
      <c r="Q196" s="26"/>
      <c r="R196" s="26"/>
    </row>
    <row r="197" ht="13.2" spans="1:18">
      <c r="A197" s="26">
        <f>IFERROR(__xludf.DUMMYFUNCTION("""COMPUTED_VALUE"""),195)</f>
        <v>195</v>
      </c>
      <c r="B197" s="26"/>
      <c r="C197" s="26" t="str">
        <f>IFERROR(__xludf.DUMMYFUNCTION("""COMPUTED_VALUE"""),"PE")</f>
        <v>PE</v>
      </c>
      <c r="D197" s="26" t="str">
        <f>IFERROR(__xludf.DUMMYFUNCTION("""COMPUTED_VALUE"""),"CS3554")</f>
        <v>CS3554</v>
      </c>
      <c r="E197" s="26" t="str">
        <f>IFERROR(__xludf.DUMMYFUNCTION("""COMPUTED_VALUE"""),"19AI554")</f>
        <v>19AI554</v>
      </c>
      <c r="F197" s="27" t="str">
        <f>IFERROR(__xludf.DUMMYFUNCTION("""COMPUTED_VALUE"""),"Fundamentals of Large Language Models")</f>
        <v>Fundamentals of Large Language Models</v>
      </c>
      <c r="G197" s="26" t="str">
        <f>IFERROR(__xludf.DUMMYFUNCTION("""COMPUTED_VALUE"""),"-")</f>
        <v>-</v>
      </c>
      <c r="H197" s="26">
        <f>IFERROR(__xludf.DUMMYFUNCTION("""COMPUTED_VALUE"""),2)</f>
        <v>2</v>
      </c>
      <c r="I197" s="26">
        <f>IFERROR(__xludf.DUMMYFUNCTION("""COMPUTED_VALUE"""),1)</f>
        <v>1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IFERROR(__xludf.DUMMYFUNCTION("""COMPUTED_VALUE"""),"TIP (6 Expts)")</f>
        <v>TIP (6 Expts)</v>
      </c>
      <c r="M197" s="26"/>
      <c r="N197" s="26"/>
      <c r="O197" s="26"/>
      <c r="P197" s="26"/>
      <c r="Q197" s="26"/>
      <c r="R197" s="26"/>
    </row>
    <row r="198" ht="13.2" spans="1:18">
      <c r="A198" s="26">
        <f>IFERROR(__xludf.DUMMYFUNCTION("""COMPUTED_VALUE"""),196)</f>
        <v>196</v>
      </c>
      <c r="B198" s="26"/>
      <c r="C198" s="26" t="str">
        <f>IFERROR(__xludf.DUMMYFUNCTION("""COMPUTED_VALUE"""),"PE")</f>
        <v>PE</v>
      </c>
      <c r="D198" s="26" t="str">
        <f>IFERROR(__xludf.DUMMYFUNCTION("""COMPUTED_VALUE"""),"#N/A")</f>
        <v>#N/A</v>
      </c>
      <c r="E198" s="26" t="str">
        <f>IFERROR(__xludf.DUMMYFUNCTION("""COMPUTED_VALUE"""),"#N/A")</f>
        <v>#N/A</v>
      </c>
      <c r="F198" s="26" t="str">
        <f>IFERROR(__xludf.DUMMYFUNCTION("""COMPUTED_VALUE"""),"#N/A")</f>
        <v>#N/A</v>
      </c>
      <c r="G198" s="26" t="str">
        <f>IFERROR(__xludf.DUMMYFUNCTION("""COMPUTED_VALUE"""),"#N/A")</f>
        <v>#N/A</v>
      </c>
      <c r="H198" s="26" t="str">
        <f>IFERROR(__xludf.DUMMYFUNCTION("""COMPUTED_VALUE"""),"#N/A")</f>
        <v>#N/A</v>
      </c>
      <c r="I198" s="26" t="str">
        <f>IFERROR(__xludf.DUMMYFUNCTION("""COMPUTED_VALUE"""),"#N/A")</f>
        <v>#N/A</v>
      </c>
      <c r="J198" s="26" t="str">
        <f>IFERROR(__xludf.DUMMYFUNCTION("""COMPUTED_VALUE"""),"#N/A")</f>
        <v>#N/A</v>
      </c>
      <c r="K198" s="26" t="str">
        <f>IFERROR(__xludf.DUMMYFUNCTION("""COMPUTED_VALUE"""),"#N/A")</f>
        <v>#N/A</v>
      </c>
      <c r="L198" s="26" t="str">
        <f>IFERROR(__xludf.DUMMYFUNCTION("""COMPUTED_VALUE"""),"#N/A")</f>
        <v>#N/A</v>
      </c>
      <c r="M198" s="26"/>
      <c r="N198" s="26"/>
      <c r="O198" s="26"/>
      <c r="P198" s="26"/>
      <c r="Q198" s="26"/>
      <c r="R198" s="26"/>
    </row>
    <row r="199" ht="13.2" spans="1:18">
      <c r="A199" s="26">
        <f>IFERROR(__xludf.DUMMYFUNCTION("""COMPUTED_VALUE"""),197)</f>
        <v>197</v>
      </c>
      <c r="B199" s="26"/>
      <c r="C199" s="26" t="str">
        <f>IFERROR(__xludf.DUMMYFUNCTION("""COMPUTED_VALUE"""),"PE")</f>
        <v>PE</v>
      </c>
      <c r="D199" s="26" t="str">
        <f>IFERROR(__xludf.DUMMYFUNCTION("""COMPUTED_VALUE"""),"CS3561")</f>
        <v>CS3561</v>
      </c>
      <c r="E199" s="26" t="str">
        <f>IFERROR(__xludf.DUMMYFUNCTION("""COMPUTED_VALUE"""),"19AI561")</f>
        <v>19AI561</v>
      </c>
      <c r="F199" s="26" t="str">
        <f>IFERROR(__xludf.DUMMYFUNCTION("""COMPUTED_VALUE"""),"Extended Reality")</f>
        <v>Extended Reality</v>
      </c>
      <c r="G199" s="26" t="str">
        <f>IFERROR(__xludf.DUMMYFUNCTION("""COMPUTED_VALUE"""),"CS3307")</f>
        <v>CS3307</v>
      </c>
      <c r="H199" s="26">
        <f>IFERROR(__xludf.DUMMYFUNCTION("""COMPUTED_VALUE"""),2)</f>
        <v>2</v>
      </c>
      <c r="I199" s="26">
        <f>IFERROR(__xludf.DUMMYFUNCTION("""COMPUTED_VALUE"""),1)</f>
        <v>1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IFERROR(__xludf.DUMMYFUNCTION("""COMPUTED_VALUE"""),"TIP (6 Expts)")</f>
        <v>TIP (6 Expts)</v>
      </c>
      <c r="M199" s="26"/>
      <c r="N199" s="26"/>
      <c r="O199" s="26"/>
      <c r="P199" s="26"/>
      <c r="Q199" s="26"/>
      <c r="R199" s="26"/>
    </row>
    <row r="200" ht="13.2" spans="1:18">
      <c r="A200" s="26">
        <f>IFERROR(__xludf.DUMMYFUNCTION("""COMPUTED_VALUE"""),198)</f>
        <v>198</v>
      </c>
      <c r="B200" s="26"/>
      <c r="C200" s="26" t="str">
        <f>IFERROR(__xludf.DUMMYFUNCTION("""COMPUTED_VALUE"""),"PE")</f>
        <v>PE</v>
      </c>
      <c r="D200" s="26" t="str">
        <f>IFERROR(__xludf.DUMMYFUNCTION("""COMPUTED_VALUE"""),"CS3555")</f>
        <v>CS3555</v>
      </c>
      <c r="E200" s="26" t="str">
        <f>IFERROR(__xludf.DUMMYFUNCTION("""COMPUTED_VALUE"""),"19AI555")</f>
        <v>19AI555</v>
      </c>
      <c r="F200" s="27" t="str">
        <f>IFERROR(__xludf.DUMMYFUNCTION("""COMPUTED_VALUE"""),"Exploratory Data Analysis")</f>
        <v>Exploratory Data Analysis</v>
      </c>
      <c r="G200" s="26" t="str">
        <f>IFERROR(__xludf.DUMMYFUNCTION("""COMPUTED_VALUE"""),"-")</f>
        <v>-</v>
      </c>
      <c r="H200" s="26">
        <f>IFERROR(__xludf.DUMMYFUNCTION("""COMPUTED_VALUE"""),2)</f>
        <v>2</v>
      </c>
      <c r="I200" s="26">
        <f>IFERROR(__xludf.DUMMYFUNCTION("""COMPUTED_VALUE"""),1)</f>
        <v>1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IFERROR(__xludf.DUMMYFUNCTION("""COMPUTED_VALUE"""),"TIP (6 Expts)")</f>
        <v>TIP (6 Expts)</v>
      </c>
      <c r="M200" s="26"/>
      <c r="N200" s="26"/>
      <c r="O200" s="26"/>
      <c r="P200" s="26"/>
      <c r="Q200" s="26"/>
      <c r="R200" s="26"/>
    </row>
    <row r="201" ht="13.2" spans="1:18">
      <c r="A201" s="26">
        <f>IFERROR(__xludf.DUMMYFUNCTION("""COMPUTED_VALUE"""),199)</f>
        <v>199</v>
      </c>
      <c r="B201" s="26"/>
      <c r="C201" s="26" t="str">
        <f>IFERROR(__xludf.DUMMYFUNCTION("""COMPUTED_VALUE"""),"PE")</f>
        <v>PE</v>
      </c>
      <c r="D201" s="26" t="str">
        <f>IFERROR(__xludf.DUMMYFUNCTION("""COMPUTED_VALUE"""),"CS3559")</f>
        <v>CS3559</v>
      </c>
      <c r="E201" s="26" t="str">
        <f>IFERROR(__xludf.DUMMYFUNCTION("""COMPUTED_VALUE"""),"19AI559")</f>
        <v>19AI559</v>
      </c>
      <c r="F201" s="27" t="str">
        <f>IFERROR(__xludf.DUMMYFUNCTION("""COMPUTED_VALUE"""),"Image and Video Analytics")</f>
        <v>Image and Video Analytics</v>
      </c>
      <c r="G201" s="26" t="str">
        <f>IFERROR(__xludf.DUMMYFUNCTION("""COMPUTED_VALUE"""),"-")</f>
        <v>-</v>
      </c>
      <c r="H201" s="26">
        <f>IFERROR(__xludf.DUMMYFUNCTION("""COMPUTED_VALUE"""),2)</f>
        <v>2</v>
      </c>
      <c r="I201" s="26">
        <f>IFERROR(__xludf.DUMMYFUNCTION("""COMPUTED_VALUE"""),1)</f>
        <v>1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IFERROR(__xludf.DUMMYFUNCTION("""COMPUTED_VALUE"""),"TIP (6 Expts)")</f>
        <v>TIP (6 Expts)</v>
      </c>
      <c r="M201" s="26"/>
      <c r="N201" s="26"/>
      <c r="O201" s="26"/>
      <c r="P201" s="26"/>
      <c r="Q201" s="26"/>
      <c r="R201" s="26"/>
    </row>
    <row r="202" ht="13.2" spans="1:18">
      <c r="A202" s="26">
        <f>IFERROR(__xludf.DUMMYFUNCTION("""COMPUTED_VALUE"""),200)</f>
        <v>200</v>
      </c>
      <c r="B202" s="26"/>
      <c r="C202" s="26" t="str">
        <f>IFERROR(__xludf.DUMMYFUNCTION("""COMPUTED_VALUE"""),"PE")</f>
        <v>PE</v>
      </c>
      <c r="D202" s="26" t="str">
        <f>IFERROR(__xludf.DUMMYFUNCTION("""COMPUTED_VALUE"""),"CS3557")</f>
        <v>CS3557</v>
      </c>
      <c r="E202" s="26" t="str">
        <f>IFERROR(__xludf.DUMMYFUNCTION("""COMPUTED_VALUE"""),"19AI557")</f>
        <v>19AI557</v>
      </c>
      <c r="F202" s="27" t="str">
        <f>IFERROR(__xludf.DUMMYFUNCTION("""COMPUTED_VALUE"""),"Neural Networks and Deep Learning")</f>
        <v>Neural Networks and Deep Learning</v>
      </c>
      <c r="G202" s="26" t="str">
        <f>IFERROR(__xludf.DUMMYFUNCTION("""COMPUTED_VALUE"""),"-")</f>
        <v>-</v>
      </c>
      <c r="H202" s="26">
        <f>IFERROR(__xludf.DUMMYFUNCTION("""COMPUTED_VALUE"""),2)</f>
        <v>2</v>
      </c>
      <c r="I202" s="26">
        <f>IFERROR(__xludf.DUMMYFUNCTION("""COMPUTED_VALUE"""),1)</f>
        <v>1</v>
      </c>
      <c r="J202" s="26">
        <f>IFERROR(__xludf.DUMMYFUNCTION("""COMPUTED_VALUE"""),3)</f>
        <v>3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  <c r="P202" s="26"/>
      <c r="Q202" s="26"/>
      <c r="R202" s="26"/>
    </row>
    <row r="203" ht="13.2" spans="1:18">
      <c r="A203" s="26">
        <f>IFERROR(__xludf.DUMMYFUNCTION("""COMPUTED_VALUE"""),201)</f>
        <v>201</v>
      </c>
      <c r="B203" s="26"/>
      <c r="C203" s="26" t="str">
        <f>IFERROR(__xludf.DUMMYFUNCTION("""COMPUTED_VALUE"""),"PE")</f>
        <v>PE</v>
      </c>
      <c r="D203" s="26" t="str">
        <f>IFERROR(__xludf.DUMMYFUNCTION("""COMPUTED_VALUE"""),"CS3556")</f>
        <v>CS3556</v>
      </c>
      <c r="E203" s="26" t="str">
        <f>IFERROR(__xludf.DUMMYFUNCTION("""COMPUTED_VALUE"""),"19AI556")</f>
        <v>19AI556</v>
      </c>
      <c r="F203" s="27" t="str">
        <f>IFERROR(__xludf.DUMMYFUNCTION("""COMPUTED_VALUE"""),"Recommender Systems")</f>
        <v>Recommender Systems</v>
      </c>
      <c r="G203" s="26" t="str">
        <f>IFERROR(__xludf.DUMMYFUNCTION("""COMPUTED_VALUE"""),"-")</f>
        <v>-</v>
      </c>
      <c r="H203" s="26">
        <f>IFERROR(__xludf.DUMMYFUNCTION("""COMPUTED_VALUE"""),2)</f>
        <v>2</v>
      </c>
      <c r="I203" s="26">
        <f>IFERROR(__xludf.DUMMYFUNCTION("""COMPUTED_VALUE"""),1)</f>
        <v>1</v>
      </c>
      <c r="J203" s="26">
        <f>IFERROR(__xludf.DUMMYFUNCTION("""COMPUTED_VALUE"""),3)</f>
        <v>3</v>
      </c>
      <c r="K203" s="26" t="str">
        <f>IFERROR(__xludf.DUMMYFUNCTION("""COMPUTED_VALUE"""),"CGPA")</f>
        <v>CGPA</v>
      </c>
      <c r="L203" s="26" t="str">
        <f>IFERROR(__xludf.DUMMYFUNCTION("""COMPUTED_VALUE"""),"TIP (6 Expts)")</f>
        <v>TIP (6 Expts)</v>
      </c>
      <c r="M203" s="26"/>
      <c r="N203" s="26"/>
      <c r="O203" s="26"/>
      <c r="P203" s="26"/>
      <c r="Q203" s="26"/>
      <c r="R203" s="26"/>
    </row>
    <row r="204" ht="13.2" spans="1:18">
      <c r="A204" s="26">
        <f>IFERROR(__xludf.DUMMYFUNCTION("""COMPUTED_VALUE"""),202)</f>
        <v>202</v>
      </c>
      <c r="B204" s="26"/>
      <c r="C204" s="26" t="str">
        <f>IFERROR(__xludf.DUMMYFUNCTION("""COMPUTED_VALUE"""),"PE")</f>
        <v>PE</v>
      </c>
      <c r="D204" s="26" t="str">
        <f>IFERROR(__xludf.DUMMYFUNCTION("""COMPUTED_VALUE"""),"CS3558")</f>
        <v>CS3558</v>
      </c>
      <c r="E204" s="26" t="str">
        <f>IFERROR(__xludf.DUMMYFUNCTION("""COMPUTED_VALUE"""),"19AI558")</f>
        <v>19AI558</v>
      </c>
      <c r="F204" s="27" t="str">
        <f>IFERROR(__xludf.DUMMYFUNCTION("""COMPUTED_VALUE"""),"Text and Speech Analysis")</f>
        <v>Text and Speech Analysis</v>
      </c>
      <c r="G204" s="26" t="str">
        <f>IFERROR(__xludf.DUMMYFUNCTION("""COMPUTED_VALUE"""),"-")</f>
        <v>-</v>
      </c>
      <c r="H204" s="26">
        <f>IFERROR(__xludf.DUMMYFUNCTION("""COMPUTED_VALUE"""),2)</f>
        <v>2</v>
      </c>
      <c r="I204" s="26">
        <f>IFERROR(__xludf.DUMMYFUNCTION("""COMPUTED_VALUE"""),1)</f>
        <v>1</v>
      </c>
      <c r="J204" s="26">
        <f>IFERROR(__xludf.DUMMYFUNCTION("""COMPUTED_VALUE"""),3)</f>
        <v>3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  <c r="P204" s="26"/>
      <c r="Q204" s="26"/>
      <c r="R204" s="26"/>
    </row>
    <row r="205" ht="13.2" spans="1:18">
      <c r="A205" s="26">
        <f>IFERROR(__xludf.DUMMYFUNCTION("""COMPUTED_VALUE"""),203)</f>
        <v>203</v>
      </c>
      <c r="B205" s="26"/>
      <c r="C205" s="26" t="str">
        <f>IFERROR(__xludf.DUMMYFUNCTION("""COMPUTED_VALUE"""),"OE")</f>
        <v>OE</v>
      </c>
      <c r="D205" s="26" t="str">
        <f>IFERROR(__xludf.DUMMYFUNCTION("""COMPUTED_VALUE"""),"XXXXXX")</f>
        <v>XXXXXX</v>
      </c>
      <c r="E205" s="26" t="str">
        <f>IFERROR(__xludf.DUMMYFUNCTION("""COMPUTED_VALUE"""),"19XXXXX")</f>
        <v>19XXXXX</v>
      </c>
      <c r="F205" s="26" t="str">
        <f>IFERROR(__xludf.DUMMYFUNCTION("""COMPUTED_VALUE"""),"Open Electives")</f>
        <v>Open Electives</v>
      </c>
      <c r="G205" s="26" t="str">
        <f>IFERROR(__xludf.DUMMYFUNCTION("""COMPUTED_VALUE"""),"-")</f>
        <v>-</v>
      </c>
      <c r="H205" s="26">
        <f>IFERROR(__xludf.DUMMYFUNCTION("""COMPUTED_VALUE"""),0)</f>
        <v>0</v>
      </c>
      <c r="I205" s="26">
        <f>IFERROR(__xludf.DUMMYFUNCTION("""COMPUTED_VALUE"""),0)</f>
        <v>0</v>
      </c>
      <c r="J205" s="26">
        <f>IFERROR(__xludf.DUMMYFUNCTION("""COMPUTED_VALUE"""),0)</f>
        <v>0</v>
      </c>
      <c r="K205" s="26" t="str">
        <f>IFERROR(__xludf.DUMMYFUNCTION("""COMPUTED_VALUE"""),"CGPA")</f>
        <v>CGPA</v>
      </c>
      <c r="L205" s="26" t="str">
        <f>IFERROR(__xludf.DUMMYFUNCTION("""COMPUTED_VALUE"""),"Theory")</f>
        <v>Theory</v>
      </c>
      <c r="M205" s="26"/>
      <c r="N205" s="26"/>
      <c r="O205" s="26"/>
      <c r="P205" s="26"/>
      <c r="Q205" s="26"/>
      <c r="R205" s="26"/>
    </row>
    <row r="206" ht="13.2" spans="1:18">
      <c r="A206" s="26">
        <f>IFERROR(__xludf.DUMMYFUNCTION("""COMPUTED_VALUE"""),204)</f>
        <v>204</v>
      </c>
      <c r="B206" s="26"/>
      <c r="C206" s="26" t="str">
        <f>IFERROR(__xludf.DUMMYFUNCTION("""COMPUTED_VALUE"""),"OE")</f>
        <v>OE</v>
      </c>
      <c r="D206" s="26" t="str">
        <f>IFERROR(__xludf.DUMMYFUNCTION("""COMPUTED_VALUE"""),"XXXXXX")</f>
        <v>XXXXXX</v>
      </c>
      <c r="E206" s="26" t="str">
        <f>IFERROR(__xludf.DUMMYFUNCTION("""COMPUTED_VALUE"""),"19XXXXX")</f>
        <v>19XXXXX</v>
      </c>
      <c r="F206" s="26" t="str">
        <f>IFERROR(__xludf.DUMMYFUNCTION("""COMPUTED_VALUE"""),"Online Courses")</f>
        <v>Online Courses</v>
      </c>
      <c r="G206" s="26" t="str">
        <f>IFERROR(__xludf.DUMMYFUNCTION("""COMPUTED_VALUE"""),"-")</f>
        <v>-</v>
      </c>
      <c r="H206" s="26">
        <f>IFERROR(__xludf.DUMMYFUNCTION("""COMPUTED_VALUE"""),0)</f>
        <v>0</v>
      </c>
      <c r="I206" s="26">
        <f>IFERROR(__xludf.DUMMYFUNCTION("""COMPUTED_VALUE"""),0)</f>
        <v>0</v>
      </c>
      <c r="J206" s="26">
        <f>IFERROR(__xludf.DUMMYFUNCTION("""COMPUTED_VALUE"""),0)</f>
        <v>0</v>
      </c>
      <c r="K206" s="26" t="str">
        <f>IFERROR(__xludf.DUMMYFUNCTION("""COMPUTED_VALUE"""),"CGPA")</f>
        <v>CGPA</v>
      </c>
      <c r="L206" s="26" t="str">
        <f>IFERROR(__xludf.DUMMYFUNCTION("""COMPUTED_VALUE"""),"Experiential Learning")</f>
        <v>Experiential Learning</v>
      </c>
      <c r="M206" s="26"/>
      <c r="N206" s="26"/>
      <c r="O206" s="26"/>
      <c r="P206" s="26"/>
      <c r="Q206" s="26"/>
      <c r="R206" s="26"/>
    </row>
    <row r="207" ht="13.2" spans="1:18">
      <c r="A207" s="26">
        <f>IFERROR(__xludf.DUMMYFUNCTION("""COMPUTED_VALUE"""),205)</f>
        <v>205</v>
      </c>
      <c r="B207" s="26"/>
      <c r="C207" s="26" t="str">
        <f>IFERROR(__xludf.DUMMYFUNCTION("""COMPUTED_VALUE"""),"EEC")</f>
        <v>EEC</v>
      </c>
      <c r="D207" s="26" t="str">
        <f>IFERROR(__xludf.DUMMYFUNCTION("""COMPUTED_VALUE"""),"CS3701")</f>
        <v>CS3701</v>
      </c>
      <c r="E207" s="26" t="str">
        <f>IFERROR(__xludf.DUMMYFUNCTION("""COMPUTED_VALUE"""),"19AI701")</f>
        <v>19AI701</v>
      </c>
      <c r="F207" s="27" t="str">
        <f>IFERROR(__xludf.DUMMYFUNCTION("""COMPUTED_VALUE"""),"Mini Project")</f>
        <v>Mini Project</v>
      </c>
      <c r="G207" s="26" t="str">
        <f>IFERROR(__xludf.DUMMYFUNCTION("""COMPUTED_VALUE"""),"-")</f>
        <v>-</v>
      </c>
      <c r="H207" s="26">
        <f>IFERROR(__xludf.DUMMYFUNCTION("""COMPUTED_VALUE"""),0)</f>
        <v>0</v>
      </c>
      <c r="I207" s="26">
        <f>IFERROR(__xludf.DUMMYFUNCTION("""COMPUTED_VALUE"""),2)</f>
        <v>2</v>
      </c>
      <c r="J207" s="26">
        <f>IFERROR(__xludf.DUMMYFUNCTION("""COMPUTED_VALUE"""),2)</f>
        <v>2</v>
      </c>
      <c r="K207" s="26" t="str">
        <f>IFERROR(__xludf.DUMMYFUNCTION("""COMPUTED_VALUE"""),"CGPA")</f>
        <v>CGPA</v>
      </c>
      <c r="L207" s="26" t="str">
        <f>IFERROR(__xludf.DUMMYFUNCTION("""COMPUTED_VALUE"""),"Project (Int Only)")</f>
        <v>Project (Int Only)</v>
      </c>
      <c r="M207" s="26"/>
      <c r="N207" s="26"/>
      <c r="O207" s="26"/>
      <c r="P207" s="26"/>
      <c r="Q207" s="26"/>
      <c r="R207" s="26"/>
    </row>
    <row r="208" ht="13.2" spans="1:18">
      <c r="A208" s="26">
        <f>IFERROR(__xludf.DUMMYFUNCTION("""COMPUTED_VALUE"""),206)</f>
        <v>206</v>
      </c>
      <c r="B208" s="26"/>
      <c r="C208" s="26" t="str">
        <f>IFERROR(__xludf.DUMMYFUNCTION("""COMPUTED_VALUE"""),"EEC")</f>
        <v>EEC</v>
      </c>
      <c r="D208" s="26" t="str">
        <f>IFERROR(__xludf.DUMMYFUNCTION("""COMPUTED_VALUE"""),"CS3702")</f>
        <v>CS3702</v>
      </c>
      <c r="E208" s="26" t="str">
        <f>IFERROR(__xludf.DUMMYFUNCTION("""COMPUTED_VALUE"""),"19AI702")</f>
        <v>19AI702</v>
      </c>
      <c r="F208" s="27" t="str">
        <f>IFERROR(__xludf.DUMMYFUNCTION("""COMPUTED_VALUE"""),"Project Work I")</f>
        <v>Project Work I</v>
      </c>
      <c r="G208" s="26" t="str">
        <f>IFERROR(__xludf.DUMMYFUNCTION("""COMPUTED_VALUE"""),"-")</f>
        <v>-</v>
      </c>
      <c r="H208" s="26">
        <f>IFERROR(__xludf.DUMMYFUNCTION("""COMPUTED_VALUE"""),0)</f>
        <v>0</v>
      </c>
      <c r="I208" s="26">
        <f>IFERROR(__xludf.DUMMYFUNCTION("""COMPUTED_VALUE"""),2)</f>
        <v>2</v>
      </c>
      <c r="J208" s="26">
        <f>IFERROR(__xludf.DUMMYFUNCTION("""COMPUTED_VALUE"""),2)</f>
        <v>2</v>
      </c>
      <c r="K208" s="26" t="str">
        <f>IFERROR(__xludf.DUMMYFUNCTION("""COMPUTED_VALUE"""),"CGPA")</f>
        <v>CGPA</v>
      </c>
      <c r="L208" s="26" t="str">
        <f>IFERROR(__xludf.DUMMYFUNCTION("""COMPUTED_VALUE"""),"Practical (10 Expts)")</f>
        <v>Practical (10 Expts)</v>
      </c>
      <c r="M208" s="26"/>
      <c r="N208" s="26"/>
      <c r="O208" s="26"/>
      <c r="P208" s="26"/>
      <c r="Q208" s="26"/>
      <c r="R208" s="26"/>
    </row>
    <row r="209" ht="13.2" spans="1:18">
      <c r="A209" s="26">
        <f>IFERROR(__xludf.DUMMYFUNCTION("""COMPUTED_VALUE"""),207)</f>
        <v>207</v>
      </c>
      <c r="B209" s="26"/>
      <c r="C209" s="26" t="str">
        <f>IFERROR(__xludf.DUMMYFUNCTION("""COMPUTED_VALUE"""),"EEC")</f>
        <v>EEC</v>
      </c>
      <c r="D209" s="26" t="str">
        <f>IFERROR(__xludf.DUMMYFUNCTION("""COMPUTED_VALUE"""),"CS3703")</f>
        <v>CS3703</v>
      </c>
      <c r="E209" s="26" t="str">
        <f>IFERROR(__xludf.DUMMYFUNCTION("""COMPUTED_VALUE"""),"19AI703")</f>
        <v>19AI703</v>
      </c>
      <c r="F209" s="27" t="str">
        <f>IFERROR(__xludf.DUMMYFUNCTION("""COMPUTED_VALUE"""),"Project Work II")</f>
        <v>Project Work II</v>
      </c>
      <c r="G209" s="26" t="str">
        <f>IFERROR(__xludf.DUMMYFUNCTION("""COMPUTED_VALUE"""),"19AI702")</f>
        <v>19AI702</v>
      </c>
      <c r="H209" s="26">
        <f>IFERROR(__xludf.DUMMYFUNCTION("""COMPUTED_VALUE"""),0)</f>
        <v>0</v>
      </c>
      <c r="I209" s="26">
        <f>IFERROR(__xludf.DUMMYFUNCTION("""COMPUTED_VALUE"""),6)</f>
        <v>6</v>
      </c>
      <c r="J209" s="26">
        <f>IFERROR(__xludf.DUMMYFUNCTION("""COMPUTED_VALUE"""),6)</f>
        <v>6</v>
      </c>
      <c r="K209" s="26" t="str">
        <f>IFERROR(__xludf.DUMMYFUNCTION("""COMPUTED_VALUE"""),"CGPA")</f>
        <v>CGPA</v>
      </c>
      <c r="L209" s="26" t="str">
        <f>IFERROR(__xludf.DUMMYFUNCTION("""COMPUTED_VALUE"""),"Project")</f>
        <v>Project</v>
      </c>
      <c r="M209" s="26"/>
      <c r="N209" s="26"/>
      <c r="O209" s="26"/>
      <c r="P209" s="26"/>
      <c r="Q209" s="26"/>
      <c r="R209" s="26"/>
    </row>
    <row r="210" ht="13.2" spans="1:18">
      <c r="A210" s="26">
        <f>IFERROR(__xludf.DUMMYFUNCTION("""COMPUTED_VALUE"""),208)</f>
        <v>208</v>
      </c>
      <c r="B210" s="26" t="str">
        <f>IFERROR(__xludf.DUMMYFUNCTION("""COMPUTED_VALUE"""),"Any 1")</f>
        <v>Any 1</v>
      </c>
      <c r="C210" s="26" t="str">
        <f>IFERROR(__xludf.DUMMYFUNCTION("""COMPUTED_VALUE"""),"EEC")</f>
        <v>EEC</v>
      </c>
      <c r="D210" s="26" t="str">
        <f>IFERROR(__xludf.DUMMYFUNCTION("""COMPUTED_VALUE"""),"NA")</f>
        <v>NA</v>
      </c>
      <c r="E210" s="26" t="str">
        <f>IFERROR(__xludf.DUMMYFUNCTION("""COMPUTED_VALUE"""),"19EY701")</f>
        <v>19EY701</v>
      </c>
      <c r="F210" s="27" t="str">
        <f>IFERROR(__xludf.DUMMYFUNCTION("""COMPUTED_VALUE"""),"Softskills")</f>
        <v>Softskills</v>
      </c>
      <c r="G210" s="26" t="str">
        <f>IFERROR(__xludf.DUMMYFUNCTION("""COMPUTED_VALUE"""),"-")</f>
        <v>-</v>
      </c>
      <c r="H210" s="26">
        <f>IFERROR(__xludf.DUMMYFUNCTION("""COMPUTED_VALUE"""),0)</f>
        <v>0</v>
      </c>
      <c r="I210" s="26">
        <f>IFERROR(__xludf.DUMMYFUNCTION("""COMPUTED_VALUE"""),1)</f>
        <v>1</v>
      </c>
      <c r="J210" s="26">
        <f>IFERROR(__xludf.DUMMYFUNCTION("""COMPUTED_VALUE"""),1)</f>
        <v>1</v>
      </c>
      <c r="K210" s="26" t="str">
        <f>IFERROR(__xludf.DUMMYFUNCTION("""COMPUTED_VALUE"""),"CGPA")</f>
        <v>CGPA</v>
      </c>
      <c r="L210" s="26" t="str">
        <f>IFERROR(__xludf.DUMMYFUNCTION("""COMPUTED_VALUE"""),"Practical (6 Expts)")</f>
        <v>Practical (6 Expts)</v>
      </c>
      <c r="M210" s="26"/>
      <c r="N210" s="26"/>
      <c r="O210" s="26"/>
      <c r="P210" s="26"/>
      <c r="Q210" s="26"/>
      <c r="R210" s="26"/>
    </row>
    <row r="211" ht="13.2" spans="1:18">
      <c r="A211" s="26">
        <f>IFERROR(__xludf.DUMMYFUNCTION("""COMPUTED_VALUE"""),209)</f>
        <v>209</v>
      </c>
      <c r="B211" s="26" t="str">
        <f>IFERROR(__xludf.DUMMYFUNCTION("""COMPUTED_VALUE"""),"Any 1")</f>
        <v>Any 1</v>
      </c>
      <c r="C211" s="26" t="str">
        <f>IFERROR(__xludf.DUMMYFUNCTION("""COMPUTED_VALUE"""),"EEC")</f>
        <v>EEC</v>
      </c>
      <c r="D211" s="26" t="str">
        <f>IFERROR(__xludf.DUMMYFUNCTION("""COMPUTED_VALUE"""),"SH6708")</f>
        <v>SH6708</v>
      </c>
      <c r="E211" s="26" t="str">
        <f>IFERROR(__xludf.DUMMYFUNCTION("""COMPUTED_VALUE"""),"19EY708")</f>
        <v>19EY708</v>
      </c>
      <c r="F211" s="27" t="str">
        <f>IFERROR(__xludf.DUMMYFUNCTION("""COMPUTED_VALUE"""),"Career Development Skills")</f>
        <v>Career Development Skills</v>
      </c>
      <c r="G211" s="26" t="str">
        <f>IFERROR(__xludf.DUMMYFUNCTION("""COMPUTED_VALUE"""),"NIL")</f>
        <v>NIL</v>
      </c>
      <c r="H211" s="26">
        <f>IFERROR(__xludf.DUMMYFUNCTION("""COMPUTED_VALUE"""),1)</f>
        <v>1</v>
      </c>
      <c r="I211" s="26">
        <f>IFERROR(__xludf.DUMMYFUNCTION("""COMPUTED_VALUE"""),0)</f>
        <v>0</v>
      </c>
      <c r="J211" s="26">
        <f>IFERROR(__xludf.DUMMYFUNCTION("""COMPUTED_VALUE"""),1)</f>
        <v>1</v>
      </c>
      <c r="K211" s="26" t="str">
        <f>IFERROR(__xludf.DUMMYFUNCTION("""COMPUTED_VALUE"""),"CGPA")</f>
        <v>CGPA</v>
      </c>
      <c r="L211" s="26" t="str">
        <f>IFERROR(__xludf.DUMMYFUNCTION("""COMPUTED_VALUE"""),"Theory (Int Only)")</f>
        <v>Theory (Int Only)</v>
      </c>
      <c r="M211" s="26"/>
      <c r="N211" s="26"/>
      <c r="O211" s="26"/>
      <c r="P211" s="26"/>
      <c r="Q211" s="26"/>
      <c r="R211" s="26"/>
    </row>
    <row r="212" ht="13.2" spans="1:18">
      <c r="A212" s="26">
        <f>IFERROR(__xludf.DUMMYFUNCTION("""COMPUTED_VALUE"""),210)</f>
        <v>210</v>
      </c>
      <c r="B212" s="26" t="str">
        <f>IFERROR(__xludf.DUMMYFUNCTION("""COMPUTED_VALUE"""),"Any 1")</f>
        <v>Any 1</v>
      </c>
      <c r="C212" s="26" t="str">
        <f>IFERROR(__xludf.DUMMYFUNCTION("""COMPUTED_VALUE"""),"EEC")</f>
        <v>EEC</v>
      </c>
      <c r="D212" s="26" t="str">
        <f>IFERROR(__xludf.DUMMYFUNCTION("""COMPUTED_VALUE"""),"NA")</f>
        <v>NA</v>
      </c>
      <c r="E212" s="26" t="str">
        <f>IFERROR(__xludf.DUMMYFUNCTION("""COMPUTED_VALUE"""),"19EY702")</f>
        <v>19EY702</v>
      </c>
      <c r="F212" s="27" t="str">
        <f>IFERROR(__xludf.DUMMYFUNCTION("""COMPUTED_VALUE"""),"Creative Skills for Communication")</f>
        <v>Creative Skills for Communication</v>
      </c>
      <c r="G212" s="26" t="str">
        <f>IFERROR(__xludf.DUMMYFUNCTION("""COMPUTED_VALUE"""),"-")</f>
        <v>-</v>
      </c>
      <c r="H212" s="26">
        <f>IFERROR(__xludf.DUMMYFUNCTION("""COMPUTED_VALUE"""),0)</f>
        <v>0</v>
      </c>
      <c r="I212" s="26">
        <f>IFERROR(__xludf.DUMMYFUNCTION("""COMPUTED_VALUE"""),1)</f>
        <v>1</v>
      </c>
      <c r="J212" s="26">
        <f>IFERROR(__xludf.DUMMYFUNCTION("""COMPUTED_VALUE"""),1)</f>
        <v>1</v>
      </c>
      <c r="K212" s="26" t="str">
        <f>IFERROR(__xludf.DUMMYFUNCTION("""COMPUTED_VALUE"""),"CGPA")</f>
        <v>CGPA</v>
      </c>
      <c r="L212" s="26" t="str">
        <f>IFERROR(__xludf.DUMMYFUNCTION("""COMPUTED_VALUE"""),"Practical (6 Expts)")</f>
        <v>Practical (6 Expts)</v>
      </c>
      <c r="M212" s="26"/>
      <c r="N212" s="26"/>
      <c r="O212" s="26"/>
      <c r="P212" s="26"/>
      <c r="Q212" s="26"/>
      <c r="R212" s="26"/>
    </row>
    <row r="213" ht="13.2" spans="1:18">
      <c r="A213" s="26">
        <f>IFERROR(__xludf.DUMMYFUNCTION("""COMPUTED_VALUE"""),211)</f>
        <v>211</v>
      </c>
      <c r="B213" s="26" t="str">
        <f>IFERROR(__xludf.DUMMYFUNCTION("""COMPUTED_VALUE"""),"Any 1")</f>
        <v>Any 1</v>
      </c>
      <c r="C213" s="26" t="str">
        <f>IFERROR(__xludf.DUMMYFUNCTION("""COMPUTED_VALUE"""),"EEC")</f>
        <v>EEC</v>
      </c>
      <c r="D213" s="26" t="str">
        <f>IFERROR(__xludf.DUMMYFUNCTION("""COMPUTED_VALUE"""),"SH6709")</f>
        <v>SH6709</v>
      </c>
      <c r="E213" s="26" t="str">
        <f>IFERROR(__xludf.DUMMYFUNCTION("""COMPUTED_VALUE"""),"19EY709")</f>
        <v>19EY709</v>
      </c>
      <c r="F213" s="27" t="str">
        <f>IFERROR(__xludf.DUMMYFUNCTION("""COMPUTED_VALUE"""),"Reasoning Ability")</f>
        <v>Reasoning Ability</v>
      </c>
      <c r="G213" s="26" t="str">
        <f>IFERROR(__xludf.DUMMYFUNCTION("""COMPUTED_VALUE"""),"NIL")</f>
        <v>NIL</v>
      </c>
      <c r="H213" s="26">
        <f>IFERROR(__xludf.DUMMYFUNCTION("""COMPUTED_VALUE"""),1)</f>
        <v>1</v>
      </c>
      <c r="I213" s="26">
        <f>IFERROR(__xludf.DUMMYFUNCTION("""COMPUTED_VALUE"""),0)</f>
        <v>0</v>
      </c>
      <c r="J213" s="26">
        <f>IFERROR(__xludf.DUMMYFUNCTION("""COMPUTED_VALUE"""),1)</f>
        <v>1</v>
      </c>
      <c r="K213" s="26" t="str">
        <f>IFERROR(__xludf.DUMMYFUNCTION("""COMPUTED_VALUE"""),"CGPA")</f>
        <v>CGPA</v>
      </c>
      <c r="L213" s="26" t="str">
        <f>IFERROR(__xludf.DUMMYFUNCTION("""COMPUTED_VALUE"""),"Theory (Int Only)")</f>
        <v>Theory (Int Only)</v>
      </c>
      <c r="M213" s="26"/>
      <c r="N213" s="26"/>
      <c r="O213" s="26"/>
      <c r="P213" s="26"/>
      <c r="Q213" s="26"/>
      <c r="R213" s="26"/>
    </row>
    <row r="214" ht="13.2" spans="1:18">
      <c r="A214" s="26">
        <f>IFERROR(__xludf.DUMMYFUNCTION("""COMPUTED_VALUE"""),212)</f>
        <v>212</v>
      </c>
      <c r="B214" s="26" t="str">
        <f>IFERROR(__xludf.DUMMYFUNCTION("""COMPUTED_VALUE"""),"Option 1")</f>
        <v>Option 1</v>
      </c>
      <c r="C214" s="26" t="str">
        <f>IFERROR(__xludf.DUMMYFUNCTION("""COMPUTED_VALUE"""),"EEC")</f>
        <v>EEC</v>
      </c>
      <c r="D214" s="26" t="str">
        <f>IFERROR(__xludf.DUMMYFUNCTION("""COMPUTED_VALUE"""),"NA")</f>
        <v>NA</v>
      </c>
      <c r="E214" s="26" t="str">
        <f>IFERROR(__xludf.DUMMYFUNCTION("""COMPUTED_VALUE"""),"19EY703")</f>
        <v>19EY703</v>
      </c>
      <c r="F214" s="27" t="str">
        <f>IFERROR(__xludf.DUMMYFUNCTION("""COMPUTED_VALUE"""),"System of Numerical and Logical Terminologies")</f>
        <v>System of Numerical and Logical Terminologies</v>
      </c>
      <c r="G214" s="26" t="str">
        <f>IFERROR(__xludf.DUMMYFUNCTION("""COMPUTED_VALUE"""),"-")</f>
        <v>-</v>
      </c>
      <c r="H214" s="26">
        <f>IFERROR(__xludf.DUMMYFUNCTION("""COMPUTED_VALUE"""),0)</f>
        <v>0</v>
      </c>
      <c r="I214" s="26">
        <f>IFERROR(__xludf.DUMMYFUNCTION("""COMPUTED_VALUE"""),1)</f>
        <v>1</v>
      </c>
      <c r="J214" s="26">
        <f>IFERROR(__xludf.DUMMYFUNCTION("""COMPUTED_VALUE"""),1)</f>
        <v>1</v>
      </c>
      <c r="K214" s="26" t="str">
        <f>IFERROR(__xludf.DUMMYFUNCTION("""COMPUTED_VALUE"""),"CGPA")</f>
        <v>CGPA</v>
      </c>
      <c r="L214" s="26" t="str">
        <f>IFERROR(__xludf.DUMMYFUNCTION("""COMPUTED_VALUE"""),"Practical (6 Expts)")</f>
        <v>Practical (6 Expts)</v>
      </c>
      <c r="M214" s="26"/>
      <c r="N214" s="26"/>
      <c r="O214" s="26"/>
      <c r="P214" s="26"/>
      <c r="Q214" s="26"/>
      <c r="R214" s="26"/>
    </row>
    <row r="215" ht="13.2" spans="1:18">
      <c r="A215" s="26">
        <f>IFERROR(__xludf.DUMMYFUNCTION("""COMPUTED_VALUE"""),213)</f>
        <v>213</v>
      </c>
      <c r="B215" s="26" t="str">
        <f>IFERROR(__xludf.DUMMYFUNCTION("""COMPUTED_VALUE"""),"Option 1")</f>
        <v>Option 1</v>
      </c>
      <c r="C215" s="26" t="str">
        <f>IFERROR(__xludf.DUMMYFUNCTION("""COMPUTED_VALUE"""),"EEC")</f>
        <v>EEC</v>
      </c>
      <c r="D215" s="26" t="str">
        <f>IFERROR(__xludf.DUMMYFUNCTION("""COMPUTED_VALUE"""),"NA")</f>
        <v>NA</v>
      </c>
      <c r="E215" s="26" t="str">
        <f>IFERROR(__xludf.DUMMYFUNCTION("""COMPUTED_VALUE"""),"19EY704")</f>
        <v>19EY704</v>
      </c>
      <c r="F215" s="27" t="str">
        <f>IFERROR(__xludf.DUMMYFUNCTION("""COMPUTED_VALUE"""),"Advanced Quantitative and Logical Reasoning")</f>
        <v>Advanced Quantitative and Logical Reasoning</v>
      </c>
      <c r="G215" s="26" t="str">
        <f>IFERROR(__xludf.DUMMYFUNCTION("""COMPUTED_VALUE"""),"-")</f>
        <v>-</v>
      </c>
      <c r="H215" s="26">
        <f>IFERROR(__xludf.DUMMYFUNCTION("""COMPUTED_VALUE"""),0)</f>
        <v>0</v>
      </c>
      <c r="I215" s="26">
        <f>IFERROR(__xludf.DUMMYFUNCTION("""COMPUTED_VALUE"""),1)</f>
        <v>1</v>
      </c>
      <c r="J215" s="26">
        <f>IFERROR(__xludf.DUMMYFUNCTION("""COMPUTED_VALUE"""),1)</f>
        <v>1</v>
      </c>
      <c r="K215" s="26" t="str">
        <f>IFERROR(__xludf.DUMMYFUNCTION("""COMPUTED_VALUE"""),"CGPA")</f>
        <v>CGPA</v>
      </c>
      <c r="L215" s="26" t="str">
        <f>IFERROR(__xludf.DUMMYFUNCTION("""COMPUTED_VALUE"""),"Practical (6 Expts)")</f>
        <v>Practical (6 Expts)</v>
      </c>
      <c r="M215" s="26"/>
      <c r="N215" s="26"/>
      <c r="O215" s="26"/>
      <c r="P215" s="26"/>
      <c r="Q215" s="26"/>
      <c r="R215" s="26"/>
    </row>
    <row r="216" ht="13.2" spans="1:18">
      <c r="A216" s="26">
        <f>IFERROR(__xludf.DUMMYFUNCTION("""COMPUTED_VALUE"""),214)</f>
        <v>214</v>
      </c>
      <c r="B216" s="26" t="str">
        <f>IFERROR(__xludf.DUMMYFUNCTION("""COMPUTED_VALUE"""),"Option 2")</f>
        <v>Option 2</v>
      </c>
      <c r="C216" s="26" t="str">
        <f>IFERROR(__xludf.DUMMYFUNCTION("""COMPUTED_VALUE"""),"EEC")</f>
        <v>EEC</v>
      </c>
      <c r="D216" s="26" t="str">
        <f>IFERROR(__xludf.DUMMYFUNCTION("""COMPUTED_VALUE"""),"SH6710")</f>
        <v>SH6710</v>
      </c>
      <c r="E216" s="26" t="str">
        <f>IFERROR(__xludf.DUMMYFUNCTION("""COMPUTED_VALUE"""),"19EY710")</f>
        <v>19EY710</v>
      </c>
      <c r="F216" s="27" t="str">
        <f>IFERROR(__xludf.DUMMYFUNCTION("""COMPUTED_VALUE"""),"Quantitative Ability I")</f>
        <v>Quantitative Ability I</v>
      </c>
      <c r="G216" s="26" t="str">
        <f>IFERROR(__xludf.DUMMYFUNCTION("""COMPUTED_VALUE"""),"NIL")</f>
        <v>NIL</v>
      </c>
      <c r="H216" s="26">
        <f>IFERROR(__xludf.DUMMYFUNCTION("""COMPUTED_VALUE"""),1)</f>
        <v>1</v>
      </c>
      <c r="I216" s="26">
        <f>IFERROR(__xludf.DUMMYFUNCTION("""COMPUTED_VALUE"""),0)</f>
        <v>0</v>
      </c>
      <c r="J216" s="26">
        <f>IFERROR(__xludf.DUMMYFUNCTION("""COMPUTED_VALUE"""),1)</f>
        <v>1</v>
      </c>
      <c r="K216" s="26" t="str">
        <f>IFERROR(__xludf.DUMMYFUNCTION("""COMPUTED_VALUE"""),"CGPA")</f>
        <v>CGPA</v>
      </c>
      <c r="L216" s="26" t="str">
        <f>IFERROR(__xludf.DUMMYFUNCTION("""COMPUTED_VALUE"""),"Theory (Int Only)")</f>
        <v>Theory (Int Only)</v>
      </c>
      <c r="M216" s="26"/>
      <c r="N216" s="26"/>
      <c r="O216" s="26"/>
      <c r="P216" s="26"/>
      <c r="Q216" s="26"/>
      <c r="R216" s="26"/>
    </row>
    <row r="217" ht="13.2" spans="1:18">
      <c r="A217" s="26">
        <f>IFERROR(__xludf.DUMMYFUNCTION("""COMPUTED_VALUE"""),215)</f>
        <v>215</v>
      </c>
      <c r="B217" s="26" t="str">
        <f>IFERROR(__xludf.DUMMYFUNCTION("""COMPUTED_VALUE"""),"Option 2")</f>
        <v>Option 2</v>
      </c>
      <c r="C217" s="26" t="str">
        <f>IFERROR(__xludf.DUMMYFUNCTION("""COMPUTED_VALUE"""),"EEC")</f>
        <v>EEC</v>
      </c>
      <c r="D217" s="26" t="str">
        <f>IFERROR(__xludf.DUMMYFUNCTION("""COMPUTED_VALUE"""),"SH6711")</f>
        <v>SH6711</v>
      </c>
      <c r="E217" s="26" t="str">
        <f>IFERROR(__xludf.DUMMYFUNCTION("""COMPUTED_VALUE"""),"19EY711")</f>
        <v>19EY711</v>
      </c>
      <c r="F217" s="27" t="str">
        <f>IFERROR(__xludf.DUMMYFUNCTION("""COMPUTED_VALUE"""),"Quantitative Ability II")</f>
        <v>Quantitative Ability II</v>
      </c>
      <c r="G217" s="26" t="str">
        <f>IFERROR(__xludf.DUMMYFUNCTION("""COMPUTED_VALUE"""),"SH6710 /19EY710")</f>
        <v>SH6710 /19EY710</v>
      </c>
      <c r="H217" s="26">
        <f>IFERROR(__xludf.DUMMYFUNCTION("""COMPUTED_VALUE"""),1)</f>
        <v>1</v>
      </c>
      <c r="I217" s="26">
        <f>IFERROR(__xludf.DUMMYFUNCTION("""COMPUTED_VALUE"""),0)</f>
        <v>0</v>
      </c>
      <c r="J217" s="26">
        <f>IFERROR(__xludf.DUMMYFUNCTION("""COMPUTED_VALUE"""),1)</f>
        <v>1</v>
      </c>
      <c r="K217" s="26" t="str">
        <f>IFERROR(__xludf.DUMMYFUNCTION("""COMPUTED_VALUE"""),"CGPA")</f>
        <v>CGPA</v>
      </c>
      <c r="L217" s="26" t="str">
        <f>IFERROR(__xludf.DUMMYFUNCTION("""COMPUTED_VALUE"""),"Theory (Int Only)")</f>
        <v>Theory (Int Only)</v>
      </c>
      <c r="M217" s="26"/>
      <c r="N217" s="26"/>
      <c r="O217" s="26"/>
      <c r="P217" s="26"/>
      <c r="Q217" s="26"/>
      <c r="R217" s="26"/>
    </row>
    <row r="218" ht="13.2" spans="1:18">
      <c r="A218" s="26">
        <f>IFERROR(__xludf.DUMMYFUNCTION("""COMPUTED_VALUE"""),216)</f>
        <v>216</v>
      </c>
      <c r="B218" s="26" t="str">
        <f>IFERROR(__xludf.DUMMYFUNCTION("""COMPUTED_VALUE"""),"Any 1")</f>
        <v>Any 1</v>
      </c>
      <c r="C218" s="26" t="str">
        <f>IFERROR(__xludf.DUMMYFUNCTION("""COMPUTED_VALUE"""),"EEC")</f>
        <v>EEC</v>
      </c>
      <c r="D218" s="26" t="str">
        <f>IFERROR(__xludf.DUMMYFUNCTION("""COMPUTED_VALUE"""),"NA")</f>
        <v>NA</v>
      </c>
      <c r="E218" s="26" t="str">
        <f>IFERROR(__xludf.DUMMYFUNCTION("""COMPUTED_VALUE"""),"19EY705")</f>
        <v>19EY705</v>
      </c>
      <c r="F218" s="27" t="str">
        <f>IFERROR(__xludf.DUMMYFUNCTION("""COMPUTED_VALUE"""),"Employment Enhancement Skills")</f>
        <v>Employment Enhancement Skills</v>
      </c>
      <c r="G218" s="26" t="str">
        <f>IFERROR(__xludf.DUMMYFUNCTION("""COMPUTED_VALUE"""),"-")</f>
        <v>-</v>
      </c>
      <c r="H218" s="26">
        <f>IFERROR(__xludf.DUMMYFUNCTION("""COMPUTED_VALUE"""),0)</f>
        <v>0</v>
      </c>
      <c r="I218" s="26">
        <f>IFERROR(__xludf.DUMMYFUNCTION("""COMPUTED_VALUE"""),1)</f>
        <v>1</v>
      </c>
      <c r="J218" s="26">
        <f>IFERROR(__xludf.DUMMYFUNCTION("""COMPUTED_VALUE"""),1)</f>
        <v>1</v>
      </c>
      <c r="K218" s="26" t="str">
        <f>IFERROR(__xludf.DUMMYFUNCTION("""COMPUTED_VALUE"""),"CGPA")</f>
        <v>CGPA</v>
      </c>
      <c r="L218" s="26" t="str">
        <f>IFERROR(__xludf.DUMMYFUNCTION("""COMPUTED_VALUE"""),"Practical (6 Expts)")</f>
        <v>Practical (6 Expts)</v>
      </c>
      <c r="M218" s="26"/>
      <c r="N218" s="26"/>
      <c r="O218" s="26"/>
      <c r="P218" s="26"/>
      <c r="Q218" s="26"/>
      <c r="R218" s="26"/>
    </row>
    <row r="219" ht="13.2" spans="1:18">
      <c r="A219" s="26">
        <f>IFERROR(__xludf.DUMMYFUNCTION("""COMPUTED_VALUE"""),217)</f>
        <v>217</v>
      </c>
      <c r="B219" s="26" t="str">
        <f>IFERROR(__xludf.DUMMYFUNCTION("""COMPUTED_VALUE"""),"Any 1")</f>
        <v>Any 1</v>
      </c>
      <c r="C219" s="26" t="str">
        <f>IFERROR(__xludf.DUMMYFUNCTION("""COMPUTED_VALUE"""),"EEC")</f>
        <v>EEC</v>
      </c>
      <c r="D219" s="26" t="str">
        <f>IFERROR(__xludf.DUMMYFUNCTION("""COMPUTED_VALUE"""),"SH6712")</f>
        <v>SH6712</v>
      </c>
      <c r="E219" s="26" t="str">
        <f>IFERROR(__xludf.DUMMYFUNCTION("""COMPUTED_VALUE"""),"19EY712")</f>
        <v>19EY712</v>
      </c>
      <c r="F219" s="27" t="str">
        <f>IFERROR(__xludf.DUMMYFUNCTION("""COMPUTED_VALUE"""),"Employment Enrichment Skills")</f>
        <v>Employment Enrichment Skills</v>
      </c>
      <c r="G219" s="26" t="str">
        <f>IFERROR(__xludf.DUMMYFUNCTION("""COMPUTED_VALUE"""),"19EY702 / 19EY709 / SH6709")</f>
        <v>19EY702 / 19EY709 / SH6709</v>
      </c>
      <c r="H219" s="26">
        <f>IFERROR(__xludf.DUMMYFUNCTION("""COMPUTED_VALUE"""),1)</f>
        <v>1</v>
      </c>
      <c r="I219" s="26">
        <f>IFERROR(__xludf.DUMMYFUNCTION("""COMPUTED_VALUE"""),0)</f>
        <v>0</v>
      </c>
      <c r="J219" s="26">
        <f>IFERROR(__xludf.DUMMYFUNCTION("""COMPUTED_VALUE"""),1)</f>
        <v>1</v>
      </c>
      <c r="K219" s="26" t="str">
        <f>IFERROR(__xludf.DUMMYFUNCTION("""COMPUTED_VALUE"""),"CGPA")</f>
        <v>CGPA</v>
      </c>
      <c r="L219" s="26" t="str">
        <f>IFERROR(__xludf.DUMMYFUNCTION("""COMPUTED_VALUE"""),"Theory (Int Only)")</f>
        <v>Theory (Int Only)</v>
      </c>
      <c r="M219" s="26"/>
      <c r="N219" s="26"/>
      <c r="O219" s="26"/>
      <c r="P219" s="26"/>
      <c r="Q219" s="26"/>
      <c r="R219" s="26"/>
    </row>
    <row r="220" ht="13.2" spans="1:18">
      <c r="A220" s="26">
        <f>IFERROR(__xludf.DUMMYFUNCTION("""COMPUTED_VALUE"""),218)</f>
        <v>218</v>
      </c>
      <c r="B220" s="26" t="str">
        <f>IFERROR(__xludf.DUMMYFUNCTION("""COMPUTED_VALUE"""),"Any 1")</f>
        <v>Any 1</v>
      </c>
      <c r="C220" s="26" t="str">
        <f>IFERROR(__xludf.DUMMYFUNCTION("""COMPUTED_VALUE"""),"EEC")</f>
        <v>EEC</v>
      </c>
      <c r="D220" s="26" t="str">
        <f>IFERROR(__xludf.DUMMYFUNCTION("""COMPUTED_VALUE"""),"NA")</f>
        <v>NA</v>
      </c>
      <c r="E220" s="26" t="str">
        <f>IFERROR(__xludf.DUMMYFUNCTION("""COMPUTED_VALUE"""),"19EY706")</f>
        <v>19EY706</v>
      </c>
      <c r="F220" s="27" t="str">
        <f>IFERROR(__xludf.DUMMYFUNCTION("""COMPUTED_VALUE"""),"Company Specific Assessments For Employability")</f>
        <v>Company Specific Assessments For Employability</v>
      </c>
      <c r="G220" s="26" t="str">
        <f>IFERROR(__xludf.DUMMYFUNCTION("""COMPUTED_VALUE"""),"-")</f>
        <v>-</v>
      </c>
      <c r="H220" s="26">
        <f>IFERROR(__xludf.DUMMYFUNCTION("""COMPUTED_VALUE"""),0)</f>
        <v>0</v>
      </c>
      <c r="I220" s="26">
        <f>IFERROR(__xludf.DUMMYFUNCTION("""COMPUTED_VALUE"""),1)</f>
        <v>1</v>
      </c>
      <c r="J220" s="26">
        <f>IFERROR(__xludf.DUMMYFUNCTION("""COMPUTED_VALUE"""),1)</f>
        <v>1</v>
      </c>
      <c r="K220" s="26" t="str">
        <f>IFERROR(__xludf.DUMMYFUNCTION("""COMPUTED_VALUE"""),"CGPA")</f>
        <v>CGPA</v>
      </c>
      <c r="L220" s="26" t="str">
        <f>IFERROR(__xludf.DUMMYFUNCTION("""COMPUTED_VALUE"""),"Practical (6 Expts)")</f>
        <v>Practical (6 Expts)</v>
      </c>
      <c r="M220" s="26"/>
      <c r="N220" s="26"/>
      <c r="O220" s="26"/>
      <c r="P220" s="26"/>
      <c r="Q220" s="26"/>
      <c r="R220" s="26"/>
    </row>
    <row r="221" ht="13.2" spans="1:18">
      <c r="A221" s="26">
        <f>IFERROR(__xludf.DUMMYFUNCTION("""COMPUTED_VALUE"""),219)</f>
        <v>219</v>
      </c>
      <c r="B221" s="26" t="str">
        <f>IFERROR(__xludf.DUMMYFUNCTION("""COMPUTED_VALUE"""),"Any 1")</f>
        <v>Any 1</v>
      </c>
      <c r="C221" s="26"/>
      <c r="D221" s="26" t="str">
        <f>IFERROR(__xludf.DUMMYFUNCTION("""COMPUTED_VALUE"""),"SH6713")</f>
        <v>SH6713</v>
      </c>
      <c r="E221" s="26" t="str">
        <f>IFERROR(__xludf.DUMMYFUNCTION("""COMPUTED_VALUE"""),"19EY713")</f>
        <v>19EY713</v>
      </c>
      <c r="F221" s="27" t="str">
        <f>IFERROR(__xludf.DUMMYFUNCTION("""COMPUTED_VALUE"""),"Placement Readiness Assessment")</f>
        <v>Placement Readiness Assessment</v>
      </c>
      <c r="G221" s="26" t="str">
        <f>IFERROR(__xludf.DUMMYFUNCTION("""COMPUTED_VALUE"""),"19EY704 / 19EY711/SH6711")</f>
        <v>19EY704 / 19EY711/SH6711</v>
      </c>
      <c r="H221" s="26">
        <f>IFERROR(__xludf.DUMMYFUNCTION("""COMPUTED_VALUE"""),1)</f>
        <v>1</v>
      </c>
      <c r="I221" s="26">
        <f>IFERROR(__xludf.DUMMYFUNCTION("""COMPUTED_VALUE"""),0)</f>
        <v>0</v>
      </c>
      <c r="J221" s="26">
        <f>IFERROR(__xludf.DUMMYFUNCTION("""COMPUTED_VALUE"""),1)</f>
        <v>1</v>
      </c>
      <c r="K221" s="26" t="str">
        <f>IFERROR(__xludf.DUMMYFUNCTION("""COMPUTED_VALUE"""),"CGPA")</f>
        <v>CGPA</v>
      </c>
      <c r="L221" s="26" t="str">
        <f>IFERROR(__xludf.DUMMYFUNCTION("""COMPUTED_VALUE"""),"Theory (Int Only)")</f>
        <v>Theory (Int Only)</v>
      </c>
      <c r="M221" s="26"/>
      <c r="N221" s="26"/>
      <c r="O221" s="26"/>
      <c r="P221" s="26"/>
      <c r="Q221" s="26"/>
      <c r="R221" s="26"/>
    </row>
    <row r="222" ht="13.2" spans="1:18">
      <c r="A222" s="26">
        <f>IFERROR(__xludf.DUMMYFUNCTION("""COMPUTED_VALUE"""),220)</f>
        <v>220</v>
      </c>
      <c r="B222" s="26"/>
      <c r="C222" s="26" t="str">
        <f>IFERROR(__xludf.DUMMYFUNCTION("""COMPUTED_VALUE"""),"EEC")</f>
        <v>EEC</v>
      </c>
      <c r="D222" s="26" t="str">
        <f>IFERROR(__xludf.DUMMYFUNCTION("""COMPUTED_VALUE"""),"SH6707")</f>
        <v>SH6707</v>
      </c>
      <c r="E222" s="26" t="str">
        <f>IFERROR(__xludf.DUMMYFUNCTION("""COMPUTED_VALUE"""),"19EY707")</f>
        <v>19EY707</v>
      </c>
      <c r="F222" s="27" t="str">
        <f>IFERROR(__xludf.DUMMYFUNCTION("""COMPUTED_VALUE"""),"Paper Publication")</f>
        <v>Paper Publication</v>
      </c>
      <c r="G222" s="26" t="str">
        <f>IFERROR(__xludf.DUMMYFUNCTION("""COMPUTED_VALUE"""),"-")</f>
        <v>-</v>
      </c>
      <c r="H222" s="26">
        <f>IFERROR(__xludf.DUMMYFUNCTION("""COMPUTED_VALUE"""),0)</f>
        <v>0</v>
      </c>
      <c r="I222" s="26">
        <f>IFERROR(__xludf.DUMMYFUNCTION("""COMPUTED_VALUE"""),0)</f>
        <v>0</v>
      </c>
      <c r="J222" s="26">
        <f>IFERROR(__xludf.DUMMYFUNCTION("""COMPUTED_VALUE"""),1)</f>
        <v>1</v>
      </c>
      <c r="K222" s="26" t="str">
        <f>IFERROR(__xludf.DUMMYFUNCTION("""COMPUTED_VALUE"""),"NON-CGPA")</f>
        <v>NON-CGPA</v>
      </c>
      <c r="L222" s="26" t="str">
        <f>IFERROR(__xludf.DUMMYFUNCTION("""COMPUTED_VALUE"""),"Experiential Learning (Int Only)")</f>
        <v>Experiential Learning (Int Only)</v>
      </c>
      <c r="M222" s="26"/>
      <c r="N222" s="26"/>
      <c r="O222" s="26"/>
      <c r="P222" s="26"/>
      <c r="Q222" s="26"/>
      <c r="R222" s="26"/>
    </row>
    <row r="223" ht="13.2" spans="1:18">
      <c r="A223" s="26">
        <f>IFERROR(__xludf.DUMMYFUNCTION("""COMPUTED_VALUE"""),221)</f>
        <v>221</v>
      </c>
      <c r="B223" s="26"/>
      <c r="C223" s="26" t="str">
        <f>IFERROR(__xludf.DUMMYFUNCTION("""COMPUTED_VALUE"""),"MC")</f>
        <v>MC</v>
      </c>
      <c r="D223" s="26" t="str">
        <f>IFERROR(__xludf.DUMMYFUNCTION("""COMPUTED_VALUE"""),"NA")</f>
        <v>NA</v>
      </c>
      <c r="E223" s="26" t="str">
        <f>IFERROR(__xludf.DUMMYFUNCTION("""COMPUTED_VALUE"""),"19MC801")</f>
        <v>19MC801</v>
      </c>
      <c r="F223" s="27" t="str">
        <f>IFERROR(__xludf.DUMMYFUNCTION("""COMPUTED_VALUE"""),"Professional Ethics")</f>
        <v>Professional Ethics</v>
      </c>
      <c r="G223" s="26" t="str">
        <f>IFERROR(__xludf.DUMMYFUNCTION("""COMPUTED_VALUE"""),"-")</f>
        <v>-</v>
      </c>
      <c r="H223" s="26">
        <f>IFERROR(__xludf.DUMMYFUNCTION("""COMPUTED_VALUE"""),0)</f>
        <v>0</v>
      </c>
      <c r="I223" s="26">
        <f>IFERROR(__xludf.DUMMYFUNCTION("""COMPUTED_VALUE"""),0)</f>
        <v>0</v>
      </c>
      <c r="J223" s="26">
        <f>IFERROR(__xludf.DUMMYFUNCTION("""COMPUTED_VALUE"""),0)</f>
        <v>0</v>
      </c>
      <c r="K223" s="26" t="str">
        <f>IFERROR(__xludf.DUMMYFUNCTION("""COMPUTED_VALUE"""),"NON - CGPA")</f>
        <v>NON - CGPA</v>
      </c>
      <c r="L223" s="26" t="str">
        <f>IFERROR(__xludf.DUMMYFUNCTION("""COMPUTED_VALUE"""),"Theory (Int Only)")</f>
        <v>Theory (Int Only)</v>
      </c>
      <c r="M223" s="26"/>
      <c r="N223" s="26"/>
      <c r="O223" s="26"/>
      <c r="P223" s="26"/>
      <c r="Q223" s="26"/>
      <c r="R223" s="26"/>
    </row>
    <row r="224" ht="13.2" spans="1:18">
      <c r="A224" s="26">
        <f>IFERROR(__xludf.DUMMYFUNCTION("""COMPUTED_VALUE"""),222)</f>
        <v>222</v>
      </c>
      <c r="B224" s="26"/>
      <c r="C224" s="26" t="str">
        <f>IFERROR(__xludf.DUMMYFUNCTION("""COMPUTED_VALUE"""),"MC")</f>
        <v>MC</v>
      </c>
      <c r="D224" s="26" t="str">
        <f>IFERROR(__xludf.DUMMYFUNCTION("""COMPUTED_VALUE"""),"NA")</f>
        <v>NA</v>
      </c>
      <c r="E224" s="26" t="str">
        <f>IFERROR(__xludf.DUMMYFUNCTION("""COMPUTED_VALUE"""),"19MC802")</f>
        <v>19MC802</v>
      </c>
      <c r="F224" s="27" t="str">
        <f>IFERROR(__xludf.DUMMYFUNCTION("""COMPUTED_VALUE"""),"Environmental Science")</f>
        <v>Environmental Science</v>
      </c>
      <c r="G224" s="26" t="str">
        <f>IFERROR(__xludf.DUMMYFUNCTION("""COMPUTED_VALUE"""),"-")</f>
        <v>-</v>
      </c>
      <c r="H224" s="26">
        <f>IFERROR(__xludf.DUMMYFUNCTION("""COMPUTED_VALUE"""),0)</f>
        <v>0</v>
      </c>
      <c r="I224" s="26">
        <f>IFERROR(__xludf.DUMMYFUNCTION("""COMPUTED_VALUE"""),0)</f>
        <v>0</v>
      </c>
      <c r="J224" s="26">
        <f>IFERROR(__xludf.DUMMYFUNCTION("""COMPUTED_VALUE"""),0)</f>
        <v>0</v>
      </c>
      <c r="K224" s="26" t="str">
        <f>IFERROR(__xludf.DUMMYFUNCTION("""COMPUTED_VALUE"""),"CGPA")</f>
        <v>CGPA</v>
      </c>
      <c r="L224" s="26" t="str">
        <f>IFERROR(__xludf.DUMMYFUNCTION("""COMPUTED_VALUE"""),"Theory (Int Only)")</f>
        <v>Theory (Int Only)</v>
      </c>
      <c r="M224" s="26"/>
      <c r="N224" s="26"/>
      <c r="O224" s="26"/>
      <c r="P224" s="26"/>
      <c r="Q224" s="26"/>
      <c r="R224" s="26"/>
    </row>
    <row r="225" ht="13.2" spans="1:18">
      <c r="A225" s="26">
        <f>IFERROR(__xludf.DUMMYFUNCTION("""COMPUTED_VALUE"""),223)</f>
        <v>223</v>
      </c>
      <c r="B225" s="26"/>
      <c r="C225" s="26" t="str">
        <f>IFERROR(__xludf.DUMMYFUNCTION("""COMPUTED_VALUE"""),"MC")</f>
        <v>MC</v>
      </c>
      <c r="D225" s="26" t="str">
        <f>IFERROR(__xludf.DUMMYFUNCTION("""COMPUTED_VALUE"""),"NA")</f>
        <v>NA</v>
      </c>
      <c r="E225" s="26" t="str">
        <f>IFERROR(__xludf.DUMMYFUNCTION("""COMPUTED_VALUE"""),"19MC803")</f>
        <v>19MC803</v>
      </c>
      <c r="F225" s="27" t="str">
        <f>IFERROR(__xludf.DUMMYFUNCTION("""COMPUTED_VALUE"""),"Constitution of India")</f>
        <v>Constitution of India</v>
      </c>
      <c r="G225" s="26" t="str">
        <f>IFERROR(__xludf.DUMMYFUNCTION("""COMPUTED_VALUE"""),"-")</f>
        <v>-</v>
      </c>
      <c r="H225" s="26">
        <f>IFERROR(__xludf.DUMMYFUNCTION("""COMPUTED_VALUE"""),0)</f>
        <v>0</v>
      </c>
      <c r="I225" s="26">
        <f>IFERROR(__xludf.DUMMYFUNCTION("""COMPUTED_VALUE"""),0)</f>
        <v>0</v>
      </c>
      <c r="J225" s="26">
        <f>IFERROR(__xludf.DUMMYFUNCTION("""COMPUTED_VALUE"""),0)</f>
        <v>0</v>
      </c>
      <c r="K225" s="26" t="str">
        <f>IFERROR(__xludf.DUMMYFUNCTION("""COMPUTED_VALUE"""),"CGPA")</f>
        <v>CGPA</v>
      </c>
      <c r="L225" s="26" t="str">
        <f>IFERROR(__xludf.DUMMYFUNCTION("""COMPUTED_VALUE"""),"Theory (Int Only)")</f>
        <v>Theory (Int Only)</v>
      </c>
      <c r="M225" s="26"/>
      <c r="N225" s="26"/>
      <c r="O225" s="26"/>
      <c r="P225" s="26"/>
      <c r="Q225" s="26"/>
      <c r="R225" s="26"/>
    </row>
    <row r="226" ht="13.2" spans="1:18">
      <c r="A226" s="26">
        <f>IFERROR(__xludf.DUMMYFUNCTION("""COMPUTED_VALUE"""),224)</f>
        <v>224</v>
      </c>
      <c r="B226" s="26"/>
      <c r="C226" s="26" t="str">
        <f>IFERROR(__xludf.DUMMYFUNCTION("""COMPUTED_VALUE"""),"MC")</f>
        <v>MC</v>
      </c>
      <c r="D226" s="26" t="str">
        <f>IFERROR(__xludf.DUMMYFUNCTION("""COMPUTED_VALUE"""),"NA")</f>
        <v>NA</v>
      </c>
      <c r="E226" s="26" t="str">
        <f>IFERROR(__xludf.DUMMYFUNCTION("""COMPUTED_VALUE"""),"19MC804")</f>
        <v>19MC804</v>
      </c>
      <c r="F226" s="26" t="str">
        <f>IFERROR(__xludf.DUMMYFUNCTION("""COMPUTED_VALUE"""),"Internship/Entrepreneurship/Consultancy")</f>
        <v>Internship/Entrepreneurship/Consultancy</v>
      </c>
      <c r="G226" s="26" t="str">
        <f>IFERROR(__xludf.DUMMYFUNCTION("""COMPUTED_VALUE"""),"-")</f>
        <v>-</v>
      </c>
      <c r="H226" s="26">
        <f>IFERROR(__xludf.DUMMYFUNCTION("""COMPUTED_VALUE"""),0)</f>
        <v>0</v>
      </c>
      <c r="I226" s="26">
        <f>IFERROR(__xludf.DUMMYFUNCTION("""COMPUTED_VALUE"""),0)</f>
        <v>0</v>
      </c>
      <c r="J226" s="26">
        <f>IFERROR(__xludf.DUMMYFUNCTION("""COMPUTED_VALUE"""),2)</f>
        <v>2</v>
      </c>
      <c r="K226" s="26" t="str">
        <f>IFERROR(__xludf.DUMMYFUNCTION("""COMPUTED_VALUE"""),"NON-CGPA")</f>
        <v>NON-CGPA</v>
      </c>
      <c r="L226" s="26" t="str">
        <f>IFERROR(__xludf.DUMMYFUNCTION("""COMPUTED_VALUE"""),"Experiential Learning (Int Only)")</f>
        <v>Experiential Learning (Int Only)</v>
      </c>
      <c r="M226" s="26"/>
      <c r="N226" s="26"/>
      <c r="O226" s="26"/>
      <c r="P226" s="26"/>
      <c r="Q226" s="26"/>
      <c r="R226" s="26"/>
    </row>
    <row r="227" ht="13.2" spans="1:18">
      <c r="A227" s="26">
        <f>IFERROR(__xludf.DUMMYFUNCTION("""COMPUTED_VALUE"""),225)</f>
        <v>225</v>
      </c>
      <c r="B227" s="26"/>
      <c r="C227" s="26" t="str">
        <f>IFERROR(__xludf.DUMMYFUNCTION("""COMPUTED_VALUE"""),"MC")</f>
        <v>MC</v>
      </c>
      <c r="D227" s="26" t="str">
        <f>IFERROR(__xludf.DUMMYFUNCTION("""COMPUTED_VALUE"""),"NA")</f>
        <v>NA</v>
      </c>
      <c r="E227" s="26" t="str">
        <f>IFERROR(__xludf.DUMMYFUNCTION("""COMPUTED_VALUE"""),"19MC805")</f>
        <v>19MC805</v>
      </c>
      <c r="F227" s="27" t="str">
        <f>IFERROR(__xludf.DUMMYFUNCTION("""COMPUTED_VALUE"""),"Inplant Training")</f>
        <v>Inplant Training</v>
      </c>
      <c r="G227" s="26" t="str">
        <f>IFERROR(__xludf.DUMMYFUNCTION("""COMPUTED_VALUE"""),"-")</f>
        <v>-</v>
      </c>
      <c r="H227" s="26">
        <f>IFERROR(__xludf.DUMMYFUNCTION("""COMPUTED_VALUE"""),0)</f>
        <v>0</v>
      </c>
      <c r="I227" s="26">
        <f>IFERROR(__xludf.DUMMYFUNCTION("""COMPUTED_VALUE"""),0)</f>
        <v>0</v>
      </c>
      <c r="J227" s="26">
        <f>IFERROR(__xludf.DUMMYFUNCTION("""COMPUTED_VALUE"""),1)</f>
        <v>1</v>
      </c>
      <c r="K227" s="26" t="str">
        <f>IFERROR(__xludf.DUMMYFUNCTION("""COMPUTED_VALUE"""),"Non - CGPA")</f>
        <v>Non - CGPA</v>
      </c>
      <c r="L227" s="26" t="str">
        <f>IFERROR(__xludf.DUMMYFUNCTION("""COMPUTED_VALUE"""),"Experiential Learning (Int Only)")</f>
        <v>Experiential Learning (Int Only)</v>
      </c>
      <c r="M227" s="26"/>
      <c r="N227" s="26"/>
      <c r="O227" s="26"/>
      <c r="P227" s="26"/>
      <c r="Q227" s="26"/>
      <c r="R227" s="26"/>
    </row>
    <row r="228" ht="13.2" spans="1:18">
      <c r="A228" s="26">
        <f>IFERROR(__xludf.DUMMYFUNCTION("""COMPUTED_VALUE"""),226)</f>
        <v>226</v>
      </c>
      <c r="B228" s="26" t="str">
        <f>IFERROR(__xludf.DUMMYFUNCTION("""COMPUTED_VALUE"""),"Any 1")</f>
        <v>Any 1</v>
      </c>
      <c r="C228" s="26" t="str">
        <f>IFERROR(__xludf.DUMMYFUNCTION("""COMPUTED_VALUE"""),"MC")</f>
        <v>MC</v>
      </c>
      <c r="D228" s="26" t="str">
        <f>IFERROR(__xludf.DUMMYFUNCTION("""COMPUTED_VALUE"""),"SH6803")</f>
        <v>SH6803</v>
      </c>
      <c r="E228" s="26" t="str">
        <f>IFERROR(__xludf.DUMMYFUNCTION("""COMPUTED_VALUE"""),"19MC807")</f>
        <v>19MC807</v>
      </c>
      <c r="F228" s="26" t="str">
        <f>IFERROR(__xludf.DUMMYFUNCTION("""COMPUTED_VALUE"""),"National Service Scheme")</f>
        <v>National Service Scheme</v>
      </c>
      <c r="G228" s="26" t="str">
        <f>IFERROR(__xludf.DUMMYFUNCTION("""COMPUTED_VALUE"""),"-")</f>
        <v>-</v>
      </c>
      <c r="H228" s="26">
        <f>IFERROR(__xludf.DUMMYFUNCTION("""COMPUTED_VALUE"""),0)</f>
        <v>0</v>
      </c>
      <c r="I228" s="26">
        <f>IFERROR(__xludf.DUMMYFUNCTION("""COMPUTED_VALUE"""),0)</f>
        <v>0</v>
      </c>
      <c r="J228" s="26">
        <f>IFERROR(__xludf.DUMMYFUNCTION("""COMPUTED_VALUE"""),0)</f>
        <v>0</v>
      </c>
      <c r="K228" s="26" t="str">
        <f>IFERROR(__xludf.DUMMYFUNCTION("""COMPUTED_VALUE"""),"NON-CGPA")</f>
        <v>NON-CGPA</v>
      </c>
      <c r="L228" s="26" t="str">
        <f>IFERROR(__xludf.DUMMYFUNCTION("""COMPUTED_VALUE"""),"Experiential Learning (Int Only)")</f>
        <v>Experiential Learning (Int Only)</v>
      </c>
      <c r="M228" s="26"/>
      <c r="N228" s="26"/>
      <c r="O228" s="26"/>
      <c r="P228" s="26"/>
      <c r="Q228" s="26"/>
      <c r="R228" s="26"/>
    </row>
    <row r="229" ht="13.2" spans="1:18">
      <c r="A229" s="26">
        <f>IFERROR(__xludf.DUMMYFUNCTION("""COMPUTED_VALUE"""),227)</f>
        <v>227</v>
      </c>
      <c r="B229" s="26" t="str">
        <f>IFERROR(__xludf.DUMMYFUNCTION("""COMPUTED_VALUE"""),"Any 1")</f>
        <v>Any 1</v>
      </c>
      <c r="C229" s="26" t="str">
        <f>IFERROR(__xludf.DUMMYFUNCTION("""COMPUTED_VALUE"""),"MC")</f>
        <v>MC</v>
      </c>
      <c r="D229" s="26" t="str">
        <f>IFERROR(__xludf.DUMMYFUNCTION("""COMPUTED_VALUE"""),"SH8807")</f>
        <v>SH8807</v>
      </c>
      <c r="E229" s="26" t="str">
        <f>IFERROR(__xludf.DUMMYFUNCTION("""COMPUTED_VALUE"""),"19MC808")</f>
        <v>19MC808</v>
      </c>
      <c r="F229" s="26" t="str">
        <f>IFERROR(__xludf.DUMMYFUNCTION("""COMPUTED_VALUE"""),"National Sports Organization ")</f>
        <v>National Sports Organization </v>
      </c>
      <c r="G229" s="26" t="str">
        <f>IFERROR(__xludf.DUMMYFUNCTION("""COMPUTED_VALUE"""),"-")</f>
        <v>-</v>
      </c>
      <c r="H229" s="26">
        <f>IFERROR(__xludf.DUMMYFUNCTION("""COMPUTED_VALUE"""),0)</f>
        <v>0</v>
      </c>
      <c r="I229" s="26">
        <f>IFERROR(__xludf.DUMMYFUNCTION("""COMPUTED_VALUE"""),0)</f>
        <v>0</v>
      </c>
      <c r="J229" s="26">
        <f>IFERROR(__xludf.DUMMYFUNCTION("""COMPUTED_VALUE"""),0)</f>
        <v>0</v>
      </c>
      <c r="K229" s="26" t="str">
        <f>IFERROR(__xludf.DUMMYFUNCTION("""COMPUTED_VALUE"""),"NON-CGPA")</f>
        <v>NON-CGPA</v>
      </c>
      <c r="L229" s="26" t="str">
        <f>IFERROR(__xludf.DUMMYFUNCTION("""COMPUTED_VALUE"""),"Experiential Learning (Int Only)")</f>
        <v>Experiential Learning (Int Only)</v>
      </c>
      <c r="M229" s="26"/>
      <c r="N229" s="26"/>
      <c r="O229" s="26"/>
      <c r="P229" s="26"/>
      <c r="Q229" s="26"/>
      <c r="R229" s="26"/>
    </row>
    <row r="230" ht="13.2" spans="1:18">
      <c r="A230" s="26">
        <f>IFERROR(__xludf.DUMMYFUNCTION("""COMPUTED_VALUE"""),228)</f>
        <v>228</v>
      </c>
      <c r="B230" s="26" t="str">
        <f>IFERROR(__xludf.DUMMYFUNCTION("""COMPUTED_VALUE"""),"Any 1")</f>
        <v>Any 1</v>
      </c>
      <c r="C230" s="26" t="str">
        <f>IFERROR(__xludf.DUMMYFUNCTION("""COMPUTED_VALUE"""),"MC")</f>
        <v>MC</v>
      </c>
      <c r="D230" s="26" t="str">
        <f>IFERROR(__xludf.DUMMYFUNCTION("""COMPUTED_VALUE"""),"SH8808")</f>
        <v>SH8808</v>
      </c>
      <c r="E230" s="26" t="str">
        <f>IFERROR(__xludf.DUMMYFUNCTION("""COMPUTED_VALUE"""),"19MC809")</f>
        <v>19MC809</v>
      </c>
      <c r="F230" s="26" t="str">
        <f>IFERROR(__xludf.DUMMYFUNCTION("""COMPUTED_VALUE"""),"Youth Red Cross")</f>
        <v>Youth Red Cross</v>
      </c>
      <c r="G230" s="26" t="str">
        <f>IFERROR(__xludf.DUMMYFUNCTION("""COMPUTED_VALUE"""),"-")</f>
        <v>-</v>
      </c>
      <c r="H230" s="26">
        <f>IFERROR(__xludf.DUMMYFUNCTION("""COMPUTED_VALUE"""),0)</f>
        <v>0</v>
      </c>
      <c r="I230" s="26">
        <f>IFERROR(__xludf.DUMMYFUNCTION("""COMPUTED_VALUE"""),0)</f>
        <v>0</v>
      </c>
      <c r="J230" s="26">
        <f>IFERROR(__xludf.DUMMYFUNCTION("""COMPUTED_VALUE"""),0)</f>
        <v>0</v>
      </c>
      <c r="K230" s="26" t="str">
        <f>IFERROR(__xludf.DUMMYFUNCTION("""COMPUTED_VALUE"""),"NON-CGPA")</f>
        <v>NON-CGPA</v>
      </c>
      <c r="L230" s="26" t="str">
        <f>IFERROR(__xludf.DUMMYFUNCTION("""COMPUTED_VALUE"""),"Experiential Learning (Int Only)")</f>
        <v>Experiential Learning (Int Only)</v>
      </c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  <row r="832" ht="13.2" spans="1:18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</row>
    <row r="833" ht="13.2" spans="1:18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</row>
    <row r="834" ht="13.2" spans="1:18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</row>
    <row r="835" ht="13.2" spans="1:18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</row>
    <row r="836" ht="13.2" spans="1:18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</row>
    <row r="837" ht="13.2" spans="1:18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</row>
    <row r="838" ht="13.2" spans="1:1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</row>
    <row r="839" ht="13.2" spans="1:18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</row>
    <row r="840" ht="13.2" spans="1:18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</row>
    <row r="841" ht="13.2" spans="1:18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</row>
    <row r="842" ht="13.2" spans="1:18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</row>
    <row r="843" ht="13.2" spans="1:18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</row>
    <row r="844" ht="13.2" spans="1:18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</row>
    <row r="845" ht="13.2" spans="1:18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</row>
    <row r="846" ht="13.2" spans="1:18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</row>
    <row r="847" ht="13.2" spans="1:18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</row>
    <row r="848" ht="13.2" spans="1:1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</row>
    <row r="849" ht="13.2" spans="1:18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</row>
    <row r="850" ht="13.2" spans="1:18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</row>
    <row r="851" ht="13.2" spans="1:18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</row>
    <row r="852" ht="13.2" spans="1:18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</row>
    <row r="853" ht="13.2" spans="1:18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</row>
    <row r="854" ht="13.2" spans="1:18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</row>
    <row r="855" ht="13.2" spans="1:18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</row>
    <row r="856" ht="13.2" spans="1:18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ht="13.2" spans="1:18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ht="13.2" spans="1:1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ht="13.2" spans="1:18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ht="13.2" spans="1:18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ht="13.2" spans="1:18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ht="13.2" spans="1:18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</row>
    <row r="863" ht="13.2" spans="1:18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</row>
    <row r="864" ht="13.2" spans="1:18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</row>
    <row r="865" ht="13.2" spans="1:18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</row>
    <row r="866" ht="13.2" spans="1:18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</row>
    <row r="867" ht="13.2" spans="1:18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</row>
    <row r="868" ht="13.2" spans="1:1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</row>
    <row r="869" ht="13.2" spans="1:18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ht="13.2" spans="1:18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</row>
    <row r="871" ht="13.2" spans="1:18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</row>
    <row r="872" ht="13.2" spans="1:18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</row>
    <row r="873" ht="13.2" spans="1:18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</row>
    <row r="874" ht="13.2" spans="1:18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</row>
    <row r="875" ht="13.2" spans="1:18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</row>
    <row r="876" ht="13.2" spans="1:18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</row>
    <row r="877" ht="13.2" spans="1:18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</row>
    <row r="878" ht="13.2" spans="1:1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ht="13.2" spans="1:18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</row>
    <row r="880" ht="13.2" spans="1:18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</row>
    <row r="881" ht="13.2" spans="1:18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</row>
    <row r="882" ht="13.2" spans="1:18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</row>
    <row r="883" ht="13.2" spans="1:18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</row>
    <row r="884" ht="13.2" spans="1:18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</row>
    <row r="885" ht="13.2" spans="1:18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</row>
    <row r="886" ht="13.2" spans="1:18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</row>
    <row r="887" ht="13.2" spans="1:18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</row>
    <row r="888" ht="13.2" spans="1:1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</row>
    <row r="889" ht="13.2" spans="1:18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</row>
    <row r="890" ht="13.2" spans="1:18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</row>
    <row r="891" ht="13.2" spans="1:18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</row>
    <row r="892" ht="13.2" spans="1:18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</row>
    <row r="893" ht="13.2" spans="1:18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</row>
    <row r="894" ht="13.2" spans="1:18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</row>
    <row r="895" ht="13.2" spans="1:18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</row>
    <row r="896" ht="13.2" spans="1:18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ht="13.2" spans="1:18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</row>
    <row r="898" ht="13.2" spans="1:1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</row>
    <row r="899" ht="13.2" spans="1:18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</row>
    <row r="900" ht="13.2" spans="1:18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</row>
    <row r="901" ht="13.2" spans="1:18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</row>
    <row r="902" ht="13.2" spans="1:18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</row>
    <row r="903" ht="13.2" spans="1:18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</row>
    <row r="904" ht="13.2" spans="1:18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</row>
    <row r="905" ht="13.2" spans="1:18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</row>
    <row r="906" ht="13.2" spans="1:18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</row>
    <row r="907" ht="13.2" spans="1:18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</row>
    <row r="908" ht="13.2" spans="1:1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</row>
    <row r="909" ht="13.2" spans="1:18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</row>
    <row r="910" ht="13.2" spans="1:18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</row>
    <row r="911" ht="13.2" spans="1:18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</row>
    <row r="912" ht="13.2" spans="1:18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</row>
    <row r="913" ht="13.2" spans="1:18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</row>
    <row r="914" ht="13.2" spans="1:18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</row>
    <row r="915" ht="13.2" spans="1:18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</row>
    <row r="916" ht="13.2" spans="1:18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</row>
    <row r="917" ht="13.2" spans="1:18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</row>
    <row r="918" ht="13.2" spans="1:18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</row>
    <row r="919" ht="13.2" spans="1:18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</row>
    <row r="920" ht="13.2" spans="1:18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</row>
    <row r="921" ht="13.2" spans="1:18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</row>
    <row r="922" ht="13.2" spans="1:18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</row>
    <row r="923" ht="13.2" spans="1:18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</row>
    <row r="924" ht="13.2" spans="1:18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</row>
    <row r="925" ht="13.2" spans="1:18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</row>
    <row r="926" ht="13.2" spans="1:18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</row>
    <row r="927" ht="13.2" spans="1:18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</row>
    <row r="928" ht="13.2" spans="1:18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</row>
    <row r="929" ht="13.2" spans="1:18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</row>
    <row r="930" ht="13.2" spans="1:18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</row>
    <row r="931" ht="13.2" spans="1:18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</row>
    <row r="932" ht="13.2" spans="1:18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</row>
    <row r="933" ht="13.2" spans="1:18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</row>
    <row r="934" ht="13.2" spans="1:18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</row>
    <row r="935" ht="13.2" spans="1:18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</row>
    <row r="936" ht="13.2" spans="1:18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</row>
    <row r="937" ht="13.2" spans="1:18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</row>
    <row r="938" ht="13.2" spans="1:18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</row>
    <row r="939" ht="13.2" spans="1:18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</row>
    <row r="940" ht="13.2" spans="1:18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</row>
    <row r="941" ht="13.2" spans="1:18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</row>
    <row r="942" ht="13.2" spans="1:18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</row>
    <row r="943" ht="13.2" spans="1:18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</row>
    <row r="944" ht="13.2" spans="1:18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</row>
    <row r="945" ht="13.2" spans="1:18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</row>
    <row r="946" ht="13.2" spans="1:18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</row>
    <row r="947" ht="13.2" spans="1:18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</row>
    <row r="948" ht="13.2" spans="1:18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</row>
    <row r="949" ht="13.2" spans="1:18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</row>
    <row r="950" ht="13.2" spans="1:18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</row>
    <row r="951" ht="13.2" spans="1:18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</row>
    <row r="952" ht="13.2" spans="1:18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</row>
    <row r="953" ht="13.2" spans="1:18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</row>
    <row r="954" ht="13.2" spans="1:18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</row>
    <row r="955" ht="13.2" spans="1:18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</row>
    <row r="956" ht="13.2" spans="1:18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</row>
    <row r="957" ht="13.2" spans="1:18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</row>
    <row r="958" ht="13.2" spans="1:18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</row>
    <row r="959" ht="13.2" spans="1:18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</row>
    <row r="960" ht="13.2" spans="1:18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</row>
    <row r="961" ht="13.2" spans="1:18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</row>
    <row r="962" ht="13.2" spans="1:18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</row>
    <row r="963" ht="13.2" spans="1:18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</row>
    <row r="964" ht="13.2" spans="1:18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</row>
    <row r="965" ht="13.2" spans="1:18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</row>
    <row r="966" ht="13.2" spans="1:18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</row>
    <row r="967" ht="13.2" spans="1:18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</row>
    <row r="968" ht="13.2" spans="1:18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</row>
    <row r="969" ht="13.2" spans="1:18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</row>
    <row r="970" ht="13.2" spans="1:18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</row>
    <row r="971" ht="13.2" spans="1:18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</row>
    <row r="972" ht="13.2" spans="1:18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</row>
    <row r="973" ht="13.2" spans="1:18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</row>
    <row r="974" ht="13.2" spans="1:18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</row>
    <row r="975" ht="13.2" spans="1:18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Probability and Queueing Models&quot;)"/>
    <hyperlink ref="F12" r:id="rId11" display="=IFERROR(@__xludf.DUMMYFUNCTION(&quot;&quot;&quot;COMPUTED_VALUE&quot;&quot;&quot;),&quot;Transforms and Its Applications&quot;)"/>
    <hyperlink ref="F13" r:id="rId12" display="=IFERROR(@__xludf.DUMMYFUNCTION(&quot;&quot;&quot;COMPUTED_VALUE&quot;&quot;&quot;),&quot;Mathematics for Artificial Intelligence&quot;)"/>
    <hyperlink ref="F14" r:id="rId13" display="=IFERROR(@__xludf.DUMMYFUNCTION(&quot;&quot;&quot;COMPUTED_VALUE&quot;&quot;&quot;),&quot;Linear Algebra Laboratory&quot;)"/>
    <hyperlink ref="F15" r:id="rId14" display="=IFERROR(@__xludf.DUMMYFUNCTION(&quot;&quot;&quot;COMPUTED_VALUE&quot;&quot;&quot;),&quot;Statistics and Numerical Methods&quot;)"/>
    <hyperlink ref="F16" r:id="rId15" display="=IFERROR(@__xludf.DUMMYFUNCTION(&quot;&quot;&quot;COMPUTED_VALUE&quot;&quot;&quot;),&quot;Physics for Quantum Computing&quot;)"/>
    <hyperlink ref="F17" r:id="rId16" display="=IFERROR(@__xludf.DUMMYFUNCTION(&quot;&quot;&quot;COMPUTED_VALUE&quot;&quot;&quot;),&quot;Principles of Chemistry in Engineering&quot;)"/>
    <hyperlink ref="F18" r:id="rId17" display="=IFERROR(@__xludf.DUMMYFUNCTION(&quot;&quot;&quot;COMPUTED_VALUE&quot;&quot;&quot;),&quot;Python Programming&quot;)"/>
    <hyperlink ref="F19" r:id="rId18" display="=IFERROR(@__xludf.DUMMYFUNCTION(&quot;&quot;&quot;COMPUTED_VALUE&quot;&quot;&quot;),&quot;Engineering Design and Modelling&quot;)"/>
    <hyperlink ref="F20" r:id="rId19" display="=IFERROR(@__xludf.DUMMYFUNCTION(&quot;&quot;&quot;COMPUTED_VALUE&quot;&quot;&quot;),&quot;Engineering Mechanics and Product Development&quot;)"/>
    <hyperlink ref="F21" r:id="rId20" display="=IFERROR(@__xludf.DUMMYFUNCTION(&quot;&quot;&quot;COMPUTED_VALUE&quot;&quot;&quot;),&quot;Object Oriented Programming using C++&quot;)"/>
    <hyperlink ref="F22" r:id="rId21" display="=IFERROR(@__xludf.DUMMYFUNCTION(&quot;&quot;&quot;COMPUTED_VALUE&quot;&quot;&quot;),&quot;Object Oriented Programming using Java&quot;)"/>
    <hyperlink ref="F23" r:id="rId22" display="=IFERROR(@__xludf.DUMMYFUNCTION(&quot;&quot;&quot;COMPUTED_VALUE&quot;&quot;&quot;),&quot;Object Oriented Programming using C#&quot;)"/>
    <hyperlink ref="F24" r:id="rId23" display="=IFERROR(@__xludf.DUMMYFUNCTION(&quot;&quot;&quot;COMPUTED_VALUE&quot;&quot;&quot;),&quot;Digital Electronics&quot;)"/>
    <hyperlink ref="F25" r:id="rId24" display="=IFERROR(@__xludf.DUMMYFUNCTION(&quot;&quot;&quot;COMPUTED_VALUE&quot;&quot;&quot;),&quot;Basic Electrical, Electronics and Measurement Engineering&quot;)"/>
    <hyperlink ref="F26" r:id="rId25" display="=IFERROR(@__xludf.DUMMYFUNCTION(&quot;&quot;&quot;COMPUTED_VALUE&quot;&quot;&quot;),&quot;Programming Microcontrollers&quot;)"/>
    <hyperlink ref="F27" r:id="rId26" display="=IFERROR(@__xludf.DUMMYFUNCTION(&quot;&quot;&quot;COMPUTED_VALUE&quot;&quot;&quot;),&quot;Fundamentals of C Programming&quot;)"/>
    <hyperlink ref="F28" r:id="rId27" display="=IFERROR(@__xludf.DUMMYFUNCTION(&quot;&quot;&quot;COMPUTED_VALUE&quot;&quot;&quot;),&quot;Advanced C Programming&quot;)"/>
    <hyperlink ref="F29" r:id="rId28" display="=IFERROR(@__xludf.DUMMYFUNCTION(&quot;&quot;&quot;COMPUTED_VALUE&quot;&quot;&quot;),&quot;Fundamentals of Web Technology&quot;)"/>
    <hyperlink ref="F30" r:id="rId29" display="=IFERROR(@__xludf.DUMMYFUNCTION(&quot;&quot;&quot;COMPUTED_VALUE&quot;&quot;&quot;),&quot;Web Technology Laboratory&quot;)"/>
    <hyperlink ref="F31" r:id="rId30" display="=IFERROR(@__xludf.DUMMYFUNCTION(&quot;&quot;&quot;COMPUTED_VALUE&quot;&quot;&quot;),&quot;Fundamentals of Web Application Development&quot;)"/>
    <hyperlink ref="F32" r:id="rId31" display="=IFERROR(@__xludf.DUMMYFUNCTION(&quot;&quot;&quot;COMPUTED_VALUE&quot;&quot;&quot;),&quot;Introduction to Data Science&quot;)"/>
    <hyperlink ref="F33" r:id="rId32" display="=IFERROR(@__xludf.DUMMYFUNCTION(&quot;&quot;&quot;COMPUTED_VALUE&quot;&quot;&quot;),&quot;Operating System&quot;)"/>
    <hyperlink ref="F34" r:id="rId33" display="=IFERROR(@__xludf.DUMMYFUNCTION(&quot;&quot;&quot;COMPUTED_VALUE&quot;&quot;&quot;),&quot;Computer Networks&quot;)"/>
    <hyperlink ref="F36" r:id="rId34" display="=IFERROR(@__xludf.DUMMYFUNCTION(&quot;&quot;&quot;COMPUTED_VALUE&quot;&quot;&quot;),&quot;Data Structures&quot;)"/>
    <hyperlink ref="F37" r:id="rId35" display="=IFERROR(@__xludf.DUMMYFUNCTION(&quot;&quot;&quot;COMPUTED_VALUE&quot;&quot;&quot;),&quot;Analysis of Algorithms&quot;)"/>
    <hyperlink ref="F38" r:id="rId36" display="=IFERROR(@__xludf.DUMMYFUNCTION(&quot;&quot;&quot;COMPUTED_VALUE&quot;&quot;&quot;),&quot;Fundamentals of Artificial Intelligence&quot;)"/>
    <hyperlink ref="F39" r:id="rId37" display="=IFERROR(@__xludf.DUMMYFUNCTION(&quot;&quot;&quot;COMPUTED_VALUE&quot;&quot;&quot;),&quot;Artificial Intelligence for Games&quot;)"/>
    <hyperlink ref="F40" r:id="rId38" display="=IFERROR(@__xludf.DUMMYFUNCTION(&quot;&quot;&quot;COMPUTED_VALUE&quot;&quot;&quot;),&quot;Digital Image Processing Techniques&quot;)"/>
    <hyperlink ref="F41" r:id="rId39" display="=IFERROR(@__xludf.DUMMYFUNCTION(&quot;&quot;&quot;COMPUTED_VALUE&quot;&quot;&quot;),&quot;Applied Artificial Intelligence&quot;)"/>
    <hyperlink ref="F42" r:id="rId40" display="=IFERROR(@__xludf.DUMMYFUNCTION(&quot;&quot;&quot;COMPUTED_VALUE&quot;&quot;&quot;),&quot;Introduction to Machine Learning&quot;)"/>
    <hyperlink ref="F44" r:id="rId41" display="=IFERROR(@__xludf.DUMMYFUNCTION(&quot;&quot;&quot;COMPUTED_VALUE&quot;&quot;&quot;),&quot;Neural Networks&quot;)"/>
    <hyperlink ref="F46" r:id="rId42" display="=IFERROR(@__xludf.DUMMYFUNCTION(&quot;&quot;&quot;COMPUTED_VALUE&quot;&quot;&quot;),&quot;Deep Learning and its Applications&quot;)"/>
    <hyperlink ref="F48" r:id="rId43" display="=IFERROR(@__xludf.DUMMYFUNCTION(&quot;&quot;&quot;COMPUTED_VALUE&quot;&quot;&quot;),&quot;Applied Natural Language Processing&quot;)"/>
    <hyperlink ref="F49" r:id="rId44" display="=IFERROR(@__xludf.DUMMYFUNCTION(&quot;&quot;&quot;COMPUTED_VALUE&quot;&quot;&quot;),&quot;Computer Vision&quot;)"/>
    <hyperlink ref="F50" r:id="rId45" display="=IFERROR(@__xludf.DUMMYFUNCTION(&quot;&quot;&quot;COMPUTED_VALUE&quot;&quot;&quot;),&quot;Mobile Robotics&quot;)"/>
    <hyperlink ref="F52" r:id="rId46" display="=IFERROR(@__xludf.DUMMYFUNCTION(&quot;&quot;&quot;COMPUTED_VALUE&quot;&quot;&quot;),&quot;Special Topics in Artificial Intelligence&quot;)"/>
    <hyperlink ref="F54" r:id="rId47" display="=IFERROR(@__xludf.DUMMYFUNCTION(&quot;&quot;&quot;COMPUTED_VALUE&quot;&quot;&quot;),&quot;Concepts of Virtual And Augmented Reality&quot;)"/>
    <hyperlink ref="F55" r:id="rId48" display="=IFERROR(@__xludf.DUMMYFUNCTION(&quot;&quot;&quot;COMPUTED_VALUE&quot;&quot;&quot;),&quot;Mobile VR And AI In Unity&quot;)"/>
    <hyperlink ref="F56" r:id="rId49" display="=IFERROR(@__xludf.DUMMYFUNCTION(&quot;&quot;&quot;COMPUTED_VALUE&quot;&quot;&quot;),&quot;Scientific and Engineering Data Visualization&quot;)"/>
    <hyperlink ref="F57" r:id="rId50" display="=IFERROR(@__xludf.DUMMYFUNCTION(&quot;&quot;&quot;COMPUTED_VALUE&quot;&quot;&quot;),&quot;NoSQL Database Design&quot;)"/>
    <hyperlink ref="F58" r:id="rId51" display="=IFERROR(@__xludf.DUMMYFUNCTION(&quot;&quot;&quot;COMPUTED_VALUE&quot;&quot;&quot;),&quot;Game Programming&quot;)"/>
    <hyperlink ref="F59" r:id="rId52" display="=IFERROR(@__xludf.DUMMYFUNCTION(&quot;&quot;&quot;COMPUTED_VALUE&quot;&quot;&quot;),&quot;Self Driving Car&quot;)"/>
    <hyperlink ref="F60" r:id="rId53" display="=IFERROR(@__xludf.DUMMYFUNCTION(&quot;&quot;&quot;COMPUTED_VALUE&quot;&quot;&quot;),&quot;Smart Manufacturing Technology&quot;)"/>
    <hyperlink ref="F61" r:id="rId54" display="=IFERROR(@__xludf.DUMMYFUNCTION(&quot;&quot;&quot;COMPUTED_VALUE&quot;&quot;&quot;),&quot;Information Retrieval&quot;)"/>
    <hyperlink ref="F62" r:id="rId55" display="=IFERROR(@__xludf.DUMMYFUNCTION(&quot;&quot;&quot;COMPUTED_VALUE&quot;&quot;&quot;),&quot;Big Data Mining and Analysis&quot;)"/>
    <hyperlink ref="F63" r:id="rId56" display="=IFERROR(@__xludf.DUMMYFUNCTION(&quot;&quot;&quot;COMPUTED_VALUE&quot;&quot;&quot;),&quot;Business Analytics&quot;)"/>
    <hyperlink ref="F64" r:id="rId57" display="=IFERROR(@__xludf.DUMMYFUNCTION(&quot;&quot;&quot;COMPUTED_VALUE&quot;&quot;&quot;),&quot;Cognitive Systems&quot;)"/>
    <hyperlink ref="F65" r:id="rId58" display="=IFERROR(@__xludf.DUMMYFUNCTION(&quot;&quot;&quot;COMPUTED_VALUE&quot;&quot;&quot;),&quot;Distributed Database&quot;)"/>
    <hyperlink ref="F66" r:id="rId59" display="=IFERROR(@__xludf.DUMMYFUNCTION(&quot;&quot;&quot;COMPUTED_VALUE&quot;&quot;&quot;),&quot;Data Mining and Warehousing&quot;)"/>
    <hyperlink ref="F67" r:id="rId60" display="=IFERROR(@__xludf.DUMMYFUNCTION(&quot;&quot;&quot;COMPUTED_VALUE&quot;&quot;&quot;),&quot;Expert Systems&quot;)"/>
    <hyperlink ref="F68" r:id="rId61" display="=IFERROR(@__xludf.DUMMYFUNCTION(&quot;&quot;&quot;COMPUTED_VALUE&quot;&quot;&quot;),&quot;Knowledge Engineering&quot;)"/>
    <hyperlink ref="F69" r:id="rId62" display="=IFERROR(@__xludf.DUMMYFUNCTION(&quot;&quot;&quot;COMPUTED_VALUE&quot;&quot;&quot;),&quot;Mobile Database&quot;)"/>
    <hyperlink ref="F70" r:id="rId63" display="=IFERROR(@__xludf.DUMMYFUNCTION(&quot;&quot;&quot;COMPUTED_VALUE&quot;&quot;&quot;),&quot;Multimedia Database&quot;)"/>
    <hyperlink ref="F71" r:id="rId64" display="=IFERROR(@__xludf.DUMMYFUNCTION(&quot;&quot;&quot;COMPUTED_VALUE&quot;&quot;&quot;),&quot;Video Processing&quot;)"/>
    <hyperlink ref="F73" r:id="rId65" display="=IFERROR(@__xludf.DUMMYFUNCTION(&quot;&quot;&quot;COMPUTED_VALUE&quot;&quot;&quot;),&quot;Genetic Algorithms&quot;)"/>
    <hyperlink ref="F75" r:id="rId66" display="=IFERROR(@__xludf.DUMMYFUNCTION(&quot;&quot;&quot;COMPUTED_VALUE&quot;&quot;&quot;),&quot;Brain Computer Interaction&quot;)"/>
    <hyperlink ref="F76" r:id="rId67" display="=IFERROR(@__xludf.DUMMYFUNCTION(&quot;&quot;&quot;COMPUTED_VALUE&quot;&quot;&quot;),&quot;Information Security and Access Control&quot;)"/>
    <hyperlink ref="F77" r:id="rId68" display="=IFERROR(@__xludf.DUMMYFUNCTION(&quot;&quot;&quot;COMPUTED_VALUE&quot;&quot;&quot;),&quot;Security Assessment and Risk Analysis&quot;)"/>
    <hyperlink ref="F78" r:id="rId69" display="=IFERROR(@__xludf.DUMMYFUNCTION(&quot;&quot;&quot;COMPUTED_VALUE&quot;&quot;&quot;),&quot;Theory of Computation&quot;)"/>
    <hyperlink ref="F79" r:id="rId70" display="=IFERROR(@__xludf.DUMMYFUNCTION(&quot;&quot;&quot;COMPUTED_VALUE&quot;&quot;&quot;),&quot;Software Engineering&quot;)"/>
    <hyperlink ref="F80" r:id="rId71" display="=IFERROR(@__xludf.DUMMYFUNCTION(&quot;&quot;&quot;COMPUTED_VALUE&quot;&quot;&quot;),&quot;Compiler Design&quot;)"/>
    <hyperlink ref="F81" r:id="rId72" display="=IFERROR(@__xludf.DUMMYFUNCTION(&quot;&quot;&quot;COMPUTED_VALUE&quot;&quot;&quot;),&quot;Advanced Graph Theory and Applications&quot;)"/>
    <hyperlink ref="F82" r:id="rId73" display="=IFERROR(@__xludf.DUMMYFUNCTION(&quot;&quot;&quot;COMPUTED_VALUE&quot;&quot;&quot;),&quot;Advanced Data Structures&quot;)"/>
    <hyperlink ref="F83" r:id="rId74" display="=IFERROR(@__xludf.DUMMYFUNCTION(&quot;&quot;&quot;COMPUTED_VALUE&quot;&quot;&quot;),&quot;Control of Robotic Systems&quot;)"/>
    <hyperlink ref="F84" r:id="rId75" display="=IFERROR(@__xludf.DUMMYFUNCTION(&quot;&quot;&quot;COMPUTED_VALUE&quot;&quot;&quot;),&quot;Cryptography and Security&quot;)"/>
    <hyperlink ref="F85" r:id="rId76" display="=IFERROR(@__xludf.DUMMYFUNCTION(&quot;&quot;&quot;COMPUTED_VALUE&quot;&quot;&quot;),&quot;Information Theory for Cyber Security&quot;)"/>
    <hyperlink ref="F86" r:id="rId77" display="=IFERROR(@__xludf.DUMMYFUNCTION(&quot;&quot;&quot;COMPUTED_VALUE&quot;&quot;&quot;),&quot;Introduction to Robotics&quot;)"/>
    <hyperlink ref="F87" r:id="rId78" display="=IFERROR(@__xludf.DUMMYFUNCTION(&quot;&quot;&quot;COMPUTED_VALUE&quot;&quot;&quot;),&quot;Kinematics and Dynamics of Robots&quot;)"/>
    <hyperlink ref="F88" r:id="rId79" display="=IFERROR(@__xludf.DUMMYFUNCTION(&quot;&quot;&quot;COMPUTED_VALUE&quot;&quot;&quot;),&quot;Robotic Sensors&quot;)"/>
    <hyperlink ref="F89" r:id="rId80" display="=IFERROR(@__xludf.DUMMYFUNCTION(&quot;&quot;&quot;COMPUTED_VALUE&quot;&quot;&quot;),&quot;Steganography and Digital Watermarking&quot;)"/>
    <hyperlink ref="F90" r:id="rId81" display="=IFERROR(@__xludf.DUMMYFUNCTION(&quot;&quot;&quot;COMPUTED_VALUE&quot;&quot;&quot;),&quot;Computer Graphics for Virtual Reality&quot;)"/>
    <hyperlink ref="F91" r:id="rId82" display="=IFERROR(@__xludf.DUMMYFUNCTION(&quot;&quot;&quot;COMPUTED_VALUE&quot;&quot;&quot;),&quot;Mathematical Modelling and Computer Aided Engineering&quot;)"/>
    <hyperlink ref="F92" r:id="rId83" display="=IFERROR(@__xludf.DUMMYFUNCTION(&quot;&quot;&quot;COMPUTED_VALUE&quot;&quot;&quot;),&quot;Mobile User Interface Development&quot;)"/>
    <hyperlink ref="F93" r:id="rId84" display="=IFERROR(@__xludf.DUMMYFUNCTION(&quot;&quot;&quot;COMPUTED_VALUE&quot;&quot;&quot;),&quot;Programming Mobile Devices&quot;)"/>
    <hyperlink ref="F94" r:id="rId85" display="=IFERROR(@__xludf.DUMMYFUNCTION(&quot;&quot;&quot;COMPUTED_VALUE&quot;&quot;&quot;),&quot;Cloud Computing&quot;)"/>
    <hyperlink ref="F95" r:id="rId86" display="=IFERROR(@__xludf.DUMMYFUNCTION(&quot;&quot;&quot;COMPUTED_VALUE&quot;&quot;&quot;),&quot;Agile Software Development&quot;)"/>
    <hyperlink ref="F96" r:id="rId87" display="=IFERROR(@__xludf.DUMMYFUNCTION(&quot;&quot;&quot;COMPUTED_VALUE&quot;&quot;&quot;),&quot;Software Testing&quot;)"/>
    <hyperlink ref="F97" r:id="rId88" display="=IFERROR(@__xludf.DUMMYFUNCTION(&quot;&quot;&quot;COMPUTED_VALUE&quot;&quot;&quot;),&quot;Virtualization and Containerization&quot;)"/>
    <hyperlink ref="F98" r:id="rId89" display="=IFERROR(@__xludf.DUMMYFUNCTION(&quot;&quot;&quot;COMPUTED_VALUE&quot;&quot;&quot;),&quot;Modern Web Application Development&quot;)"/>
    <hyperlink ref="F99" r:id="rId90" display="=IFERROR(@__xludf.DUMMYFUNCTION(&quot;&quot;&quot;COMPUTED_VALUE&quot;&quot;&quot;),&quot;Web Server Programming&quot;)"/>
    <hyperlink ref="F100" r:id="rId91" display="=IFERROR(@__xludf.DUMMYFUNCTION(&quot;&quot;&quot;COMPUTED_VALUE&quot;&quot;&quot;),&quot;Blockchain for Business&quot;)"/>
    <hyperlink ref="F101" r:id="rId92" display="=IFERROR(@__xludf.DUMMYFUNCTION(&quot;&quot;&quot;COMPUTED_VALUE&quot;&quot;&quot;),&quot;Parallel Computing Architecture&quot;)"/>
    <hyperlink ref="F102" r:id="rId93" display="=IFERROR(@__xludf.DUMMYFUNCTION(&quot;&quot;&quot;COMPUTED_VALUE&quot;&quot;&quot;),&quot;Motion Planning Techniques&quot;)"/>
    <hyperlink ref="F103" r:id="rId94" display="=IFERROR(@__xludf.DUMMYFUNCTION(&quot;&quot;&quot;COMPUTED_VALUE&quot;&quot;&quot;),&quot;Statistical Learning Theory&quot;)"/>
    <hyperlink ref="F104" r:id="rId95" display="=IFERROR(@__xludf.DUMMYFUNCTION(&quot;&quot;&quot;COMPUTED_VALUE&quot;&quot;&quot;),&quot;Sensors and Actuators for IoT&quot;)"/>
    <hyperlink ref="F105" r:id="rId96" display="=IFERROR(@__xludf.DUMMYFUNCTION(&quot;&quot;&quot;COMPUTED_VALUE&quot;&quot;&quot;),&quot;Security and Trust in IoT&quot;)"/>
    <hyperlink ref="F106" r:id="rId97" display="=IFERROR(@__xludf.DUMMYFUNCTION(&quot;&quot;&quot;COMPUTED_VALUE&quot;&quot;&quot;),&quot;Introduction to IoT&quot;)"/>
    <hyperlink ref="F107" r:id="rId98" display="=IFERROR(@__xludf.DUMMYFUNCTION(&quot;&quot;&quot;COMPUTED_VALUE&quot;&quot;&quot;),&quot;Industrial Internet of Things&quot;)"/>
    <hyperlink ref="F108" r:id="rId99" display="=IFERROR(@__xludf.DUMMYFUNCTION(&quot;&quot;&quot;COMPUTED_VALUE&quot;&quot;&quot;),&quot;Software for Embedded Systems&quot;)"/>
    <hyperlink ref="F109" r:id="rId100" display="=IFERROR(@__xludf.DUMMYFUNCTION(&quot;&quot;&quot;COMPUTED_VALUE&quot;&quot;&quot;),&quot;IoT Architecture and Protocols&quot;)"/>
    <hyperlink ref="F110" r:id="rId101" display="=IFERROR(@__xludf.DUMMYFUNCTION(&quot;&quot;&quot;COMPUTED_VALUE&quot;&quot;&quot;),&quot;Arduino for IoT&quot;)"/>
    <hyperlink ref="F111" r:id="rId102" display="=IFERROR(@__xludf.DUMMYFUNCTION(&quot;&quot;&quot;COMPUTED_VALUE&quot;&quot;&quot;),&quot;Raspberry Pi for IoT&quot;)"/>
    <hyperlink ref="F112" r:id="rId103" display="=IFERROR(@__xludf.DUMMYFUNCTION(&quot;&quot;&quot;COMPUTED_VALUE&quot;&quot;&quot;),&quot;Advanced Java Programming&quot;)"/>
    <hyperlink ref="F113" r:id="rId104" display="=IFERROR(@__xludf.DUMMYFUNCTION(&quot;&quot;&quot;COMPUTED_VALUE&quot;&quot;&quot;),&quot;Prototyping of IoT Systems&quot;)"/>
    <hyperlink ref="F114" r:id="rId105" display="=IFERROR(@__xludf.DUMMYFUNCTION(&quot;&quot;&quot;COMPUTED_VALUE&quot;&quot;&quot;),&quot;Embedded Board Design&quot;)"/>
    <hyperlink ref="F115" r:id="rId106" display="=IFERROR(@__xludf.DUMMYFUNCTION(&quot;&quot;&quot;COMPUTED_VALUE&quot;&quot;&quot;),&quot;Advanced Java Web Applications&quot;)"/>
    <hyperlink ref="F116" r:id="rId107" display="=IFERROR(@__xludf.DUMMYFUNCTION(&quot;&quot;&quot;COMPUTED_VALUE&quot;&quot;&quot;),&quot;Ethical Hacking Techniques&quot;)"/>
    <hyperlink ref="F117" r:id="rId108" display="=IFERROR(@__xludf.DUMMYFUNCTION(&quot;&quot;&quot;COMPUTED_VALUE&quot;&quot;&quot;),&quot;Kernel Programming&quot;)"/>
    <hyperlink ref="F118" r:id="rId109" display="=IFERROR(@__xludf.DUMMYFUNCTION(&quot;&quot;&quot;COMPUTED_VALUE&quot;&quot;&quot;),&quot;Open Source Operating System&quot;)"/>
    <hyperlink ref="F119" r:id="rId110" display="=IFERROR(@__xludf.DUMMYFUNCTION(&quot;&quot;&quot;COMPUTED_VALUE&quot;&quot;&quot;),&quot;Cyber Law and Compliance&quot;)"/>
    <hyperlink ref="F120" r:id="rId111" display="=IFERROR(@__xludf.DUMMYFUNCTION(&quot;&quot;&quot;COMPUTED_VALUE&quot;&quot;&quot;),&quot;Cloud Native App Development&quot;)"/>
    <hyperlink ref="F121" r:id="rId112" display="=IFERROR(@__xludf.DUMMYFUNCTION(&quot;&quot;&quot;COMPUTED_VALUE&quot;&quot;&quot;),&quot;Computer Architecture&quot;)"/>
    <hyperlink ref="F122" r:id="rId113" display="=IFERROR(@__xludf.DUMMYFUNCTION(&quot;&quot;&quot;COMPUTED_VALUE&quot;&quot;&quot;),&quot;Python Programming for IoT&quot;)"/>
    <hyperlink ref="F123" r:id="rId114" display="=IFERROR(@__xludf.DUMMYFUNCTION(&quot;&quot;&quot;COMPUTED_VALUE&quot;&quot;&quot;),&quot;Applications of IoT in Robotics&quot;)"/>
    <hyperlink ref="F124" r:id="rId115" display="=IFERROR(@__xludf.DUMMYFUNCTION(&quot;&quot;&quot;COMPUTED_VALUE&quot;&quot;&quot;),&quot;Programming for IoT Boards&quot;)"/>
    <hyperlink ref="F125" r:id="rId116" display="=IFERROR(@__xludf.DUMMYFUNCTION(&quot;&quot;&quot;COMPUTED_VALUE&quot;&quot;&quot;),&quot;Design of Smart Cities&quot;)"/>
    <hyperlink ref="F126" r:id="rId117" display="=IFERROR(@__xludf.DUMMYFUNCTION(&quot;&quot;&quot;COMPUTED_VALUE&quot;&quot;&quot;),&quot;IoT and Multimedia Technology&quot;)"/>
    <hyperlink ref="F127" r:id="rId118" display="=IFERROR(@__xludf.DUMMYFUNCTION(&quot;&quot;&quot;COMPUTED_VALUE&quot;&quot;&quot;),&quot;Mobile Application Development for IoT&quot;)"/>
    <hyperlink ref="F128" r:id="rId118" display="=IFERROR(@__xludf.DUMMYFUNCTION(&quot;&quot;&quot;COMPUTED_VALUE&quot;&quot;&quot;),&quot;Open Source Programming for IoT&quot;)"/>
    <hyperlink ref="F129" r:id="rId119" display="=IFERROR(@__xludf.DUMMYFUNCTION(&quot;&quot;&quot;COMPUTED_VALUE&quot;&quot;&quot;),&quot;Problem Solving and Python Programming&quot;)"/>
    <hyperlink ref="F130" r:id="rId120" display="=IFERROR(@__xludf.DUMMYFUNCTION(&quot;&quot;&quot;COMPUTED_VALUE&quot;&quot;&quot;),&quot;Programming in C&quot;)"/>
    <hyperlink ref="F131" r:id="rId121" display="=IFERROR(@__xludf.DUMMYFUNCTION(&quot;&quot;&quot;COMPUTED_VALUE&quot;&quot;&quot;),&quot;Software Testing Laboratory&quot;)"/>
    <hyperlink ref="F132" r:id="rId122" display="=IFERROR(@__xludf.DUMMYFUNCTION(&quot;&quot;&quot;COMPUTED_VALUE&quot;&quot;&quot;),&quot;Design and Analysis of Algorithms&quot;)"/>
    <hyperlink ref="F133" r:id="rId123" display="=IFERROR(@__xludf.DUMMYFUNCTION(&quot;&quot;&quot;COMPUTED_VALUE&quot;&quot;&quot;),&quot;Programming Paradigms&quot;)"/>
    <hyperlink ref="F134" r:id="rId124" display="=IFERROR(@__xludf.DUMMYFUNCTION(&quot;&quot;&quot;COMPUTED_VALUE&quot;&quot;&quot;),&quot;Web Programming&quot;)"/>
    <hyperlink ref="F135" r:id="rId125" display="=IFERROR(@__xludf.DUMMYFUNCTION(&quot;&quot;&quot;COMPUTED_VALUE&quot;&quot;&quot;),&quot;Virtualization and Cloud Computing&quot;)"/>
    <hyperlink ref="F136" r:id="rId126" display="=IFERROR(@__xludf.DUMMYFUNCTION(&quot;&quot;&quot;COMPUTED_VALUE&quot;&quot;&quot;),&quot;Cryptography and Network Security&quot;)"/>
    <hyperlink ref="F137" r:id="rId127" display="=IFERROR(@__xludf.DUMMYFUNCTION(&quot;&quot;&quot;COMPUTED_VALUE&quot;&quot;&quot;),&quot;Cloud Security&quot;)"/>
    <hyperlink ref="F138" r:id="rId128" display="=IFERROR(@__xludf.DUMMYFUNCTION(&quot;&quot;&quot;COMPUTED_VALUE&quot;&quot;&quot;),&quot;Cryptography&quot;)"/>
    <hyperlink ref="F139" r:id="rId128" display="=IFERROR(@__xludf.DUMMYFUNCTION(&quot;&quot;&quot;COMPUTED_VALUE&quot;&quot;&quot;),&quot;Digital Forensics and Digital Investigations&quot;)"/>
    <hyperlink ref="F140" r:id="rId129" display="=IFERROR(@__xludf.DUMMYFUNCTION(&quot;&quot;&quot;COMPUTED_VALUE&quot;&quot;&quot;),&quot;Edge Computing&quot;)"/>
    <hyperlink ref="F141" r:id="rId130" display="=IFERROR(@__xludf.DUMMYFUNCTION(&quot;&quot;&quot;COMPUTED_VALUE&quot;&quot;&quot;),&quot;Security for IoT Systems&quot;)"/>
    <hyperlink ref="F142" r:id="rId131" display="=IFERROR(@__xludf.DUMMYFUNCTION(&quot;&quot;&quot;COMPUTED_VALUE&quot;&quot;&quot;),&quot;Software Testing and Quality Assurance&quot;)"/>
    <hyperlink ref="F143" r:id="rId132" display="=IFERROR(@__xludf.DUMMYFUNCTION(&quot;&quot;&quot;COMPUTED_VALUE&quot;&quot;&quot;),&quot;Information Security Intelligence and Analytics using Big Data&quot;)"/>
    <hyperlink ref="F144" r:id="rId133" display="=IFERROR(@__xludf.DUMMYFUNCTION(&quot;&quot;&quot;COMPUTED_VALUE&quot;&quot;&quot;),&quot;Prevention Methodology for Cybersecurity&quot;)"/>
    <hyperlink ref="F145" r:id="rId134" display="=IFERROR(@__xludf.DUMMYFUNCTION(&quot;&quot;&quot;COMPUTED_VALUE&quot;&quot;&quot;),&quot;Trusted Network Systems&quot;)"/>
    <hyperlink ref="F146" r:id="rId135" display="=IFERROR(@__xludf.DUMMYFUNCTION(&quot;&quot;&quot;COMPUTED_VALUE&quot;&quot;&quot;),&quot;Firewalls and Intrusion Detection System&quot;)"/>
    <hyperlink ref="F147" r:id="rId136" display="=IFERROR(@__xludf.DUMMYFUNCTION(&quot;&quot;&quot;COMPUTED_VALUE&quot;&quot;&quot;),&quot;Secure Software Engineering&quot;)"/>
    <hyperlink ref="F148" r:id="rId137" display="=IFERROR(@__xludf.DUMMYFUNCTION(&quot;&quot;&quot;COMPUTED_VALUE&quot;&quot;&quot;),&quot;System Security&quot;)"/>
    <hyperlink ref="F149" r:id="rId138" display="=IFERROR(@__xludf.DUMMYFUNCTION(&quot;&quot;&quot;COMPUTED_VALUE&quot;&quot;&quot;),&quot;Hardware Security&quot;)"/>
    <hyperlink ref="F150" r:id="rId139" display="=IFERROR(@__xludf.DUMMYFUNCTION(&quot;&quot;&quot;COMPUTED_VALUE&quot;&quot;&quot;),&quot;Fog Computing&quot;)"/>
    <hyperlink ref="F151" r:id="rId133" display="=IFERROR(@__xludf.DUMMYFUNCTION(&quot;&quot;&quot;COMPUTED_VALUE&quot;&quot;&quot;),&quot;Embedded Board Manufacturing&quot;)"/>
    <hyperlink ref="F152" r:id="rId140" display="=IFERROR(@__xludf.DUMMYFUNCTION(&quot;&quot;&quot;COMPUTED_VALUE&quot;&quot;&quot;),&quot;Cloud Services Management&quot;)"/>
    <hyperlink ref="F153" r:id="rId141" display="=IFERROR(@__xludf.DUMMYFUNCTION(&quot;&quot;&quot;COMPUTED_VALUE&quot;&quot;&quot;),&quot;UI and UX Design&quot;)"/>
    <hyperlink ref="F154" r:id="rId142" display="=IFERROR(@__xludf.DUMMYFUNCTION(&quot;&quot;&quot;COMPUTED_VALUE&quot;&quot;&quot;),&quot;Software Testing and Automation&quot;)"/>
    <hyperlink ref="F155" r:id="rId143" display="=IFERROR(@__xludf.DUMMYFUNCTION(&quot;&quot;&quot;COMPUTED_VALUE&quot;&quot;&quot;),&quot;DevOps&quot;)"/>
    <hyperlink ref="F156" r:id="rId144" display="=IFERROR(@__xludf.DUMMYFUNCTION(&quot;&quot;&quot;COMPUTED_VALUE&quot;&quot;&quot;),&quot;Web Application Security&quot;)"/>
    <hyperlink ref="F157" r:id="rId145" display="=IFERROR(@__xludf.DUMMYFUNCTION(&quot;&quot;&quot;COMPUTED_VALUE&quot;&quot;&quot;),&quot;Robotic Process Automation&quot;)"/>
    <hyperlink ref="F158" r:id="rId146" display="=IFERROR(@__xludf.DUMMYFUNCTION(&quot;&quot;&quot;COMPUTED_VALUE&quot;&quot;&quot;),&quot;Software Project Management and Version Control&quot;)"/>
    <hyperlink ref="F159" r:id="rId147" display="=IFERROR(@__xludf.DUMMYFUNCTION(&quot;&quot;&quot;COMPUTED_VALUE&quot;&quot;&quot;),&quot;Generative AI Application Development&quot;)"/>
    <hyperlink ref="F160" r:id="rId148" display="=IFERROR(@__xludf.DUMMYFUNCTION(&quot;&quot;&quot;COMPUTED_VALUE&quot;&quot;&quot;),&quot;Fine Tuning Large Language Models&quot;)"/>
    <hyperlink ref="F161" r:id="rId149" display="=IFERROR(@__xludf.DUMMYFUNCTION(&quot;&quot;&quot;COMPUTED_VALUE&quot;&quot;&quot;),&quot;Applied Data Science&quot;)"/>
    <hyperlink ref="F162" r:id="rId150" display="=IFERROR(@__xludf.DUMMYFUNCTION(&quot;&quot;&quot;COMPUTED_VALUE&quot;&quot;&quot;),&quot;Entrepreneurship and Small Business Development&quot;)"/>
    <hyperlink ref="F163" r:id="rId151" display="=IFERROR(@__xludf.DUMMYFUNCTION(&quot;&quot;&quot;COMPUTED_VALUE&quot;&quot;&quot;),&quot;Software Development and Operations&quot;)"/>
    <hyperlink ref="F164" r:id="rId152" display="=IFERROR(@__xludf.DUMMYFUNCTION(&quot;&quot;&quot;COMPUTED_VALUE&quot;&quot;&quot;),&quot;Serverless App Development&quot;)"/>
    <hyperlink ref="F165" r:id="rId153" display="=IFERROR(@__xludf.DUMMYFUNCTION(&quot;&quot;&quot;COMPUTED_VALUE&quot;&quot;&quot;),&quot;Enterprise Cloud Architecture&quot;)"/>
    <hyperlink ref="F166" r:id="rId154" display="=IFERROR(@__xludf.DUMMYFUNCTION(&quot;&quot;&quot;COMPUTED_VALUE&quot;&quot;&quot;),&quot;Advanced Class Design and Object-Oriented Techniques&quot;)"/>
    <hyperlink ref="F167" r:id="rId155" display="=IFERROR(@__xludf.DUMMYFUNCTION(&quot;&quot;&quot;COMPUTED_VALUE&quot;&quot;&quot;),&quot;Low-Code App Development&quot;)"/>
    <hyperlink ref="F168" r:id="rId156" display="=IFERROR(@__xludf.DUMMYFUNCTION(&quot;&quot;&quot;COMPUTED_VALUE&quot;&quot;&quot;),&quot;Cloud System Administration&quot;)"/>
    <hyperlink ref="F169" r:id="rId157" display="=IFERROR(@__xludf.DUMMYFUNCTION(&quot;&quot;&quot;COMPUTED_VALUE&quot;&quot;&quot;),&quot;Machine Learning Operations&quot;)"/>
    <hyperlink ref="F170" r:id="rId158" display="=IFERROR(@__xludf.DUMMYFUNCTION(&quot;&quot;&quot;COMPUTED_VALUE&quot;&quot;&quot;),&quot;Grid and Cloud Computing&quot;)"/>
    <hyperlink ref="F171" r:id="rId159" display="=IFERROR(@__xludf.DUMMYFUNCTION(&quot;&quot;&quot;COMPUTED_VALUE&quot;&quot;&quot;),&quot;Distributed Computing&quot;)"/>
    <hyperlink ref="F172" r:id="rId160" display="=IFERROR(@__xludf.DUMMYFUNCTION(&quot;&quot;&quot;COMPUTED_VALUE&quot;&quot;&quot;),&quot;Information Theory and Coding Techniques&quot;)"/>
    <hyperlink ref="F173" r:id="rId161" display="=IFERROR(@__xludf.DUMMYFUNCTION(&quot;&quot;&quot;COMPUTED_VALUE&quot;&quot;&quot;),&quot;Enterprise Resource Planning&quot;)"/>
    <hyperlink ref="F174" r:id="rId162" display="=IFERROR(@__xludf.DUMMYFUNCTION(&quot;&quot;&quot;COMPUTED_VALUE&quot;&quot;&quot;),&quot;User Interface Design&quot;)"/>
    <hyperlink ref="F175" r:id="rId163" display="=IFERROR(@__xludf.DUMMYFUNCTION(&quot;&quot;&quot;COMPUTED_VALUE&quot;&quot;&quot;),&quot;Information Storage Management&quot;)"/>
    <hyperlink ref="F176" r:id="rId164" display="=IFERROR(@__xludf.DUMMYFUNCTION(&quot;&quot;&quot;COMPUTED_VALUE&quot;&quot;&quot;),&quot;Software Design Patterns&quot;)"/>
    <hyperlink ref="F177" r:id="rId165" display="=IFERROR(@__xludf.DUMMYFUNCTION(&quot;&quot;&quot;COMPUTED_VALUE&quot;&quot;&quot;),&quot;E-Learning Techniques&quot;)"/>
    <hyperlink ref="F178" r:id="rId166" display="=IFERROR(@__xludf.DUMMYFUNCTION(&quot;&quot;&quot;COMPUTED_VALUE&quot;&quot;&quot;),&quot;TCP/IP Design and Implementation&quot;)"/>
    <hyperlink ref="F179" r:id="rId167" display="=IFERROR(@__xludf.DUMMYFUNCTION(&quot;&quot;&quot;COMPUTED_VALUE&quot;&quot;&quot;),&quot;Advanced Algorithms&quot;)"/>
    <hyperlink ref="F180" r:id="rId168" display="=IFERROR(@__xludf.DUMMYFUNCTION(&quot;&quot;&quot;COMPUTED_VALUE&quot;&quot;&quot;),&quot;Ethical Hacking&quot;)"/>
    <hyperlink ref="F181" r:id="rId169" display="=IFERROR(@__xludf.DUMMYFUNCTION(&quot;&quot;&quot;COMPUTED_VALUE&quot;&quot;&quot;),&quot;DHTML and XML&quot;)"/>
    <hyperlink ref="F182" r:id="rId170" display="=IFERROR(@__xludf.DUMMYFUNCTION(&quot;&quot;&quot;COMPUTED_VALUE&quot;&quot;&quot;),&quot;E-Commerce&quot;)"/>
    <hyperlink ref="F183" r:id="rId171" display="=IFERROR(@__xludf.DUMMYFUNCTION(&quot;&quot;&quot;COMPUTED_VALUE&quot;&quot;&quot;),&quot;Free Open Source Software&quot;)"/>
    <hyperlink ref="F184" r:id="rId172" display="=IFERROR(@__xludf.DUMMYFUNCTION(&quot;&quot;&quot;COMPUTED_VALUE&quot;&quot;&quot;),&quot;Real Time Operating Systems&quot;)"/>
    <hyperlink ref="F185" r:id="rId173" display="=IFERROR(@__xludf.DUMMYFUNCTION(&quot;&quot;&quot;COMPUTED_VALUE&quot;&quot;&quot;),&quot;Software Agents&quot;)"/>
    <hyperlink ref="F186" r:id="rId174" display="=IFERROR(@__xludf.DUMMYFUNCTION(&quot;&quot;&quot;COMPUTED_VALUE&quot;&quot;&quot;),&quot;Web Data Mining&quot;)"/>
    <hyperlink ref="F188" r:id="rId175" display="=IFERROR(@__xludf.DUMMYFUNCTION(&quot;&quot;&quot;COMPUTED_VALUE&quot;&quot;&quot;),&quot;Core Computing Concepts&quot;)"/>
    <hyperlink ref="F189" r:id="rId176" display="=IFERROR(@__xludf.DUMMYFUNCTION(&quot;&quot;&quot;COMPUTED_VALUE&quot;&quot;&quot;),&quot;Business Intelligence and Analytics&quot;)"/>
    <hyperlink ref="F190" r:id="rId177" display="=IFERROR(@__xludf.DUMMYFUNCTION(&quot;&quot;&quot;COMPUTED_VALUE&quot;&quot;&quot;),&quot;Fundamentals of Cryptocurrency&quot;)"/>
    <hyperlink ref="F193" r:id="rId178" display="=IFERROR(@__xludf.DUMMYFUNCTION(&quot;&quot;&quot;COMPUTED_VALUE&quot;&quot;&quot;),&quot;Robot Programming&quot;)"/>
    <hyperlink ref="F194" r:id="rId179" display="=IFERROR(@__xludf.DUMMYFUNCTION(&quot;&quot;&quot;COMPUTED_VALUE&quot;&quot;&quot;),&quot;Drone Assembly and Applications&quot;)"/>
    <hyperlink ref="F195" r:id="rId180" display="=IFERROR(@__xludf.DUMMYFUNCTION(&quot;&quot;&quot;COMPUTED_VALUE&quot;&quot;&quot;),&quot;Drone Design and Control&quot;)"/>
    <hyperlink ref="F196" r:id="rId181" display="=IFERROR(@__xludf.DUMMYFUNCTION(&quot;&quot;&quot;COMPUTED_VALUE&quot;&quot;&quot;),&quot;Web Application User Interface Development&quot;)"/>
    <hyperlink ref="F197" r:id="rId182" display="=IFERROR(@__xludf.DUMMYFUNCTION(&quot;&quot;&quot;COMPUTED_VALUE&quot;&quot;&quot;),&quot;Fundamentals of Large Language Models&quot;)"/>
    <hyperlink ref="F200" r:id="rId183" display="=IFERROR(@__xludf.DUMMYFUNCTION(&quot;&quot;&quot;COMPUTED_VALUE&quot;&quot;&quot;),&quot;Exploratory Data Analysis&quot;)"/>
    <hyperlink ref="F201" r:id="rId184" display="=IFERROR(@__xludf.DUMMYFUNCTION(&quot;&quot;&quot;COMPUTED_VALUE&quot;&quot;&quot;),&quot;Image and Video Analytics&quot;)"/>
    <hyperlink ref="F202" r:id="rId185" display="=IFERROR(@__xludf.DUMMYFUNCTION(&quot;&quot;&quot;COMPUTED_VALUE&quot;&quot;&quot;),&quot;Neural Networks and Deep Learning&quot;)"/>
    <hyperlink ref="F203" r:id="rId186" display="=IFERROR(@__xludf.DUMMYFUNCTION(&quot;&quot;&quot;COMPUTED_VALUE&quot;&quot;&quot;),&quot;Recommender Systems&quot;)"/>
    <hyperlink ref="F204" r:id="rId187" display="=IFERROR(@__xludf.DUMMYFUNCTION(&quot;&quot;&quot;COMPUTED_VALUE&quot;&quot;&quot;),&quot;Text and Speech Analysis&quot;)"/>
    <hyperlink ref="F207" r:id="rId188" display="=IFERROR(@__xludf.DUMMYFUNCTION(&quot;&quot;&quot;COMPUTED_VALUE&quot;&quot;&quot;),&quot;Mini Project&quot;)"/>
    <hyperlink ref="F208" r:id="rId189" display="=IFERROR(@__xludf.DUMMYFUNCTION(&quot;&quot;&quot;COMPUTED_VALUE&quot;&quot;&quot;),&quot;Project Work I&quot;)"/>
    <hyperlink ref="F209" r:id="rId190" display="=IFERROR(@__xludf.DUMMYFUNCTION(&quot;&quot;&quot;COMPUTED_VALUE&quot;&quot;&quot;),&quot;Project Work II&quot;)"/>
    <hyperlink ref="F210" r:id="rId191" display="=IFERROR(@__xludf.DUMMYFUNCTION(&quot;&quot;&quot;COMPUTED_VALUE&quot;&quot;&quot;),&quot;Softskills&quot;)"/>
    <hyperlink ref="F211" r:id="rId192" display="=IFERROR(@__xludf.DUMMYFUNCTION(&quot;&quot;&quot;COMPUTED_VALUE&quot;&quot;&quot;),&quot;Career Development Skills&quot;)"/>
    <hyperlink ref="F212" r:id="rId193" display="=IFERROR(@__xludf.DUMMYFUNCTION(&quot;&quot;&quot;COMPUTED_VALUE&quot;&quot;&quot;),&quot;Creative Skills for Communication&quot;)"/>
    <hyperlink ref="F213" r:id="rId194" display="=IFERROR(@__xludf.DUMMYFUNCTION(&quot;&quot;&quot;COMPUTED_VALUE&quot;&quot;&quot;),&quot;Reasoning Ability&quot;)"/>
    <hyperlink ref="F214" r:id="rId195" display="=IFERROR(@__xludf.DUMMYFUNCTION(&quot;&quot;&quot;COMPUTED_VALUE&quot;&quot;&quot;),&quot;System of Numerical and Logical Terminologies&quot;)"/>
    <hyperlink ref="F215" r:id="rId196" display="=IFERROR(@__xludf.DUMMYFUNCTION(&quot;&quot;&quot;COMPUTED_VALUE&quot;&quot;&quot;),&quot;Advanced Quantitative and Logical Reasoning&quot;)"/>
    <hyperlink ref="F216" r:id="rId197" display="=IFERROR(@__xludf.DUMMYFUNCTION(&quot;&quot;&quot;COMPUTED_VALUE&quot;&quot;&quot;),&quot;Quantitative Ability I&quot;)"/>
    <hyperlink ref="F217" r:id="rId198" display="=IFERROR(@__xludf.DUMMYFUNCTION(&quot;&quot;&quot;COMPUTED_VALUE&quot;&quot;&quot;),&quot;Quantitative Ability II&quot;)"/>
    <hyperlink ref="F218" r:id="rId199" display="=IFERROR(@__xludf.DUMMYFUNCTION(&quot;&quot;&quot;COMPUTED_VALUE&quot;&quot;&quot;),&quot;Employment Enhancement Skills&quot;)"/>
    <hyperlink ref="F219" r:id="rId200" display="=IFERROR(@__xludf.DUMMYFUNCTION(&quot;&quot;&quot;COMPUTED_VALUE&quot;&quot;&quot;),&quot;Employment Enrichment Skills&quot;)"/>
    <hyperlink ref="F220" r:id="rId201" display="=IFERROR(@__xludf.DUMMYFUNCTION(&quot;&quot;&quot;COMPUTED_VALUE&quot;&quot;&quot;),&quot;Company Specific Assessments For Employability&quot;)"/>
    <hyperlink ref="F221" r:id="rId202" display="=IFERROR(@__xludf.DUMMYFUNCTION(&quot;&quot;&quot;COMPUTED_VALUE&quot;&quot;&quot;),&quot;Placement Readiness Assessment&quot;)"/>
    <hyperlink ref="F222" r:id="rId203" display="=IFERROR(@__xludf.DUMMYFUNCTION(&quot;&quot;&quot;COMPUTED_VALUE&quot;&quot;&quot;),&quot;Paper Publication&quot;)"/>
    <hyperlink ref="F223" r:id="rId204" display="=IFERROR(@__xludf.DUMMYFUNCTION(&quot;&quot;&quot;COMPUTED_VALUE&quot;&quot;&quot;),&quot;Professional Ethics&quot;)"/>
    <hyperlink ref="F224" r:id="rId205" display="=IFERROR(@__xludf.DUMMYFUNCTION(&quot;&quot;&quot;COMPUTED_VALUE&quot;&quot;&quot;),&quot;Environmental Science&quot;)"/>
    <hyperlink ref="F225" r:id="rId206" display="=IFERROR(@__xludf.DUMMYFUNCTION(&quot;&quot;&quot;COMPUTED_VALUE&quot;&quot;&quot;),&quot;Constitution of India&quot;)"/>
    <hyperlink ref="F227" r:id="rId207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91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IMPORTRANGE(""https://docs.google.com/spreadsheets/d/1UvPg-G_Bj-UNhLC2uL8tntfYsnld_PABqE3impzOchM/edAI&amp;ML"", ""R2024-AI&amp;ML!A:A""),
IMPORTRANGE(""https://docs.google.com/spreadsheets/d/1UvPg-G_Bj-UNhLC2uL8tntfYsnld_PABqE3impzOchM/edAI&amp;ML"", "&amp;"""R2024-AI&amp;ML!D:D""),
IMPORTRANGE(""https://docs.google.com/spreadsheets/d/1UvPg-G_Bj-UNhLC2uL8tntfYsnld_PABqE3impzOchM/edAI&amp;ML"", ""R2024-AI&amp;ML!E:E""),
IMPORTRANGE(""https://docs.google.com/spreadsheets/d/1UvPg-G_Bj-UNhLC2uL8tntfYsnld_PABqE3impzOchM/edAI"&amp;"&amp;ML"", ""R2024-AI&amp;ML!F:F""),
IMPORTRANGE(""https://docs.google.com/spreadsheets/d/1UvPg-G_Bj-UNhLC2uL8tntfYsnld_PABqE3impzOchM/edAI&amp;ML"", ""R2024-AI&amp;ML!G:G""),
IMPORTRANGE(""https://docs.google.com/spreadsheets/d/1UvPg-G_Bj-UNhLC2uL8tntfYsnld_PABqE3impzOc"&amp;"hM/edAI&amp;ML"", ""R2024-AI&amp;ML!I:I""),
IMPORTRANGE(""https://docs.google.com/spreadsheets/d/1UvPg-G_Bj-UNhLC2uL8tntfYsnld_PABqE3impzOchM/edAI&amp;ML"", ""R2024-AI&amp;ML!N:N""),
IMPORTRANGE(""https://docs.google.com/spreadsheets/d/1UvPg-G_Bj-UNhLC2uL8tntfYsnld_PABqE"&amp;"3impzOchM/edAI&amp;ML"", ""R2024-AI&amp;ML!O:O""),
IMPORTRANGE(""https://docs.google.com/spreadsheets/d/1UvPg-G_Bj-UNhLC2uL8tntfYsnld_PABqE3impzOchM/edAI&amp;ML"", ""R2024-AI&amp;ML!P:P""),
IMPORTRANGE(""https://docs.google.com/spreadsheets/d/1UvPg-G_Bj-UNhLC2uL8tntfYsnl"&amp;"d_PABqE3impzOchM/edAI&amp;ML"", ""R2024-AI&amp;ML!Q:Q""),
IMPORTRANGE(""https://docs.google.com/spreadsheets/d/1UvPg-G_Bj-UNhLC2uL8tntfYsnld_PABqE3impzOchM/edAI&amp;ML"", ""R2024-AI&amp;ML!R:R""),
IMPORTRANGE(""https://docs.google.com/spreadsheets/d/1UvPg-G_Bj-UNhLC2uL8t"&amp;"ntfYsnld_PABqE3impzOchM/edAI&amp;ML"", ""R2024-AI&amp;ML!S:S""),
IMPORTRANGE(""https://docs.google.com/spreadsheets/d/1UvPg-G_Bj-UNhLC2uL8tntfYsnld_PABqE3impzOchM/edAI&amp;ML"", ""R2024-AI&amp;ML!V:V""),
IMPORTRANGE(""https://docs.google.com/spreadsheets/d/1UvPg-G_Bj-UNh"&amp;"LC2uL8tntfYsnld_PABqE3impzOchM/edAI&amp;ML"", ""R2024-AI&amp;ML!X:X""),
IMPORTRANGE(""https://docs.google.com/spreadsheets/d/1UvPg-G_Bj-UNhLC2uL8tntfYsnld_PABqE3impzOchM/edAI&amp;ML"", ""R2024-AI&amp;ML!Y:Y"")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/>
      <c r="N1" s="13"/>
      <c r="O1" s="14"/>
      <c r="P1" s="12"/>
      <c r="Q1" s="24"/>
      <c r="R1" s="25"/>
    </row>
    <row r="2" ht="60.75" customHeight="1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5"/>
      <c r="M2" s="16" t="str">
        <f>IFERROR(__xludf.DUMMYFUNCTION("""COMPUTED_VALUE"""),"BATCH: 2024- 2028")</f>
        <v>BATCH: 2024- 2028</v>
      </c>
      <c r="N2" s="1"/>
      <c r="O2" s="17"/>
      <c r="P2" s="16"/>
      <c r="Q2" s="1"/>
      <c r="R2" s="17"/>
    </row>
    <row r="3" ht="48" customHeight="1" spans="1:18">
      <c r="A3" s="28" t="str">
        <f>IFERROR(__xludf.DUMMYFUNCTION("""COMPUTED_VALUE"""),"S.No")</f>
        <v>S.No</v>
      </c>
      <c r="B3" s="2" t="str">
        <f>IFERROR(__xludf.DUMMYFUNCTION("""COMPUTED_VALUE"""),"Remarks ")</f>
        <v>Remarks </v>
      </c>
      <c r="C3" s="2" t="str">
        <f>IFERROR(__xludf.DUMMYFUNCTION("""COMPUTED_VALUE"""),"Category")</f>
        <v>Category</v>
      </c>
      <c r="D3" s="2" t="str">
        <f>IFERROR(__xludf.DUMMYFUNCTION("""COMPUTED_VALUE"""),"Course Code R2024")</f>
        <v>Course Code R2024</v>
      </c>
      <c r="E3" s="2" t="str">
        <f>IFERROR(__xludf.DUMMYFUNCTION("""COMPUTED_VALUE"""),"Course Code R2019")</f>
        <v>Course Code R2019</v>
      </c>
      <c r="F3" s="3" t="str">
        <f>IFERROR(__xludf.DUMMYFUNCTION("""COMPUTED_VALUE"""),"Course Title")</f>
        <v>Course Title</v>
      </c>
      <c r="G3" s="2" t="str">
        <f>IFERROR(__xludf.DUMMYFUNCTION("""COMPUTED_VALUE"""),"Prerequisite")</f>
        <v>Prerequisite</v>
      </c>
      <c r="H3" s="2" t="str">
        <f>IFERROR(__xludf.DUMMYFUNCTION("""COMPUTED_VALUE"""),"Theory Credits ")</f>
        <v>Theory Credits </v>
      </c>
      <c r="I3" s="2" t="str">
        <f>IFERROR(__xludf.DUMMYFUNCTION("""COMPUTED_VALUE"""),"Practical Credits")</f>
        <v>Practical Credits</v>
      </c>
      <c r="J3" s="2" t="str">
        <f>IFERROR(__xludf.DUMMYFUNCTION("""COMPUTED_VALUE"""),"Total Credits")</f>
        <v>Total Credits</v>
      </c>
      <c r="K3" s="2" t="str">
        <f>IFERROR(__xludf.DUMMYFUNCTION("""COMPUTED_VALUE"""),"CGPA /          Non - CGPA")</f>
        <v>CGPA /          Non - CGPA</v>
      </c>
      <c r="L3" s="18" t="str">
        <f>IFERROR(__xludf.DUMMYFUNCTION("""COMPUTED_VALUE"""),"Course Type
")</f>
        <v>Course Type
</v>
      </c>
      <c r="M3" s="19" t="str">
        <f>IFERROR(__xludf.DUMMYFUNCTION("""COMPUTED_VALUE"""),"Category")</f>
        <v>Category</v>
      </c>
      <c r="N3" s="2" t="str">
        <f>IFERROR(__xludf.DUMMYFUNCTION("""COMPUTED_VALUE"""),"Credits to be Earned (Regular)")</f>
        <v>Credits to be Earned (Regular)</v>
      </c>
      <c r="O3" s="20" t="str">
        <f>IFERROR(__xludf.DUMMYFUNCTION("""COMPUTED_VALUE"""),"Credits to be Earned (Lateral Entry)")</f>
        <v>Credits to be Earned (Lateral Entry)</v>
      </c>
      <c r="P3" s="19"/>
      <c r="Q3" s="2"/>
      <c r="R3" s="20"/>
    </row>
    <row r="4" ht="48" customHeight="1" spans="1:18">
      <c r="A4" s="2">
        <f>IFERROR(__xludf.DUMMYFUNCTION("""COMPUTED_VALUE"""),1)</f>
        <v>1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IFERROR(__xludf.DUMMYFUNCTION("""COMPUTED_VALUE"""),"SH1104")</f>
        <v>SH1104</v>
      </c>
      <c r="E4" s="2" t="str">
        <f>IFERROR(__xludf.DUMMYFUNCTION("""COMPUTED_VALUE"""),"19EN104")</f>
        <v>19EN104</v>
      </c>
      <c r="F4" s="7" t="str">
        <f>IFERROR(__xludf.DUMMYFUNCTION("""COMPUTED_VALUE"""),"Technical Writing")</f>
        <v>Technical Writing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IFERROR(__xludf.DUMMYFUNCTION("""COMPUTED_VALUE"""),0)</f>
        <v>0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IFERROR(__xludf.DUMMYFUNCTION("""COMPUTED_VALUE"""),"Theory")</f>
        <v>Theory</v>
      </c>
      <c r="M4" s="19" t="str">
        <f>IFERROR(__xludf.DUMMYFUNCTION("""COMPUTED_VALUE"""),"HS")</f>
        <v>HS</v>
      </c>
      <c r="N4" s="2">
        <f>IFERROR(__xludf.DUMMYFUNCTION("""COMPUTED_VALUE"""),14)</f>
        <v>14</v>
      </c>
      <c r="O4" s="20">
        <f>IFERROR(__xludf.DUMMYFUNCTION("""COMPUTED_VALUE"""),3)</f>
        <v>3</v>
      </c>
      <c r="P4" s="19"/>
      <c r="Q4" s="2"/>
      <c r="R4" s="20"/>
    </row>
    <row r="5" ht="48" customHeight="1" spans="1:18">
      <c r="A5" s="2">
        <f>IFERROR(__xludf.DUMMYFUNCTION("""COMPUTED_VALUE"""),2)</f>
        <v>2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IFERROR(__xludf.DUMMYFUNCTION("""COMPUTED_VALUE"""),"SH1105")</f>
        <v>SH1105</v>
      </c>
      <c r="E5" s="2" t="str">
        <f>IFERROR(__xludf.DUMMYFUNCTION("""COMPUTED_VALUE"""),"19EN105")</f>
        <v>19EN105</v>
      </c>
      <c r="F5" s="7" t="str">
        <f>IFERROR(__xludf.DUMMYFUNCTION("""COMPUTED_VALUE"""),"Public Speaking")</f>
        <v>Public Speaking</v>
      </c>
      <c r="G5" s="2" t="str">
        <f>IFERROR(__xludf.DUMMYFUNCTION("""COMPUTED_VALUE"""),"-")</f>
        <v>-</v>
      </c>
      <c r="H5" s="2">
        <f>IFERROR(__xludf.DUMMYFUNCTION("""COMPUTED_VALUE"""),0)</f>
        <v>0</v>
      </c>
      <c r="I5" s="2">
        <f>IFERROR(__xludf.DUMMYFUNCTION("""COMPUTED_VALUE"""),3)</f>
        <v>3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IFERROR(__xludf.DUMMYFUNCTION("""COMPUTED_VALUE"""),"Practical (10 Expts)")</f>
        <v>Practical (10 Expts)</v>
      </c>
      <c r="M5" s="19" t="str">
        <f>IFERROR(__xludf.DUMMYFUNCTION("""COMPUTED_VALUE"""),"BS")</f>
        <v>BS</v>
      </c>
      <c r="N5" s="2">
        <f>IFERROR(__xludf.DUMMYFUNCTION("""COMPUTED_VALUE"""),27)</f>
        <v>27</v>
      </c>
      <c r="O5" s="20">
        <f>IFERROR(__xludf.DUMMYFUNCTION("""COMPUTED_VALUE"""),20)</f>
        <v>20</v>
      </c>
      <c r="P5" s="19"/>
      <c r="Q5" s="2"/>
      <c r="R5" s="20"/>
    </row>
    <row r="6" ht="48" customHeight="1" spans="1:18">
      <c r="A6" s="2">
        <f>IFERROR(__xludf.DUMMYFUNCTION("""COMPUTED_VALUE"""),3)</f>
        <v>3</v>
      </c>
      <c r="B6" s="2" t="str">
        <f>IFERROR(__xludf.DUMMYFUNCTION("""COMPUTED_VALUE"""),"Any 1")</f>
        <v>Any 1</v>
      </c>
      <c r="C6" s="2" t="str">
        <f>IFERROR(__xludf.DUMMYFUNCTION("""COMPUTED_VALUE"""),"HS")</f>
        <v>HS</v>
      </c>
      <c r="D6" s="2" t="str">
        <f>IFERROR(__xludf.DUMMYFUNCTION("""COMPUTED_VALUE"""),"SH1101")</f>
        <v>SH1101</v>
      </c>
      <c r="E6" s="2" t="str">
        <f>IFERROR(__xludf.DUMMYFUNCTION("""COMPUTED_VALUE"""),"19EN101")</f>
        <v>19EN101</v>
      </c>
      <c r="F6" s="7" t="str">
        <f>IFERROR(__xludf.DUMMYFUNCTION("""COMPUTED_VALUE"""),"Communicative English")</f>
        <v>Communicative English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IFERROR(__xludf.DUMMYFUNCTION("""COMPUTED_VALUE"""),1)</f>
        <v>1</v>
      </c>
      <c r="J6" s="2">
        <f>IFERROR(__xludf.DUMMYFUNCTION("""COMPUTED_VALUE"""),4)</f>
        <v>4</v>
      </c>
      <c r="K6" s="2" t="str">
        <f>IFERROR(__xludf.DUMMYFUNCTION("""COMPUTED_VALUE"""),"CGPA")</f>
        <v>CGPA</v>
      </c>
      <c r="L6" s="18" t="str">
        <f>IFERROR(__xludf.DUMMYFUNCTION("""COMPUTED_VALUE"""),"TIP (6 Expts)")</f>
        <v>TIP (6 Expts)</v>
      </c>
      <c r="M6" s="19" t="str">
        <f>IFERROR(__xludf.DUMMYFUNCTION("""COMPUTED_VALUE"""),"ES")</f>
        <v>ES</v>
      </c>
      <c r="N6" s="2">
        <f>IFERROR(__xludf.DUMMYFUNCTION("""COMPUTED_VALUE"""),28)</f>
        <v>28</v>
      </c>
      <c r="O6" s="20">
        <f>IFERROR(__xludf.DUMMYFUNCTION("""COMPUTED_VALUE"""),12)</f>
        <v>12</v>
      </c>
      <c r="P6" s="19"/>
      <c r="Q6" s="2"/>
      <c r="R6" s="20"/>
    </row>
    <row r="7" ht="48" customHeight="1" spans="1:18">
      <c r="A7" s="2">
        <f>IFERROR(__xludf.DUMMYFUNCTION("""COMPUTED_VALUE"""),4)</f>
        <v>4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IFERROR(__xludf.DUMMYFUNCTION("""COMPUTED_VALUE"""),"SH9154")</f>
        <v>SH9154</v>
      </c>
      <c r="E7" s="2" t="str">
        <f>IFERROR(__xludf.DUMMYFUNCTION("""COMPUTED_VALUE"""),"19MS154")</f>
        <v>19MS154</v>
      </c>
      <c r="F7" s="7" t="str">
        <f>IFERROR(__xludf.DUMMYFUNCTION("""COMPUTED_VALUE"""),"Basic Financial Accounting")</f>
        <v>Basic Financial Accounting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IFERROR(__xludf.DUMMYFUNCTION("""COMPUTED_VALUE"""),"PC")</f>
        <v>PC</v>
      </c>
      <c r="N7" s="2">
        <f>IFERROR(__xludf.DUMMYFUNCTION("""COMPUTED_VALUE"""),51)</f>
        <v>51</v>
      </c>
      <c r="O7" s="20">
        <f>IFERROR(__xludf.DUMMYFUNCTION("""COMPUTED_VALUE"""),43)</f>
        <v>43</v>
      </c>
      <c r="P7" s="19"/>
      <c r="Q7" s="2"/>
      <c r="R7" s="20"/>
    </row>
    <row r="8" ht="48" customHeight="1" spans="1:18">
      <c r="A8" s="2">
        <f>IFERROR(__xludf.DUMMYFUNCTION("""COMPUTED_VALUE"""),5)</f>
        <v>5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IFERROR(__xludf.DUMMYFUNCTION("""COMPUTED_VALUE"""),"SH9156")</f>
        <v>SH9156</v>
      </c>
      <c r="E8" s="2" t="str">
        <f>IFERROR(__xludf.DUMMYFUNCTION("""COMPUTED_VALUE"""),"19MS156")</f>
        <v>19MS156</v>
      </c>
      <c r="F8" s="7" t="str">
        <f>IFERROR(__xludf.DUMMYFUNCTION("""COMPUTED_VALUE"""),"Human Resource Management and Team Building")</f>
        <v>Human Resource Management and Team Building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IFERROR(__xludf.DUMMYFUNCTION("""COMPUTED_VALUE"""),"PE")</f>
        <v>PE</v>
      </c>
      <c r="N8" s="2">
        <f>IFERROR(__xludf.DUMMYFUNCTION("""COMPUTED_VALUE"""),16)</f>
        <v>16</v>
      </c>
      <c r="O8" s="20">
        <f>IFERROR(__xludf.DUMMYFUNCTION("""COMPUTED_VALUE"""),16)</f>
        <v>16</v>
      </c>
      <c r="P8" s="19"/>
      <c r="Q8" s="2"/>
      <c r="R8" s="20"/>
    </row>
    <row r="9" ht="48" customHeight="1" spans="1:18">
      <c r="A9" s="2">
        <f>IFERROR(__xludf.DUMMYFUNCTION("""COMPUTED_VALUE"""),6)</f>
        <v>6</v>
      </c>
      <c r="B9" s="2" t="str">
        <f>IFERROR(__xludf.DUMMYFUNCTION("""COMPUTED_VALUE"""),"Exempted for LE , Any 2 for Regular")</f>
        <v>Exempted for LE , Any 2 for Regular</v>
      </c>
      <c r="C9" s="2" t="str">
        <f>IFERROR(__xludf.DUMMYFUNCTION("""COMPUTED_VALUE"""),"HS")</f>
        <v>HS</v>
      </c>
      <c r="D9" s="2" t="str">
        <f>IFERROR(__xludf.DUMMYFUNCTION("""COMPUTED_VALUE"""),"SH9155")</f>
        <v>SH9155</v>
      </c>
      <c r="E9" s="2" t="str">
        <f>IFERROR(__xludf.DUMMYFUNCTION("""COMPUTED_VALUE"""),"19MS155")</f>
        <v>19MS155</v>
      </c>
      <c r="F9" s="7" t="str">
        <f>IFERROR(__xludf.DUMMYFUNCTION("""COMPUTED_VALUE"""),"Stock Market and Company Operations")</f>
        <v>Stock Market and Company Operations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IFERROR(__xludf.DUMMYFUNCTION("""COMPUTED_VALUE"""),0)</f>
        <v>0</v>
      </c>
      <c r="J9" s="2">
        <f>IFERROR(__xludf.DUMMYFUNCTION("""COMPUTED_VALUE"""),3)</f>
        <v>3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IFERROR(__xludf.DUMMYFUNCTION("""COMPUTED_VALUE"""),"OE")</f>
        <v>OE</v>
      </c>
      <c r="N9" s="2">
        <f>IFERROR(__xludf.DUMMYFUNCTION("""COMPUTED_VALUE"""),12)</f>
        <v>12</v>
      </c>
      <c r="O9" s="20">
        <f>IFERROR(__xludf.DUMMYFUNCTION("""COMPUTED_VALUE"""),12)</f>
        <v>12</v>
      </c>
      <c r="P9" s="19"/>
      <c r="Q9" s="2"/>
      <c r="R9" s="20"/>
    </row>
    <row r="10" ht="48" customHeight="1" spans="1:18">
      <c r="A10" s="2">
        <f>IFERROR(__xludf.DUMMYFUNCTION("""COMPUTED_VALUE"""),7)</f>
        <v>7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IFERROR(__xludf.DUMMYFUNCTION("""COMPUTED_VALUE"""),"SH7101")</f>
        <v>SH7101</v>
      </c>
      <c r="E10" s="2" t="str">
        <f>IFERROR(__xludf.DUMMYFUNCTION("""COMPUTED_VALUE"""),"22HS101")</f>
        <v>22HS101</v>
      </c>
      <c r="F10" s="7" t="str">
        <f>IFERROR(__xludf.DUMMYFUNCTION("""COMPUTED_VALUE"""),"தமிழர் மரபு/ Heritage of Tamils")</f>
        <v>தமிழர் மரபு/ Heritage of Tamils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IFERROR(__xludf.DUMMYFUNCTION("""COMPUTED_VALUE"""),"EEC")</f>
        <v>EEC</v>
      </c>
      <c r="N10" s="2">
        <f>IFERROR(__xludf.DUMMYFUNCTION("""COMPUTED_VALUE"""),16)</f>
        <v>16</v>
      </c>
      <c r="O10" s="20">
        <f>IFERROR(__xludf.DUMMYFUNCTION("""COMPUTED_VALUE"""),16)</f>
        <v>16</v>
      </c>
      <c r="P10" s="19"/>
      <c r="Q10" s="2"/>
      <c r="R10" s="20"/>
    </row>
    <row r="11" ht="48" customHeight="1" spans="1:18">
      <c r="A11" s="2">
        <f>IFERROR(__xludf.DUMMYFUNCTION("""COMPUTED_VALUE"""),8)</f>
        <v>8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IFERROR(__xludf.DUMMYFUNCTION("""COMPUTED_VALUE"""),"SH7102")</f>
        <v>SH7102</v>
      </c>
      <c r="E11" s="2" t="str">
        <f>IFERROR(__xludf.DUMMYFUNCTION("""COMPUTED_VALUE"""),"22HS102")</f>
        <v>22HS102</v>
      </c>
      <c r="F11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1" s="2" t="str">
        <f>IFERROR(__xludf.DUMMYFUNCTION("""COMPUTED_VALUE"""),"-")</f>
        <v>-</v>
      </c>
      <c r="H11" s="2">
        <f>IFERROR(__xludf.DUMMYFUNCTION("""COMPUTED_VALUE"""),1)</f>
        <v>1</v>
      </c>
      <c r="I11" s="2">
        <f>IFERROR(__xludf.DUMMYFUNCTION("""COMPUTED_VALUE"""),0)</f>
        <v>0</v>
      </c>
      <c r="J11" s="2">
        <f>IFERROR(__xludf.DUMMYFUNCTION("""COMPUTED_VALUE"""),1)</f>
        <v>1</v>
      </c>
      <c r="K11" s="2" t="str">
        <f>IFERROR(__xludf.DUMMYFUNCTION("""COMPUTED_VALUE"""),"CGPA")</f>
        <v>CGPA</v>
      </c>
      <c r="L11" s="18" t="str">
        <f>IFERROR(__xludf.DUMMYFUNCTION("""COMPUTED_VALUE"""),"Theory (Int Only)")</f>
        <v>Theory (Int Only)</v>
      </c>
      <c r="M11" s="21" t="str">
        <f>IFERROR(__xludf.DUMMYFUNCTION("""COMPUTED_VALUE"""),"MC")</f>
        <v>MC</v>
      </c>
      <c r="N11" s="22">
        <f>IFERROR(__xludf.DUMMYFUNCTION("""COMPUTED_VALUE"""),4)</f>
        <v>4</v>
      </c>
      <c r="O11" s="23">
        <f>IFERROR(__xludf.DUMMYFUNCTION("""COMPUTED_VALUE"""),4)</f>
        <v>4</v>
      </c>
      <c r="P11" s="21"/>
      <c r="Q11" s="22"/>
      <c r="R11" s="23"/>
    </row>
    <row r="12" ht="48" customHeight="1" spans="1:18">
      <c r="A12" s="2">
        <f>IFERROR(__xludf.DUMMYFUNCTION("""COMPUTED_VALUE"""),9)</f>
        <v>9</v>
      </c>
      <c r="B12" s="2" t="str">
        <f>IFERROR(__xludf.DUMMYFUNCTION("""COMPUTED_VALUE"""),"Exempted for LE")</f>
        <v>Exempted for LE</v>
      </c>
      <c r="C12" s="2" t="str">
        <f>IFERROR(__xludf.DUMMYFUNCTION("""COMPUTED_VALUE"""),"HS")</f>
        <v>HS</v>
      </c>
      <c r="D12" s="2" t="str">
        <f>IFERROR(__xludf.DUMMYFUNCTION("""COMPUTED_VALUE"""),"SH7801")</f>
        <v>SH7801</v>
      </c>
      <c r="E12" s="2" t="str">
        <f>IFERROR(__xludf.DUMMYFUNCTION("""COMPUTED_VALUE"""),"NA")</f>
        <v>NA</v>
      </c>
      <c r="F12" s="7" t="str">
        <f>IFERROR(__xludf.DUMMYFUNCTION("""COMPUTED_VALUE"""),"Human Values and Professional Ethics")</f>
        <v>Human Values and Professional Ethics</v>
      </c>
      <c r="G12" s="2" t="str">
        <f>IFERROR(__xludf.DUMMYFUNCTION("""COMPUTED_VALUE"""),"-")</f>
        <v>-</v>
      </c>
      <c r="H12" s="2">
        <f>IFERROR(__xludf.DUMMYFUNCTION("""COMPUTED_VALUE"""),2)</f>
        <v>2</v>
      </c>
      <c r="I12" s="2">
        <f>IFERROR(__xludf.DUMMYFUNCTION("""COMPUTED_VALUE"""),0)</f>
        <v>0</v>
      </c>
      <c r="J12" s="2">
        <f>IFERROR(__xludf.DUMMYFUNCTION("""COMPUTED_VALUE"""),2)</f>
        <v>2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 t="str">
        <f>IFERROR(__xludf.DUMMYFUNCTION("""COMPUTED_VALUE"""),"TOTAL")</f>
        <v>TOTAL</v>
      </c>
      <c r="N12" s="9">
        <f>IFERROR(__xludf.DUMMYFUNCTION("""COMPUTED_VALUE"""),168)</f>
        <v>168</v>
      </c>
      <c r="O12" s="9">
        <f>IFERROR(__xludf.DUMMYFUNCTION("""COMPUTED_VALUE"""),126)</f>
        <v>126</v>
      </c>
      <c r="P12" s="9"/>
      <c r="Q12" s="9"/>
      <c r="R12" s="9"/>
    </row>
    <row r="13" ht="48" customHeight="1" spans="1:18">
      <c r="A13" s="2">
        <f>IFERROR(__xludf.DUMMYFUNCTION("""COMPUTED_VALUE"""),10)</f>
        <v>10</v>
      </c>
      <c r="B13" s="2"/>
      <c r="C13" s="2" t="str">
        <f>IFERROR(__xludf.DUMMYFUNCTION("""COMPUTED_VALUE"""),"BS")</f>
        <v>BS</v>
      </c>
      <c r="D13" s="2" t="str">
        <f>IFERROR(__xludf.DUMMYFUNCTION("""COMPUTED_VALUE"""),"SH2222")</f>
        <v>SH2222</v>
      </c>
      <c r="E13" s="2" t="str">
        <f>IFERROR(__xludf.DUMMYFUNCTION("""COMPUTED_VALUE"""),"19MA222")</f>
        <v>19MA222</v>
      </c>
      <c r="F13" s="7" t="str">
        <f>IFERROR(__xludf.DUMMYFUNCTION("""COMPUTED_VALUE"""),"Probability and Queueing Models")</f>
        <v>Probability and Queueing Models</v>
      </c>
      <c r="G13" s="2" t="str">
        <f>IFERROR(__xludf.DUMMYFUNCTION("""COMPUTED_VALUE"""),"-")</f>
        <v>-</v>
      </c>
      <c r="H13" s="2">
        <f>IFERROR(__xludf.DUMMYFUNCTION("""COMPUTED_VALUE"""),3)</f>
        <v>3</v>
      </c>
      <c r="I13" s="2">
        <f>IFERROR(__xludf.DUMMYFUNCTION("""COMPUTED_VALUE"""),1)</f>
        <v>1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IFERROR(__xludf.DUMMYFUNCTION("""COMPUTED_VALUE"""),"TIP (6 Expts)")</f>
        <v>TIP (6 Expts)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IFERROR(__xludf.DUMMYFUNCTION("""COMPUTED_VALUE"""),11)</f>
        <v>11</v>
      </c>
      <c r="B14" s="2"/>
      <c r="C14" s="2" t="str">
        <f>IFERROR(__xludf.DUMMYFUNCTION("""COMPUTED_VALUE"""),"BS")</f>
        <v>BS</v>
      </c>
      <c r="D14" s="2" t="str">
        <f>IFERROR(__xludf.DUMMYFUNCTION("""COMPUTED_VALUE"""),"SH2219")</f>
        <v>SH2219</v>
      </c>
      <c r="E14" s="2" t="str">
        <f>IFERROR(__xludf.DUMMYFUNCTION("""COMPUTED_VALUE"""),"19MA219")</f>
        <v>19MA219</v>
      </c>
      <c r="F14" s="7" t="str">
        <f>IFERROR(__xludf.DUMMYFUNCTION("""COMPUTED_VALUE"""),"Transforms and Its Applications")</f>
        <v>Transforms and Its Applications</v>
      </c>
      <c r="G14" s="2" t="str">
        <f>IFERROR(__xludf.DUMMYFUNCTION("""COMPUTED_VALUE"""),"-")</f>
        <v>-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IFERROR(__xludf.DUMMYFUNCTION("""COMPUTED_VALUE"""),12)</f>
        <v>12</v>
      </c>
      <c r="B15" s="2"/>
      <c r="C15" s="2" t="str">
        <f>IFERROR(__xludf.DUMMYFUNCTION("""COMPUTED_VALUE"""),"BS")</f>
        <v>BS</v>
      </c>
      <c r="D15" s="2" t="str">
        <f>IFERROR(__xludf.DUMMYFUNCTION("""COMPUTED_VALUE"""),"SH2220")</f>
        <v>SH2220</v>
      </c>
      <c r="E15" s="2" t="str">
        <f>IFERROR(__xludf.DUMMYFUNCTION("""COMPUTED_VALUE"""),"19MA220")</f>
        <v>19MA220</v>
      </c>
      <c r="F15" s="7" t="str">
        <f>IFERROR(__xludf.DUMMYFUNCTION("""COMPUTED_VALUE"""),"Mathematics for Artificial Intelligence")</f>
        <v>Mathematics for Artificial Intelligence</v>
      </c>
      <c r="G15" s="2" t="str">
        <f>IFERROR(__xludf.DUMMYFUNCTION("""COMPUTED_VALUE"""),"-")</f>
        <v>-</v>
      </c>
      <c r="H15" s="2">
        <f>IFERROR(__xludf.DUMMYFUNCTION("""COMPUTED_VALUE"""),4)</f>
        <v>4</v>
      </c>
      <c r="I15" s="2">
        <f>IFERROR(__xludf.DUMMYFUNCTION("""COMPUTED_VALUE"""),0)</f>
        <v>0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IFERROR(__xludf.DUMMYFUNCTION("""COMPUTED_VALUE"""),"Theory")</f>
        <v>Theory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IFERROR(__xludf.DUMMYFUNCTION("""COMPUTED_VALUE"""),13)</f>
        <v>13</v>
      </c>
      <c r="B16" s="2"/>
      <c r="C16" s="2" t="str">
        <f>IFERROR(__xludf.DUMMYFUNCTION("""COMPUTED_VALUE"""),"BS")</f>
        <v>BS</v>
      </c>
      <c r="D16" s="2" t="str">
        <f>IFERROR(__xludf.DUMMYFUNCTION("""COMPUTED_VALUE"""),"SH2221")</f>
        <v>SH2221</v>
      </c>
      <c r="E16" s="2" t="str">
        <f>IFERROR(__xludf.DUMMYFUNCTION("""COMPUTED_VALUE"""),"19MA221")</f>
        <v>19MA221</v>
      </c>
      <c r="F16" s="7" t="str">
        <f>IFERROR(__xludf.DUMMYFUNCTION("""COMPUTED_VALUE"""),"Linear Algebra Laboratory")</f>
        <v>Linear Algebra Laboratory</v>
      </c>
      <c r="G16" s="2" t="str">
        <f>IFERROR(__xludf.DUMMYFUNCTION("""COMPUTED_VALUE"""),"-")</f>
        <v>-</v>
      </c>
      <c r="H16" s="2">
        <f>IFERROR(__xludf.DUMMYFUNCTION("""COMPUTED_VALUE"""),0)</f>
        <v>0</v>
      </c>
      <c r="I16" s="2">
        <f>IFERROR(__xludf.DUMMYFUNCTION("""COMPUTED_VALUE"""),2)</f>
        <v>2</v>
      </c>
      <c r="J16" s="2">
        <f>IFERROR(__xludf.DUMMYFUNCTION("""COMPUTED_VALUE"""),2)</f>
        <v>2</v>
      </c>
      <c r="K16" s="2" t="str">
        <f>IFERROR(__xludf.DUMMYFUNCTION("""COMPUTED_VALUE"""),"CGPA")</f>
        <v>CGPA</v>
      </c>
      <c r="L16" s="2" t="str">
        <f>IFERROR(__xludf.DUMMYFUNCTION("""COMPUTED_VALUE"""),"Practical (10 Expts)")</f>
        <v>Practical (10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IFERROR(__xludf.DUMMYFUNCTION("""COMPUTED_VALUE"""),14)</f>
        <v>14</v>
      </c>
      <c r="B17" s="2"/>
      <c r="C17" s="2" t="str">
        <f>IFERROR(__xludf.DUMMYFUNCTION("""COMPUTED_VALUE"""),"BS")</f>
        <v>BS</v>
      </c>
      <c r="D17" s="2" t="str">
        <f>IFERROR(__xludf.DUMMYFUNCTION("""COMPUTED_VALUE"""),"SH2211")</f>
        <v>SH2211</v>
      </c>
      <c r="E17" s="2" t="str">
        <f>IFERROR(__xludf.DUMMYFUNCTION("""COMPUTED_VALUE"""),"19MA211")</f>
        <v>19MA211</v>
      </c>
      <c r="F17" s="7" t="str">
        <f>IFERROR(__xludf.DUMMYFUNCTION("""COMPUTED_VALUE"""),"Statistics and Numerical Methods")</f>
        <v>Statistics and Numerical Methods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IFERROR(__xludf.DUMMYFUNCTION("""COMPUTED_VALUE"""),15)</f>
        <v>15</v>
      </c>
      <c r="B18" s="2" t="str">
        <f>IFERROR(__xludf.DUMMYFUNCTION("""COMPUTED_VALUE"""),"Exempted for LE")</f>
        <v>Exempted for LE</v>
      </c>
      <c r="C18" s="2" t="str">
        <f>IFERROR(__xludf.DUMMYFUNCTION("""COMPUTED_VALUE"""),"BS")</f>
        <v>BS</v>
      </c>
      <c r="D18" s="2" t="str">
        <f>IFERROR(__xludf.DUMMYFUNCTION("""COMPUTED_VALUE"""),"SH3214")</f>
        <v>SH3214</v>
      </c>
      <c r="E18" s="2" t="str">
        <f>IFERROR(__xludf.DUMMYFUNCTION("""COMPUTED_VALUE"""),"NA")</f>
        <v>NA</v>
      </c>
      <c r="F18" s="7" t="str">
        <f>IFERROR(__xludf.DUMMYFUNCTION("""COMPUTED_VALUE"""),"Physics for Quantum Computing")</f>
        <v>Physics for Quantum Computing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IFERROR(__xludf.DUMMYFUNCTION("""COMPUTED_VALUE"""),16)</f>
        <v>16</v>
      </c>
      <c r="B19" s="2" t="str">
        <f>IFERROR(__xludf.DUMMYFUNCTION("""COMPUTED_VALUE"""),"Exempted for LE")</f>
        <v>Exempted for LE</v>
      </c>
      <c r="C19" s="2" t="str">
        <f>IFERROR(__xludf.DUMMYFUNCTION("""COMPUTED_VALUE"""),"BS")</f>
        <v>BS</v>
      </c>
      <c r="D19" s="2" t="str">
        <f>IFERROR(__xludf.DUMMYFUNCTION("""COMPUTED_VALUE"""),"SH4205")</f>
        <v>SH4205</v>
      </c>
      <c r="E19" s="2" t="str">
        <f>IFERROR(__xludf.DUMMYFUNCTION("""COMPUTED_VALUE"""),"19CY205")</f>
        <v>19CY205</v>
      </c>
      <c r="F19" s="7" t="str">
        <f>IFERROR(__xludf.DUMMYFUNCTION("""COMPUTED_VALUE"""),"Principles of Chemistry in Engineering")</f>
        <v>Principles of Chemistry in Engineering</v>
      </c>
      <c r="G19" s="2" t="str">
        <f>IFERROR(__xludf.DUMMYFUNCTION("""COMPUTED_VALUE"""),"-")</f>
        <v>-</v>
      </c>
      <c r="H19" s="2">
        <f>IFERROR(__xludf.DUMMYFUNCTION("""COMPUTED_VALUE"""),3)</f>
        <v>3</v>
      </c>
      <c r="I19" s="2">
        <f>IFERROR(__xludf.DUMMYFUNCTION("""COMPUTED_VALUE"""),1)</f>
        <v>1</v>
      </c>
      <c r="J19" s="2">
        <f>IFERROR(__xludf.DUMMYFUNCTION("""COMPUTED_VALUE"""),4)</f>
        <v>4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IFERROR(__xludf.DUMMYFUNCTION("""COMPUTED_VALUE"""),17)</f>
        <v>17</v>
      </c>
      <c r="B20" s="2"/>
      <c r="C20" s="2" t="str">
        <f>IFERROR(__xludf.DUMMYFUNCTION("""COMPUTED_VALUE"""),"BS")</f>
        <v>BS</v>
      </c>
      <c r="D20" s="2" t="str">
        <f>IFERROR(__xludf.DUMMYFUNCTION("""COMPUTED_VALUE"""),"SH4801")</f>
        <v>SH4801</v>
      </c>
      <c r="E20" s="2" t="str">
        <f>IFERROR(__xludf.DUMMYFUNCTION("""COMPUTED_VALUE"""),"NA")</f>
        <v>NA</v>
      </c>
      <c r="F20" s="7" t="str">
        <f>IFERROR(__xludf.DUMMYFUNCTION("""COMPUTED_VALUE"""),"Environmental Sciences and Sustainability")</f>
        <v>Environmental Sciences and Sustainability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IFERROR(__xludf.DUMMYFUNCTION("""COMPUTED_VALUE"""),0)</f>
        <v>0</v>
      </c>
      <c r="J20" s="2">
        <f>IFERROR(__xludf.DUMMYFUNCTION("""COMPUTED_VALUE"""),2)</f>
        <v>2</v>
      </c>
      <c r="K20" s="2" t="str">
        <f>IFERROR(__xludf.DUMMYFUNCTION("""COMPUTED_VALUE"""),"CGPA")</f>
        <v>CGPA</v>
      </c>
      <c r="L20" s="2" t="str">
        <f>IFERROR(__xludf.DUMMYFUNCTION("""COMPUTED_VALUE"""),"Theory")</f>
        <v>Theory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IFERROR(__xludf.DUMMYFUNCTION("""COMPUTED_VALUE"""),18)</f>
        <v>18</v>
      </c>
      <c r="B21" s="2"/>
      <c r="C21" s="2" t="str">
        <f>IFERROR(__xludf.DUMMYFUNCTION("""COMPUTED_VALUE"""),"ES")</f>
        <v>ES</v>
      </c>
      <c r="D21" s="2" t="str">
        <f>IFERROR(__xludf.DUMMYFUNCTION("""COMPUTED_VALUE"""),"CS3301")</f>
        <v>CS3301</v>
      </c>
      <c r="E21" s="2" t="str">
        <f>IFERROR(__xludf.DUMMYFUNCTION("""COMPUTED_VALUE"""),"19AI301")</f>
        <v>19AI301</v>
      </c>
      <c r="F21" s="7" t="str">
        <f>IFERROR(__xludf.DUMMYFUNCTION("""COMPUTED_VALUE"""),"Python Programming")</f>
        <v>Python Programming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IFERROR(__xludf.DUMMYFUNCTION("""COMPUTED_VALUE"""),19)</f>
        <v>19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IFERROR(__xludf.DUMMYFUNCTION("""COMPUTED_VALUE"""),"CS3302")</f>
        <v>CS3302</v>
      </c>
      <c r="E22" s="2" t="str">
        <f>IFERROR(__xludf.DUMMYFUNCTION("""COMPUTED_VALUE"""),"19AI302")</f>
        <v>19AI302</v>
      </c>
      <c r="F22" s="7" t="str">
        <f>IFERROR(__xludf.DUMMYFUNCTION("""COMPUTED_VALUE"""),"Engineering Design and Modelling")</f>
        <v>Engineering Design and Modelling</v>
      </c>
      <c r="G22" s="2" t="str">
        <f>IFERROR(__xludf.DUMMYFUNCTION("""COMPUTED_VALUE"""),"-")</f>
        <v>-</v>
      </c>
      <c r="H22" s="2">
        <f>IFERROR(__xludf.DUMMYFUNCTION("""COMPUTED_VALUE"""),0)</f>
        <v>0</v>
      </c>
      <c r="I22" s="2">
        <f>IFERROR(__xludf.DUMMYFUNCTION("""COMPUTED_VALUE"""),3)</f>
        <v>3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IFERROR(__xludf.DUMMYFUNCTION("""COMPUTED_VALUE"""),"Practical (10 Expts)")</f>
        <v>Practical (10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IFERROR(__xludf.DUMMYFUNCTION("""COMPUTED_VALUE"""),20)</f>
        <v>20</v>
      </c>
      <c r="B23" s="2" t="str">
        <f>IFERROR(__xludf.DUMMYFUNCTION("""COMPUTED_VALUE"""),"Exempted for LE")</f>
        <v>Exempted for LE</v>
      </c>
      <c r="C23" s="2" t="str">
        <f>IFERROR(__xludf.DUMMYFUNCTION("""COMPUTED_VALUE"""),"ES")</f>
        <v>ES</v>
      </c>
      <c r="D23" s="2" t="str">
        <f>IFERROR(__xludf.DUMMYFUNCTION("""COMPUTED_VALUE"""),"CS3303")</f>
        <v>CS3303</v>
      </c>
      <c r="E23" s="2" t="str">
        <f>IFERROR(__xludf.DUMMYFUNCTION("""COMPUTED_VALUE"""),"19AI303")</f>
        <v>19AI303</v>
      </c>
      <c r="F23" s="7" t="str">
        <f>IFERROR(__xludf.DUMMYFUNCTION("""COMPUTED_VALUE"""),"Engineering Mechanics and Product Development")</f>
        <v>Engineering Mechanics and Product Development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IFERROR(__xludf.DUMMYFUNCTION("""COMPUTED_VALUE"""),21)</f>
        <v>21</v>
      </c>
      <c r="B24" s="2"/>
      <c r="C24" s="2" t="str">
        <f>IFERROR(__xludf.DUMMYFUNCTION("""COMPUTED_VALUE"""),"ES")</f>
        <v>ES</v>
      </c>
      <c r="D24" s="2" t="str">
        <f>IFERROR(__xludf.DUMMYFUNCTION("""COMPUTED_VALUE"""),"CS3306")</f>
        <v>CS3306</v>
      </c>
      <c r="E24" s="2" t="str">
        <f>IFERROR(__xludf.DUMMYFUNCTION("""COMPUTED_VALUE"""),"19AI306")</f>
        <v>19AI306</v>
      </c>
      <c r="F24" s="7" t="str">
        <f>IFERROR(__xludf.DUMMYFUNCTION("""COMPUTED_VALUE"""),"Object Oriented Programming using C++")</f>
        <v>Object Oriented Programming using C++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IFERROR(__xludf.DUMMYFUNCTION("""COMPUTED_VALUE"""),22)</f>
        <v>22</v>
      </c>
      <c r="B25" s="2"/>
      <c r="C25" s="2" t="str">
        <f>IFERROR(__xludf.DUMMYFUNCTION("""COMPUTED_VALUE"""),"ES")</f>
        <v>ES</v>
      </c>
      <c r="D25" s="2" t="str">
        <f>IFERROR(__xludf.DUMMYFUNCTION("""COMPUTED_VALUE"""),"CS3307")</f>
        <v>CS3307</v>
      </c>
      <c r="E25" s="2" t="str">
        <f>IFERROR(__xludf.DUMMYFUNCTION("""COMPUTED_VALUE"""),"19AI307")</f>
        <v>19AI307</v>
      </c>
      <c r="F25" s="7" t="str">
        <f>IFERROR(__xludf.DUMMYFUNCTION("""COMPUTED_VALUE"""),"Object Oriented Programming using Java")</f>
        <v>Object Oriented Programming using Java</v>
      </c>
      <c r="G25" s="2" t="str">
        <f>IFERROR(__xludf.DUMMYFUNCTION("""COMPUTED_VALUE"""),"19AI304")</f>
        <v>19AI304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IFERROR(__xludf.DUMMYFUNCTION("""COMPUTED_VALUE"""),23)</f>
        <v>23</v>
      </c>
      <c r="B26" s="2"/>
      <c r="C26" s="2" t="str">
        <f>IFERROR(__xludf.DUMMYFUNCTION("""COMPUTED_VALUE"""),"ES")</f>
        <v>ES</v>
      </c>
      <c r="D26" s="2" t="str">
        <f>IFERROR(__xludf.DUMMYFUNCTION("""COMPUTED_VALUE"""),"CS3308")</f>
        <v>CS3308</v>
      </c>
      <c r="E26" s="2" t="str">
        <f>IFERROR(__xludf.DUMMYFUNCTION("""COMPUTED_VALUE"""),"19AI308")</f>
        <v>19AI308</v>
      </c>
      <c r="F26" s="7" t="str">
        <f>IFERROR(__xludf.DUMMYFUNCTION("""COMPUTED_VALUE"""),"Object Oriented Programming using C#")</f>
        <v>Object Oriented Programming using C#</v>
      </c>
      <c r="G26" s="2" t="str">
        <f>IFERROR(__xludf.DUMMYFUNCTION("""COMPUTED_VALUE"""),"-")</f>
        <v>-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IFERROR(__xludf.DUMMYFUNCTION("""COMPUTED_VALUE"""),24)</f>
        <v>24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IFERROR(__xludf.DUMMYFUNCTION("""COMPUTED_VALUE"""),"EC2404")</f>
        <v>EC2404</v>
      </c>
      <c r="E27" s="2" t="str">
        <f>IFERROR(__xludf.DUMMYFUNCTION("""COMPUTED_VALUE"""),"19EE404")</f>
        <v>19EE404</v>
      </c>
      <c r="F27" s="7" t="str">
        <f>IFERROR(__xludf.DUMMYFUNCTION("""COMPUTED_VALUE"""),"Digital Electronics")</f>
        <v>Digital Electronics</v>
      </c>
      <c r="G27" s="2" t="str">
        <f>IFERROR(__xludf.DUMMYFUNCTION("""COMPUTED_VALUE"""),"-")</f>
        <v>-</v>
      </c>
      <c r="H27" s="2">
        <f>IFERROR(__xludf.DUMMYFUNCTION("""COMPUTED_VALUE"""),3)</f>
        <v>3</v>
      </c>
      <c r="I27" s="2">
        <f>IFERROR(__xludf.DUMMYFUNCTION("""COMPUTED_VALUE"""),1)</f>
        <v>1</v>
      </c>
      <c r="J27" s="2">
        <f>IFERROR(__xludf.DUMMYFUNCTION("""COMPUTED_VALUE"""),4)</f>
        <v>4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IFERROR(__xludf.DUMMYFUNCTION("""COMPUTED_VALUE"""),25)</f>
        <v>25</v>
      </c>
      <c r="B28" s="2" t="str">
        <f>IFERROR(__xludf.DUMMYFUNCTION("""COMPUTED_VALUE"""),"Exempted for LE")</f>
        <v>Exempted for LE</v>
      </c>
      <c r="C28" s="2" t="str">
        <f>IFERROR(__xludf.DUMMYFUNCTION("""COMPUTED_VALUE"""),"ES")</f>
        <v>ES</v>
      </c>
      <c r="D28" s="2" t="str">
        <f>IFERROR(__xludf.DUMMYFUNCTION("""COMPUTED_VALUE"""),"EC2305")</f>
        <v>EC2305</v>
      </c>
      <c r="E28" s="2" t="str">
        <f>IFERROR(__xludf.DUMMYFUNCTION("""COMPUTED_VALUE"""),"19EE305")</f>
        <v>19EE305</v>
      </c>
      <c r="F28" s="7" t="str">
        <f>IFERROR(__xludf.DUMMYFUNCTION("""COMPUTED_VALUE"""),"Basic Electrical, Electronics and Measurement Engineering")</f>
        <v>Basic Electrical, Electronics and Measurement Engineering</v>
      </c>
      <c r="G28" s="2" t="str">
        <f>IFERROR(__xludf.DUMMYFUNCTION("""COMPUTED_VALUE"""),"-")</f>
        <v>-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IFERROR(__xludf.DUMMYFUNCTION("""COMPUTED_VALUE"""),26)</f>
        <v>26</v>
      </c>
      <c r="B29" s="2" t="str">
        <f>IFERROR(__xludf.DUMMYFUNCTION("""COMPUTED_VALUE"""),"Exempted for LE")</f>
        <v>Exempted for LE</v>
      </c>
      <c r="C29" s="2" t="str">
        <f>IFERROR(__xludf.DUMMYFUNCTION("""COMPUTED_VALUE"""),"ES")</f>
        <v>ES</v>
      </c>
      <c r="D29" s="2" t="str">
        <f>IFERROR(__xludf.DUMMYFUNCTION("""COMPUTED_VALUE"""),"EC2309")</f>
        <v>EC2309</v>
      </c>
      <c r="E29" s="2" t="str">
        <f>IFERROR(__xludf.DUMMYFUNCTION("""COMPUTED_VALUE"""),"19EE309")</f>
        <v>19EE309</v>
      </c>
      <c r="F29" s="7" t="str">
        <f>IFERROR(__xludf.DUMMYFUNCTION("""COMPUTED_VALUE"""),"Programming Microcontrollers")</f>
        <v>Programming Microcontrollers</v>
      </c>
      <c r="G29" s="2" t="str">
        <f>IFERROR(__xludf.DUMMYFUNCTION("""COMPUTED_VALUE"""),"-")</f>
        <v>-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IFERROR(__xludf.DUMMYFUNCTION("""COMPUTED_VALUE"""),27)</f>
        <v>27</v>
      </c>
      <c r="B30" s="2"/>
      <c r="C30" s="2" t="str">
        <f>IFERROR(__xludf.DUMMYFUNCTION("""COMPUTED_VALUE"""),"ES")</f>
        <v>ES</v>
      </c>
      <c r="D30" s="2" t="str">
        <f>IFERROR(__xludf.DUMMYFUNCTION("""COMPUTED_VALUE"""),"CS3304")</f>
        <v>CS3304</v>
      </c>
      <c r="E30" s="2" t="str">
        <f>IFERROR(__xludf.DUMMYFUNCTION("""COMPUTED_VALUE"""),"19AI304")</f>
        <v>19AI304</v>
      </c>
      <c r="F30" s="7" t="str">
        <f>IFERROR(__xludf.DUMMYFUNCTION("""COMPUTED_VALUE"""),"Fundamentals of C Programming")</f>
        <v>Fundamentals of C Programming</v>
      </c>
      <c r="G30" s="2" t="str">
        <f>IFERROR(__xludf.DUMMYFUNCTION("""COMPUTED_VALUE"""),"-")</f>
        <v>-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IFERROR(__xludf.DUMMYFUNCTION("""COMPUTED_VALUE"""),28)</f>
        <v>28</v>
      </c>
      <c r="B31" s="2"/>
      <c r="C31" s="2" t="str">
        <f>IFERROR(__xludf.DUMMYFUNCTION("""COMPUTED_VALUE"""),"ES")</f>
        <v>ES</v>
      </c>
      <c r="D31" s="2" t="str">
        <f>IFERROR(__xludf.DUMMYFUNCTION("""COMPUTED_VALUE"""),"CS3305")</f>
        <v>CS3305</v>
      </c>
      <c r="E31" s="2" t="str">
        <f>IFERROR(__xludf.DUMMYFUNCTION("""COMPUTED_VALUE"""),"19AI305")</f>
        <v>19AI305</v>
      </c>
      <c r="F31" s="7" t="str">
        <f>IFERROR(__xludf.DUMMYFUNCTION("""COMPUTED_VALUE"""),"Advanced C Programming")</f>
        <v>Advanced C Programming</v>
      </c>
      <c r="G31" s="2" t="str">
        <f>IFERROR(__xludf.DUMMYFUNCTION("""COMPUTED_VALUE"""),"19AI304 / CS3304")</f>
        <v>19AI304 / CS3304</v>
      </c>
      <c r="H31" s="2">
        <f>IFERROR(__xludf.DUMMYFUNCTION("""COMPUTED_VALUE"""),2)</f>
        <v>2</v>
      </c>
      <c r="I31" s="2">
        <f>IFERROR(__xludf.DUMMYFUNCTION("""COMPUTED_VALUE"""),1)</f>
        <v>1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IFERROR(__xludf.DUMMYFUNCTION("""COMPUTED_VALUE"""),29)</f>
        <v>29</v>
      </c>
      <c r="B32" s="2"/>
      <c r="C32" s="2" t="str">
        <f>IFERROR(__xludf.DUMMYFUNCTION("""COMPUTED_VALUE"""),"PC")</f>
        <v>PC</v>
      </c>
      <c r="D32" s="2" t="str">
        <f>IFERROR(__xludf.DUMMYFUNCTION("""COMPUTED_VALUE"""),"CS1405")</f>
        <v>CS1405</v>
      </c>
      <c r="E32" s="2" t="str">
        <f>IFERROR(__xludf.DUMMYFUNCTION("""COMPUTED_VALUE"""),"19CS405")</f>
        <v>19CS405</v>
      </c>
      <c r="F32" s="7" t="str">
        <f>IFERROR(__xludf.DUMMYFUNCTION("""COMPUTED_VALUE"""),"Operating System")</f>
        <v>Operating System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IFERROR(__xludf.DUMMYFUNCTION("""COMPUTED_VALUE"""),30)</f>
        <v>30</v>
      </c>
      <c r="B33" s="2"/>
      <c r="C33" s="2" t="str">
        <f>IFERROR(__xludf.DUMMYFUNCTION("""COMPUTED_VALUE"""),"PC")</f>
        <v>PC</v>
      </c>
      <c r="D33" s="2" t="str">
        <f>IFERROR(__xludf.DUMMYFUNCTION("""COMPUTED_VALUE"""),"CS1406")</f>
        <v>CS1406</v>
      </c>
      <c r="E33" s="2" t="str">
        <f>IFERROR(__xludf.DUMMYFUNCTION("""COMPUTED_VALUE"""),"19CS406")</f>
        <v>19CS406</v>
      </c>
      <c r="F33" s="7" t="str">
        <f>IFERROR(__xludf.DUMMYFUNCTION("""COMPUTED_VALUE"""),"Computer Networks")</f>
        <v>Computer Networks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IFERROR(__xludf.DUMMYFUNCTION("""COMPUTED_VALUE"""),31)</f>
        <v>31</v>
      </c>
      <c r="B34" s="2"/>
      <c r="C34" s="2" t="str">
        <f>IFERROR(__xludf.DUMMYFUNCTION("""COMPUTED_VALUE"""),"PC")</f>
        <v>PC</v>
      </c>
      <c r="D34" s="2" t="str">
        <f>IFERROR(__xludf.DUMMYFUNCTION("""COMPUTED_VALUE"""),"CS1404")</f>
        <v>CS1404</v>
      </c>
      <c r="E34" s="2" t="str">
        <f>IFERROR(__xludf.DUMMYFUNCTION("""COMPUTED_VALUE"""),"19CS404")</f>
        <v>19CS404</v>
      </c>
      <c r="F34" s="3" t="str">
        <f>IFERROR(__xludf.DUMMYFUNCTION("""COMPUTED_VALUE"""),"Database Management System and its Applications")</f>
        <v>Database Management System and its Applications</v>
      </c>
      <c r="G34" s="2" t="str">
        <f>IFERROR(__xludf.DUMMYFUNCTION("""COMPUTED_VALUE"""),"19AI301/19AI304/19CS301/19CS302/19CS303")</f>
        <v>19AI301/19AI304/19CS301/19CS302/19CS303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IFERROR(__xludf.DUMMYFUNCTION("""COMPUTED_VALUE"""),32)</f>
        <v>32</v>
      </c>
      <c r="B35" s="2"/>
      <c r="C35" s="2" t="str">
        <f>IFERROR(__xludf.DUMMYFUNCTION("""COMPUTED_VALUE"""),"PC")</f>
        <v>PC</v>
      </c>
      <c r="D35" s="2" t="str">
        <f>IFERROR(__xludf.DUMMYFUNCTION("""COMPUTED_VALUE"""),"CS3408")</f>
        <v>CS3408</v>
      </c>
      <c r="E35" s="2" t="str">
        <f>IFERROR(__xludf.DUMMYFUNCTION("""COMPUTED_VALUE"""),"19AI408")</f>
        <v>19AI408</v>
      </c>
      <c r="F35" s="7" t="str">
        <f>IFERROR(__xludf.DUMMYFUNCTION("""COMPUTED_VALUE"""),"Data Structures")</f>
        <v>Data Structures</v>
      </c>
      <c r="G35" s="2" t="str">
        <f>IFERROR(__xludf.DUMMYFUNCTION("""COMPUTED_VALUE"""),"19AI304 / CS3304")</f>
        <v>19AI304 / CS3304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IFERROR(__xludf.DUMMYFUNCTION("""COMPUTED_VALUE"""),33)</f>
        <v>33</v>
      </c>
      <c r="B36" s="2"/>
      <c r="C36" s="2" t="str">
        <f>IFERROR(__xludf.DUMMYFUNCTION("""COMPUTED_VALUE"""),"PC")</f>
        <v>PC</v>
      </c>
      <c r="D36" s="2" t="str">
        <f>IFERROR(__xludf.DUMMYFUNCTION("""COMPUTED_VALUE"""),"CS3404")</f>
        <v>CS3404</v>
      </c>
      <c r="E36" s="2" t="str">
        <f>IFERROR(__xludf.DUMMYFUNCTION("""COMPUTED_VALUE"""),"19AI404")</f>
        <v>19AI404</v>
      </c>
      <c r="F36" s="7" t="str">
        <f>IFERROR(__xludf.DUMMYFUNCTION("""COMPUTED_VALUE"""),"Analysis of Algorithms")</f>
        <v>Analysis of Algorithms</v>
      </c>
      <c r="G36" s="2" t="str">
        <f>IFERROR(__xludf.DUMMYFUNCTION("""COMPUTED_VALUE"""),"19AI301")</f>
        <v>19AI301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IFERROR(__xludf.DUMMYFUNCTION("""COMPUTED_VALUE"""),34)</f>
        <v>34</v>
      </c>
      <c r="B37" s="2"/>
      <c r="C37" s="2" t="str">
        <f>IFERROR(__xludf.DUMMYFUNCTION("""COMPUTED_VALUE"""),"PC")</f>
        <v>PC</v>
      </c>
      <c r="D37" s="2" t="str">
        <f>IFERROR(__xludf.DUMMYFUNCTION("""COMPUTED_VALUE"""),"CS3414")</f>
        <v>CS3414</v>
      </c>
      <c r="E37" s="2" t="str">
        <f>IFERROR(__xludf.DUMMYFUNCTION("""COMPUTED_VALUE"""),"19AI414")</f>
        <v>19AI414</v>
      </c>
      <c r="F37" s="7" t="str">
        <f>IFERROR(__xludf.DUMMYFUNCTION("""COMPUTED_VALUE"""),"Fundamentals of Web Application Development")</f>
        <v>Fundamentals of Web Application Development</v>
      </c>
      <c r="G37" s="2" t="str">
        <f>IFERROR(__xludf.DUMMYFUNCTION("""COMPUTED_VALUE"""),"-")</f>
        <v>-</v>
      </c>
      <c r="H37" s="2">
        <f>IFERROR(__xludf.DUMMYFUNCTION("""COMPUTED_VALUE"""),3)</f>
        <v>3</v>
      </c>
      <c r="I37" s="2">
        <f>IFERROR(__xludf.DUMMYFUNCTION("""COMPUTED_VALUE"""),2)</f>
        <v>2</v>
      </c>
      <c r="J37" s="2">
        <f>IFERROR(__xludf.DUMMYFUNCTION("""COMPUTED_VALUE"""),5)</f>
        <v>5</v>
      </c>
      <c r="K37" s="2" t="str">
        <f>IFERROR(__xludf.DUMMYFUNCTION("""COMPUTED_VALUE"""),"CGPA")</f>
        <v>CGPA</v>
      </c>
      <c r="L37" s="2" t="str">
        <f>IFERROR(__xludf.DUMMYFUNCTION("""COMPUTED_VALUE"""),"TIP (10 Expts)")</f>
        <v>TIP (10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IFERROR(__xludf.DUMMYFUNCTION("""COMPUTED_VALUE"""),35)</f>
        <v>35</v>
      </c>
      <c r="B38" s="2"/>
      <c r="C38" s="2" t="str">
        <f>IFERROR(__xludf.DUMMYFUNCTION("""COMPUTED_VALUE"""),"PC")</f>
        <v>PC</v>
      </c>
      <c r="D38" s="2" t="str">
        <f>IFERROR(__xludf.DUMMYFUNCTION("""COMPUTED_VALUE"""),"CS3405")</f>
        <v>CS3405</v>
      </c>
      <c r="E38" s="2" t="str">
        <f>IFERROR(__xludf.DUMMYFUNCTION("""COMPUTED_VALUE"""),"19AI405")</f>
        <v>19AI405</v>
      </c>
      <c r="F38" s="7" t="str">
        <f>IFERROR(__xludf.DUMMYFUNCTION("""COMPUTED_VALUE"""),"Fundamentals of Artificial Intelligence")</f>
        <v>Fundamentals of Artificial Intelligence</v>
      </c>
      <c r="G38" s="2" t="str">
        <f>IFERROR(__xludf.DUMMYFUNCTION("""COMPUTED_VALUE"""),"19CS301")</f>
        <v>19CS301</v>
      </c>
      <c r="H38" s="2">
        <f>IFERROR(__xludf.DUMMYFUNCTION("""COMPUTED_VALUE"""),2)</f>
        <v>2</v>
      </c>
      <c r="I38" s="2">
        <f>IFERROR(__xludf.DUMMYFUNCTION("""COMPUTED_VALUE"""),1)</f>
        <v>1</v>
      </c>
      <c r="J38" s="2">
        <f>IFERROR(__xludf.DUMMYFUNCTION("""COMPUTED_VALUE"""),3)</f>
        <v>3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IFERROR(__xludf.DUMMYFUNCTION("""COMPUTED_VALUE"""),36)</f>
        <v>36</v>
      </c>
      <c r="B39" s="2"/>
      <c r="C39" s="2" t="str">
        <f>IFERROR(__xludf.DUMMYFUNCTION("""COMPUTED_VALUE"""),"PC")</f>
        <v>PC</v>
      </c>
      <c r="D39" s="2" t="str">
        <f>IFERROR(__xludf.DUMMYFUNCTION("""COMPUTED_VALUE"""),"CS3550")</f>
        <v>CS3550</v>
      </c>
      <c r="E39" s="2" t="str">
        <f>IFERROR(__xludf.DUMMYFUNCTION("""COMPUTED_VALUE"""),"19AI550")</f>
        <v>19AI550</v>
      </c>
      <c r="F39" s="7" t="str">
        <f>IFERROR(__xludf.DUMMYFUNCTION("""COMPUTED_VALUE"""),"Artificial Intelligence for Games")</f>
        <v>Artificial Intelligence for Games</v>
      </c>
      <c r="G39" s="2" t="str">
        <f>IFERROR(__xludf.DUMMYFUNCTION("""COMPUTED_VALUE"""),"-")</f>
        <v>-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IFERROR(__xludf.DUMMYFUNCTION("""COMPUTED_VALUE"""),37)</f>
        <v>37</v>
      </c>
      <c r="B40" s="2"/>
      <c r="C40" s="2" t="str">
        <f>IFERROR(__xludf.DUMMYFUNCTION("""COMPUTED_VALUE"""),"PC")</f>
        <v>PC</v>
      </c>
      <c r="D40" s="2" t="str">
        <f>IFERROR(__xludf.DUMMYFUNCTION("""COMPUTED_VALUE"""),"CS3406")</f>
        <v>CS3406</v>
      </c>
      <c r="E40" s="2" t="str">
        <f>IFERROR(__xludf.DUMMYFUNCTION("""COMPUTED_VALUE"""),"19AI406")</f>
        <v>19AI406</v>
      </c>
      <c r="F40" s="7" t="str">
        <f>IFERROR(__xludf.DUMMYFUNCTION("""COMPUTED_VALUE"""),"Digital Image Processing Techniques")</f>
        <v>Digital Image Processing Techniques</v>
      </c>
      <c r="G40" s="2" t="str">
        <f>IFERROR(__xludf.DUMMYFUNCTION("""COMPUTED_VALUE"""),"-")</f>
        <v>-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IFERROR(__xludf.DUMMYFUNCTION("""COMPUTED_VALUE"""),38)</f>
        <v>38</v>
      </c>
      <c r="B41" s="2"/>
      <c r="C41" s="2" t="str">
        <f>IFERROR(__xludf.DUMMYFUNCTION("""COMPUTED_VALUE"""),"PC")</f>
        <v>PC</v>
      </c>
      <c r="D41" s="2" t="str">
        <f>IFERROR(__xludf.DUMMYFUNCTION("""COMPUTED_VALUE"""),"CS3409")</f>
        <v>CS3409</v>
      </c>
      <c r="E41" s="2" t="str">
        <f>IFERROR(__xludf.DUMMYFUNCTION("""COMPUTED_VALUE"""),"19AI409")</f>
        <v>19AI409</v>
      </c>
      <c r="F41" s="7" t="str">
        <f>IFERROR(__xludf.DUMMYFUNCTION("""COMPUTED_VALUE"""),"Applied Artificial Intelligence")</f>
        <v>Applied Artificial Intelligence</v>
      </c>
      <c r="G41" s="2" t="str">
        <f>IFERROR(__xludf.DUMMYFUNCTION("""COMPUTED_VALUE"""),"19AI405/19CS301")</f>
        <v>19AI405/19CS301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IFERROR(__xludf.DUMMYFUNCTION("""COMPUTED_VALUE"""),39)</f>
        <v>39</v>
      </c>
      <c r="B42" s="2"/>
      <c r="C42" s="2" t="str">
        <f>IFERROR(__xludf.DUMMYFUNCTION("""COMPUTED_VALUE"""),"PC")</f>
        <v>PC</v>
      </c>
      <c r="D42" s="2" t="str">
        <f>IFERROR(__xludf.DUMMYFUNCTION("""COMPUTED_VALUE"""),"CS3410")</f>
        <v>CS3410</v>
      </c>
      <c r="E42" s="2" t="str">
        <f>IFERROR(__xludf.DUMMYFUNCTION("""COMPUTED_VALUE"""),"19AI410")</f>
        <v>19AI410</v>
      </c>
      <c r="F42" s="7" t="str">
        <f>IFERROR(__xludf.DUMMYFUNCTION("""COMPUTED_VALUE"""),"Introduction to Machine Learning")</f>
        <v>Introduction to Machine Learning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IFERROR(__xludf.DUMMYFUNCTION("""COMPUTED_VALUE"""),40)</f>
        <v>40</v>
      </c>
      <c r="B43" s="2"/>
      <c r="C43" s="2" t="str">
        <f>IFERROR(__xludf.DUMMYFUNCTION("""COMPUTED_VALUE"""),"PC")</f>
        <v>PC</v>
      </c>
      <c r="D43" s="2" t="str">
        <f>IFERROR(__xludf.DUMMYFUNCTION("""COMPUTED_VALUE"""),"CS4401")</f>
        <v>CS4401</v>
      </c>
      <c r="E43" s="2" t="str">
        <f>IFERROR(__xludf.DUMMYFUNCTION("""COMPUTED_VALUE"""),"19AM401")</f>
        <v>19AM401</v>
      </c>
      <c r="F43" s="3" t="str">
        <f>IFERROR(__xludf.DUMMYFUNCTION("""COMPUTED_VALUE"""),"Time Series Analysis and Forecasting")</f>
        <v>Time Series Analysis and Forecasting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IFERROR(__xludf.DUMMYFUNCTION("""COMPUTED_VALUE"""),1)</f>
        <v>1</v>
      </c>
      <c r="J43" s="2">
        <f>IFERROR(__xludf.DUMMYFUNCTION("""COMPUTED_VALUE"""),4)</f>
        <v>4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IFERROR(__xludf.DUMMYFUNCTION("""COMPUTED_VALUE"""),41)</f>
        <v>41</v>
      </c>
      <c r="B44" s="2"/>
      <c r="C44" s="2" t="str">
        <f>IFERROR(__xludf.DUMMYFUNCTION("""COMPUTED_VALUE"""),"PC")</f>
        <v>PC</v>
      </c>
      <c r="D44" s="2" t="str">
        <f>IFERROR(__xludf.DUMMYFUNCTION("""COMPUTED_VALUE"""),"CS3411")</f>
        <v>CS3411</v>
      </c>
      <c r="E44" s="2" t="str">
        <f>IFERROR(__xludf.DUMMYFUNCTION("""COMPUTED_VALUE"""),"19AI411")</f>
        <v>19AI411</v>
      </c>
      <c r="F44" s="7" t="str">
        <f>IFERROR(__xludf.DUMMYFUNCTION("""COMPUTED_VALUE"""),"Neural Networks")</f>
        <v>Neural Networks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IFERROR(__xludf.DUMMYFUNCTION("""COMPUTED_VALUE"""),42)</f>
        <v>42</v>
      </c>
      <c r="B45" s="2"/>
      <c r="C45" s="2" t="str">
        <f>IFERROR(__xludf.DUMMYFUNCTION("""COMPUTED_VALUE"""),"PC")</f>
        <v>PC</v>
      </c>
      <c r="D45" s="2" t="str">
        <f>IFERROR(__xludf.DUMMYFUNCTION("""COMPUTED_VALUE"""),"CS3505")</f>
        <v>CS3505</v>
      </c>
      <c r="E45" s="2" t="str">
        <f>IFERROR(__xludf.DUMMYFUNCTION("""COMPUTED_VALUE"""),"19AI505")</f>
        <v>19AI505</v>
      </c>
      <c r="F45" s="3" t="str">
        <f>IFERROR(__xludf.DUMMYFUNCTION("""COMPUTED_VALUE"""),"Reinforcement Learning")</f>
        <v>Reinforcement Learning</v>
      </c>
      <c r="G45" s="2" t="str">
        <f>IFERROR(__xludf.DUMMYFUNCTION("""COMPUTED_VALUE"""),"19CS301")</f>
        <v>19CS301</v>
      </c>
      <c r="H45" s="2">
        <f>IFERROR(__xludf.DUMMYFUNCTION("""COMPUTED_VALUE"""),2)</f>
        <v>2</v>
      </c>
      <c r="I45" s="2">
        <f>IFERROR(__xludf.DUMMYFUNCTION("""COMPUTED_VALUE"""),1)</f>
        <v>1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IFERROR(__xludf.DUMMYFUNCTION("""COMPUTED_VALUE"""),"TIP (6 Expts)")</f>
        <v>TIP (6 Expts)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IFERROR(__xludf.DUMMYFUNCTION("""COMPUTED_VALUE"""),43)</f>
        <v>43</v>
      </c>
      <c r="B46" s="2"/>
      <c r="C46" s="2" t="str">
        <f>IFERROR(__xludf.DUMMYFUNCTION("""COMPUTED_VALUE"""),"PC")</f>
        <v>PC</v>
      </c>
      <c r="D46" s="2" t="str">
        <f>IFERROR(__xludf.DUMMYFUNCTION("""COMPUTED_VALUE"""),"CS3413")</f>
        <v>CS3413</v>
      </c>
      <c r="E46" s="2" t="str">
        <f>IFERROR(__xludf.DUMMYFUNCTION("""COMPUTED_VALUE"""),"19AI413")</f>
        <v>19AI413</v>
      </c>
      <c r="F46" s="7" t="str">
        <f>IFERROR(__xludf.DUMMYFUNCTION("""COMPUTED_VALUE"""),"Deep Learning and its Applications")</f>
        <v>Deep Learning and its Applications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IFERROR(__xludf.DUMMYFUNCTION("""COMPUTED_VALUE"""),44)</f>
        <v>44</v>
      </c>
      <c r="B47" s="2"/>
      <c r="C47" s="2" t="str">
        <f>IFERROR(__xludf.DUMMYFUNCTION("""COMPUTED_VALUE"""),"PE 
")</f>
        <v>PE 
</v>
      </c>
      <c r="D47" s="2" t="str">
        <f>IFERROR(__xludf.DUMMYFUNCTION("""COMPUTED_VALUE"""),"CS3501")</f>
        <v>CS3501</v>
      </c>
      <c r="E47" s="2" t="str">
        <f>IFERROR(__xludf.DUMMYFUNCTION("""COMPUTED_VALUE"""),"19AI501")</f>
        <v>19AI501</v>
      </c>
      <c r="F47" s="3" t="str">
        <f>IFERROR(__xludf.DUMMYFUNCTION("""COMPUTED_VALUE"""),"Applications of Artificial Intelligence")</f>
        <v>Applications of Artificial Intelligence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IFERROR(__xludf.DUMMYFUNCTION("""COMPUTED_VALUE"""),45)</f>
        <v>45</v>
      </c>
      <c r="B48" s="2"/>
      <c r="C48" s="2" t="str">
        <f>IFERROR(__xludf.DUMMYFUNCTION("""COMPUTED_VALUE"""),"PE")</f>
        <v>PE</v>
      </c>
      <c r="D48" s="2" t="str">
        <f>IFERROR(__xludf.DUMMYFUNCTION("""COMPUTED_VALUE"""),"CS3502")</f>
        <v>CS3502</v>
      </c>
      <c r="E48" s="2" t="str">
        <f>IFERROR(__xludf.DUMMYFUNCTION("""COMPUTED_VALUE"""),"19AI502")</f>
        <v>19AI502</v>
      </c>
      <c r="F48" s="7" t="str">
        <f>IFERROR(__xludf.DUMMYFUNCTION("""COMPUTED_VALUE"""),"Applied Natural Language Processing")</f>
        <v>Applied Natural Language Processing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IFERROR(__xludf.DUMMYFUNCTION("""COMPUTED_VALUE"""),46)</f>
        <v>46</v>
      </c>
      <c r="B49" s="2"/>
      <c r="C49" s="2" t="str">
        <f>IFERROR(__xludf.DUMMYFUNCTION("""COMPUTED_VALUE"""),"PE 
")</f>
        <v>PE 
</v>
      </c>
      <c r="D49" s="2" t="str">
        <f>IFERROR(__xludf.DUMMYFUNCTION("""COMPUTED_VALUE"""),"CS3503")</f>
        <v>CS3503</v>
      </c>
      <c r="E49" s="2" t="str">
        <f>IFERROR(__xludf.DUMMYFUNCTION("""COMPUTED_VALUE"""),"19AI503")</f>
        <v>19AI503</v>
      </c>
      <c r="F49" s="7" t="str">
        <f>IFERROR(__xludf.DUMMYFUNCTION("""COMPUTED_VALUE"""),"Computer Vision")</f>
        <v>Computer Vision</v>
      </c>
      <c r="G49" s="2" t="str">
        <f>IFERROR(__xludf.DUMMYFUNCTION("""COMPUTED_VALUE"""),"19CS301")</f>
        <v>19CS301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IFERROR(__xludf.DUMMYFUNCTION("""COMPUTED_VALUE"""),47)</f>
        <v>47</v>
      </c>
      <c r="B50" s="2"/>
      <c r="C50" s="2" t="str">
        <f>IFERROR(__xludf.DUMMYFUNCTION("""COMPUTED_VALUE"""),"PE 
")</f>
        <v>PE 
</v>
      </c>
      <c r="D50" s="2" t="str">
        <f>IFERROR(__xludf.DUMMYFUNCTION("""COMPUTED_VALUE"""),"CS3504")</f>
        <v>CS3504</v>
      </c>
      <c r="E50" s="2" t="str">
        <f>IFERROR(__xludf.DUMMYFUNCTION("""COMPUTED_VALUE"""),"19AI504")</f>
        <v>19AI504</v>
      </c>
      <c r="F50" s="7" t="str">
        <f>IFERROR(__xludf.DUMMYFUNCTION("""COMPUTED_VALUE"""),"Mobile Robotics")</f>
        <v>Mobile Robotics</v>
      </c>
      <c r="G50" s="2" t="str">
        <f>IFERROR(__xludf.DUMMYFUNCTION("""COMPUTED_VALUE"""),"-")</f>
        <v>-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IFERROR(__xludf.DUMMYFUNCTION("""COMPUTED_VALUE"""),48)</f>
        <v>48</v>
      </c>
      <c r="B51" s="2"/>
      <c r="C51" s="2" t="str">
        <f>IFERROR(__xludf.DUMMYFUNCTION("""COMPUTED_VALUE"""),"PE 
")</f>
        <v>PE 
</v>
      </c>
      <c r="D51" s="2" t="str">
        <f>IFERROR(__xludf.DUMMYFUNCTION("""COMPUTED_VALUE"""),"CS3506")</f>
        <v>CS3506</v>
      </c>
      <c r="E51" s="2" t="str">
        <f>IFERROR(__xludf.DUMMYFUNCTION("""COMPUTED_VALUE"""),"19AI506")</f>
        <v>19AI506</v>
      </c>
      <c r="F51" s="3" t="str">
        <f>IFERROR(__xludf.DUMMYFUNCTION("""COMPUTED_VALUE"""),"Speech Analysis and Processing")</f>
        <v>Speech Analysis and Processing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IFERROR(__xludf.DUMMYFUNCTION("""COMPUTED_VALUE"""),49)</f>
        <v>49</v>
      </c>
      <c r="B52" s="2"/>
      <c r="C52" s="2" t="str">
        <f>IFERROR(__xludf.DUMMYFUNCTION("""COMPUTED_VALUE"""),"PE 
")</f>
        <v>PE 
</v>
      </c>
      <c r="D52" s="2" t="str">
        <f>IFERROR(__xludf.DUMMYFUNCTION("""COMPUTED_VALUE"""),"CS3507")</f>
        <v>CS3507</v>
      </c>
      <c r="E52" s="2" t="str">
        <f>IFERROR(__xludf.DUMMYFUNCTION("""COMPUTED_VALUE"""),"19AI507")</f>
        <v>19AI507</v>
      </c>
      <c r="F52" s="7" t="str">
        <f>IFERROR(__xludf.DUMMYFUNCTION("""COMPUTED_VALUE"""),"Special Topics in Artificial Intelligence")</f>
        <v>Special Topics in Artificial Intelligence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IFERROR(__xludf.DUMMYFUNCTION("""COMPUTED_VALUE"""),50)</f>
        <v>50</v>
      </c>
      <c r="B53" s="2"/>
      <c r="C53" s="2" t="str">
        <f>IFERROR(__xludf.DUMMYFUNCTION("""COMPUTED_VALUE"""),"PE 
")</f>
        <v>PE 
</v>
      </c>
      <c r="D53" s="2" t="str">
        <f>IFERROR(__xludf.DUMMYFUNCTION("""COMPUTED_VALUE"""),"CS3508")</f>
        <v>CS3508</v>
      </c>
      <c r="E53" s="2" t="str">
        <f>IFERROR(__xludf.DUMMYFUNCTION("""COMPUTED_VALUE"""),"19AI508")</f>
        <v>19AI508</v>
      </c>
      <c r="F53" s="3" t="str">
        <f>IFERROR(__xludf.DUMMYFUNCTION("""COMPUTED_VALUE"""),"Soft Computing Techniques")</f>
        <v>Soft Computing Techniques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IFERROR(__xludf.DUMMYFUNCTION("""COMPUTED_VALUE"""),51)</f>
        <v>51</v>
      </c>
      <c r="B54" s="2"/>
      <c r="C54" s="2" t="str">
        <f>IFERROR(__xludf.DUMMYFUNCTION("""COMPUTED_VALUE"""),"PE 
")</f>
        <v>PE 
</v>
      </c>
      <c r="D54" s="2" t="str">
        <f>IFERROR(__xludf.DUMMYFUNCTION("""COMPUTED_VALUE"""),"CS3509")</f>
        <v>CS3509</v>
      </c>
      <c r="E54" s="2" t="str">
        <f>IFERROR(__xludf.DUMMYFUNCTION("""COMPUTED_VALUE"""),"19AI509")</f>
        <v>19AI509</v>
      </c>
      <c r="F54" s="7" t="str">
        <f>IFERROR(__xludf.DUMMYFUNCTION("""COMPUTED_VALUE"""),"Concepts of Virtual And Augmented Reality")</f>
        <v>Concepts of Virtual And Augmented Reality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IFERROR(__xludf.DUMMYFUNCTION("""COMPUTED_VALUE"""),52)</f>
        <v>52</v>
      </c>
      <c r="B55" s="2"/>
      <c r="C55" s="2" t="str">
        <f>IFERROR(__xludf.DUMMYFUNCTION("""COMPUTED_VALUE"""),"PE 
")</f>
        <v>PE 
</v>
      </c>
      <c r="D55" s="2" t="str">
        <f>IFERROR(__xludf.DUMMYFUNCTION("""COMPUTED_VALUE"""),"CS3510")</f>
        <v>CS3510</v>
      </c>
      <c r="E55" s="2" t="str">
        <f>IFERROR(__xludf.DUMMYFUNCTION("""COMPUTED_VALUE"""),"19AI510")</f>
        <v>19AI510</v>
      </c>
      <c r="F55" s="7" t="str">
        <f>IFERROR(__xludf.DUMMYFUNCTION("""COMPUTED_VALUE"""),"Mobile VR And AI In Unity")</f>
        <v>Mobile VR And AI In Unity</v>
      </c>
      <c r="G55" s="2" t="str">
        <f>IFERROR(__xludf.DUMMYFUNCTION("""COMPUTED_VALUE"""),"19AI410/19CS302")</f>
        <v>19AI410/19CS302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IFERROR(__xludf.DUMMYFUNCTION("""COMPUTED_VALUE"""),53)</f>
        <v>53</v>
      </c>
      <c r="B56" s="2"/>
      <c r="C56" s="2" t="str">
        <f>IFERROR(__xludf.DUMMYFUNCTION("""COMPUTED_VALUE"""),"PE 
")</f>
        <v>PE 
</v>
      </c>
      <c r="D56" s="2" t="str">
        <f>IFERROR(__xludf.DUMMYFUNCTION("""COMPUTED_VALUE"""),"CS3511")</f>
        <v>CS3511</v>
      </c>
      <c r="E56" s="2" t="str">
        <f>IFERROR(__xludf.DUMMYFUNCTION("""COMPUTED_VALUE"""),"19AI511")</f>
        <v>19AI511</v>
      </c>
      <c r="F56" s="7" t="str">
        <f>IFERROR(__xludf.DUMMYFUNCTION("""COMPUTED_VALUE"""),"Scientific and Engineering Data Visualization")</f>
        <v>Scientific and Engineering Data Visualization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IFERROR(__xludf.DUMMYFUNCTION("""COMPUTED_VALUE"""),54)</f>
        <v>54</v>
      </c>
      <c r="B57" s="2"/>
      <c r="C57" s="2" t="str">
        <f>IFERROR(__xludf.DUMMYFUNCTION("""COMPUTED_VALUE"""),"PE 
")</f>
        <v>PE 
</v>
      </c>
      <c r="D57" s="2" t="str">
        <f>IFERROR(__xludf.DUMMYFUNCTION("""COMPUTED_VALUE"""),"CS3512")</f>
        <v>CS3512</v>
      </c>
      <c r="E57" s="2" t="str">
        <f>IFERROR(__xludf.DUMMYFUNCTION("""COMPUTED_VALUE"""),"19AI512")</f>
        <v>19AI512</v>
      </c>
      <c r="F57" s="7" t="str">
        <f>IFERROR(__xludf.DUMMYFUNCTION("""COMPUTED_VALUE"""),"NoSQL Database Design")</f>
        <v>NoSQL Database Design</v>
      </c>
      <c r="G57" s="2" t="str">
        <f>IFERROR(__xludf.DUMMYFUNCTION("""COMPUTED_VALUE"""),"19CS301")</f>
        <v>19CS301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IFERROR(__xludf.DUMMYFUNCTION("""COMPUTED_VALUE"""),55)</f>
        <v>55</v>
      </c>
      <c r="B58" s="2"/>
      <c r="C58" s="2" t="str">
        <f>IFERROR(__xludf.DUMMYFUNCTION("""COMPUTED_VALUE"""),"PE 
")</f>
        <v>PE 
</v>
      </c>
      <c r="D58" s="2" t="str">
        <f>IFERROR(__xludf.DUMMYFUNCTION("""COMPUTED_VALUE"""),"CS3513")</f>
        <v>CS3513</v>
      </c>
      <c r="E58" s="2" t="str">
        <f>IFERROR(__xludf.DUMMYFUNCTION("""COMPUTED_VALUE"""),"19AI513")</f>
        <v>19AI513</v>
      </c>
      <c r="F58" s="7" t="str">
        <f>IFERROR(__xludf.DUMMYFUNCTION("""COMPUTED_VALUE"""),"Game Programming")</f>
        <v>Game Programming</v>
      </c>
      <c r="G58" s="2" t="str">
        <f>IFERROR(__xludf.DUMMYFUNCTION("""COMPUTED_VALUE"""),"19CS401")</f>
        <v>19CS401</v>
      </c>
      <c r="H58" s="2">
        <f>IFERROR(__xludf.DUMMYFUNCTION("""COMPUTED_VALUE"""),2)</f>
        <v>2</v>
      </c>
      <c r="I58" s="2">
        <f>IFERROR(__xludf.DUMMYFUNCTION("""COMPUTED_VALUE"""),2)</f>
        <v>2</v>
      </c>
      <c r="J58" s="2">
        <f>IFERROR(__xludf.DUMMYFUNCTION("""COMPUTED_VALUE"""),4)</f>
        <v>4</v>
      </c>
      <c r="K58" s="2" t="str">
        <f>IFERROR(__xludf.DUMMYFUNCTION("""COMPUTED_VALUE"""),"CGPA")</f>
        <v>CGPA</v>
      </c>
      <c r="L58" s="2" t="str">
        <f>IFERROR(__xludf.DUMMYFUNCTION("""COMPUTED_VALUE"""),"TIP (10 Expts)")</f>
        <v>TIP (10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IFERROR(__xludf.DUMMYFUNCTION("""COMPUTED_VALUE"""),56)</f>
        <v>56</v>
      </c>
      <c r="B59" s="2"/>
      <c r="C59" s="2" t="str">
        <f>IFERROR(__xludf.DUMMYFUNCTION("""COMPUTED_VALUE"""),"PE 
")</f>
        <v>PE 
</v>
      </c>
      <c r="D59" s="2" t="str">
        <f>IFERROR(__xludf.DUMMYFUNCTION("""COMPUTED_VALUE"""),"CS3514")</f>
        <v>CS3514</v>
      </c>
      <c r="E59" s="2" t="str">
        <f>IFERROR(__xludf.DUMMYFUNCTION("""COMPUTED_VALUE"""),"19AI514")</f>
        <v>19AI514</v>
      </c>
      <c r="F59" s="7" t="str">
        <f>IFERROR(__xludf.DUMMYFUNCTION("""COMPUTED_VALUE"""),"Self Driving Car")</f>
        <v>Self Driving Car</v>
      </c>
      <c r="G59" s="2" t="str">
        <f>IFERROR(__xludf.DUMMYFUNCTION("""COMPUTED_VALUE"""),"19CS301/19AI410")</f>
        <v>19CS301/19AI410</v>
      </c>
      <c r="H59" s="2">
        <f>IFERROR(__xludf.DUMMYFUNCTION("""COMPUTED_VALUE"""),2)</f>
        <v>2</v>
      </c>
      <c r="I59" s="2">
        <f>IFERROR(__xludf.DUMMYFUNCTION("""COMPUTED_VALUE"""),2)</f>
        <v>2</v>
      </c>
      <c r="J59" s="2">
        <f>IFERROR(__xludf.DUMMYFUNCTION("""COMPUTED_VALUE"""),4)</f>
        <v>4</v>
      </c>
      <c r="K59" s="2" t="str">
        <f>IFERROR(__xludf.DUMMYFUNCTION("""COMPUTED_VALUE"""),"CGPA")</f>
        <v>CGPA</v>
      </c>
      <c r="L59" s="2" t="str">
        <f>IFERROR(__xludf.DUMMYFUNCTION("""COMPUTED_VALUE"""),"TIP (10 Expts)")</f>
        <v>TIP (10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IFERROR(__xludf.DUMMYFUNCTION("""COMPUTED_VALUE"""),57)</f>
        <v>57</v>
      </c>
      <c r="B60" s="2"/>
      <c r="C60" s="2" t="str">
        <f>IFERROR(__xludf.DUMMYFUNCTION("""COMPUTED_VALUE"""),"PE 
")</f>
        <v>PE 
</v>
      </c>
      <c r="D60" s="2" t="str">
        <f>IFERROR(__xludf.DUMMYFUNCTION("""COMPUTED_VALUE"""),"CS3515")</f>
        <v>CS3515</v>
      </c>
      <c r="E60" s="2" t="str">
        <f>IFERROR(__xludf.DUMMYFUNCTION("""COMPUTED_VALUE"""),"19AI515")</f>
        <v>19AI515</v>
      </c>
      <c r="F60" s="7" t="str">
        <f>IFERROR(__xludf.DUMMYFUNCTION("""COMPUTED_VALUE"""),"Smart Manufacturing Technology")</f>
        <v>Smart Manufacturing Technology</v>
      </c>
      <c r="G60" s="2" t="str">
        <f>IFERROR(__xludf.DUMMYFUNCTION("""COMPUTED_VALUE"""),"-")</f>
        <v>-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IFERROR(__xludf.DUMMYFUNCTION("""COMPUTED_VALUE"""),58)</f>
        <v>58</v>
      </c>
      <c r="B61" s="2"/>
      <c r="C61" s="2" t="str">
        <f>IFERROR(__xludf.DUMMYFUNCTION("""COMPUTED_VALUE"""),"PE 
")</f>
        <v>PE 
</v>
      </c>
      <c r="D61" s="2" t="str">
        <f>IFERROR(__xludf.DUMMYFUNCTION("""COMPUTED_VALUE"""),"CS1523")</f>
        <v>CS1523</v>
      </c>
      <c r="E61" s="2" t="str">
        <f>IFERROR(__xludf.DUMMYFUNCTION("""COMPUTED_VALUE"""),"19CS523")</f>
        <v>19CS523</v>
      </c>
      <c r="F61" s="7" t="str">
        <f>IFERROR(__xludf.DUMMYFUNCTION("""COMPUTED_VALUE"""),"Information Retrieval")</f>
        <v>Information Retrieval</v>
      </c>
      <c r="G61" s="2" t="str">
        <f>IFERROR(__xludf.DUMMYFUNCTION("""COMPUTED_VALUE"""),"19AI410/ 19CS501/19CS413")</f>
        <v>19AI410/ 19CS501/19CS413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IFERROR(__xludf.DUMMYFUNCTION("""COMPUTED_VALUE"""),59)</f>
        <v>59</v>
      </c>
      <c r="B62" s="2"/>
      <c r="C62" s="2" t="str">
        <f>IFERROR(__xludf.DUMMYFUNCTION("""COMPUTED_VALUE"""),"PE 
")</f>
        <v>PE 
</v>
      </c>
      <c r="D62" s="2" t="str">
        <f>IFERROR(__xludf.DUMMYFUNCTION("""COMPUTED_VALUE"""),"CS3516")</f>
        <v>CS3516</v>
      </c>
      <c r="E62" s="2" t="str">
        <f>IFERROR(__xludf.DUMMYFUNCTION("""COMPUTED_VALUE"""),"19AI516")</f>
        <v>19AI516</v>
      </c>
      <c r="F62" s="7" t="str">
        <f>IFERROR(__xludf.DUMMYFUNCTION("""COMPUTED_VALUE"""),"Big Data Mining and Analysis")</f>
        <v>Big Data Mining and Analysis</v>
      </c>
      <c r="G62" s="2" t="str">
        <f>IFERROR(__xludf.DUMMYFUNCTION("""COMPUTED_VALUE"""),"19AI408/ 19CS410/19IT405")</f>
        <v>19AI408/ 19CS410/19IT405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IFERROR(__xludf.DUMMYFUNCTION("""COMPUTED_VALUE"""),60)</f>
        <v>60</v>
      </c>
      <c r="B63" s="2"/>
      <c r="C63" s="2" t="str">
        <f>IFERROR(__xludf.DUMMYFUNCTION("""COMPUTED_VALUE"""),"PE 
")</f>
        <v>PE 
</v>
      </c>
      <c r="D63" s="2" t="str">
        <f>IFERROR(__xludf.DUMMYFUNCTION("""COMPUTED_VALUE"""),"CS3517")</f>
        <v>CS3517</v>
      </c>
      <c r="E63" s="2" t="str">
        <f>IFERROR(__xludf.DUMMYFUNCTION("""COMPUTED_VALUE"""),"19AI517")</f>
        <v>19AI517</v>
      </c>
      <c r="F63" s="7" t="str">
        <f>IFERROR(__xludf.DUMMYFUNCTION("""COMPUTED_VALUE"""),"Business Analytics")</f>
        <v>Business Analytics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IFERROR(__xludf.DUMMYFUNCTION("""COMPUTED_VALUE"""),61)</f>
        <v>61</v>
      </c>
      <c r="B64" s="2"/>
      <c r="C64" s="2" t="str">
        <f>IFERROR(__xludf.DUMMYFUNCTION("""COMPUTED_VALUE"""),"PE 
")</f>
        <v>PE 
</v>
      </c>
      <c r="D64" s="2" t="str">
        <f>IFERROR(__xludf.DUMMYFUNCTION("""COMPUTED_VALUE"""),"CS3518")</f>
        <v>CS3518</v>
      </c>
      <c r="E64" s="2" t="str">
        <f>IFERROR(__xludf.DUMMYFUNCTION("""COMPUTED_VALUE"""),"19AI518")</f>
        <v>19AI518</v>
      </c>
      <c r="F64" s="7" t="str">
        <f>IFERROR(__xludf.DUMMYFUNCTION("""COMPUTED_VALUE"""),"Cognitive Systems")</f>
        <v>Cognitive Systems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IFERROR(__xludf.DUMMYFUNCTION("""COMPUTED_VALUE"""),62)</f>
        <v>62</v>
      </c>
      <c r="B65" s="2"/>
      <c r="C65" s="2" t="str">
        <f>IFERROR(__xludf.DUMMYFUNCTION("""COMPUTED_VALUE"""),"PE 
")</f>
        <v>PE 
</v>
      </c>
      <c r="D65" s="2" t="str">
        <f>IFERROR(__xludf.DUMMYFUNCTION("""COMPUTED_VALUE"""),"CS3519")</f>
        <v>CS3519</v>
      </c>
      <c r="E65" s="2" t="str">
        <f>IFERROR(__xludf.DUMMYFUNCTION("""COMPUTED_VALUE"""),"19AI519")</f>
        <v>19AI519</v>
      </c>
      <c r="F65" s="7" t="str">
        <f>IFERROR(__xludf.DUMMYFUNCTION("""COMPUTED_VALUE"""),"Distributed Database")</f>
        <v>Distributed Database</v>
      </c>
      <c r="G65" s="2" t="str">
        <f>IFERROR(__xludf.DUMMYFUNCTION("""COMPUTED_VALUE"""),"19CS404")</f>
        <v>19CS404</v>
      </c>
      <c r="H65" s="2">
        <f>IFERROR(__xludf.DUMMYFUNCTION("""COMPUTED_VALUE"""),3)</f>
        <v>3</v>
      </c>
      <c r="I65" s="2">
        <f>IFERROR(__xludf.DUMMYFUNCTION("""COMPUTED_VALUE"""),0)</f>
        <v>0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IFERROR(__xludf.DUMMYFUNCTION("""COMPUTED_VALUE"""),"Theory")</f>
        <v>Theory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IFERROR(__xludf.DUMMYFUNCTION("""COMPUTED_VALUE"""),63)</f>
        <v>63</v>
      </c>
      <c r="B66" s="2"/>
      <c r="C66" s="2" t="str">
        <f>IFERROR(__xludf.DUMMYFUNCTION("""COMPUTED_VALUE"""),"PE 
")</f>
        <v>PE 
</v>
      </c>
      <c r="D66" s="2" t="str">
        <f>IFERROR(__xludf.DUMMYFUNCTION("""COMPUTED_VALUE"""),"CS3520")</f>
        <v>CS3520</v>
      </c>
      <c r="E66" s="2" t="str">
        <f>IFERROR(__xludf.DUMMYFUNCTION("""COMPUTED_VALUE"""),"19AI520")</f>
        <v>19AI520</v>
      </c>
      <c r="F66" s="7" t="str">
        <f>IFERROR(__xludf.DUMMYFUNCTION("""COMPUTED_VALUE"""),"Data Mining and Warehousing")</f>
        <v>Data Mining and Warehousing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IFERROR(__xludf.DUMMYFUNCTION("""COMPUTED_VALUE"""),64)</f>
        <v>64</v>
      </c>
      <c r="B67" s="2"/>
      <c r="C67" s="2" t="str">
        <f>IFERROR(__xludf.DUMMYFUNCTION("""COMPUTED_VALUE"""),"PE 
")</f>
        <v>PE 
</v>
      </c>
      <c r="D67" s="2" t="str">
        <f>IFERROR(__xludf.DUMMYFUNCTION("""COMPUTED_VALUE"""),"CS3521")</f>
        <v>CS3521</v>
      </c>
      <c r="E67" s="2" t="str">
        <f>IFERROR(__xludf.DUMMYFUNCTION("""COMPUTED_VALUE"""),"19AI521")</f>
        <v>19AI521</v>
      </c>
      <c r="F67" s="7" t="str">
        <f>IFERROR(__xludf.DUMMYFUNCTION("""COMPUTED_VALUE"""),"Expert Systems")</f>
        <v>Expert Systems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IFERROR(__xludf.DUMMYFUNCTION("""COMPUTED_VALUE"""),0)</f>
        <v>0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IFERROR(__xludf.DUMMYFUNCTION("""COMPUTED_VALUE"""),"Theory")</f>
        <v>Theory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IFERROR(__xludf.DUMMYFUNCTION("""COMPUTED_VALUE"""),65)</f>
        <v>65</v>
      </c>
      <c r="B68" s="2"/>
      <c r="C68" s="2" t="str">
        <f>IFERROR(__xludf.DUMMYFUNCTION("""COMPUTED_VALUE"""),"PE 
")</f>
        <v>PE 
</v>
      </c>
      <c r="D68" s="2" t="str">
        <f>IFERROR(__xludf.DUMMYFUNCTION("""COMPUTED_VALUE"""),"CS3522")</f>
        <v>CS3522</v>
      </c>
      <c r="E68" s="2" t="str">
        <f>IFERROR(__xludf.DUMMYFUNCTION("""COMPUTED_VALUE"""),"19AI522")</f>
        <v>19AI522</v>
      </c>
      <c r="F68" s="7" t="str">
        <f>IFERROR(__xludf.DUMMYFUNCTION("""COMPUTED_VALUE"""),"Knowledge Engineering")</f>
        <v>Knowledge Engineering</v>
      </c>
      <c r="G68" s="2" t="str">
        <f>IFERROR(__xludf.DUMMYFUNCTION("""COMPUTED_VALUE"""),"19CS410")</f>
        <v>19CS410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IFERROR(__xludf.DUMMYFUNCTION("""COMPUTED_VALUE"""),66)</f>
        <v>66</v>
      </c>
      <c r="B69" s="2"/>
      <c r="C69" s="2" t="str">
        <f>IFERROR(__xludf.DUMMYFUNCTION("""COMPUTED_VALUE"""),"PE 
")</f>
        <v>PE 
</v>
      </c>
      <c r="D69" s="2" t="str">
        <f>IFERROR(__xludf.DUMMYFUNCTION("""COMPUTED_VALUE"""),"CS3523")</f>
        <v>CS3523</v>
      </c>
      <c r="E69" s="2" t="str">
        <f>IFERROR(__xludf.DUMMYFUNCTION("""COMPUTED_VALUE"""),"19AI523")</f>
        <v>19AI523</v>
      </c>
      <c r="F69" s="7" t="str">
        <f>IFERROR(__xludf.DUMMYFUNCTION("""COMPUTED_VALUE"""),"Mobile Database")</f>
        <v>Mobile Database</v>
      </c>
      <c r="G69" s="2" t="str">
        <f>IFERROR(__xludf.DUMMYFUNCTION("""COMPUTED_VALUE"""),"-")</f>
        <v>-</v>
      </c>
      <c r="H69" s="2">
        <f>IFERROR(__xludf.DUMMYFUNCTION("""COMPUTED_VALUE"""),3)</f>
        <v>3</v>
      </c>
      <c r="I69" s="2">
        <f>IFERROR(__xludf.DUMMYFUNCTION("""COMPUTED_VALUE"""),0)</f>
        <v>0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IFERROR(__xludf.DUMMYFUNCTION("""COMPUTED_VALUE"""),"Theory")</f>
        <v>Theory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IFERROR(__xludf.DUMMYFUNCTION("""COMPUTED_VALUE"""),67)</f>
        <v>67</v>
      </c>
      <c r="B70" s="2"/>
      <c r="C70" s="2" t="str">
        <f>IFERROR(__xludf.DUMMYFUNCTION("""COMPUTED_VALUE"""),"PE 
")</f>
        <v>PE 
</v>
      </c>
      <c r="D70" s="2" t="str">
        <f>IFERROR(__xludf.DUMMYFUNCTION("""COMPUTED_VALUE"""),"CS3524")</f>
        <v>CS3524</v>
      </c>
      <c r="E70" s="2" t="str">
        <f>IFERROR(__xludf.DUMMYFUNCTION("""COMPUTED_VALUE"""),"19AI524")</f>
        <v>19AI524</v>
      </c>
      <c r="F70" s="7" t="str">
        <f>IFERROR(__xludf.DUMMYFUNCTION("""COMPUTED_VALUE"""),"Multimedia Database")</f>
        <v>Multimedia Database</v>
      </c>
      <c r="G70" s="2" t="str">
        <f>IFERROR(__xludf.DUMMYFUNCTION("""COMPUTED_VALUE"""),"19CS410")</f>
        <v>19CS410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IFERROR(__xludf.DUMMYFUNCTION("""COMPUTED_VALUE"""),68)</f>
        <v>68</v>
      </c>
      <c r="B71" s="2"/>
      <c r="C71" s="2" t="str">
        <f>IFERROR(__xludf.DUMMYFUNCTION("""COMPUTED_VALUE"""),"PE 
")</f>
        <v>PE 
</v>
      </c>
      <c r="D71" s="2" t="str">
        <f>IFERROR(__xludf.DUMMYFUNCTION("""COMPUTED_VALUE"""),"CS3525")</f>
        <v>CS3525</v>
      </c>
      <c r="E71" s="2" t="str">
        <f>IFERROR(__xludf.DUMMYFUNCTION("""COMPUTED_VALUE"""),"19AI525")</f>
        <v>19AI525</v>
      </c>
      <c r="F71" s="7" t="str">
        <f>IFERROR(__xludf.DUMMYFUNCTION("""COMPUTED_VALUE"""),"Video Processing")</f>
        <v>Video Processing</v>
      </c>
      <c r="G71" s="2" t="str">
        <f>IFERROR(__xludf.DUMMYFUNCTION("""COMPUTED_VALUE"""),"19CS301")</f>
        <v>19CS301</v>
      </c>
      <c r="H71" s="2">
        <f>IFERROR(__xludf.DUMMYFUNCTION("""COMPUTED_VALUE"""),2)</f>
        <v>2</v>
      </c>
      <c r="I71" s="2">
        <f>IFERROR(__xludf.DUMMYFUNCTION("""COMPUTED_VALUE"""),1)</f>
        <v>1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IFERROR(__xludf.DUMMYFUNCTION("""COMPUTED_VALUE"""),69)</f>
        <v>69</v>
      </c>
      <c r="B72" s="2"/>
      <c r="C72" s="2" t="str">
        <f>IFERROR(__xludf.DUMMYFUNCTION("""COMPUTED_VALUE"""),"PE 
")</f>
        <v>PE 
</v>
      </c>
      <c r="D72" s="2" t="str">
        <f>IFERROR(__xludf.DUMMYFUNCTION("""COMPUTED_VALUE"""),"CS4501")</f>
        <v>CS4501</v>
      </c>
      <c r="E72" s="2" t="str">
        <f>IFERROR(__xludf.DUMMYFUNCTION("""COMPUTED_VALUE"""),"19AM501")</f>
        <v>19AM501</v>
      </c>
      <c r="F72" s="3" t="str">
        <f>IFERROR(__xludf.DUMMYFUNCTION("""COMPUTED_VALUE"""),"Machine Learning for Bioinformatics")</f>
        <v>Machine Learning for Bioinformatics</v>
      </c>
      <c r="G72" s="2" t="str">
        <f>IFERROR(__xludf.DUMMYFUNCTION("""COMPUTED_VALUE"""),"-")</f>
        <v>-</v>
      </c>
      <c r="H72" s="2">
        <f>IFERROR(__xludf.DUMMYFUNCTION("""COMPUTED_VALUE"""),3)</f>
        <v>3</v>
      </c>
      <c r="I72" s="2">
        <f>IFERROR(__xludf.DUMMYFUNCTION("""COMPUTED_VALUE"""),0)</f>
        <v>0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IFERROR(__xludf.DUMMYFUNCTION("""COMPUTED_VALUE"""),"Theory")</f>
        <v>Theory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IFERROR(__xludf.DUMMYFUNCTION("""COMPUTED_VALUE"""),70)</f>
        <v>70</v>
      </c>
      <c r="B73" s="2"/>
      <c r="C73" s="2" t="str">
        <f>IFERROR(__xludf.DUMMYFUNCTION("""COMPUTED_VALUE"""),"PE 
")</f>
        <v>PE 
</v>
      </c>
      <c r="D73" s="2" t="str">
        <f>IFERROR(__xludf.DUMMYFUNCTION("""COMPUTED_VALUE"""),"CS4502")</f>
        <v>CS4502</v>
      </c>
      <c r="E73" s="2" t="str">
        <f>IFERROR(__xludf.DUMMYFUNCTION("""COMPUTED_VALUE"""),"19AM502")</f>
        <v>19AM502</v>
      </c>
      <c r="F73" s="7" t="str">
        <f>IFERROR(__xludf.DUMMYFUNCTION("""COMPUTED_VALUE"""),"Genetic Algorithms")</f>
        <v>Genetic Algorithms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IFERROR(__xludf.DUMMYFUNCTION("""COMPUTED_VALUE"""),71)</f>
        <v>71</v>
      </c>
      <c r="B74" s="2"/>
      <c r="C74" s="2" t="str">
        <f>IFERROR(__xludf.DUMMYFUNCTION("""COMPUTED_VALUE"""),"PE 
")</f>
        <v>PE 
</v>
      </c>
      <c r="D74" s="2" t="str">
        <f>IFERROR(__xludf.DUMMYFUNCTION("""COMPUTED_VALUE"""),"CS4503")</f>
        <v>CS4503</v>
      </c>
      <c r="E74" s="2" t="str">
        <f>IFERROR(__xludf.DUMMYFUNCTION("""COMPUTED_VALUE"""),"19AM503")</f>
        <v>19AM503</v>
      </c>
      <c r="F74" s="3" t="str">
        <f>IFERROR(__xludf.DUMMYFUNCTION("""COMPUTED_VALUE"""),"Data Modeling")</f>
        <v>Data Modeling</v>
      </c>
      <c r="G74" s="2" t="str">
        <f>IFERROR(__xludf.DUMMYFUNCTION("""COMPUTED_VALUE"""),"-")</f>
        <v>-</v>
      </c>
      <c r="H74" s="2">
        <f>IFERROR(__xludf.DUMMYFUNCTION("""COMPUTED_VALUE"""),3)</f>
        <v>3</v>
      </c>
      <c r="I74" s="2">
        <f>IFERROR(__xludf.DUMMYFUNCTION("""COMPUTED_VALUE"""),0)</f>
        <v>0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IFERROR(__xludf.DUMMYFUNCTION("""COMPUTED_VALUE"""),"Theory")</f>
        <v>Theory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IFERROR(__xludf.DUMMYFUNCTION("""COMPUTED_VALUE"""),72)</f>
        <v>72</v>
      </c>
      <c r="B75" s="2"/>
      <c r="C75" s="2" t="str">
        <f>IFERROR(__xludf.DUMMYFUNCTION("""COMPUTED_VALUE"""),"PE 
")</f>
        <v>PE 
</v>
      </c>
      <c r="D75" s="2" t="str">
        <f>IFERROR(__xludf.DUMMYFUNCTION("""COMPUTED_VALUE"""),"CS4504")</f>
        <v>CS4504</v>
      </c>
      <c r="E75" s="2" t="str">
        <f>IFERROR(__xludf.DUMMYFUNCTION("""COMPUTED_VALUE"""),"19AM504")</f>
        <v>19AM504</v>
      </c>
      <c r="F75" s="7" t="str">
        <f>IFERROR(__xludf.DUMMYFUNCTION("""COMPUTED_VALUE"""),"Brain Computer Interaction")</f>
        <v>Brain Computer Interaction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IFERROR(__xludf.DUMMYFUNCTION("""COMPUTED_VALUE"""),73)</f>
        <v>73</v>
      </c>
      <c r="B76" s="2"/>
      <c r="C76" s="2" t="str">
        <f>IFERROR(__xludf.DUMMYFUNCTION("""COMPUTED_VALUE"""),"PE 
")</f>
        <v>PE 
</v>
      </c>
      <c r="D76" s="2" t="str">
        <f>IFERROR(__xludf.DUMMYFUNCTION("""COMPUTED_VALUE"""),"CS3526")</f>
        <v>CS3526</v>
      </c>
      <c r="E76" s="2" t="str">
        <f>IFERROR(__xludf.DUMMYFUNCTION("""COMPUTED_VALUE"""),"19AI526")</f>
        <v>19AI526</v>
      </c>
      <c r="F76" s="7" t="str">
        <f>IFERROR(__xludf.DUMMYFUNCTION("""COMPUTED_VALUE"""),"Information Security and Access Control")</f>
        <v>Information Security and Access Control</v>
      </c>
      <c r="G76" s="2" t="str">
        <f>IFERROR(__xludf.DUMMYFUNCTION("""COMPUTED_VALUE"""),"19AI527")</f>
        <v>19AI527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IFERROR(__xludf.DUMMYFUNCTION("""COMPUTED_VALUE"""),74)</f>
        <v>74</v>
      </c>
      <c r="B77" s="2"/>
      <c r="C77" s="2" t="str">
        <f>IFERROR(__xludf.DUMMYFUNCTION("""COMPUTED_VALUE"""),"PE 
")</f>
        <v>PE 
</v>
      </c>
      <c r="D77" s="2" t="str">
        <f>IFERROR(__xludf.DUMMYFUNCTION("""COMPUTED_VALUE"""),"CS3527")</f>
        <v>CS3527</v>
      </c>
      <c r="E77" s="2" t="str">
        <f>IFERROR(__xludf.DUMMYFUNCTION("""COMPUTED_VALUE"""),"19AI527")</f>
        <v>19AI527</v>
      </c>
      <c r="F77" s="7" t="str">
        <f>IFERROR(__xludf.DUMMYFUNCTION("""COMPUTED_VALUE"""),"Security Assessment and Risk Analysis")</f>
        <v>Security Assessment and Risk Analysis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IFERROR(__xludf.DUMMYFUNCTION("""COMPUTED_VALUE"""),1)</f>
        <v>1</v>
      </c>
      <c r="J77" s="2">
        <f>IFERROR(__xludf.DUMMYFUNCTION("""COMPUTED_VALUE"""),4)</f>
        <v>4</v>
      </c>
      <c r="K77" s="2" t="str">
        <f>IFERROR(__xludf.DUMMYFUNCTION("""COMPUTED_VALUE"""),"CGPA")</f>
        <v>CGPA</v>
      </c>
      <c r="L77" s="2" t="str">
        <f>IFERROR(__xludf.DUMMYFUNCTION("""COMPUTED_VALUE"""),"TIP (6 Expts)")</f>
        <v>TIP (6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IFERROR(__xludf.DUMMYFUNCTION("""COMPUTED_VALUE"""),75)</f>
        <v>75</v>
      </c>
      <c r="B78" s="2"/>
      <c r="C78" s="2" t="str">
        <f>IFERROR(__xludf.DUMMYFUNCTION("""COMPUTED_VALUE"""),"PE 
")</f>
        <v>PE 
</v>
      </c>
      <c r="D78" s="2" t="str">
        <f>IFERROR(__xludf.DUMMYFUNCTION("""COMPUTED_VALUE"""),"CS1407")</f>
        <v>CS1407</v>
      </c>
      <c r="E78" s="2" t="str">
        <f>IFERROR(__xludf.DUMMYFUNCTION("""COMPUTED_VALUE"""),"19CS407")</f>
        <v>19CS407</v>
      </c>
      <c r="F78" s="7" t="str">
        <f>IFERROR(__xludf.DUMMYFUNCTION("""COMPUTED_VALUE"""),"Theory of Computation")</f>
        <v>Theory of Computation</v>
      </c>
      <c r="G78" s="2" t="str">
        <f>IFERROR(__xludf.DUMMYFUNCTION("""COMPUTED_VALUE"""),"19MA206")</f>
        <v>19MA206</v>
      </c>
      <c r="H78" s="2">
        <f>IFERROR(__xludf.DUMMYFUNCTION("""COMPUTED_VALUE"""),3)</f>
        <v>3</v>
      </c>
      <c r="I78" s="2">
        <f>IFERROR(__xludf.DUMMYFUNCTION("""COMPUTED_VALUE"""),0)</f>
        <v>0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IFERROR(__xludf.DUMMYFUNCTION("""COMPUTED_VALUE"""),"Theory")</f>
        <v>Theory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IFERROR(__xludf.DUMMYFUNCTION("""COMPUTED_VALUE"""),76)</f>
        <v>76</v>
      </c>
      <c r="B79" s="2"/>
      <c r="C79" s="2" t="str">
        <f>IFERROR(__xludf.DUMMYFUNCTION("""COMPUTED_VALUE"""),"PE 
")</f>
        <v>PE 
</v>
      </c>
      <c r="D79" s="2" t="str">
        <f>IFERROR(__xludf.DUMMYFUNCTION("""COMPUTED_VALUE"""),"CS1408")</f>
        <v>CS1408</v>
      </c>
      <c r="E79" s="2" t="str">
        <f>IFERROR(__xludf.DUMMYFUNCTION("""COMPUTED_VALUE"""),"19CS408")</f>
        <v>19CS408</v>
      </c>
      <c r="F79" s="7" t="str">
        <f>IFERROR(__xludf.DUMMYFUNCTION("""COMPUTED_VALUE"""),"Software Engineering")</f>
        <v>Software Engineering</v>
      </c>
      <c r="G79" s="2" t="str">
        <f>IFERROR(__xludf.DUMMYFUNCTION("""COMPUTED_VALUE"""),"-")</f>
        <v>-</v>
      </c>
      <c r="H79" s="2">
        <f>IFERROR(__xludf.DUMMYFUNCTION("""COMPUTED_VALUE"""),3)</f>
        <v>3</v>
      </c>
      <c r="I79" s="2">
        <f>IFERROR(__xludf.DUMMYFUNCTION("""COMPUTED_VALUE"""),1)</f>
        <v>1</v>
      </c>
      <c r="J79" s="2">
        <f>IFERROR(__xludf.DUMMYFUNCTION("""COMPUTED_VALUE"""),4)</f>
        <v>4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IFERROR(__xludf.DUMMYFUNCTION("""COMPUTED_VALUE"""),77)</f>
        <v>77</v>
      </c>
      <c r="B80" s="2"/>
      <c r="C80" s="2" t="str">
        <f>IFERROR(__xludf.DUMMYFUNCTION("""COMPUTED_VALUE"""),"PE 
")</f>
        <v>PE 
</v>
      </c>
      <c r="D80" s="2" t="str">
        <f>IFERROR(__xludf.DUMMYFUNCTION("""COMPUTED_VALUE"""),"CS1409")</f>
        <v>CS1409</v>
      </c>
      <c r="E80" s="2" t="str">
        <f>IFERROR(__xludf.DUMMYFUNCTION("""COMPUTED_VALUE"""),"19CS409")</f>
        <v>19CS409</v>
      </c>
      <c r="F80" s="7" t="str">
        <f>IFERROR(__xludf.DUMMYFUNCTION("""COMPUTED_VALUE"""),"Compiler Design")</f>
        <v>Compiler Design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IFERROR(__xludf.DUMMYFUNCTION("""COMPUTED_VALUE"""),1)</f>
        <v>1</v>
      </c>
      <c r="J80" s="2">
        <f>IFERROR(__xludf.DUMMYFUNCTION("""COMPUTED_VALUE"""),4)</f>
        <v>4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IFERROR(__xludf.DUMMYFUNCTION("""COMPUTED_VALUE"""),78)</f>
        <v>78</v>
      </c>
      <c r="B81" s="2"/>
      <c r="C81" s="2" t="str">
        <f>IFERROR(__xludf.DUMMYFUNCTION("""COMPUTED_VALUE"""),"PE 
")</f>
        <v>PE 
</v>
      </c>
      <c r="D81" s="2" t="str">
        <f>IFERROR(__xludf.DUMMYFUNCTION("""COMPUTED_VALUE"""),"CS3528")</f>
        <v>CS3528</v>
      </c>
      <c r="E81" s="2" t="str">
        <f>IFERROR(__xludf.DUMMYFUNCTION("""COMPUTED_VALUE"""),"19AI528")</f>
        <v>19AI528</v>
      </c>
      <c r="F81" s="7" t="str">
        <f>IFERROR(__xludf.DUMMYFUNCTION("""COMPUTED_VALUE"""),"Advanced Graph Theory and Applications")</f>
        <v>Advanced Graph Theory and Applications</v>
      </c>
      <c r="G81" s="2" t="str">
        <f>IFERROR(__xludf.DUMMYFUNCTION("""COMPUTED_VALUE"""),"19CS402")</f>
        <v>19CS402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IFERROR(__xludf.DUMMYFUNCTION("""COMPUTED_VALUE"""),79)</f>
        <v>79</v>
      </c>
      <c r="B82" s="2"/>
      <c r="C82" s="2" t="str">
        <f>IFERROR(__xludf.DUMMYFUNCTION("""COMPUTED_VALUE"""),"PE 
")</f>
        <v>PE 
</v>
      </c>
      <c r="D82" s="2" t="str">
        <f>IFERROR(__xludf.DUMMYFUNCTION("""COMPUTED_VALUE"""),"CS3529")</f>
        <v>CS3529</v>
      </c>
      <c r="E82" s="2" t="str">
        <f>IFERROR(__xludf.DUMMYFUNCTION("""COMPUTED_VALUE"""),"19AI529")</f>
        <v>19AI529</v>
      </c>
      <c r="F82" s="7" t="str">
        <f>IFERROR(__xludf.DUMMYFUNCTION("""COMPUTED_VALUE"""),"Advanced Data Structures")</f>
        <v>Advanced Data Structures</v>
      </c>
      <c r="G82" s="2" t="str">
        <f>IFERROR(__xludf.DUMMYFUNCTION("""COMPUTED_VALUE"""),"19CS401")</f>
        <v>19CS401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IFERROR(__xludf.DUMMYFUNCTION("""COMPUTED_VALUE"""),80)</f>
        <v>80</v>
      </c>
      <c r="B83" s="2"/>
      <c r="C83" s="2" t="str">
        <f>IFERROR(__xludf.DUMMYFUNCTION("""COMPUTED_VALUE"""),"PE 
")</f>
        <v>PE 
</v>
      </c>
      <c r="D83" s="2" t="str">
        <f>IFERROR(__xludf.DUMMYFUNCTION("""COMPUTED_VALUE"""),"CS3530")</f>
        <v>CS3530</v>
      </c>
      <c r="E83" s="2" t="str">
        <f>IFERROR(__xludf.DUMMYFUNCTION("""COMPUTED_VALUE"""),"19AI530")</f>
        <v>19AI530</v>
      </c>
      <c r="F83" s="7" t="str">
        <f>IFERROR(__xludf.DUMMYFUNCTION("""COMPUTED_VALUE"""),"Control of Robotic Systems")</f>
        <v>Control of Robotic Systems</v>
      </c>
      <c r="G83" s="2" t="str">
        <f>IFERROR(__xludf.DUMMYFUNCTION("""COMPUTED_VALUE"""),"-")</f>
        <v>-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IFERROR(__xludf.DUMMYFUNCTION("""COMPUTED_VALUE"""),81)</f>
        <v>81</v>
      </c>
      <c r="B84" s="2"/>
      <c r="C84" s="2" t="str">
        <f>IFERROR(__xludf.DUMMYFUNCTION("""COMPUTED_VALUE"""),"PE 
")</f>
        <v>PE 
</v>
      </c>
      <c r="D84" s="2" t="str">
        <f>IFERROR(__xludf.DUMMYFUNCTION("""COMPUTED_VALUE"""),"CS3531")</f>
        <v>CS3531</v>
      </c>
      <c r="E84" s="2" t="str">
        <f>IFERROR(__xludf.DUMMYFUNCTION("""COMPUTED_VALUE"""),"19AI531")</f>
        <v>19AI531</v>
      </c>
      <c r="F84" s="7" t="str">
        <f>IFERROR(__xludf.DUMMYFUNCTION("""COMPUTED_VALUE"""),"Cryptography and Security")</f>
        <v>Cryptography and Security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IFERROR(__xludf.DUMMYFUNCTION("""COMPUTED_VALUE"""),82)</f>
        <v>82</v>
      </c>
      <c r="B85" s="2"/>
      <c r="C85" s="2" t="str">
        <f>IFERROR(__xludf.DUMMYFUNCTION("""COMPUTED_VALUE"""),"PE 
")</f>
        <v>PE 
</v>
      </c>
      <c r="D85" s="2" t="str">
        <f>IFERROR(__xludf.DUMMYFUNCTION("""COMPUTED_VALUE"""),"CS3532")</f>
        <v>CS3532</v>
      </c>
      <c r="E85" s="2" t="str">
        <f>IFERROR(__xludf.DUMMYFUNCTION("""COMPUTED_VALUE"""),"19AI532")</f>
        <v>19AI532</v>
      </c>
      <c r="F85" s="7" t="str">
        <f>IFERROR(__xludf.DUMMYFUNCTION("""COMPUTED_VALUE"""),"Information Theory for Cyber Security")</f>
        <v>Information Theory for Cyber Security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IFERROR(__xludf.DUMMYFUNCTION("""COMPUTED_VALUE"""),83)</f>
        <v>83</v>
      </c>
      <c r="B86" s="2"/>
      <c r="C86" s="2" t="str">
        <f>IFERROR(__xludf.DUMMYFUNCTION("""COMPUTED_VALUE"""),"PE 
")</f>
        <v>PE 
</v>
      </c>
      <c r="D86" s="2" t="str">
        <f>IFERROR(__xludf.DUMMYFUNCTION("""COMPUTED_VALUE"""),"CS3533")</f>
        <v>CS3533</v>
      </c>
      <c r="E86" s="2" t="str">
        <f>IFERROR(__xludf.DUMMYFUNCTION("""COMPUTED_VALUE"""),"19AI533")</f>
        <v>19AI533</v>
      </c>
      <c r="F86" s="7" t="str">
        <f>IFERROR(__xludf.DUMMYFUNCTION("""COMPUTED_VALUE"""),"Introduction to Robotics")</f>
        <v>Introduction to Robotics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IFERROR(__xludf.DUMMYFUNCTION("""COMPUTED_VALUE"""),84)</f>
        <v>84</v>
      </c>
      <c r="B87" s="2"/>
      <c r="C87" s="2" t="str">
        <f>IFERROR(__xludf.DUMMYFUNCTION("""COMPUTED_VALUE"""),"PE 
")</f>
        <v>PE 
</v>
      </c>
      <c r="D87" s="2" t="str">
        <f>IFERROR(__xludf.DUMMYFUNCTION("""COMPUTED_VALUE"""),"CS3534")</f>
        <v>CS3534</v>
      </c>
      <c r="E87" s="2" t="str">
        <f>IFERROR(__xludf.DUMMYFUNCTION("""COMPUTED_VALUE"""),"19AI534")</f>
        <v>19AI534</v>
      </c>
      <c r="F87" s="7" t="str">
        <f>IFERROR(__xludf.DUMMYFUNCTION("""COMPUTED_VALUE"""),"Kinematics and Dynamics of Robots")</f>
        <v>Kinematics and Dynamics of Robots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IFERROR(__xludf.DUMMYFUNCTION("""COMPUTED_VALUE"""),85)</f>
        <v>85</v>
      </c>
      <c r="B88" s="2"/>
      <c r="C88" s="2" t="str">
        <f>IFERROR(__xludf.DUMMYFUNCTION("""COMPUTED_VALUE"""),"PE 
")</f>
        <v>PE 
</v>
      </c>
      <c r="D88" s="2" t="str">
        <f>IFERROR(__xludf.DUMMYFUNCTION("""COMPUTED_VALUE"""),"CS3535")</f>
        <v>CS3535</v>
      </c>
      <c r="E88" s="2" t="str">
        <f>IFERROR(__xludf.DUMMYFUNCTION("""COMPUTED_VALUE"""),"19AI535")</f>
        <v>19AI535</v>
      </c>
      <c r="F88" s="7" t="str">
        <f>IFERROR(__xludf.DUMMYFUNCTION("""COMPUTED_VALUE"""),"Robotic Sensors")</f>
        <v>Robotic Sensors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IFERROR(__xludf.DUMMYFUNCTION("""COMPUTED_VALUE"""),86)</f>
        <v>86</v>
      </c>
      <c r="B89" s="2"/>
      <c r="C89" s="2" t="str">
        <f>IFERROR(__xludf.DUMMYFUNCTION("""COMPUTED_VALUE"""),"PE 
")</f>
        <v>PE 
</v>
      </c>
      <c r="D89" s="2" t="str">
        <f>IFERROR(__xludf.DUMMYFUNCTION("""COMPUTED_VALUE"""),"CS3536")</f>
        <v>CS3536</v>
      </c>
      <c r="E89" s="2" t="str">
        <f>IFERROR(__xludf.DUMMYFUNCTION("""COMPUTED_VALUE"""),"19AI536")</f>
        <v>19AI536</v>
      </c>
      <c r="F89" s="7" t="str">
        <f>IFERROR(__xludf.DUMMYFUNCTION("""COMPUTED_VALUE"""),"Steganography and Digital Watermarking")</f>
        <v>Steganography and Digital Watermarking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IFERROR(__xludf.DUMMYFUNCTION("""COMPUTED_VALUE"""),87)</f>
        <v>87</v>
      </c>
      <c r="B90" s="2"/>
      <c r="C90" s="2" t="str">
        <f>IFERROR(__xludf.DUMMYFUNCTION("""COMPUTED_VALUE"""),"PE 
")</f>
        <v>PE 
</v>
      </c>
      <c r="D90" s="2" t="str">
        <f>IFERROR(__xludf.DUMMYFUNCTION("""COMPUTED_VALUE"""),"CS3537")</f>
        <v>CS3537</v>
      </c>
      <c r="E90" s="2" t="str">
        <f>IFERROR(__xludf.DUMMYFUNCTION("""COMPUTED_VALUE"""),"19AI537")</f>
        <v>19AI537</v>
      </c>
      <c r="F90" s="7" t="str">
        <f>IFERROR(__xludf.DUMMYFUNCTION("""COMPUTED_VALUE"""),"Computer Graphics for Virtual Reality")</f>
        <v>Computer Graphics for Virtual Reality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IFERROR(__xludf.DUMMYFUNCTION("""COMPUTED_VALUE"""),88)</f>
        <v>88</v>
      </c>
      <c r="B91" s="2"/>
      <c r="C91" s="2" t="str">
        <f>IFERROR(__xludf.DUMMYFUNCTION("""COMPUTED_VALUE"""),"PE 
")</f>
        <v>PE 
</v>
      </c>
      <c r="D91" s="2" t="str">
        <f>IFERROR(__xludf.DUMMYFUNCTION("""COMPUTED_VALUE"""),"CS3538")</f>
        <v>CS3538</v>
      </c>
      <c r="E91" s="2" t="str">
        <f>IFERROR(__xludf.DUMMYFUNCTION("""COMPUTED_VALUE"""),"19AI538")</f>
        <v>19AI538</v>
      </c>
      <c r="F91" s="7" t="str">
        <f>IFERROR(__xludf.DUMMYFUNCTION("""COMPUTED_VALUE"""),"Mathematical Modelling and Computer Aided Engineering")</f>
        <v>Mathematical Modelling and Computer Aided Engineering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IFERROR(__xludf.DUMMYFUNCTION("""COMPUTED_VALUE"""),89)</f>
        <v>89</v>
      </c>
      <c r="B92" s="2"/>
      <c r="C92" s="2" t="str">
        <f>IFERROR(__xludf.DUMMYFUNCTION("""COMPUTED_VALUE"""),"PE 
")</f>
        <v>PE 
</v>
      </c>
      <c r="D92" s="2" t="str">
        <f>IFERROR(__xludf.DUMMYFUNCTION("""COMPUTED_VALUE"""),"CS3539")</f>
        <v>CS3539</v>
      </c>
      <c r="E92" s="2" t="str">
        <f>IFERROR(__xludf.DUMMYFUNCTION("""COMPUTED_VALUE"""),"19AI539")</f>
        <v>19AI539</v>
      </c>
      <c r="F92" s="7" t="str">
        <f>IFERROR(__xludf.DUMMYFUNCTION("""COMPUTED_VALUE"""),"Mobile User Interface Development")</f>
        <v>Mobile User Interface Development</v>
      </c>
      <c r="G92" s="2" t="str">
        <f>IFERROR(__xludf.DUMMYFUNCTION("""COMPUTED_VALUE"""),"19CS401")</f>
        <v>19CS401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IFERROR(__xludf.DUMMYFUNCTION("""COMPUTED_VALUE"""),90)</f>
        <v>90</v>
      </c>
      <c r="B93" s="2"/>
      <c r="C93" s="2" t="str">
        <f>IFERROR(__xludf.DUMMYFUNCTION("""COMPUTED_VALUE"""),"PE 
")</f>
        <v>PE 
</v>
      </c>
      <c r="D93" s="2" t="str">
        <f>IFERROR(__xludf.DUMMYFUNCTION("""COMPUTED_VALUE"""),"CS3540")</f>
        <v>CS3540</v>
      </c>
      <c r="E93" s="2" t="str">
        <f>IFERROR(__xludf.DUMMYFUNCTION("""COMPUTED_VALUE"""),"19AI540")</f>
        <v>19AI540</v>
      </c>
      <c r="F93" s="7" t="str">
        <f>IFERROR(__xludf.DUMMYFUNCTION("""COMPUTED_VALUE"""),"Programming Mobile Devices")</f>
        <v>Programming Mobile Devices</v>
      </c>
      <c r="G93" s="2" t="str">
        <f>IFERROR(__xludf.DUMMYFUNCTION("""COMPUTED_VALUE"""),"19CS401")</f>
        <v>19CS401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IFERROR(__xludf.DUMMYFUNCTION("""COMPUTED_VALUE"""),91)</f>
        <v>91</v>
      </c>
      <c r="B94" s="2"/>
      <c r="C94" s="2" t="str">
        <f>IFERROR(__xludf.DUMMYFUNCTION("""COMPUTED_VALUE"""),"PE 
")</f>
        <v>PE 
</v>
      </c>
      <c r="D94" s="2" t="str">
        <f>IFERROR(__xludf.DUMMYFUNCTION("""COMPUTED_VALUE"""),"CS3541")</f>
        <v>CS3541</v>
      </c>
      <c r="E94" s="2" t="str">
        <f>IFERROR(__xludf.DUMMYFUNCTION("""COMPUTED_VALUE"""),"19AI541")</f>
        <v>19AI541</v>
      </c>
      <c r="F94" s="7" t="str">
        <f>IFERROR(__xludf.DUMMYFUNCTION("""COMPUTED_VALUE"""),"Cloud Computing")</f>
        <v>Cloud Computing</v>
      </c>
      <c r="G94" s="2" t="str">
        <f>IFERROR(__xludf.DUMMYFUNCTION("""COMPUTED_VALUE"""),"19CS406")</f>
        <v>19CS406</v>
      </c>
      <c r="H94" s="2">
        <f>IFERROR(__xludf.DUMMYFUNCTION("""COMPUTED_VALUE"""),3)</f>
        <v>3</v>
      </c>
      <c r="I94" s="2">
        <f>IFERROR(__xludf.DUMMYFUNCTION("""COMPUTED_VALUE"""),1)</f>
        <v>1</v>
      </c>
      <c r="J94" s="2">
        <f>IFERROR(__xludf.DUMMYFUNCTION("""COMPUTED_VALUE"""),4)</f>
        <v>4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IFERROR(__xludf.DUMMYFUNCTION("""COMPUTED_VALUE"""),92)</f>
        <v>92</v>
      </c>
      <c r="B95" s="2"/>
      <c r="C95" s="2" t="str">
        <f>IFERROR(__xludf.DUMMYFUNCTION("""COMPUTED_VALUE"""),"PE 
")</f>
        <v>PE 
</v>
      </c>
      <c r="D95" s="2" t="str">
        <f>IFERROR(__xludf.DUMMYFUNCTION("""COMPUTED_VALUE"""),"CS3542")</f>
        <v>CS3542</v>
      </c>
      <c r="E95" s="2" t="str">
        <f>IFERROR(__xludf.DUMMYFUNCTION("""COMPUTED_VALUE"""),"19AI542")</f>
        <v>19AI542</v>
      </c>
      <c r="F95" s="7" t="str">
        <f>IFERROR(__xludf.DUMMYFUNCTION("""COMPUTED_VALUE"""),"Agile Software Development")</f>
        <v>Agile Software Development</v>
      </c>
      <c r="G95" s="2" t="str">
        <f>IFERROR(__xludf.DUMMYFUNCTION("""COMPUTED_VALUE"""),"19CS301")</f>
        <v>19CS301</v>
      </c>
      <c r="H95" s="2">
        <f>IFERROR(__xludf.DUMMYFUNCTION("""COMPUTED_VALUE"""),3)</f>
        <v>3</v>
      </c>
      <c r="I95" s="2">
        <f>IFERROR(__xludf.DUMMYFUNCTION("""COMPUTED_VALUE"""),1)</f>
        <v>1</v>
      </c>
      <c r="J95" s="2">
        <f>IFERROR(__xludf.DUMMYFUNCTION("""COMPUTED_VALUE"""),4)</f>
        <v>4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IFERROR(__xludf.DUMMYFUNCTION("""COMPUTED_VALUE"""),93)</f>
        <v>93</v>
      </c>
      <c r="B96" s="2"/>
      <c r="C96" s="2" t="str">
        <f>IFERROR(__xludf.DUMMYFUNCTION("""COMPUTED_VALUE"""),"PE 
")</f>
        <v>PE 
</v>
      </c>
      <c r="D96" s="2" t="str">
        <f>IFERROR(__xludf.DUMMYFUNCTION("""COMPUTED_VALUE"""),"CS3543")</f>
        <v>CS3543</v>
      </c>
      <c r="E96" s="2" t="str">
        <f>IFERROR(__xludf.DUMMYFUNCTION("""COMPUTED_VALUE"""),"19AI543")</f>
        <v>19AI543</v>
      </c>
      <c r="F96" s="7" t="str">
        <f>IFERROR(__xludf.DUMMYFUNCTION("""COMPUTED_VALUE"""),"Software Testing")</f>
        <v>Software Testing</v>
      </c>
      <c r="G96" s="2" t="str">
        <f>IFERROR(__xludf.DUMMYFUNCTION("""COMPUTED_VALUE"""),"19CS301")</f>
        <v>19CS301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IFERROR(__xludf.DUMMYFUNCTION("""COMPUTED_VALUE"""),94)</f>
        <v>94</v>
      </c>
      <c r="B97" s="2"/>
      <c r="C97" s="2" t="str">
        <f>IFERROR(__xludf.DUMMYFUNCTION("""COMPUTED_VALUE"""),"PE 
")</f>
        <v>PE 
</v>
      </c>
      <c r="D97" s="2" t="str">
        <f>IFERROR(__xludf.DUMMYFUNCTION("""COMPUTED_VALUE"""),"CS3544")</f>
        <v>CS3544</v>
      </c>
      <c r="E97" s="2" t="str">
        <f>IFERROR(__xludf.DUMMYFUNCTION("""COMPUTED_VALUE"""),"19AI544")</f>
        <v>19AI544</v>
      </c>
      <c r="F97" s="7" t="str">
        <f>IFERROR(__xludf.DUMMYFUNCTION("""COMPUTED_VALUE"""),"Virtualization and Containerization")</f>
        <v>Virtualization and Containerization</v>
      </c>
      <c r="G97" s="2" t="str">
        <f>IFERROR(__xludf.DUMMYFUNCTION("""COMPUTED_VALUE"""),"19CS405/19CS406")</f>
        <v>19CS405/19CS406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IFERROR(__xludf.DUMMYFUNCTION("""COMPUTED_VALUE"""),95)</f>
        <v>95</v>
      </c>
      <c r="B98" s="2"/>
      <c r="C98" s="2" t="str">
        <f>IFERROR(__xludf.DUMMYFUNCTION("""COMPUTED_VALUE"""),"PE 
")</f>
        <v>PE 
</v>
      </c>
      <c r="D98" s="2" t="str">
        <f>IFERROR(__xludf.DUMMYFUNCTION("""COMPUTED_VALUE"""),"CS3545")</f>
        <v>CS3545</v>
      </c>
      <c r="E98" s="2" t="str">
        <f>IFERROR(__xludf.DUMMYFUNCTION("""COMPUTED_VALUE"""),"19AI545")</f>
        <v>19AI545</v>
      </c>
      <c r="F98" s="7" t="str">
        <f>IFERROR(__xludf.DUMMYFUNCTION("""COMPUTED_VALUE"""),"Modern Web Application Development")</f>
        <v>Modern Web Application Development</v>
      </c>
      <c r="G98" s="2" t="str">
        <f>IFERROR(__xludf.DUMMYFUNCTION("""COMPUTED_VALUE"""),"19CS410")</f>
        <v>19CS410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IFERROR(__xludf.DUMMYFUNCTION("""COMPUTED_VALUE"""),96)</f>
        <v>96</v>
      </c>
      <c r="B99" s="2"/>
      <c r="C99" s="2" t="str">
        <f>IFERROR(__xludf.DUMMYFUNCTION("""COMPUTED_VALUE"""),"PE 
")</f>
        <v>PE 
</v>
      </c>
      <c r="D99" s="2" t="str">
        <f>IFERROR(__xludf.DUMMYFUNCTION("""COMPUTED_VALUE"""),"CS3546")</f>
        <v>CS3546</v>
      </c>
      <c r="E99" s="2" t="str">
        <f>IFERROR(__xludf.DUMMYFUNCTION("""COMPUTED_VALUE"""),"19AI546")</f>
        <v>19AI546</v>
      </c>
      <c r="F99" s="7" t="str">
        <f>IFERROR(__xludf.DUMMYFUNCTION("""COMPUTED_VALUE"""),"Web Server Programming")</f>
        <v>Web Server Programming</v>
      </c>
      <c r="G99" s="2" t="str">
        <f>IFERROR(__xludf.DUMMYFUNCTION("""COMPUTED_VALUE"""),"19CS401")</f>
        <v>19CS401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IFERROR(__xludf.DUMMYFUNCTION("""COMPUTED_VALUE"""),97)</f>
        <v>97</v>
      </c>
      <c r="B100" s="2"/>
      <c r="C100" s="2" t="str">
        <f>IFERROR(__xludf.DUMMYFUNCTION("""COMPUTED_VALUE"""),"PE 
")</f>
        <v>PE 
</v>
      </c>
      <c r="D100" s="2" t="str">
        <f>IFERROR(__xludf.DUMMYFUNCTION("""COMPUTED_VALUE"""),"CS3547")</f>
        <v>CS3547</v>
      </c>
      <c r="E100" s="2" t="str">
        <f>IFERROR(__xludf.DUMMYFUNCTION("""COMPUTED_VALUE"""),"19AI547")</f>
        <v>19AI547</v>
      </c>
      <c r="F100" s="7" t="str">
        <f>IFERROR(__xludf.DUMMYFUNCTION("""COMPUTED_VALUE"""),"Blockchain for Business")</f>
        <v>Blockchain for Business</v>
      </c>
      <c r="G100" s="2" t="str">
        <f>IFERROR(__xludf.DUMMYFUNCTION("""COMPUTED_VALUE"""),"19CS301")</f>
        <v>19CS301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IFERROR(__xludf.DUMMYFUNCTION("""COMPUTED_VALUE"""),98)</f>
        <v>98</v>
      </c>
      <c r="B101" s="2"/>
      <c r="C101" s="2" t="str">
        <f>IFERROR(__xludf.DUMMYFUNCTION("""COMPUTED_VALUE"""),"PE 
")</f>
        <v>PE 
</v>
      </c>
      <c r="D101" s="2" t="str">
        <f>IFERROR(__xludf.DUMMYFUNCTION("""COMPUTED_VALUE"""),"CS3407")</f>
        <v>CS3407</v>
      </c>
      <c r="E101" s="2" t="str">
        <f>IFERROR(__xludf.DUMMYFUNCTION("""COMPUTED_VALUE"""),"19AI407")</f>
        <v>19AI407</v>
      </c>
      <c r="F101" s="7" t="str">
        <f>IFERROR(__xludf.DUMMYFUNCTION("""COMPUTED_VALUE"""),"Parallel Computing Architecture")</f>
        <v>Parallel Computing Architecture</v>
      </c>
      <c r="G101" s="2" t="str">
        <f>IFERROR(__xludf.DUMMYFUNCTION("""COMPUTED_VALUE"""),"-")</f>
        <v>-</v>
      </c>
      <c r="H101" s="2">
        <f>IFERROR(__xludf.DUMMYFUNCTION("""COMPUTED_VALUE"""),3)</f>
        <v>3</v>
      </c>
      <c r="I101" s="2">
        <f>IFERROR(__xludf.DUMMYFUNCTION("""COMPUTED_VALUE"""),1)</f>
        <v>1</v>
      </c>
      <c r="J101" s="2">
        <f>IFERROR(__xludf.DUMMYFUNCTION("""COMPUTED_VALUE"""),4)</f>
        <v>4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IFERROR(__xludf.DUMMYFUNCTION("""COMPUTED_VALUE"""),99)</f>
        <v>99</v>
      </c>
      <c r="B102" s="2"/>
      <c r="C102" s="2" t="str">
        <f>IFERROR(__xludf.DUMMYFUNCTION("""COMPUTED_VALUE"""),"PE 
")</f>
        <v>PE 
</v>
      </c>
      <c r="D102" s="2" t="str">
        <f>IFERROR(__xludf.DUMMYFUNCTION("""COMPUTED_VALUE"""),"CS4508")</f>
        <v>CS4508</v>
      </c>
      <c r="E102" s="2" t="str">
        <f>IFERROR(__xludf.DUMMYFUNCTION("""COMPUTED_VALUE"""),"19AM508")</f>
        <v>19AM508</v>
      </c>
      <c r="F102" s="7" t="str">
        <f>IFERROR(__xludf.DUMMYFUNCTION("""COMPUTED_VALUE"""),"Introduction to IoT")</f>
        <v>Introduction to IoT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IFERROR(__xludf.DUMMYFUNCTION("""COMPUTED_VALUE"""),100)</f>
        <v>100</v>
      </c>
      <c r="B103" s="2"/>
      <c r="C103" s="2" t="str">
        <f>IFERROR(__xludf.DUMMYFUNCTION("""COMPUTED_VALUE"""),"PE 
")</f>
        <v>PE 
</v>
      </c>
      <c r="D103" s="2" t="str">
        <f>IFERROR(__xludf.DUMMYFUNCTION("""COMPUTED_VALUE"""),"CS1420")</f>
        <v>CS1420</v>
      </c>
      <c r="E103" s="2" t="str">
        <f>IFERROR(__xludf.DUMMYFUNCTION("""COMPUTED_VALUE"""),"19CS420")</f>
        <v>19CS420</v>
      </c>
      <c r="F103" s="7" t="str">
        <f>IFERROR(__xludf.DUMMYFUNCTION("""COMPUTED_VALUE"""),"Prototyping of IoT Systems")</f>
        <v>Prototyping of IoT Systems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IFERROR(__xludf.DUMMYFUNCTION("""COMPUTED_VALUE"""),101)</f>
        <v>101</v>
      </c>
      <c r="B104" s="2"/>
      <c r="C104" s="2" t="str">
        <f>IFERROR(__xludf.DUMMYFUNCTION("""COMPUTED_VALUE"""),"PE 
")</f>
        <v>PE 
</v>
      </c>
      <c r="D104" s="2" t="str">
        <f>IFERROR(__xludf.DUMMYFUNCTION("""COMPUTED_VALUE"""),"CS1542")</f>
        <v>CS1542</v>
      </c>
      <c r="E104" s="2" t="str">
        <f>IFERROR(__xludf.DUMMYFUNCTION("""COMPUTED_VALUE"""),"19CS542")</f>
        <v>19CS542</v>
      </c>
      <c r="F104" s="7" t="str">
        <f>IFERROR(__xludf.DUMMYFUNCTION("""COMPUTED_VALUE"""),"Embedded Board Design")</f>
        <v>Embedded Board Design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IFERROR(__xludf.DUMMYFUNCTION("""COMPUTED_VALUE"""),102)</f>
        <v>102</v>
      </c>
      <c r="B105" s="2"/>
      <c r="C105" s="2" t="str">
        <f>IFERROR(__xludf.DUMMYFUNCTION("""COMPUTED_VALUE"""),"PE 
")</f>
        <v>PE 
</v>
      </c>
      <c r="D105" s="2" t="str">
        <f>IFERROR(__xludf.DUMMYFUNCTION("""COMPUTED_VALUE"""),"CS3553")</f>
        <v>CS3553</v>
      </c>
      <c r="E105" s="2" t="str">
        <f>IFERROR(__xludf.DUMMYFUNCTION("""COMPUTED_VALUE"""),"19AI553")</f>
        <v>19AI553</v>
      </c>
      <c r="F105" s="7" t="str">
        <f>IFERROR(__xludf.DUMMYFUNCTION("""COMPUTED_VALUE"""),"Advanced Java Web Applications")</f>
        <v>Advanced Java Web Applications</v>
      </c>
      <c r="G105" s="2" t="str">
        <f>IFERROR(__xludf.DUMMYFUNCTION("""COMPUTED_VALUE"""),"19AI307")</f>
        <v>19AI307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IFERROR(__xludf.DUMMYFUNCTION("""COMPUTED_VALUE"""),103)</f>
        <v>103</v>
      </c>
      <c r="B106" s="2"/>
      <c r="C106" s="2" t="str">
        <f>IFERROR(__xludf.DUMMYFUNCTION("""COMPUTED_VALUE"""),"PE 
")</f>
        <v>PE 
</v>
      </c>
      <c r="D106" s="2" t="str">
        <f>IFERROR(__xludf.DUMMYFUNCTION("""COMPUTED_VALUE"""),"CS1417")</f>
        <v>CS1417</v>
      </c>
      <c r="E106" s="2" t="str">
        <f>IFERROR(__xludf.DUMMYFUNCTION("""COMPUTED_VALUE"""),"19CS417")</f>
        <v>19CS417</v>
      </c>
      <c r="F106" s="7" t="str">
        <f>IFERROR(__xludf.DUMMYFUNCTION("""COMPUTED_VALUE"""),"Ethical Hacking Techniques")</f>
        <v>Ethical Hacking Techniques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IFERROR(__xludf.DUMMYFUNCTION("""COMPUTED_VALUE"""),104)</f>
        <v>104</v>
      </c>
      <c r="B107" s="2"/>
      <c r="C107" s="2" t="str">
        <f>IFERROR(__xludf.DUMMYFUNCTION("""COMPUTED_VALUE"""),"PE 
")</f>
        <v>PE 
</v>
      </c>
      <c r="D107" s="2" t="str">
        <f>IFERROR(__xludf.DUMMYFUNCTION("""COMPUTED_VALUE"""),"CS1545")</f>
        <v>CS1545</v>
      </c>
      <c r="E107" s="2" t="str">
        <f>IFERROR(__xludf.DUMMYFUNCTION("""COMPUTED_VALUE"""),"19CS545")</f>
        <v>19CS545</v>
      </c>
      <c r="F107" s="7" t="str">
        <f>IFERROR(__xludf.DUMMYFUNCTION("""COMPUTED_VALUE"""),"Open Source Operating System")</f>
        <v>Open Source Operating System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IFERROR(__xludf.DUMMYFUNCTION("""COMPUTED_VALUE"""),105)</f>
        <v>105</v>
      </c>
      <c r="B108" s="2"/>
      <c r="C108" s="2" t="str">
        <f>IFERROR(__xludf.DUMMYFUNCTION("""COMPUTED_VALUE"""),"PE 
")</f>
        <v>PE 
</v>
      </c>
      <c r="D108" s="2" t="str">
        <f>IFERROR(__xludf.DUMMYFUNCTION("""COMPUTED_VALUE"""),"CS1418")</f>
        <v>CS1418</v>
      </c>
      <c r="E108" s="2" t="str">
        <f>IFERROR(__xludf.DUMMYFUNCTION("""COMPUTED_VALUE"""),"19CS418")</f>
        <v>19CS418</v>
      </c>
      <c r="F108" s="7" t="str">
        <f>IFERROR(__xludf.DUMMYFUNCTION("""COMPUTED_VALUE"""),"Cyber Law and Compliance")</f>
        <v>Cyber Law and Compliance</v>
      </c>
      <c r="G108" s="2" t="str">
        <f>IFERROR(__xludf.DUMMYFUNCTION("""COMPUTED_VALUE"""),"-")</f>
        <v>-</v>
      </c>
      <c r="H108" s="2">
        <f>IFERROR(__xludf.DUMMYFUNCTION("""COMPUTED_VALUE"""),3)</f>
        <v>3</v>
      </c>
      <c r="I108" s="2">
        <f>IFERROR(__xludf.DUMMYFUNCTION("""COMPUTED_VALUE"""),0)</f>
        <v>0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IFERROR(__xludf.DUMMYFUNCTION("""COMPUTED_VALUE"""),"Theory")</f>
        <v>Theory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IFERROR(__xludf.DUMMYFUNCTION("""COMPUTED_VALUE"""),106)</f>
        <v>106</v>
      </c>
      <c r="B109" s="2"/>
      <c r="C109" s="2" t="str">
        <f>IFERROR(__xludf.DUMMYFUNCTION("""COMPUTED_VALUE"""),"PE")</f>
        <v>PE</v>
      </c>
      <c r="D109" s="2" t="str">
        <f>IFERROR(__xludf.DUMMYFUNCTION("""COMPUTED_VALUE"""),"CS3543")</f>
        <v>CS3543</v>
      </c>
      <c r="E109" s="2" t="str">
        <f>IFERROR(__xludf.DUMMYFUNCTION("""COMPUTED_VALUE"""),"19AI543")</f>
        <v>19AI543</v>
      </c>
      <c r="F109" s="7" t="str">
        <f>IFERROR(__xludf.DUMMYFUNCTION("""COMPUTED_VALUE"""),"Software Testing")</f>
        <v>Software Testing</v>
      </c>
      <c r="G109" s="2" t="str">
        <f>IFERROR(__xludf.DUMMYFUNCTION("""COMPUTED_VALUE"""),"19CS301")</f>
        <v>19CS301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IFERROR(__xludf.DUMMYFUNCTION("""COMPUTED_VALUE"""),107)</f>
        <v>107</v>
      </c>
      <c r="B110" s="2"/>
      <c r="C110" s="2" t="str">
        <f>IFERROR(__xludf.DUMMYFUNCTION("""COMPUTED_VALUE"""),"PE")</f>
        <v>PE</v>
      </c>
      <c r="D110" s="2" t="str">
        <f>IFERROR(__xludf.DUMMYFUNCTION("""COMPUTED_VALUE"""),"CS3548")</f>
        <v>CS3548</v>
      </c>
      <c r="E110" s="2" t="str">
        <f>IFERROR(__xludf.DUMMYFUNCTION("""COMPUTED_VALUE"""),"19AI548")</f>
        <v>19AI548</v>
      </c>
      <c r="F110" s="7" t="str">
        <f>IFERROR(__xludf.DUMMYFUNCTION("""COMPUTED_VALUE"""),"Robot Programming")</f>
        <v>Robot Programming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IFERROR(__xludf.DUMMYFUNCTION("""COMPUTED_VALUE"""),108)</f>
        <v>108</v>
      </c>
      <c r="B111" s="2"/>
      <c r="C111" s="2" t="str">
        <f>IFERROR(__xludf.DUMMYFUNCTION("""COMPUTED_VALUE"""),"PE")</f>
        <v>PE</v>
      </c>
      <c r="D111" s="2" t="str">
        <f>IFERROR(__xludf.DUMMYFUNCTION("""COMPUTED_VALUE"""),"CS3549")</f>
        <v>CS3549</v>
      </c>
      <c r="E111" s="2" t="str">
        <f>IFERROR(__xludf.DUMMYFUNCTION("""COMPUTED_VALUE"""),"19AI549")</f>
        <v>19AI549</v>
      </c>
      <c r="F111" s="7" t="str">
        <f>IFERROR(__xludf.DUMMYFUNCTION("""COMPUTED_VALUE"""),"Drone Assembly and Applications")</f>
        <v>Drone Assembly and Applications</v>
      </c>
      <c r="G111" s="2" t="str">
        <f>IFERROR(__xludf.DUMMYFUNCTION("""COMPUTED_VALUE"""),"-")</f>
        <v>-</v>
      </c>
      <c r="H111" s="2">
        <f>IFERROR(__xludf.DUMMYFUNCTION("""COMPUTED_VALUE"""),2)</f>
        <v>2</v>
      </c>
      <c r="I111" s="2">
        <f>IFERROR(__xludf.DUMMYFUNCTION("""COMPUTED_VALUE"""),1)</f>
        <v>1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IFERROR(__xludf.DUMMYFUNCTION("""COMPUTED_VALUE"""),109)</f>
        <v>109</v>
      </c>
      <c r="B112" s="2"/>
      <c r="C112" s="2" t="str">
        <f>IFERROR(__xludf.DUMMYFUNCTION("""COMPUTED_VALUE"""),"PE")</f>
        <v>PE</v>
      </c>
      <c r="D112" s="2" t="str">
        <f>IFERROR(__xludf.DUMMYFUNCTION("""COMPUTED_VALUE"""),"CS3550")</f>
        <v>CS3550</v>
      </c>
      <c r="E112" s="2" t="str">
        <f>IFERROR(__xludf.DUMMYFUNCTION("""COMPUTED_VALUE"""),"19AI550")</f>
        <v>19AI550</v>
      </c>
      <c r="F112" s="7" t="str">
        <f>IFERROR(__xludf.DUMMYFUNCTION("""COMPUTED_VALUE"""),"Artificial Intelligence for Games")</f>
        <v>Artificial Intelligence for Games</v>
      </c>
      <c r="G112" s="2" t="str">
        <f>IFERROR(__xludf.DUMMYFUNCTION("""COMPUTED_VALUE"""),"-")</f>
        <v>-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IFERROR(__xludf.DUMMYFUNCTION("""COMPUTED_VALUE"""),110)</f>
        <v>110</v>
      </c>
      <c r="B113" s="2"/>
      <c r="C113" s="2" t="str">
        <f>IFERROR(__xludf.DUMMYFUNCTION("""COMPUTED_VALUE"""),"PE")</f>
        <v>PE</v>
      </c>
      <c r="D113" s="2" t="str">
        <f>IFERROR(__xludf.DUMMYFUNCTION("""COMPUTED_VALUE"""),"CS3551")</f>
        <v>CS3551</v>
      </c>
      <c r="E113" s="2" t="str">
        <f>IFERROR(__xludf.DUMMYFUNCTION("""COMPUTED_VALUE"""),"19AI551")</f>
        <v>19AI551</v>
      </c>
      <c r="F113" s="7" t="str">
        <f>IFERROR(__xludf.DUMMYFUNCTION("""COMPUTED_VALUE"""),"Drone Design and Control")</f>
        <v>Drone Design and Control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IFERROR(__xludf.DUMMYFUNCTION("""COMPUTED_VALUE"""),111)</f>
        <v>111</v>
      </c>
      <c r="B114" s="2"/>
      <c r="C114" s="2" t="str">
        <f>IFERROR(__xludf.DUMMYFUNCTION("""COMPUTED_VALUE"""),"PE")</f>
        <v>PE</v>
      </c>
      <c r="D114" s="2" t="str">
        <f>IFERROR(__xludf.DUMMYFUNCTION("""COMPUTED_VALUE"""),"CS3552")</f>
        <v>CS3552</v>
      </c>
      <c r="E114" s="2" t="str">
        <f>IFERROR(__xludf.DUMMYFUNCTION("""COMPUTED_VALUE"""),"19AI552")</f>
        <v>19AI552</v>
      </c>
      <c r="F114" s="7" t="str">
        <f>IFERROR(__xludf.DUMMYFUNCTION("""COMPUTED_VALUE"""),"Web Application User Interface Development")</f>
        <v>Web Application User Interface Development</v>
      </c>
      <c r="G114" s="2" t="str">
        <f>IFERROR(__xludf.DUMMYFUNCTION("""COMPUTED_VALUE"""),"-")</f>
        <v>-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IFERROR(__xludf.DUMMYFUNCTION("""COMPUTED_VALUE"""),112)</f>
        <v>112</v>
      </c>
      <c r="B115" s="2"/>
      <c r="C115" s="2" t="str">
        <f>IFERROR(__xludf.DUMMYFUNCTION("""COMPUTED_VALUE"""),"PE")</f>
        <v>PE</v>
      </c>
      <c r="D115" s="2" t="str">
        <f>IFERROR(__xludf.DUMMYFUNCTION("""COMPUTED_VALUE"""),"CS3554")</f>
        <v>CS3554</v>
      </c>
      <c r="E115" s="2" t="str">
        <f>IFERROR(__xludf.DUMMYFUNCTION("""COMPUTED_VALUE"""),"19AI554")</f>
        <v>19AI554</v>
      </c>
      <c r="F115" s="7" t="str">
        <f>IFERROR(__xludf.DUMMYFUNCTION("""COMPUTED_VALUE"""),"Fundamentals of Large Language Models")</f>
        <v>Fundamentals of Large Language Models</v>
      </c>
      <c r="G115" s="2" t="str">
        <f>IFERROR(__xludf.DUMMYFUNCTION("""COMPUTED_VALUE"""),"-")</f>
        <v>-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IFERROR(__xludf.DUMMYFUNCTION("""COMPUTED_VALUE"""),113)</f>
        <v>113</v>
      </c>
      <c r="B116" s="2"/>
      <c r="C116" s="2" t="str">
        <f>IFERROR(__xludf.DUMMYFUNCTION("""COMPUTED_VALUE"""),"PE")</f>
        <v>PE</v>
      </c>
      <c r="D116" s="2" t="str">
        <f>IFERROR(__xludf.DUMMYFUNCTION("""COMPUTED_VALUE"""),"CS3560")</f>
        <v>CS3560</v>
      </c>
      <c r="E116" s="2" t="str">
        <f>IFERROR(__xludf.DUMMYFUNCTION("""COMPUTED_VALUE"""),"19AI560")</f>
        <v>19AI560</v>
      </c>
      <c r="F116" s="3" t="str">
        <f>IFERROR(__xludf.DUMMYFUNCTION("""COMPUTED_VALUE"""),"Augmented Reality and ARCore")</f>
        <v>Augmented Reality and ARCore</v>
      </c>
      <c r="G116" s="2" t="str">
        <f>IFERROR(__xludf.DUMMYFUNCTION("""COMPUTED_VALUE"""),"-")</f>
        <v>-</v>
      </c>
      <c r="H116" s="2">
        <f>IFERROR(__xludf.DUMMYFUNCTION("""COMPUTED_VALUE"""),2)</f>
        <v>2</v>
      </c>
      <c r="I116" s="2">
        <f>IFERROR(__xludf.DUMMYFUNCTION("""COMPUTED_VALUE"""),1)</f>
        <v>1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IFERROR(__xludf.DUMMYFUNCTION("""COMPUTED_VALUE"""),"TIP (6 Expts)")</f>
        <v>TIP (6 Expts)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IFERROR(__xludf.DUMMYFUNCTION("""COMPUTED_VALUE"""),114)</f>
        <v>114</v>
      </c>
      <c r="B117" s="2"/>
      <c r="C117" s="2" t="str">
        <f>IFERROR(__xludf.DUMMYFUNCTION("""COMPUTED_VALUE"""),"PE")</f>
        <v>PE</v>
      </c>
      <c r="D117" s="2" t="str">
        <f>IFERROR(__xludf.DUMMYFUNCTION("""COMPUTED_VALUE"""),"CS3561")</f>
        <v>CS3561</v>
      </c>
      <c r="E117" s="2" t="str">
        <f>IFERROR(__xludf.DUMMYFUNCTION("""COMPUTED_VALUE"""),"19AI561")</f>
        <v>19AI561</v>
      </c>
      <c r="F117" s="3" t="str">
        <f>IFERROR(__xludf.DUMMYFUNCTION("""COMPUTED_VALUE"""),"Extended Reality")</f>
        <v>Extended Reality</v>
      </c>
      <c r="G117" s="2" t="str">
        <f>IFERROR(__xludf.DUMMYFUNCTION("""COMPUTED_VALUE"""),"CS3307")</f>
        <v>CS3307</v>
      </c>
      <c r="H117" s="2">
        <f>IFERROR(__xludf.DUMMYFUNCTION("""COMPUTED_VALUE"""),2)</f>
        <v>2</v>
      </c>
      <c r="I117" s="2">
        <f>IFERROR(__xludf.DUMMYFUNCTION("""COMPUTED_VALUE"""),1)</f>
        <v>1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IFERROR(__xludf.DUMMYFUNCTION("""COMPUTED_VALUE"""),"TIP (6 Expts)")</f>
        <v>TIP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IFERROR(__xludf.DUMMYFUNCTION("""COMPUTED_VALUE"""),115)</f>
        <v>115</v>
      </c>
      <c r="B118" s="2"/>
      <c r="C118" s="2" t="str">
        <f>IFERROR(__xludf.DUMMYFUNCTION("""COMPUTED_VALUE"""),"PE")</f>
        <v>PE</v>
      </c>
      <c r="D118" s="2" t="str">
        <f>IFERROR(__xludf.DUMMYFUNCTION("""COMPUTED_VALUE"""),"CS3555")</f>
        <v>CS3555</v>
      </c>
      <c r="E118" s="2" t="str">
        <f>IFERROR(__xludf.DUMMYFUNCTION("""COMPUTED_VALUE"""),"19AI555")</f>
        <v>19AI555</v>
      </c>
      <c r="F118" s="7" t="str">
        <f>IFERROR(__xludf.DUMMYFUNCTION("""COMPUTED_VALUE"""),"Exploratory Data Analysis")</f>
        <v>Exploratory Data Analysis</v>
      </c>
      <c r="G118" s="2" t="str">
        <f>IFERROR(__xludf.DUMMYFUNCTION("""COMPUTED_VALUE"""),"-")</f>
        <v>-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IFERROR(__xludf.DUMMYFUNCTION("""COMPUTED_VALUE"""),116)</f>
        <v>116</v>
      </c>
      <c r="B119" s="2"/>
      <c r="C119" s="2" t="str">
        <f>IFERROR(__xludf.DUMMYFUNCTION("""COMPUTED_VALUE"""),"PE")</f>
        <v>PE</v>
      </c>
      <c r="D119" s="2" t="str">
        <f>IFERROR(__xludf.DUMMYFUNCTION("""COMPUTED_VALUE"""),"CS3559")</f>
        <v>CS3559</v>
      </c>
      <c r="E119" s="2" t="str">
        <f>IFERROR(__xludf.DUMMYFUNCTION("""COMPUTED_VALUE"""),"19AI559")</f>
        <v>19AI559</v>
      </c>
      <c r="F119" s="7" t="str">
        <f>IFERROR(__xludf.DUMMYFUNCTION("""COMPUTED_VALUE"""),"Image and Video Analytics")</f>
        <v>Image and Video Analytics</v>
      </c>
      <c r="G119" s="2" t="str">
        <f>IFERROR(__xludf.DUMMYFUNCTION("""COMPUTED_VALUE"""),"-")</f>
        <v>-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IFERROR(__xludf.DUMMYFUNCTION("""COMPUTED_VALUE"""),117)</f>
        <v>117</v>
      </c>
      <c r="B120" s="2"/>
      <c r="C120" s="2" t="str">
        <f>IFERROR(__xludf.DUMMYFUNCTION("""COMPUTED_VALUE"""),"PE")</f>
        <v>PE</v>
      </c>
      <c r="D120" s="2" t="str">
        <f>IFERROR(__xludf.DUMMYFUNCTION("""COMPUTED_VALUE"""),"CS3557")</f>
        <v>CS3557</v>
      </c>
      <c r="E120" s="2" t="str">
        <f>IFERROR(__xludf.DUMMYFUNCTION("""COMPUTED_VALUE"""),"19AI557")</f>
        <v>19AI557</v>
      </c>
      <c r="F120" s="7" t="str">
        <f>IFERROR(__xludf.DUMMYFUNCTION("""COMPUTED_VALUE"""),"Neural Networks and Deep Learning")</f>
        <v>Neural Networks and Deep Learning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IFERROR(__xludf.DUMMYFUNCTION("""COMPUTED_VALUE"""),118)</f>
        <v>118</v>
      </c>
      <c r="B121" s="2"/>
      <c r="C121" s="2" t="str">
        <f>IFERROR(__xludf.DUMMYFUNCTION("""COMPUTED_VALUE"""),"PE")</f>
        <v>PE</v>
      </c>
      <c r="D121" s="2" t="str">
        <f>IFERROR(__xludf.DUMMYFUNCTION("""COMPUTED_VALUE"""),"CS3556")</f>
        <v>CS3556</v>
      </c>
      <c r="E121" s="2" t="str">
        <f>IFERROR(__xludf.DUMMYFUNCTION("""COMPUTED_VALUE"""),"19AI556")</f>
        <v>19AI556</v>
      </c>
      <c r="F121" s="7" t="str">
        <f>IFERROR(__xludf.DUMMYFUNCTION("""COMPUTED_VALUE"""),"Recommender Systems")</f>
        <v>Recommender Systems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IFERROR(__xludf.DUMMYFUNCTION("""COMPUTED_VALUE"""),119)</f>
        <v>119</v>
      </c>
      <c r="B122" s="2"/>
      <c r="C122" s="2" t="str">
        <f>IFERROR(__xludf.DUMMYFUNCTION("""COMPUTED_VALUE"""),"PE")</f>
        <v>PE</v>
      </c>
      <c r="D122" s="2" t="str">
        <f>IFERROR(__xludf.DUMMYFUNCTION("""COMPUTED_VALUE"""),"CS3558")</f>
        <v>CS3558</v>
      </c>
      <c r="E122" s="2" t="str">
        <f>IFERROR(__xludf.DUMMYFUNCTION("""COMPUTED_VALUE"""),"19AI558")</f>
        <v>19AI558</v>
      </c>
      <c r="F122" s="7" t="str">
        <f>IFERROR(__xludf.DUMMYFUNCTION("""COMPUTED_VALUE"""),"Text and Speech Analysis")</f>
        <v>Text and Speech Analysis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5">
      <c r="A123" s="26">
        <f>IFERROR(__xludf.DUMMYFUNCTION("""COMPUTED_VALUE"""),120)</f>
        <v>120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IFERROR(__xludf.DUMMYFUNCTION("""COMPUTED_VALUE"""),"CS4401")</f>
        <v>CS4401</v>
      </c>
      <c r="E123" s="26" t="str">
        <f>IFERROR(__xludf.DUMMYFUNCTION("""COMPUTED_VALUE"""),"19AM401")</f>
        <v>19AM401</v>
      </c>
      <c r="F123" s="26" t="str">
        <f>IFERROR(__xludf.DUMMYFUNCTION("""COMPUTED_VALUE"""),"Time Series Analysis and Forecasting")</f>
        <v>Time Series Analysis and Forecasting</v>
      </c>
      <c r="G123" s="26" t="str">
        <f>IFERROR(__xludf.DUMMYFUNCTION("""COMPUTED_VALUE"""),"-")</f>
        <v>-</v>
      </c>
      <c r="H123" s="26">
        <f>IFERROR(__xludf.DUMMYFUNCTION("""COMPUTED_VALUE"""),3)</f>
        <v>3</v>
      </c>
      <c r="I123" s="26">
        <f>IFERROR(__xludf.DUMMYFUNCTION("""COMPUTED_VALUE"""),1)</f>
        <v>1</v>
      </c>
      <c r="J123" s="26">
        <f>IFERROR(__xludf.DUMMYFUNCTION("""COMPUTED_VALUE"""),4)</f>
        <v>4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</row>
    <row r="124" ht="13.2" spans="1:15">
      <c r="A124" s="26">
        <f>IFERROR(__xludf.DUMMYFUNCTION("""COMPUTED_VALUE"""),121)</f>
        <v>121</v>
      </c>
      <c r="B124" s="26"/>
      <c r="C124" s="26" t="str">
        <f>IFERROR(__xludf.DUMMYFUNCTION("""COMPUTED_VALUE"""),"PE")</f>
        <v>PE</v>
      </c>
      <c r="D124" s="26" t="str">
        <f>IFERROR(__xludf.DUMMYFUNCTION("""COMPUTED_VALUE"""),"CS4501")</f>
        <v>CS4501</v>
      </c>
      <c r="E124" s="26" t="str">
        <f>IFERROR(__xludf.DUMMYFUNCTION("""COMPUTED_VALUE"""),"19AM501")</f>
        <v>19AM501</v>
      </c>
      <c r="F124" s="26" t="str">
        <f>IFERROR(__xludf.DUMMYFUNCTION("""COMPUTED_VALUE"""),"Machine Learning for Bioinformatics")</f>
        <v>Machine Learning for Bioinformatics</v>
      </c>
      <c r="G124" s="26" t="str">
        <f>IFERROR(__xludf.DUMMYFUNCTION("""COMPUTED_VALUE"""),"-")</f>
        <v>-</v>
      </c>
      <c r="H124" s="26">
        <f>IFERROR(__xludf.DUMMYFUNCTION("""COMPUTED_VALUE"""),3)</f>
        <v>3</v>
      </c>
      <c r="I124" s="26">
        <f>IFERROR(__xludf.DUMMYFUNCTION("""COMPUTED_VALUE"""),0)</f>
        <v>0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IFERROR(__xludf.DUMMYFUNCTION("""COMPUTED_VALUE"""),"Theory")</f>
        <v>Theory</v>
      </c>
      <c r="M124" s="26"/>
      <c r="N124" s="26"/>
      <c r="O124" s="26"/>
    </row>
    <row r="125" ht="13.2" spans="1:15">
      <c r="A125" s="26">
        <f>IFERROR(__xludf.DUMMYFUNCTION("""COMPUTED_VALUE"""),122)</f>
        <v>122</v>
      </c>
      <c r="B125" s="26"/>
      <c r="C125" s="26" t="str">
        <f>IFERROR(__xludf.DUMMYFUNCTION("""COMPUTED_VALUE"""),"PE")</f>
        <v>PE</v>
      </c>
      <c r="D125" s="26" t="str">
        <f>IFERROR(__xludf.DUMMYFUNCTION("""COMPUTED_VALUE"""),"CS4502")</f>
        <v>CS4502</v>
      </c>
      <c r="E125" s="26" t="str">
        <f>IFERROR(__xludf.DUMMYFUNCTION("""COMPUTED_VALUE"""),"19AM502")</f>
        <v>19AM502</v>
      </c>
      <c r="F125" s="27" t="str">
        <f>IFERROR(__xludf.DUMMYFUNCTION("""COMPUTED_VALUE"""),"Genetic Algorithms")</f>
        <v>Genetic Algorithms</v>
      </c>
      <c r="G125" s="26" t="str">
        <f>IFERROR(__xludf.DUMMYFUNCTION("""COMPUTED_VALUE"""),"-")</f>
        <v>-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</row>
    <row r="126" ht="13.2" spans="1:15">
      <c r="A126" s="26">
        <f>IFERROR(__xludf.DUMMYFUNCTION("""COMPUTED_VALUE"""),123)</f>
        <v>123</v>
      </c>
      <c r="B126" s="26"/>
      <c r="C126" s="26" t="str">
        <f>IFERROR(__xludf.DUMMYFUNCTION("""COMPUTED_VALUE"""),"PE")</f>
        <v>PE</v>
      </c>
      <c r="D126" s="26" t="str">
        <f>IFERROR(__xludf.DUMMYFUNCTION("""COMPUTED_VALUE"""),"CS4503")</f>
        <v>CS4503</v>
      </c>
      <c r="E126" s="26" t="str">
        <f>IFERROR(__xludf.DUMMYFUNCTION("""COMPUTED_VALUE"""),"19AM503")</f>
        <v>19AM503</v>
      </c>
      <c r="F126" s="26" t="str">
        <f>IFERROR(__xludf.DUMMYFUNCTION("""COMPUTED_VALUE"""),"Data Modeling")</f>
        <v>Data Modeling</v>
      </c>
      <c r="G126" s="26" t="str">
        <f>IFERROR(__xludf.DUMMYFUNCTION("""COMPUTED_VALUE"""),"-")</f>
        <v>-</v>
      </c>
      <c r="H126" s="26">
        <f>IFERROR(__xludf.DUMMYFUNCTION("""COMPUTED_VALUE"""),3)</f>
        <v>3</v>
      </c>
      <c r="I126" s="26">
        <f>IFERROR(__xludf.DUMMYFUNCTION("""COMPUTED_VALUE"""),0)</f>
        <v>0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IFERROR(__xludf.DUMMYFUNCTION("""COMPUTED_VALUE"""),"Theory")</f>
        <v>Theory</v>
      </c>
      <c r="M126" s="26"/>
      <c r="N126" s="26"/>
      <c r="O126" s="26"/>
    </row>
    <row r="127" ht="13.2" spans="1:15">
      <c r="A127" s="26">
        <f>IFERROR(__xludf.DUMMYFUNCTION("""COMPUTED_VALUE"""),124)</f>
        <v>124</v>
      </c>
      <c r="B127" s="26"/>
      <c r="C127" s="26" t="str">
        <f>IFERROR(__xludf.DUMMYFUNCTION("""COMPUTED_VALUE"""),"PE")</f>
        <v>PE</v>
      </c>
      <c r="D127" s="26" t="str">
        <f>IFERROR(__xludf.DUMMYFUNCTION("""COMPUTED_VALUE"""),"CS4504")</f>
        <v>CS4504</v>
      </c>
      <c r="E127" s="26" t="str">
        <f>IFERROR(__xludf.DUMMYFUNCTION("""COMPUTED_VALUE"""),"19AM504")</f>
        <v>19AM504</v>
      </c>
      <c r="F127" s="27" t="str">
        <f>IFERROR(__xludf.DUMMYFUNCTION("""COMPUTED_VALUE"""),"Brain Computer Interaction")</f>
        <v>Brain Computer Interaction</v>
      </c>
      <c r="G127" s="26" t="str">
        <f>IFERROR(__xludf.DUMMYFUNCTION("""COMPUTED_VALUE"""),"-")</f>
        <v>-</v>
      </c>
      <c r="H127" s="26">
        <f>IFERROR(__xludf.DUMMYFUNCTION("""COMPUTED_VALUE"""),3)</f>
        <v>3</v>
      </c>
      <c r="I127" s="26">
        <f>IFERROR(__xludf.DUMMYFUNCTION("""COMPUTED_VALUE"""),0)</f>
        <v>0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IFERROR(__xludf.DUMMYFUNCTION("""COMPUTED_VALUE"""),"Theory")</f>
        <v>Theory</v>
      </c>
      <c r="M127" s="26"/>
      <c r="N127" s="26"/>
      <c r="O127" s="26"/>
    </row>
    <row r="128" ht="13.2" spans="1:15">
      <c r="A128" s="26">
        <f>IFERROR(__xludf.DUMMYFUNCTION("""COMPUTED_VALUE"""),125)</f>
        <v>125</v>
      </c>
      <c r="B128" s="26"/>
      <c r="C128" s="26" t="str">
        <f>IFERROR(__xludf.DUMMYFUNCTION("""COMPUTED_VALUE"""),"PE")</f>
        <v>PE</v>
      </c>
      <c r="D128" s="26" t="str">
        <f>IFERROR(__xludf.DUMMYFUNCTION("""COMPUTED_VALUE"""),"CS4505")</f>
        <v>CS4505</v>
      </c>
      <c r="E128" s="26" t="str">
        <f>IFERROR(__xludf.DUMMYFUNCTION("""COMPUTED_VALUE"""),"19AM505")</f>
        <v>19AM505</v>
      </c>
      <c r="F128" s="27" t="str">
        <f>IFERROR(__xludf.DUMMYFUNCTION("""COMPUTED_VALUE"""),"Statistical Learning Theory")</f>
        <v>Statistical Learning Theory</v>
      </c>
      <c r="G128" s="26" t="str">
        <f>IFERROR(__xludf.DUMMYFUNCTION("""COMPUTED_VALUE"""),"-")</f>
        <v>-</v>
      </c>
      <c r="H128" s="26">
        <f>IFERROR(__xludf.DUMMYFUNCTION("""COMPUTED_VALUE"""),2)</f>
        <v>2</v>
      </c>
      <c r="I128" s="26">
        <f>IFERROR(__xludf.DUMMYFUNCTION("""COMPUTED_VALUE"""),1)</f>
        <v>1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</row>
    <row r="129" ht="13.2" spans="1:15">
      <c r="A129" s="26">
        <f>IFERROR(__xludf.DUMMYFUNCTION("""COMPUTED_VALUE"""),126)</f>
        <v>126</v>
      </c>
      <c r="B129" s="26"/>
      <c r="C129" s="26" t="str">
        <f>IFERROR(__xludf.DUMMYFUNCTION("""COMPUTED_VALUE"""),"PE")</f>
        <v>PE</v>
      </c>
      <c r="D129" s="26" t="str">
        <f>IFERROR(__xludf.DUMMYFUNCTION("""COMPUTED_VALUE"""),"CS4506")</f>
        <v>CS4506</v>
      </c>
      <c r="E129" s="26" t="str">
        <f>IFERROR(__xludf.DUMMYFUNCTION("""COMPUTED_VALUE"""),"19AM506")</f>
        <v>19AM506</v>
      </c>
      <c r="F129" s="27" t="str">
        <f>IFERROR(__xludf.DUMMYFUNCTION("""COMPUTED_VALUE"""),"Sensors and Actuators for IoT")</f>
        <v>Sensors and Actuators for IoT</v>
      </c>
      <c r="G129" s="26" t="str">
        <f>IFERROR(__xludf.DUMMYFUNCTION("""COMPUTED_VALUE"""),"-")</f>
        <v>-</v>
      </c>
      <c r="H129" s="26">
        <f>IFERROR(__xludf.DUMMYFUNCTION("""COMPUTED_VALUE"""),2)</f>
        <v>2</v>
      </c>
      <c r="I129" s="26">
        <f>IFERROR(__xludf.DUMMYFUNCTION("""COMPUTED_VALUE"""),1)</f>
        <v>1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</row>
    <row r="130" ht="13.2" spans="1:15">
      <c r="A130" s="26">
        <f>IFERROR(__xludf.DUMMYFUNCTION("""COMPUTED_VALUE"""),127)</f>
        <v>127</v>
      </c>
      <c r="B130" s="26"/>
      <c r="C130" s="26" t="str">
        <f>IFERROR(__xludf.DUMMYFUNCTION("""COMPUTED_VALUE"""),"PE")</f>
        <v>PE</v>
      </c>
      <c r="D130" s="26" t="str">
        <f>IFERROR(__xludf.DUMMYFUNCTION("""COMPUTED_VALUE"""),"CS4507")</f>
        <v>CS4507</v>
      </c>
      <c r="E130" s="26" t="str">
        <f>IFERROR(__xludf.DUMMYFUNCTION("""COMPUTED_VALUE"""),"19AM507")</f>
        <v>19AM507</v>
      </c>
      <c r="F130" s="27" t="str">
        <f>IFERROR(__xludf.DUMMYFUNCTION("""COMPUTED_VALUE"""),"Security and Trust in IoT")</f>
        <v>Security and Trust in IoT</v>
      </c>
      <c r="G130" s="26" t="str">
        <f>IFERROR(__xludf.DUMMYFUNCTION("""COMPUTED_VALUE"""),"-")</f>
        <v>-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</row>
    <row r="131" ht="13.2" spans="1:15">
      <c r="A131" s="26">
        <f>IFERROR(__xludf.DUMMYFUNCTION("""COMPUTED_VALUE"""),128)</f>
        <v>128</v>
      </c>
      <c r="B131" s="26"/>
      <c r="C131" s="26" t="str">
        <f>IFERROR(__xludf.DUMMYFUNCTION("""COMPUTED_VALUE"""),"PE")</f>
        <v>PE</v>
      </c>
      <c r="D131" s="26" t="str">
        <f>IFERROR(__xludf.DUMMYFUNCTION("""COMPUTED_VALUE"""),"CS4509")</f>
        <v>CS4509</v>
      </c>
      <c r="E131" s="26" t="str">
        <f>IFERROR(__xludf.DUMMYFUNCTION("""COMPUTED_VALUE"""),"19AM509")</f>
        <v>19AM509</v>
      </c>
      <c r="F131" s="27" t="str">
        <f>IFERROR(__xludf.DUMMYFUNCTION("""COMPUTED_VALUE"""),"Industrial Internet of Things")</f>
        <v>Industrial Internet of Things</v>
      </c>
      <c r="G131" s="26" t="str">
        <f>IFERROR(__xludf.DUMMYFUNCTION("""COMPUTED_VALUE"""),"-")</f>
        <v>-</v>
      </c>
      <c r="H131" s="26">
        <f>IFERROR(__xludf.DUMMYFUNCTION("""COMPUTED_VALUE"""),2)</f>
        <v>2</v>
      </c>
      <c r="I131" s="26">
        <f>IFERROR(__xludf.DUMMYFUNCTION("""COMPUTED_VALUE"""),1)</f>
        <v>1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IFERROR(__xludf.DUMMYFUNCTION("""COMPUTED_VALUE"""),"TIP (6 Expts)")</f>
        <v>TIP (6 Expts)</v>
      </c>
      <c r="M131" s="26"/>
      <c r="N131" s="26"/>
      <c r="O131" s="26"/>
    </row>
    <row r="132" ht="13.2" spans="1:15">
      <c r="A132" s="26">
        <f>IFERROR(__xludf.DUMMYFUNCTION("""COMPUTED_VALUE"""),129)</f>
        <v>129</v>
      </c>
      <c r="B132" s="26"/>
      <c r="C132" s="26" t="str">
        <f>IFERROR(__xludf.DUMMYFUNCTION("""COMPUTED_VALUE"""),"PE")</f>
        <v>PE</v>
      </c>
      <c r="D132" s="26" t="str">
        <f>IFERROR(__xludf.DUMMYFUNCTION("""COMPUTED_VALUE"""),"CS4510")</f>
        <v>CS4510</v>
      </c>
      <c r="E132" s="26" t="str">
        <f>IFERROR(__xludf.DUMMYFUNCTION("""COMPUTED_VALUE"""),"19AM510")</f>
        <v>19AM510</v>
      </c>
      <c r="F132" s="27" t="str">
        <f>IFERROR(__xludf.DUMMYFUNCTION("""COMPUTED_VALUE"""),"Software for Embedded Systems")</f>
        <v>Software for Embedded Systems</v>
      </c>
      <c r="G132" s="26" t="str">
        <f>IFERROR(__xludf.DUMMYFUNCTION("""COMPUTED_VALUE"""),"-")</f>
        <v>-</v>
      </c>
      <c r="H132" s="26">
        <f>IFERROR(__xludf.DUMMYFUNCTION("""COMPUTED_VALUE"""),2)</f>
        <v>2</v>
      </c>
      <c r="I132" s="26">
        <f>IFERROR(__xludf.DUMMYFUNCTION("""COMPUTED_VALUE"""),1)</f>
        <v>1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IFERROR(__xludf.DUMMYFUNCTION("""COMPUTED_VALUE"""),"TIP (6 Expts)")</f>
        <v>TIP (6 Expts)</v>
      </c>
      <c r="M132" s="26"/>
      <c r="N132" s="26"/>
      <c r="O132" s="26"/>
    </row>
    <row r="133" ht="13.2" spans="1:15">
      <c r="A133" s="26">
        <f>IFERROR(__xludf.DUMMYFUNCTION("""COMPUTED_VALUE"""),130)</f>
        <v>130</v>
      </c>
      <c r="B133" s="26"/>
      <c r="C133" s="26" t="str">
        <f>IFERROR(__xludf.DUMMYFUNCTION("""COMPUTED_VALUE"""),"PE")</f>
        <v>PE</v>
      </c>
      <c r="D133" s="26" t="str">
        <f>IFERROR(__xludf.DUMMYFUNCTION("""COMPUTED_VALUE"""),"CS4511")</f>
        <v>CS4511</v>
      </c>
      <c r="E133" s="26" t="str">
        <f>IFERROR(__xludf.DUMMYFUNCTION("""COMPUTED_VALUE"""),"19AM511")</f>
        <v>19AM511</v>
      </c>
      <c r="F133" s="27" t="str">
        <f>IFERROR(__xludf.DUMMYFUNCTION("""COMPUTED_VALUE"""),"IoT Architecture and Protocols")</f>
        <v>IoT Architecture and Protocols</v>
      </c>
      <c r="G133" s="26" t="str">
        <f>IFERROR(__xludf.DUMMYFUNCTION("""COMPUTED_VALUE"""),"-")</f>
        <v>-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</row>
    <row r="134" ht="13.2" spans="1:15">
      <c r="A134" s="26">
        <f>IFERROR(__xludf.DUMMYFUNCTION("""COMPUTED_VALUE"""),131)</f>
        <v>131</v>
      </c>
      <c r="B134" s="26"/>
      <c r="C134" s="26" t="str">
        <f>IFERROR(__xludf.DUMMYFUNCTION("""COMPUTED_VALUE"""),"PE")</f>
        <v>PE</v>
      </c>
      <c r="D134" s="26" t="str">
        <f>IFERROR(__xludf.DUMMYFUNCTION("""COMPUTED_VALUE"""),"CS4512")</f>
        <v>CS4512</v>
      </c>
      <c r="E134" s="26" t="str">
        <f>IFERROR(__xludf.DUMMYFUNCTION("""COMPUTED_VALUE"""),"19AM512")</f>
        <v>19AM512</v>
      </c>
      <c r="F134" s="27" t="str">
        <f>IFERROR(__xludf.DUMMYFUNCTION("""COMPUTED_VALUE"""),"Arduino for IoT")</f>
        <v>Arduino for IoT</v>
      </c>
      <c r="G134" s="26" t="str">
        <f>IFERROR(__xludf.DUMMYFUNCTION("""COMPUTED_VALUE"""),"-")</f>
        <v>-</v>
      </c>
      <c r="H134" s="26">
        <f>IFERROR(__xludf.DUMMYFUNCTION("""COMPUTED_VALUE"""),2)</f>
        <v>2</v>
      </c>
      <c r="I134" s="26">
        <f>IFERROR(__xludf.DUMMYFUNCTION("""COMPUTED_VALUE"""),1)</f>
        <v>1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</row>
    <row r="135" ht="13.2" spans="1:15">
      <c r="A135" s="26">
        <f>IFERROR(__xludf.DUMMYFUNCTION("""COMPUTED_VALUE"""),132)</f>
        <v>132</v>
      </c>
      <c r="B135" s="26"/>
      <c r="C135" s="26" t="str">
        <f>IFERROR(__xludf.DUMMYFUNCTION("""COMPUTED_VALUE"""),"PE")</f>
        <v>PE</v>
      </c>
      <c r="D135" s="26" t="str">
        <f>IFERROR(__xludf.DUMMYFUNCTION("""COMPUTED_VALUE"""),"CS4513")</f>
        <v>CS4513</v>
      </c>
      <c r="E135" s="26" t="str">
        <f>IFERROR(__xludf.DUMMYFUNCTION("""COMPUTED_VALUE"""),"19AM513")</f>
        <v>19AM513</v>
      </c>
      <c r="F135" s="27" t="str">
        <f>IFERROR(__xludf.DUMMYFUNCTION("""COMPUTED_VALUE"""),"Raspberry Pi for IoT")</f>
        <v>Raspberry Pi for IoT</v>
      </c>
      <c r="G135" s="26" t="str">
        <f>IFERROR(__xludf.DUMMYFUNCTION("""COMPUTED_VALUE"""),"-")</f>
        <v>-</v>
      </c>
      <c r="H135" s="26">
        <f>IFERROR(__xludf.DUMMYFUNCTION("""COMPUTED_VALUE"""),2)</f>
        <v>2</v>
      </c>
      <c r="I135" s="26">
        <f>IFERROR(__xludf.DUMMYFUNCTION("""COMPUTED_VALUE"""),1)</f>
        <v>1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IFERROR(__xludf.DUMMYFUNCTION("""COMPUTED_VALUE"""),"TIP (6 Expts)")</f>
        <v>TIP (6 Expts)</v>
      </c>
      <c r="M135" s="26"/>
      <c r="N135" s="26"/>
      <c r="O135" s="26"/>
    </row>
    <row r="136" ht="13.2" spans="1:15">
      <c r="A136" s="26">
        <f>IFERROR(__xludf.DUMMYFUNCTION("""COMPUTED_VALUE"""),133)</f>
        <v>133</v>
      </c>
      <c r="B136" s="26"/>
      <c r="C136" s="26" t="str">
        <f>IFERROR(__xludf.DUMMYFUNCTION("""COMPUTED_VALUE"""),"PE")</f>
        <v>PE</v>
      </c>
      <c r="D136" s="26" t="str">
        <f>IFERROR(__xludf.DUMMYFUNCTION("""COMPUTED_VALUE"""),"CS4514")</f>
        <v>CS4514</v>
      </c>
      <c r="E136" s="26" t="str">
        <f>IFERROR(__xludf.DUMMYFUNCTION("""COMPUTED_VALUE"""),"19AM514")</f>
        <v>19AM514</v>
      </c>
      <c r="F136" s="27" t="str">
        <f>IFERROR(__xludf.DUMMYFUNCTION("""COMPUTED_VALUE"""),"Motion Planning Techniques")</f>
        <v>Motion Planning Techniques</v>
      </c>
      <c r="G136" s="26" t="str">
        <f>IFERROR(__xludf.DUMMYFUNCTION("""COMPUTED_VALUE"""),"-")</f>
        <v>-</v>
      </c>
      <c r="H136" s="26">
        <f>IFERROR(__xludf.DUMMYFUNCTION("""COMPUTED_VALUE"""),2)</f>
        <v>2</v>
      </c>
      <c r="I136" s="26">
        <f>IFERROR(__xludf.DUMMYFUNCTION("""COMPUTED_VALUE"""),1)</f>
        <v>1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IFERROR(__xludf.DUMMYFUNCTION("""COMPUTED_VALUE"""),"TIP (6 Expts)")</f>
        <v>TIP (6 Expts)</v>
      </c>
      <c r="M136" s="26"/>
      <c r="N136" s="26"/>
      <c r="O136" s="26"/>
    </row>
    <row r="137" ht="13.2" spans="1:15">
      <c r="A137" s="26">
        <f>IFERROR(__xludf.DUMMYFUNCTION("""COMPUTED_VALUE"""),134)</f>
        <v>134</v>
      </c>
      <c r="B137" s="26"/>
      <c r="C137" s="26" t="str">
        <f>IFERROR(__xludf.DUMMYFUNCTION("""COMPUTED_VALUE"""),"PE")</f>
        <v>PE</v>
      </c>
      <c r="D137" s="26" t="str">
        <f>IFERROR(__xludf.DUMMYFUNCTION("""COMPUTED_VALUE"""),"CS4515")</f>
        <v>CS4515</v>
      </c>
      <c r="E137" s="26" t="str">
        <f>IFERROR(__xludf.DUMMYFUNCTION("""COMPUTED_VALUE"""),"19AM515")</f>
        <v>19AM515</v>
      </c>
      <c r="F137" s="27" t="str">
        <f>IFERROR(__xludf.DUMMYFUNCTION("""COMPUTED_VALUE"""),"Advanced Java Programming")</f>
        <v>Advanced Java Programming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</row>
    <row r="138" ht="13.2" spans="1:15">
      <c r="A138" s="26">
        <f>IFERROR(__xludf.DUMMYFUNCTION("""COMPUTED_VALUE"""),135)</f>
        <v>135</v>
      </c>
      <c r="B138" s="26"/>
      <c r="C138" s="26" t="str">
        <f>IFERROR(__xludf.DUMMYFUNCTION("""COMPUTED_VALUE"""),"PE")</f>
        <v>PE</v>
      </c>
      <c r="D138" s="26" t="str">
        <f>IFERROR(__xludf.DUMMYFUNCTION("""COMPUTED_VALUE"""),"CS1558")</f>
        <v>CS1558</v>
      </c>
      <c r="E138" s="26" t="str">
        <f>IFERROR(__xludf.DUMMYFUNCTION("""COMPUTED_VALUE"""),"19CS558")</f>
        <v>19CS558</v>
      </c>
      <c r="F138" s="26" t="str">
        <f>IFERROR(__xludf.DUMMYFUNCTION("""COMPUTED_VALUE"""),"Data Privacy and Protection")</f>
        <v>Data Privacy and Protection</v>
      </c>
      <c r="G138" s="26" t="str">
        <f>IFERROR(__xludf.DUMMYFUNCTION("""COMPUTED_VALUE"""),"-")</f>
        <v>-</v>
      </c>
      <c r="H138" s="26">
        <f>IFERROR(__xludf.DUMMYFUNCTION("""COMPUTED_VALUE"""),2)</f>
        <v>2</v>
      </c>
      <c r="I138" s="26">
        <f>IFERROR(__xludf.DUMMYFUNCTION("""COMPUTED_VALUE"""),1)</f>
        <v>1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IFERROR(__xludf.DUMMYFUNCTION("""COMPUTED_VALUE"""),"TIP (6 Expts)")</f>
        <v>TIP (6 Expts)</v>
      </c>
      <c r="M138" s="26"/>
      <c r="N138" s="26"/>
      <c r="O138" s="26"/>
    </row>
    <row r="139" ht="13.2" spans="1:15">
      <c r="A139" s="26">
        <f>IFERROR(__xludf.DUMMYFUNCTION("""COMPUTED_VALUE"""),136)</f>
        <v>136</v>
      </c>
      <c r="B139" s="26"/>
      <c r="C139" s="26" t="str">
        <f>IFERROR(__xludf.DUMMYFUNCTION("""COMPUTED_VALUE"""),"PE")</f>
        <v>PE</v>
      </c>
      <c r="D139" s="26" t="str">
        <f>IFERROR(__xludf.DUMMYFUNCTION("""COMPUTED_VALUE"""),"CS1550")</f>
        <v>CS1550</v>
      </c>
      <c r="E139" s="26" t="str">
        <f>IFERROR(__xludf.DUMMYFUNCTION("""COMPUTED_VALUE"""),"19CS550")</f>
        <v>19CS550</v>
      </c>
      <c r="F139" s="26" t="str">
        <f>IFERROR(__xludf.DUMMYFUNCTION("""COMPUTED_VALUE"""),"AI and Ethics")</f>
        <v>AI and Ethics</v>
      </c>
      <c r="G139" s="26" t="str">
        <f>IFERROR(__xludf.DUMMYFUNCTION("""COMPUTED_VALUE"""),"-")</f>
        <v>-</v>
      </c>
      <c r="H139" s="26">
        <f>IFERROR(__xludf.DUMMYFUNCTION("""COMPUTED_VALUE"""),3)</f>
        <v>3</v>
      </c>
      <c r="I139" s="26">
        <f>IFERROR(__xludf.DUMMYFUNCTION("""COMPUTED_VALUE"""),0)</f>
        <v>0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IFERROR(__xludf.DUMMYFUNCTION("""COMPUTED_VALUE"""),"Theory")</f>
        <v>Theory</v>
      </c>
      <c r="M139" s="26"/>
      <c r="N139" s="26"/>
      <c r="O139" s="26"/>
    </row>
    <row r="140" ht="13.2" spans="1:15">
      <c r="A140" s="26">
        <f>IFERROR(__xludf.DUMMYFUNCTION("""COMPUTED_VALUE"""),137)</f>
        <v>137</v>
      </c>
      <c r="B140" s="26"/>
      <c r="C140" s="26" t="str">
        <f>IFERROR(__xludf.DUMMYFUNCTION("""COMPUTED_VALUE"""),"PE")</f>
        <v>PE</v>
      </c>
      <c r="D140" s="26" t="str">
        <f>IFERROR(__xludf.DUMMYFUNCTION("""COMPUTED_VALUE"""),"CS1563")</f>
        <v>CS1563</v>
      </c>
      <c r="E140" s="26" t="str">
        <f>IFERROR(__xludf.DUMMYFUNCTION("""COMPUTED_VALUE"""),"19CS563")</f>
        <v>19CS563</v>
      </c>
      <c r="F140" s="26" t="str">
        <f>IFERROR(__xludf.DUMMYFUNCTION("""COMPUTED_VALUE"""),"Bitcoin Mining")</f>
        <v>Bitcoin Mining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</row>
    <row r="141" ht="13.2" spans="1:15">
      <c r="A141" s="26">
        <f>IFERROR(__xludf.DUMMYFUNCTION("""COMPUTED_VALUE"""),138)</f>
        <v>138</v>
      </c>
      <c r="B141" s="26"/>
      <c r="C141" s="26" t="str">
        <f>IFERROR(__xludf.DUMMYFUNCTION("""COMPUTED_VALUE"""),"PE")</f>
        <v>PE</v>
      </c>
      <c r="D141" s="26" t="str">
        <f>IFERROR(__xludf.DUMMYFUNCTION("""COMPUTED_VALUE"""),"CS1561")</f>
        <v>CS1561</v>
      </c>
      <c r="E141" s="26" t="str">
        <f>IFERROR(__xludf.DUMMYFUNCTION("""COMPUTED_VALUE"""),"19CS561")</f>
        <v>19CS561</v>
      </c>
      <c r="F141" s="26" t="str">
        <f>IFERROR(__xludf.DUMMYFUNCTION("""COMPUTED_VALUE"""),"Blockchain and Fintech")</f>
        <v>Blockchain and Fintech</v>
      </c>
      <c r="G141" s="26" t="str">
        <f>IFERROR(__xludf.DUMMYFUNCTION("""COMPUTED_VALUE"""),"-")</f>
        <v>-</v>
      </c>
      <c r="H141" s="26">
        <f>IFERROR(__xludf.DUMMYFUNCTION("""COMPUTED_VALUE"""),2)</f>
        <v>2</v>
      </c>
      <c r="I141" s="26">
        <f>IFERROR(__xludf.DUMMYFUNCTION("""COMPUTED_VALUE"""),1)</f>
        <v>1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</row>
    <row r="142" ht="13.2" spans="1:15">
      <c r="A142" s="26">
        <f>IFERROR(__xludf.DUMMYFUNCTION("""COMPUTED_VALUE"""),139)</f>
        <v>139</v>
      </c>
      <c r="B142" s="26"/>
      <c r="C142" s="26" t="str">
        <f>IFERROR(__xludf.DUMMYFUNCTION("""COMPUTED_VALUE"""),"PE")</f>
        <v>PE</v>
      </c>
      <c r="D142" s="26" t="str">
        <f>IFERROR(__xludf.DUMMYFUNCTION("""COMPUTED_VALUE"""),"CS3503")</f>
        <v>CS3503</v>
      </c>
      <c r="E142" s="26" t="str">
        <f>IFERROR(__xludf.DUMMYFUNCTION("""COMPUTED_VALUE"""),"19AI503")</f>
        <v>19AI503</v>
      </c>
      <c r="F142" s="27" t="str">
        <f>IFERROR(__xludf.DUMMYFUNCTION("""COMPUTED_VALUE"""),"Computer Vision")</f>
        <v>Computer Vision</v>
      </c>
      <c r="G142" s="26" t="str">
        <f>IFERROR(__xludf.DUMMYFUNCTION("""COMPUTED_VALUE"""),"19CS301")</f>
        <v>19CS301</v>
      </c>
      <c r="H142" s="26">
        <f>IFERROR(__xludf.DUMMYFUNCTION("""COMPUTED_VALUE"""),2)</f>
        <v>2</v>
      </c>
      <c r="I142" s="26">
        <f>IFERROR(__xludf.DUMMYFUNCTION("""COMPUTED_VALUE"""),1)</f>
        <v>1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IFERROR(__xludf.DUMMYFUNCTION("""COMPUTED_VALUE"""),"TIP (6 Expts)")</f>
        <v>TIP (6 Expts)</v>
      </c>
      <c r="M142" s="26"/>
      <c r="N142" s="26"/>
      <c r="O142" s="26"/>
    </row>
    <row r="143" ht="13.2" spans="1:15">
      <c r="A143" s="26">
        <f>IFERROR(__xludf.DUMMYFUNCTION("""COMPUTED_VALUE"""),140)</f>
        <v>140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IFERROR(__xludf.DUMMYFUNCTION("""COMPUTED_VALUE"""),"CS1559")</f>
        <v>CS1559</v>
      </c>
      <c r="E143" s="26" t="str">
        <f>IFERROR(__xludf.DUMMYFUNCTION("""COMPUTED_VALUE"""),"19CS559")</f>
        <v>19CS559</v>
      </c>
      <c r="F143" s="26" t="str">
        <f>IFERROR(__xludf.DUMMYFUNCTION("""COMPUTED_VALUE"""),"Blockchain Platforms and Its Use Cases")</f>
        <v>Blockchain Platforms and Its Use Cases</v>
      </c>
      <c r="G143" s="26" t="str">
        <f>IFERROR(__xludf.DUMMYFUNCTION("""COMPUTED_VALUE"""),"-")</f>
        <v>-</v>
      </c>
      <c r="H143" s="26">
        <f>IFERROR(__xludf.DUMMYFUNCTION("""COMPUTED_VALUE"""),2)</f>
        <v>2</v>
      </c>
      <c r="I143" s="26">
        <f>IFERROR(__xludf.DUMMYFUNCTION("""COMPUTED_VALUE"""),1)</f>
        <v>1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IFERROR(__xludf.DUMMYFUNCTION("""COMPUTED_VALUE"""),"TIP (6 Expts)")</f>
        <v>TIP (6 Expts)</v>
      </c>
      <c r="M143" s="26"/>
      <c r="N143" s="26"/>
      <c r="O143" s="26"/>
    </row>
    <row r="144" ht="13.2" spans="1:15">
      <c r="A144" s="26">
        <f>IFERROR(__xludf.DUMMYFUNCTION("""COMPUTED_VALUE"""),141)</f>
        <v>141</v>
      </c>
      <c r="B144" s="26"/>
      <c r="C144" s="26" t="str">
        <f>IFERROR(__xludf.DUMMYFUNCTION("""COMPUTED_VALUE"""),"PE")</f>
        <v>PE</v>
      </c>
      <c r="D144" s="26" t="str">
        <f>IFERROR(__xludf.DUMMYFUNCTION("""COMPUTED_VALUE"""),"CS3502")</f>
        <v>CS3502</v>
      </c>
      <c r="E144" s="26" t="str">
        <f>IFERROR(__xludf.DUMMYFUNCTION("""COMPUTED_VALUE"""),"19AI502")</f>
        <v>19AI502</v>
      </c>
      <c r="F144" s="27" t="str">
        <f>IFERROR(__xludf.DUMMYFUNCTION("""COMPUTED_VALUE"""),"Applied Natural Language Processing")</f>
        <v>Applied Natural Language Processing</v>
      </c>
      <c r="G144" s="26" t="str">
        <f>IFERROR(__xludf.DUMMYFUNCTION("""COMPUTED_VALUE"""),"-")</f>
        <v>-</v>
      </c>
      <c r="H144" s="26">
        <f>IFERROR(__xludf.DUMMYFUNCTION("""COMPUTED_VALUE"""),2)</f>
        <v>2</v>
      </c>
      <c r="I144" s="26">
        <f>IFERROR(__xludf.DUMMYFUNCTION("""COMPUTED_VALUE"""),1)</f>
        <v>1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IFERROR(__xludf.DUMMYFUNCTION("""COMPUTED_VALUE"""),"TIP (6 Expts)")</f>
        <v>TIP (6 Expts)</v>
      </c>
      <c r="M144" s="26"/>
      <c r="N144" s="26"/>
      <c r="O144" s="26"/>
    </row>
    <row r="145" ht="13.2" spans="1:15">
      <c r="A145" s="26">
        <f>IFERROR(__xludf.DUMMYFUNCTION("""COMPUTED_VALUE"""),142)</f>
        <v>142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IFERROR(__xludf.DUMMYFUNCTION("""COMPUTED_VALUE"""),"CS1305")</f>
        <v>CS1305</v>
      </c>
      <c r="E145" s="26" t="str">
        <f>IFERROR(__xludf.DUMMYFUNCTION("""COMPUTED_VALUE"""),"19CS305")</f>
        <v>19CS305</v>
      </c>
      <c r="F145" s="27" t="str">
        <f>IFERROR(__xludf.DUMMYFUNCTION("""COMPUTED_VALUE"""),"Computer Architecture")</f>
        <v>Computer Architecture</v>
      </c>
      <c r="G145" s="26" t="str">
        <f>IFERROR(__xludf.DUMMYFUNCTION("""COMPUTED_VALUE"""),"-")</f>
        <v>-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</row>
    <row r="146" ht="13.2" spans="1:15">
      <c r="A146" s="26">
        <f>IFERROR(__xludf.DUMMYFUNCTION("""COMPUTED_VALUE"""),143)</f>
        <v>143</v>
      </c>
      <c r="B146" s="26"/>
      <c r="C146" s="26" t="str">
        <f>IFERROR(__xludf.DUMMYFUNCTION("""COMPUTED_VALUE"""),"PE")</f>
        <v>PE</v>
      </c>
      <c r="D146" s="26" t="str">
        <f>IFERROR(__xludf.DUMMYFUNCTION("""COMPUTED_VALUE"""),"CS1567")</f>
        <v>CS1567</v>
      </c>
      <c r="E146" s="26" t="str">
        <f>IFERROR(__xludf.DUMMYFUNCTION("""COMPUTED_VALUE"""),"19CS567")</f>
        <v>19CS567</v>
      </c>
      <c r="F146" s="27" t="str">
        <f>IFERROR(__xludf.DUMMYFUNCTION("""COMPUTED_VALUE"""),"Cloud Native App Development")</f>
        <v>Cloud Native App Development</v>
      </c>
      <c r="G146" s="26" t="str">
        <f>IFERROR(__xludf.DUMMYFUNCTION("""COMPUTED_VALUE"""),"-")</f>
        <v>-</v>
      </c>
      <c r="H146" s="26">
        <f>IFERROR(__xludf.DUMMYFUNCTION("""COMPUTED_VALUE"""),2)</f>
        <v>2</v>
      </c>
      <c r="I146" s="26">
        <f>IFERROR(__xludf.DUMMYFUNCTION("""COMPUTED_VALUE"""),1)</f>
        <v>1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IFERROR(__xludf.DUMMYFUNCTION("""COMPUTED_VALUE"""),"TIP (6 Expts)")</f>
        <v>TIP (6 Expts)</v>
      </c>
      <c r="M146" s="26"/>
      <c r="N146" s="26"/>
      <c r="O146" s="26"/>
    </row>
    <row r="147" ht="13.2" spans="1:15">
      <c r="A147" s="26">
        <f>IFERROR(__xludf.DUMMYFUNCTION("""COMPUTED_VALUE"""),144)</f>
        <v>144</v>
      </c>
      <c r="B147" s="26"/>
      <c r="C147" s="26" t="str">
        <f>IFERROR(__xludf.DUMMYFUNCTION("""COMPUTED_VALUE"""),"PE")</f>
        <v>PE</v>
      </c>
      <c r="D147" s="26" t="str">
        <f>IFERROR(__xludf.DUMMYFUNCTION("""COMPUTED_VALUE"""),"CS1415")</f>
        <v>CS1415</v>
      </c>
      <c r="E147" s="26" t="str">
        <f>IFERROR(__xludf.DUMMYFUNCTION("""COMPUTED_VALUE"""),"19CS415")</f>
        <v>19CS415</v>
      </c>
      <c r="F147" s="27" t="str">
        <f>IFERROR(__xludf.DUMMYFUNCTION("""COMPUTED_VALUE"""),"Cryptography")</f>
        <v>Cryptography</v>
      </c>
      <c r="G147" s="26" t="str">
        <f>IFERROR(__xludf.DUMMYFUNCTION("""COMPUTED_VALUE"""),"-")</f>
        <v>-</v>
      </c>
      <c r="H147" s="26">
        <f>IFERROR(__xludf.DUMMYFUNCTION("""COMPUTED_VALUE"""),2)</f>
        <v>2</v>
      </c>
      <c r="I147" s="26">
        <f>IFERROR(__xludf.DUMMYFUNCTION("""COMPUTED_VALUE"""),1)</f>
        <v>1</v>
      </c>
      <c r="J147" s="26">
        <f>IFERROR(__xludf.DUMMYFUNCTION("""COMPUTED_VALUE"""),3)</f>
        <v>3</v>
      </c>
      <c r="K147" s="26" t="str">
        <f>IFERROR(__xludf.DUMMYFUNCTION("""COMPUTED_VALUE"""),"CGPA")</f>
        <v>CGPA</v>
      </c>
      <c r="L147" s="26" t="str">
        <f>IFERROR(__xludf.DUMMYFUNCTION("""COMPUTED_VALUE"""),"TIP (6 Expts)")</f>
        <v>TIP (6 Expts)</v>
      </c>
      <c r="M147" s="26"/>
      <c r="N147" s="26"/>
      <c r="O147" s="26"/>
    </row>
    <row r="148" ht="13.2" spans="1:15">
      <c r="A148" s="26">
        <f>IFERROR(__xludf.DUMMYFUNCTION("""COMPUTED_VALUE"""),145)</f>
        <v>145</v>
      </c>
      <c r="B148" s="26"/>
      <c r="C148" s="26" t="str">
        <f>IFERROR(__xludf.DUMMYFUNCTION("""COMPUTED_VALUE"""),"PE")</f>
        <v>PE</v>
      </c>
      <c r="D148" s="26" t="str">
        <f>IFERROR(__xludf.DUMMYFUNCTION("""COMPUTED_VALUE"""),"CS3526")</f>
        <v>CS3526</v>
      </c>
      <c r="E148" s="26" t="str">
        <f>IFERROR(__xludf.DUMMYFUNCTION("""COMPUTED_VALUE"""),"19AI526")</f>
        <v>19AI526</v>
      </c>
      <c r="F148" s="27" t="str">
        <f>IFERROR(__xludf.DUMMYFUNCTION("""COMPUTED_VALUE"""),"Information Security and Access Control")</f>
        <v>Information Security and Access Control</v>
      </c>
      <c r="G148" s="26" t="str">
        <f>IFERROR(__xludf.DUMMYFUNCTION("""COMPUTED_VALUE"""),"19AI527")</f>
        <v>19AI527</v>
      </c>
      <c r="H148" s="26">
        <f>IFERROR(__xludf.DUMMYFUNCTION("""COMPUTED_VALUE"""),2)</f>
        <v>2</v>
      </c>
      <c r="I148" s="26">
        <f>IFERROR(__xludf.DUMMYFUNCTION("""COMPUTED_VALUE"""),1)</f>
        <v>1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IFERROR(__xludf.DUMMYFUNCTION("""COMPUTED_VALUE"""),"TIP (6 Expts)")</f>
        <v>TIP (6 Expts)</v>
      </c>
      <c r="M148" s="26"/>
      <c r="N148" s="26"/>
      <c r="O148" s="26"/>
    </row>
    <row r="149" ht="13.2" spans="1:15">
      <c r="A149" s="26">
        <f>IFERROR(__xludf.DUMMYFUNCTION("""COMPUTED_VALUE"""),146)</f>
        <v>146</v>
      </c>
      <c r="B149" s="26"/>
      <c r="C149" s="26" t="str">
        <f>IFERROR(__xludf.DUMMYFUNCTION("""COMPUTED_VALUE"""),"PE")</f>
        <v>PE</v>
      </c>
      <c r="D149" s="26" t="str">
        <f>IFERROR(__xludf.DUMMYFUNCTION("""COMPUTED_VALUE"""),"CS3527")</f>
        <v>CS3527</v>
      </c>
      <c r="E149" s="26" t="str">
        <f>IFERROR(__xludf.DUMMYFUNCTION("""COMPUTED_VALUE"""),"19AI527")</f>
        <v>19AI527</v>
      </c>
      <c r="F149" s="27" t="str">
        <f>IFERROR(__xludf.DUMMYFUNCTION("""COMPUTED_VALUE"""),"Security Assessment and Risk Analysis")</f>
        <v>Security Assessment and Risk Analysis</v>
      </c>
      <c r="G149" s="26" t="str">
        <f>IFERROR(__xludf.DUMMYFUNCTION("""COMPUTED_VALUE"""),"-")</f>
        <v>-</v>
      </c>
      <c r="H149" s="26">
        <f>IFERROR(__xludf.DUMMYFUNCTION("""COMPUTED_VALUE"""),3)</f>
        <v>3</v>
      </c>
      <c r="I149" s="26">
        <f>IFERROR(__xludf.DUMMYFUNCTION("""COMPUTED_VALUE"""),1)</f>
        <v>1</v>
      </c>
      <c r="J149" s="26">
        <f>IFERROR(__xludf.DUMMYFUNCTION("""COMPUTED_VALUE"""),4)</f>
        <v>4</v>
      </c>
      <c r="K149" s="26" t="str">
        <f>IFERROR(__xludf.DUMMYFUNCTION("""COMPUTED_VALUE"""),"CGPA")</f>
        <v>CGPA</v>
      </c>
      <c r="L149" s="26" t="str">
        <f>IFERROR(__xludf.DUMMYFUNCTION("""COMPUTED_VALUE"""),"TIP (6 Expts)")</f>
        <v>TIP (6 Expts)</v>
      </c>
      <c r="M149" s="26"/>
      <c r="N149" s="26"/>
      <c r="O149" s="26"/>
    </row>
    <row r="150" ht="13.2" spans="1:15">
      <c r="A150" s="26">
        <f>IFERROR(__xludf.DUMMYFUNCTION("""COMPUTED_VALUE"""),147)</f>
        <v>147</v>
      </c>
      <c r="B150" s="26"/>
      <c r="C150" s="26" t="str">
        <f>IFERROR(__xludf.DUMMYFUNCTION("""COMPUTED_VALUE"""),"PE")</f>
        <v>PE</v>
      </c>
      <c r="D150" s="26" t="str">
        <f>IFERROR(__xludf.DUMMYFUNCTION("""COMPUTED_VALUE"""),"CS3528")</f>
        <v>CS3528</v>
      </c>
      <c r="E150" s="26" t="str">
        <f>IFERROR(__xludf.DUMMYFUNCTION("""COMPUTED_VALUE"""),"19AI528")</f>
        <v>19AI528</v>
      </c>
      <c r="F150" s="27" t="str">
        <f>IFERROR(__xludf.DUMMYFUNCTION("""COMPUTED_VALUE"""),"Advanced Graph Theory and Applications")</f>
        <v>Advanced Graph Theory and Applications</v>
      </c>
      <c r="G150" s="26" t="str">
        <f>IFERROR(__xludf.DUMMYFUNCTION("""COMPUTED_VALUE"""),"19CS402")</f>
        <v>19CS402</v>
      </c>
      <c r="H150" s="26">
        <f>IFERROR(__xludf.DUMMYFUNCTION("""COMPUTED_VALUE"""),2)</f>
        <v>2</v>
      </c>
      <c r="I150" s="26">
        <f>IFERROR(__xludf.DUMMYFUNCTION("""COMPUTED_VALUE"""),1)</f>
        <v>1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IFERROR(__xludf.DUMMYFUNCTION("""COMPUTED_VALUE"""),"TIP (6 Expts)")</f>
        <v>TIP (6 Expts)</v>
      </c>
      <c r="M150" s="26"/>
      <c r="N150" s="26"/>
      <c r="O150" s="26"/>
    </row>
    <row r="151" ht="13.2" spans="1:15">
      <c r="A151" s="26">
        <f>IFERROR(__xludf.DUMMYFUNCTION("""COMPUTED_VALUE"""),148)</f>
        <v>148</v>
      </c>
      <c r="B151" s="26"/>
      <c r="C151" s="26" t="str">
        <f>IFERROR(__xludf.DUMMYFUNCTION("""COMPUTED_VALUE"""),"PE")</f>
        <v>PE</v>
      </c>
      <c r="D151" s="26" t="str">
        <f>IFERROR(__xludf.DUMMYFUNCTION("""COMPUTED_VALUE"""),"CS3529")</f>
        <v>CS3529</v>
      </c>
      <c r="E151" s="26" t="str">
        <f>IFERROR(__xludf.DUMMYFUNCTION("""COMPUTED_VALUE"""),"19AI529")</f>
        <v>19AI529</v>
      </c>
      <c r="F151" s="27" t="str">
        <f>IFERROR(__xludf.DUMMYFUNCTION("""COMPUTED_VALUE"""),"Advanced Data Structures")</f>
        <v>Advanced Data Structures</v>
      </c>
      <c r="G151" s="26" t="str">
        <f>IFERROR(__xludf.DUMMYFUNCTION("""COMPUTED_VALUE"""),"19CS401")</f>
        <v>19CS401</v>
      </c>
      <c r="H151" s="26">
        <f>IFERROR(__xludf.DUMMYFUNCTION("""COMPUTED_VALUE"""),2)</f>
        <v>2</v>
      </c>
      <c r="I151" s="26">
        <f>IFERROR(__xludf.DUMMYFUNCTION("""COMPUTED_VALUE"""),1)</f>
        <v>1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IFERROR(__xludf.DUMMYFUNCTION("""COMPUTED_VALUE"""),"TIP (6 Expts)")</f>
        <v>TIP (6 Expts)</v>
      </c>
      <c r="M151" s="26"/>
      <c r="N151" s="26"/>
      <c r="O151" s="26"/>
    </row>
    <row r="152" ht="13.2" spans="1:15">
      <c r="A152" s="26">
        <f>IFERROR(__xludf.DUMMYFUNCTION("""COMPUTED_VALUE"""),149)</f>
        <v>149</v>
      </c>
      <c r="B152" s="26"/>
      <c r="C152" s="26" t="str">
        <f>IFERROR(__xludf.DUMMYFUNCTION("""COMPUTED_VALUE"""),"PE")</f>
        <v>PE</v>
      </c>
      <c r="D152" s="26" t="str">
        <f>IFERROR(__xludf.DUMMYFUNCTION("""COMPUTED_VALUE"""),"CS3801")</f>
        <v>CS3801</v>
      </c>
      <c r="E152" s="26" t="str">
        <f>IFERROR(__xludf.DUMMYFUNCTION("""COMPUTED_VALUE"""),"NA")</f>
        <v>NA</v>
      </c>
      <c r="F152" s="27" t="str">
        <f>IFERROR(__xludf.DUMMYFUNCTION("""COMPUTED_VALUE"""),"Artificial Intelligence and Applications")</f>
        <v>Artificial Intelligence and Applications</v>
      </c>
      <c r="G152" s="26" t="str">
        <f>IFERROR(__xludf.DUMMYFUNCTION("""COMPUTED_VALUE"""),"-")</f>
        <v>-</v>
      </c>
      <c r="H152" s="26">
        <f>IFERROR(__xludf.DUMMYFUNCTION("""COMPUTED_VALUE"""),1)</f>
        <v>1</v>
      </c>
      <c r="I152" s="26">
        <f>IFERROR(__xludf.DUMMYFUNCTION("""COMPUTED_VALUE"""),2)</f>
        <v>2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IFERROR(__xludf.DUMMYFUNCTION("""COMPUTED_VALUE"""),"Theory (Int Only) and Practical (10 Expts)")</f>
        <v>Theory (Int Only) and Practical (10 Expts)</v>
      </c>
      <c r="M152" s="26"/>
      <c r="N152" s="26"/>
      <c r="O152" s="26"/>
    </row>
    <row r="153" ht="13.2" spans="1:15">
      <c r="A153" s="26">
        <f>IFERROR(__xludf.DUMMYFUNCTION("""COMPUTED_VALUE"""),150)</f>
        <v>150</v>
      </c>
      <c r="B153" s="26"/>
      <c r="C153" s="26" t="str">
        <f>IFERROR(__xludf.DUMMYFUNCTION("""COMPUTED_VALUE"""),"PE")</f>
        <v>PE</v>
      </c>
      <c r="D153" s="26" t="str">
        <f>IFERROR(__xludf.DUMMYFUNCTION("""COMPUTED_VALUE"""),"CS4516")</f>
        <v>CS4516</v>
      </c>
      <c r="E153" s="26" t="str">
        <f>IFERROR(__xludf.DUMMYFUNCTION("""COMPUTED_VALUE"""),"19AM516")</f>
        <v>19AM516</v>
      </c>
      <c r="F153" s="27" t="str">
        <f>IFERROR(__xludf.DUMMYFUNCTION("""COMPUTED_VALUE"""),"Python Programming for IoT")</f>
        <v>Python Programming for IoT</v>
      </c>
      <c r="G153" s="26" t="str">
        <f>IFERROR(__xludf.DUMMYFUNCTION("""COMPUTED_VALUE"""),"-")</f>
        <v>-</v>
      </c>
      <c r="H153" s="26">
        <f>IFERROR(__xludf.DUMMYFUNCTION("""COMPUTED_VALUE"""),3)</f>
        <v>3</v>
      </c>
      <c r="I153" s="26">
        <f>IFERROR(__xludf.DUMMYFUNCTION("""COMPUTED_VALUE"""),0)</f>
        <v>0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IFERROR(__xludf.DUMMYFUNCTION("""COMPUTED_VALUE"""),"Theory")</f>
        <v>Theory</v>
      </c>
      <c r="M153" s="26"/>
      <c r="N153" s="26"/>
      <c r="O153" s="26"/>
    </row>
    <row r="154" ht="13.2" spans="1:15">
      <c r="A154" s="26">
        <f>IFERROR(__xludf.DUMMYFUNCTION("""COMPUTED_VALUE"""),151)</f>
        <v>151</v>
      </c>
      <c r="B154" s="26"/>
      <c r="C154" s="26" t="str">
        <f>IFERROR(__xludf.DUMMYFUNCTION("""COMPUTED_VALUE"""),"PE")</f>
        <v>PE</v>
      </c>
      <c r="D154" s="26" t="str">
        <f>IFERROR(__xludf.DUMMYFUNCTION("""COMPUTED_VALUE"""),"CS4517")</f>
        <v>CS4517</v>
      </c>
      <c r="E154" s="26" t="str">
        <f>IFERROR(__xludf.DUMMYFUNCTION("""COMPUTED_VALUE"""),"19AM517")</f>
        <v>19AM517</v>
      </c>
      <c r="F154" s="27" t="str">
        <f>IFERROR(__xludf.DUMMYFUNCTION("""COMPUTED_VALUE"""),"Applications of IoT in Robotics")</f>
        <v>Applications of IoT in Robotics</v>
      </c>
      <c r="G154" s="26" t="str">
        <f>IFERROR(__xludf.DUMMYFUNCTION("""COMPUTED_VALUE"""),"-")</f>
        <v>-</v>
      </c>
      <c r="H154" s="26">
        <f>IFERROR(__xludf.DUMMYFUNCTION("""COMPUTED_VALUE"""),3)</f>
        <v>3</v>
      </c>
      <c r="I154" s="26">
        <f>IFERROR(__xludf.DUMMYFUNCTION("""COMPUTED_VALUE"""),0)</f>
        <v>0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IFERROR(__xludf.DUMMYFUNCTION("""COMPUTED_VALUE"""),"Theory")</f>
        <v>Theory</v>
      </c>
      <c r="M154" s="26"/>
      <c r="N154" s="26"/>
      <c r="O154" s="26"/>
    </row>
    <row r="155" ht="13.2" spans="1:15">
      <c r="A155" s="26">
        <f>IFERROR(__xludf.DUMMYFUNCTION("""COMPUTED_VALUE"""),152)</f>
        <v>152</v>
      </c>
      <c r="B155" s="26"/>
      <c r="C155" s="26" t="str">
        <f>IFERROR(__xludf.DUMMYFUNCTION("""COMPUTED_VALUE"""),"PE")</f>
        <v>PE</v>
      </c>
      <c r="D155" s="26" t="str">
        <f>IFERROR(__xludf.DUMMYFUNCTION("""COMPUTED_VALUE"""),"CS4518")</f>
        <v>CS4518</v>
      </c>
      <c r="E155" s="26" t="str">
        <f>IFERROR(__xludf.DUMMYFUNCTION("""COMPUTED_VALUE"""),"19AM518")</f>
        <v>19AM518</v>
      </c>
      <c r="F155" s="27" t="str">
        <f>IFERROR(__xludf.DUMMYFUNCTION("""COMPUTED_VALUE"""),"Programming for IoT Boards")</f>
        <v>Programming for IoT Boards</v>
      </c>
      <c r="G155" s="26" t="str">
        <f>IFERROR(__xludf.DUMMYFUNCTION("""COMPUTED_VALUE"""),"-")</f>
        <v>-</v>
      </c>
      <c r="H155" s="26">
        <f>IFERROR(__xludf.DUMMYFUNCTION("""COMPUTED_VALUE"""),3)</f>
        <v>3</v>
      </c>
      <c r="I155" s="26">
        <f>IFERROR(__xludf.DUMMYFUNCTION("""COMPUTED_VALUE"""),0)</f>
        <v>0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IFERROR(__xludf.DUMMYFUNCTION("""COMPUTED_VALUE"""),"Theory")</f>
        <v>Theory</v>
      </c>
      <c r="M155" s="26"/>
      <c r="N155" s="26"/>
      <c r="O155" s="26"/>
    </row>
    <row r="156" ht="13.2" spans="1:15">
      <c r="A156" s="26">
        <f>IFERROR(__xludf.DUMMYFUNCTION("""COMPUTED_VALUE"""),153)</f>
        <v>153</v>
      </c>
      <c r="B156" s="26"/>
      <c r="C156" s="26" t="str">
        <f>IFERROR(__xludf.DUMMYFUNCTION("""COMPUTED_VALUE"""),"PE")</f>
        <v>PE</v>
      </c>
      <c r="D156" s="26" t="str">
        <f>IFERROR(__xludf.DUMMYFUNCTION("""COMPUTED_VALUE"""),"CS4519")</f>
        <v>CS4519</v>
      </c>
      <c r="E156" s="26" t="str">
        <f>IFERROR(__xludf.DUMMYFUNCTION("""COMPUTED_VALUE"""),"19AM519")</f>
        <v>19AM519</v>
      </c>
      <c r="F156" s="27" t="str">
        <f>IFERROR(__xludf.DUMMYFUNCTION("""COMPUTED_VALUE"""),"Design of Smart Cities")</f>
        <v>Design of Smart Cities</v>
      </c>
      <c r="G156" s="26" t="str">
        <f>IFERROR(__xludf.DUMMYFUNCTION("""COMPUTED_VALUE"""),"-")</f>
        <v>-</v>
      </c>
      <c r="H156" s="26">
        <f>IFERROR(__xludf.DUMMYFUNCTION("""COMPUTED_VALUE"""),3)</f>
        <v>3</v>
      </c>
      <c r="I156" s="26">
        <f>IFERROR(__xludf.DUMMYFUNCTION("""COMPUTED_VALUE"""),0)</f>
        <v>0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IFERROR(__xludf.DUMMYFUNCTION("""COMPUTED_VALUE"""),"Theory")</f>
        <v>Theory</v>
      </c>
      <c r="M156" s="26"/>
      <c r="N156" s="26"/>
      <c r="O156" s="26"/>
    </row>
    <row r="157" ht="13.2" spans="1:15">
      <c r="A157" s="26">
        <f>IFERROR(__xludf.DUMMYFUNCTION("""COMPUTED_VALUE"""),154)</f>
        <v>154</v>
      </c>
      <c r="B157" s="26"/>
      <c r="C157" s="26" t="str">
        <f>IFERROR(__xludf.DUMMYFUNCTION("""COMPUTED_VALUE"""),"PE")</f>
        <v>PE</v>
      </c>
      <c r="D157" s="26" t="str">
        <f>IFERROR(__xludf.DUMMYFUNCTION("""COMPUTED_VALUE"""),"CS4520")</f>
        <v>CS4520</v>
      </c>
      <c r="E157" s="26" t="str">
        <f>IFERROR(__xludf.DUMMYFUNCTION("""COMPUTED_VALUE"""),"19AM520")</f>
        <v>19AM520</v>
      </c>
      <c r="F157" s="27" t="str">
        <f>IFERROR(__xludf.DUMMYFUNCTION("""COMPUTED_VALUE"""),"IoT and Multimedia Technology")</f>
        <v>IoT and Multimedia Technology</v>
      </c>
      <c r="G157" s="26" t="str">
        <f>IFERROR(__xludf.DUMMYFUNCTION("""COMPUTED_VALUE"""),"-")</f>
        <v>-</v>
      </c>
      <c r="H157" s="26">
        <f>IFERROR(__xludf.DUMMYFUNCTION("""COMPUTED_VALUE"""),3)</f>
        <v>3</v>
      </c>
      <c r="I157" s="26">
        <f>IFERROR(__xludf.DUMMYFUNCTION("""COMPUTED_VALUE"""),0)</f>
        <v>0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IFERROR(__xludf.DUMMYFUNCTION("""COMPUTED_VALUE"""),"Theory")</f>
        <v>Theory</v>
      </c>
      <c r="M157" s="26"/>
      <c r="N157" s="26"/>
      <c r="O157" s="26"/>
    </row>
    <row r="158" ht="13.2" spans="1:15">
      <c r="A158" s="26">
        <f>IFERROR(__xludf.DUMMYFUNCTION("""COMPUTED_VALUE"""),155)</f>
        <v>155</v>
      </c>
      <c r="B158" s="26"/>
      <c r="C158" s="26" t="str">
        <f>IFERROR(__xludf.DUMMYFUNCTION("""COMPUTED_VALUE"""),"PE")</f>
        <v>PE</v>
      </c>
      <c r="D158" s="26" t="str">
        <f>IFERROR(__xludf.DUMMYFUNCTION("""COMPUTED_VALUE"""),"CS4521")</f>
        <v>CS4521</v>
      </c>
      <c r="E158" s="26" t="str">
        <f>IFERROR(__xludf.DUMMYFUNCTION("""COMPUTED_VALUE"""),"19AM521")</f>
        <v>19AM521</v>
      </c>
      <c r="F158" s="27" t="str">
        <f>IFERROR(__xludf.DUMMYFUNCTION("""COMPUTED_VALUE"""),"Mobile Application Development for IoT")</f>
        <v>Mobile Application Development for IoT</v>
      </c>
      <c r="G158" s="26" t="str">
        <f>IFERROR(__xludf.DUMMYFUNCTION("""COMPUTED_VALUE"""),"-")</f>
        <v>-</v>
      </c>
      <c r="H158" s="26">
        <f>IFERROR(__xludf.DUMMYFUNCTION("""COMPUTED_VALUE"""),3)</f>
        <v>3</v>
      </c>
      <c r="I158" s="26">
        <f>IFERROR(__xludf.DUMMYFUNCTION("""COMPUTED_VALUE"""),0)</f>
        <v>0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IFERROR(__xludf.DUMMYFUNCTION("""COMPUTED_VALUE"""),"Theory")</f>
        <v>Theory</v>
      </c>
      <c r="M158" s="26"/>
      <c r="N158" s="26"/>
      <c r="O158" s="26"/>
    </row>
    <row r="159" ht="13.2" spans="1:15">
      <c r="A159" s="26">
        <f>IFERROR(__xludf.DUMMYFUNCTION("""COMPUTED_VALUE"""),156)</f>
        <v>156</v>
      </c>
      <c r="B159" s="26"/>
      <c r="C159" s="26" t="str">
        <f>IFERROR(__xludf.DUMMYFUNCTION("""COMPUTED_VALUE"""),"PE")</f>
        <v>PE</v>
      </c>
      <c r="D159" s="26" t="str">
        <f>IFERROR(__xludf.DUMMYFUNCTION("""COMPUTED_VALUE"""),"CS4522")</f>
        <v>CS4522</v>
      </c>
      <c r="E159" s="26" t="str">
        <f>IFERROR(__xludf.DUMMYFUNCTION("""COMPUTED_VALUE"""),"19AM522")</f>
        <v>19AM522</v>
      </c>
      <c r="F159" s="27" t="str">
        <f>IFERROR(__xludf.DUMMYFUNCTION("""COMPUTED_VALUE"""),"Open Source Programming for IoT")</f>
        <v>Open Source Programming for IoT</v>
      </c>
      <c r="G159" s="26" t="str">
        <f>IFERROR(__xludf.DUMMYFUNCTION("""COMPUTED_VALUE"""),"-")</f>
        <v>-</v>
      </c>
      <c r="H159" s="26">
        <f>IFERROR(__xludf.DUMMYFUNCTION("""COMPUTED_VALUE"""),3)</f>
        <v>3</v>
      </c>
      <c r="I159" s="26">
        <f>IFERROR(__xludf.DUMMYFUNCTION("""COMPUTED_VALUE"""),0)</f>
        <v>0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IFERROR(__xludf.DUMMYFUNCTION("""COMPUTED_VALUE"""),"Theory")</f>
        <v>Theory</v>
      </c>
      <c r="M159" s="26"/>
      <c r="N159" s="26"/>
      <c r="O159" s="26"/>
    </row>
    <row r="160" ht="13.2" spans="1:15">
      <c r="A160" s="26">
        <f>IFERROR(__xludf.DUMMYFUNCTION("""COMPUTED_VALUE"""),157)</f>
        <v>157</v>
      </c>
      <c r="B160" s="26"/>
      <c r="C160" s="26" t="str">
        <f>IFERROR(__xludf.DUMMYFUNCTION("""COMPUTED_VALUE"""),"PE")</f>
        <v>PE</v>
      </c>
      <c r="D160" s="26" t="str">
        <f>IFERROR(__xludf.DUMMYFUNCTION("""COMPUTED_VALUE"""),"NA")</f>
        <v>NA</v>
      </c>
      <c r="E160" s="26" t="str">
        <f>IFERROR(__xludf.DUMMYFUNCTION("""COMPUTED_VALUE"""),"19CS301")</f>
        <v>19CS301</v>
      </c>
      <c r="F160" s="27" t="str">
        <f>IFERROR(__xludf.DUMMYFUNCTION("""COMPUTED_VALUE"""),"Problem Solving and Python Programming")</f>
        <v>Problem Solving and Python Programming</v>
      </c>
      <c r="G160" s="26" t="str">
        <f>IFERROR(__xludf.DUMMYFUNCTION("""COMPUTED_VALUE"""),"-")</f>
        <v>-</v>
      </c>
      <c r="H160" s="26">
        <f>IFERROR(__xludf.DUMMYFUNCTION("""COMPUTED_VALUE"""),3)</f>
        <v>3</v>
      </c>
      <c r="I160" s="26">
        <f>IFERROR(__xludf.DUMMYFUNCTION("""COMPUTED_VALUE"""),1)</f>
        <v>1</v>
      </c>
      <c r="J160" s="26">
        <f>IFERROR(__xludf.DUMMYFUNCTION("""COMPUTED_VALUE"""),4)</f>
        <v>4</v>
      </c>
      <c r="K160" s="26" t="str">
        <f>IFERROR(__xludf.DUMMYFUNCTION("""COMPUTED_VALUE"""),"CGPA")</f>
        <v>CGPA</v>
      </c>
      <c r="L160" s="26" t="str">
        <f>IFERROR(__xludf.DUMMYFUNCTION("""COMPUTED_VALUE"""),"TIP (6 Expts)")</f>
        <v>TIP (6 Expts)</v>
      </c>
      <c r="M160" s="26"/>
      <c r="N160" s="26"/>
      <c r="O160" s="26"/>
    </row>
    <row r="161" ht="13.2" spans="1:15">
      <c r="A161" s="26">
        <f>IFERROR(__xludf.DUMMYFUNCTION("""COMPUTED_VALUE"""),158)</f>
        <v>158</v>
      </c>
      <c r="B161" s="26"/>
      <c r="C161" s="26" t="str">
        <f>IFERROR(__xludf.DUMMYFUNCTION("""COMPUTED_VALUE"""),"PE")</f>
        <v>PE</v>
      </c>
      <c r="D161" s="26" t="str">
        <f>IFERROR(__xludf.DUMMYFUNCTION("""COMPUTED_VALUE"""),"NA")</f>
        <v>NA</v>
      </c>
      <c r="E161" s="26" t="str">
        <f>IFERROR(__xludf.DUMMYFUNCTION("""COMPUTED_VALUE"""),"19CS302")</f>
        <v>19CS302</v>
      </c>
      <c r="F161" s="27" t="str">
        <f>IFERROR(__xludf.DUMMYFUNCTION("""COMPUTED_VALUE"""),"Programming in C")</f>
        <v>Programming in C</v>
      </c>
      <c r="G161" s="26" t="str">
        <f>IFERROR(__xludf.DUMMYFUNCTION("""COMPUTED_VALUE"""),"-")</f>
        <v>-</v>
      </c>
      <c r="H161" s="26">
        <f>IFERROR(__xludf.DUMMYFUNCTION("""COMPUTED_VALUE"""),2)</f>
        <v>2</v>
      </c>
      <c r="I161" s="26">
        <f>IFERROR(__xludf.DUMMYFUNCTION("""COMPUTED_VALUE"""),2)</f>
        <v>2</v>
      </c>
      <c r="J161" s="26">
        <f>IFERROR(__xludf.DUMMYFUNCTION("""COMPUTED_VALUE"""),4)</f>
        <v>4</v>
      </c>
      <c r="K161" s="26" t="str">
        <f>IFERROR(__xludf.DUMMYFUNCTION("""COMPUTED_VALUE"""),"CGPA")</f>
        <v>CGPA</v>
      </c>
      <c r="L161" s="26" t="str">
        <f>IFERROR(__xludf.DUMMYFUNCTION("""COMPUTED_VALUE"""),"TIP (10 Expts)")</f>
        <v>TIP (10 Expts)</v>
      </c>
      <c r="M161" s="26"/>
      <c r="N161" s="26"/>
      <c r="O161" s="26"/>
    </row>
    <row r="162" ht="13.2" spans="1:15">
      <c r="A162" s="26">
        <f>IFERROR(__xludf.DUMMYFUNCTION("""COMPUTED_VALUE"""),159)</f>
        <v>159</v>
      </c>
      <c r="B162" s="26"/>
      <c r="C162" s="26" t="str">
        <f>IFERROR(__xludf.DUMMYFUNCTION("""COMPUTED_VALUE"""),"PE")</f>
        <v>PE</v>
      </c>
      <c r="D162" s="26" t="str">
        <f>IFERROR(__xludf.DUMMYFUNCTION("""COMPUTED_VALUE"""),"NA")</f>
        <v>NA</v>
      </c>
      <c r="E162" s="26" t="str">
        <f>IFERROR(__xludf.DUMMYFUNCTION("""COMPUTED_VALUE"""),"19CS308")</f>
        <v>19CS308</v>
      </c>
      <c r="F162" s="27" t="str">
        <f>IFERROR(__xludf.DUMMYFUNCTION("""COMPUTED_VALUE"""),"Software Testing Laboratory")</f>
        <v>Software Testing Laboratory</v>
      </c>
      <c r="G162" s="26" t="str">
        <f>IFERROR(__xludf.DUMMYFUNCTION("""COMPUTED_VALUE"""),"19CS410/19AI401")</f>
        <v>19CS410/19AI401</v>
      </c>
      <c r="H162" s="26">
        <f>IFERROR(__xludf.DUMMYFUNCTION("""COMPUTED_VALUE"""),0)</f>
        <v>0</v>
      </c>
      <c r="I162" s="26">
        <f>IFERROR(__xludf.DUMMYFUNCTION("""COMPUTED_VALUE"""),2)</f>
        <v>2</v>
      </c>
      <c r="J162" s="26">
        <f>IFERROR(__xludf.DUMMYFUNCTION("""COMPUTED_VALUE"""),2)</f>
        <v>2</v>
      </c>
      <c r="K162" s="26" t="str">
        <f>IFERROR(__xludf.DUMMYFUNCTION("""COMPUTED_VALUE"""),"CGPA")</f>
        <v>CGPA</v>
      </c>
      <c r="L162" s="26" t="str">
        <f>IFERROR(__xludf.DUMMYFUNCTION("""COMPUTED_VALUE"""),"Practical (10 Expts)")</f>
        <v>Practical (10 Expts)</v>
      </c>
      <c r="M162" s="26"/>
      <c r="N162" s="26"/>
      <c r="O162" s="26"/>
    </row>
    <row r="163" ht="13.2" spans="1:15">
      <c r="A163" s="26">
        <f>IFERROR(__xludf.DUMMYFUNCTION("""COMPUTED_VALUE"""),160)</f>
        <v>160</v>
      </c>
      <c r="B163" s="26"/>
      <c r="C163" s="26" t="str">
        <f>IFERROR(__xludf.DUMMYFUNCTION("""COMPUTED_VALUE"""),"PE")</f>
        <v>PE</v>
      </c>
      <c r="D163" s="26" t="str">
        <f>IFERROR(__xludf.DUMMYFUNCTION("""COMPUTED_VALUE"""),"NA")</f>
        <v>NA</v>
      </c>
      <c r="E163" s="26" t="str">
        <f>IFERROR(__xludf.DUMMYFUNCTION("""COMPUTED_VALUE"""),"19CS401")</f>
        <v>19CS401</v>
      </c>
      <c r="F163" s="27" t="str">
        <f>IFERROR(__xludf.DUMMYFUNCTION("""COMPUTED_VALUE"""),"Data Structures and Object Oriented Programming using C++")</f>
        <v>Data Structures and Object Oriented Programming using C++</v>
      </c>
      <c r="G163" s="26" t="str">
        <f>IFERROR(__xludf.DUMMYFUNCTION("""COMPUTED_VALUE"""),"19CS302")</f>
        <v>19CS302</v>
      </c>
      <c r="H163" s="26">
        <f>IFERROR(__xludf.DUMMYFUNCTION("""COMPUTED_VALUE"""),3)</f>
        <v>3</v>
      </c>
      <c r="I163" s="26">
        <f>IFERROR(__xludf.DUMMYFUNCTION("""COMPUTED_VALUE"""),1)</f>
        <v>1</v>
      </c>
      <c r="J163" s="26">
        <f>IFERROR(__xludf.DUMMYFUNCTION("""COMPUTED_VALUE"""),4)</f>
        <v>4</v>
      </c>
      <c r="K163" s="26" t="str">
        <f>IFERROR(__xludf.DUMMYFUNCTION("""COMPUTED_VALUE"""),"CGPA")</f>
        <v>CGPA</v>
      </c>
      <c r="L163" s="26" t="str">
        <f>IFERROR(__xludf.DUMMYFUNCTION("""COMPUTED_VALUE"""),"TIP (6 Expts)")</f>
        <v>TIP (6 Expts)</v>
      </c>
      <c r="M163" s="26"/>
      <c r="N163" s="26"/>
      <c r="O163" s="26"/>
    </row>
    <row r="164" ht="13.2" spans="1:15">
      <c r="A164" s="26">
        <f>IFERROR(__xludf.DUMMYFUNCTION("""COMPUTED_VALUE"""),161)</f>
        <v>161</v>
      </c>
      <c r="B164" s="26"/>
      <c r="C164" s="26" t="str">
        <f>IFERROR(__xludf.DUMMYFUNCTION("""COMPUTED_VALUE"""),"PE")</f>
        <v>PE</v>
      </c>
      <c r="D164" s="26" t="str">
        <f>IFERROR(__xludf.DUMMYFUNCTION("""COMPUTED_VALUE"""),"NA")</f>
        <v>NA</v>
      </c>
      <c r="E164" s="26" t="str">
        <f>IFERROR(__xludf.DUMMYFUNCTION("""COMPUTED_VALUE"""),"19CS402")</f>
        <v>19CS402</v>
      </c>
      <c r="F164" s="27" t="str">
        <f>IFERROR(__xludf.DUMMYFUNCTION("""COMPUTED_VALUE"""),"Design and Analysis of Algorithms")</f>
        <v>Design and Analysis of Algorithms</v>
      </c>
      <c r="G164" s="26" t="str">
        <f>IFERROR(__xludf.DUMMYFUNCTION("""COMPUTED_VALUE"""),"19CS401")</f>
        <v>19CS401</v>
      </c>
      <c r="H164" s="26">
        <f>IFERROR(__xludf.DUMMYFUNCTION("""COMPUTED_VALUE"""),3)</f>
        <v>3</v>
      </c>
      <c r="I164" s="26">
        <f>IFERROR(__xludf.DUMMYFUNCTION("""COMPUTED_VALUE"""),0)</f>
        <v>0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IFERROR(__xludf.DUMMYFUNCTION("""COMPUTED_VALUE"""),"Theory")</f>
        <v>Theory</v>
      </c>
      <c r="M164" s="26"/>
      <c r="N164" s="26"/>
      <c r="O164" s="26"/>
    </row>
    <row r="165" ht="13.2" spans="1:15">
      <c r="A165" s="26">
        <f>IFERROR(__xludf.DUMMYFUNCTION("""COMPUTED_VALUE"""),162)</f>
        <v>162</v>
      </c>
      <c r="B165" s="26"/>
      <c r="C165" s="26" t="str">
        <f>IFERROR(__xludf.DUMMYFUNCTION("""COMPUTED_VALUE"""),"PE")</f>
        <v>PE</v>
      </c>
      <c r="D165" s="26" t="str">
        <f>IFERROR(__xludf.DUMMYFUNCTION("""COMPUTED_VALUE"""),"NA")</f>
        <v>NA</v>
      </c>
      <c r="E165" s="26" t="str">
        <f>IFERROR(__xludf.DUMMYFUNCTION("""COMPUTED_VALUE"""),"19CS403")</f>
        <v>19CS403</v>
      </c>
      <c r="F165" s="27" t="str">
        <f>IFERROR(__xludf.DUMMYFUNCTION("""COMPUTED_VALUE"""),"Programming Paradigms")</f>
        <v>Programming Paradigms</v>
      </c>
      <c r="G165" s="26" t="str">
        <f>IFERROR(__xludf.DUMMYFUNCTION("""COMPUTED_VALUE"""),"19CS401")</f>
        <v>19CS401</v>
      </c>
      <c r="H165" s="26">
        <f>IFERROR(__xludf.DUMMYFUNCTION("""COMPUTED_VALUE"""),3)</f>
        <v>3</v>
      </c>
      <c r="I165" s="26">
        <f>IFERROR(__xludf.DUMMYFUNCTION("""COMPUTED_VALUE"""),1)</f>
        <v>1</v>
      </c>
      <c r="J165" s="26">
        <f>IFERROR(__xludf.DUMMYFUNCTION("""COMPUTED_VALUE"""),4)</f>
        <v>4</v>
      </c>
      <c r="K165" s="26" t="str">
        <f>IFERROR(__xludf.DUMMYFUNCTION("""COMPUTED_VALUE"""),"CGPA")</f>
        <v>CGPA</v>
      </c>
      <c r="L165" s="26" t="str">
        <f>IFERROR(__xludf.DUMMYFUNCTION("""COMPUTED_VALUE"""),"TIP (6 Expts)")</f>
        <v>TIP (6 Expts)</v>
      </c>
      <c r="M165" s="26"/>
      <c r="N165" s="26"/>
      <c r="O165" s="26"/>
    </row>
    <row r="166" ht="13.2" spans="1:15">
      <c r="A166" s="26">
        <f>IFERROR(__xludf.DUMMYFUNCTION("""COMPUTED_VALUE"""),163)</f>
        <v>163</v>
      </c>
      <c r="B166" s="26"/>
      <c r="C166" s="26" t="str">
        <f>IFERROR(__xludf.DUMMYFUNCTION("""COMPUTED_VALUE"""),"PE")</f>
        <v>PE</v>
      </c>
      <c r="D166" s="26" t="str">
        <f>IFERROR(__xludf.DUMMYFUNCTION("""COMPUTED_VALUE"""),"NA")</f>
        <v>NA</v>
      </c>
      <c r="E166" s="26" t="str">
        <f>IFERROR(__xludf.DUMMYFUNCTION("""COMPUTED_VALUE"""),"19CS410")</f>
        <v>19CS410</v>
      </c>
      <c r="F166" s="27" t="str">
        <f>IFERROR(__xludf.DUMMYFUNCTION("""COMPUTED_VALUE"""),"Web Programming")</f>
        <v>Web Programming</v>
      </c>
      <c r="G166" s="26" t="str">
        <f>IFERROR(__xludf.DUMMYFUNCTION("""COMPUTED_VALUE"""),"-")</f>
        <v>-</v>
      </c>
      <c r="H166" s="26">
        <f>IFERROR(__xludf.DUMMYFUNCTION("""COMPUTED_VALUE"""),3)</f>
        <v>3</v>
      </c>
      <c r="I166" s="26">
        <f>IFERROR(__xludf.DUMMYFUNCTION("""COMPUTED_VALUE"""),1)</f>
        <v>1</v>
      </c>
      <c r="J166" s="26">
        <f>IFERROR(__xludf.DUMMYFUNCTION("""COMPUTED_VALUE"""),4)</f>
        <v>4</v>
      </c>
      <c r="K166" s="26" t="str">
        <f>IFERROR(__xludf.DUMMYFUNCTION("""COMPUTED_VALUE"""),"CGPA")</f>
        <v>CGPA</v>
      </c>
      <c r="L166" s="26" t="str">
        <f>IFERROR(__xludf.DUMMYFUNCTION("""COMPUTED_VALUE"""),"TIP (6 Expts)")</f>
        <v>TIP (6 Expts)</v>
      </c>
      <c r="M166" s="26"/>
      <c r="N166" s="26"/>
      <c r="O166" s="26"/>
    </row>
    <row r="167" ht="13.2" spans="1:15">
      <c r="A167" s="26">
        <f>IFERROR(__xludf.DUMMYFUNCTION("""COMPUTED_VALUE"""),164)</f>
        <v>164</v>
      </c>
      <c r="B167" s="26"/>
      <c r="C167" s="26" t="str">
        <f>IFERROR(__xludf.DUMMYFUNCTION("""COMPUTED_VALUE"""),"PE")</f>
        <v>PE</v>
      </c>
      <c r="D167" s="26" t="str">
        <f>IFERROR(__xludf.DUMMYFUNCTION("""COMPUTED_VALUE"""),"NA")</f>
        <v>NA</v>
      </c>
      <c r="E167" s="26" t="str">
        <f>IFERROR(__xludf.DUMMYFUNCTION("""COMPUTED_VALUE"""),"19CS411")</f>
        <v>19CS411</v>
      </c>
      <c r="F167" s="27" t="str">
        <f>IFERROR(__xludf.DUMMYFUNCTION("""COMPUTED_VALUE"""),"Virtualization and Cloud Computing")</f>
        <v>Virtualization and Cloud Computing</v>
      </c>
      <c r="G167" s="26" t="str">
        <f>IFERROR(__xludf.DUMMYFUNCTION("""COMPUTED_VALUE"""),"19CS406")</f>
        <v>19CS406</v>
      </c>
      <c r="H167" s="26">
        <f>IFERROR(__xludf.DUMMYFUNCTION("""COMPUTED_VALUE"""),3)</f>
        <v>3</v>
      </c>
      <c r="I167" s="26">
        <f>IFERROR(__xludf.DUMMYFUNCTION("""COMPUTED_VALUE"""),1)</f>
        <v>1</v>
      </c>
      <c r="J167" s="26">
        <f>IFERROR(__xludf.DUMMYFUNCTION("""COMPUTED_VALUE"""),4)</f>
        <v>4</v>
      </c>
      <c r="K167" s="26" t="str">
        <f>IFERROR(__xludf.DUMMYFUNCTION("""COMPUTED_VALUE"""),"CGPA")</f>
        <v>CGPA</v>
      </c>
      <c r="L167" s="26" t="str">
        <f>IFERROR(__xludf.DUMMYFUNCTION("""COMPUTED_VALUE"""),"TIP (6 Expts)")</f>
        <v>TIP (6 Expts)</v>
      </c>
      <c r="M167" s="26"/>
      <c r="N167" s="26"/>
      <c r="O167" s="26"/>
    </row>
    <row r="168" ht="13.2" spans="1:15">
      <c r="A168" s="26">
        <f>IFERROR(__xludf.DUMMYFUNCTION("""COMPUTED_VALUE"""),165)</f>
        <v>165</v>
      </c>
      <c r="B168" s="26"/>
      <c r="C168" s="26" t="str">
        <f>IFERROR(__xludf.DUMMYFUNCTION("""COMPUTED_VALUE"""),"PE")</f>
        <v>PE</v>
      </c>
      <c r="D168" s="26" t="str">
        <f>IFERROR(__xludf.DUMMYFUNCTION("""COMPUTED_VALUE"""),"NA")</f>
        <v>NA</v>
      </c>
      <c r="E168" s="26" t="str">
        <f>IFERROR(__xludf.DUMMYFUNCTION("""COMPUTED_VALUE"""),"19CS412")</f>
        <v>19CS412</v>
      </c>
      <c r="F168" s="27" t="str">
        <f>IFERROR(__xludf.DUMMYFUNCTION("""COMPUTED_VALUE"""),"Cryptography and Network Security")</f>
        <v>Cryptography and Network Security</v>
      </c>
      <c r="G168" s="26" t="str">
        <f>IFERROR(__xludf.DUMMYFUNCTION("""COMPUTED_VALUE"""),"19CS406")</f>
        <v>19CS406</v>
      </c>
      <c r="H168" s="26">
        <f>IFERROR(__xludf.DUMMYFUNCTION("""COMPUTED_VALUE"""),3)</f>
        <v>3</v>
      </c>
      <c r="I168" s="26">
        <f>IFERROR(__xludf.DUMMYFUNCTION("""COMPUTED_VALUE"""),1)</f>
        <v>1</v>
      </c>
      <c r="J168" s="26">
        <f>IFERROR(__xludf.DUMMYFUNCTION("""COMPUTED_VALUE"""),4)</f>
        <v>4</v>
      </c>
      <c r="K168" s="26" t="str">
        <f>IFERROR(__xludf.DUMMYFUNCTION("""COMPUTED_VALUE"""),"CGPA")</f>
        <v>CGPA</v>
      </c>
      <c r="L168" s="26" t="str">
        <f>IFERROR(__xludf.DUMMYFUNCTION("""COMPUTED_VALUE"""),"TIP (6 Expts)")</f>
        <v>TIP (6 Expts)</v>
      </c>
      <c r="M168" s="26"/>
      <c r="N168" s="26"/>
      <c r="O168" s="26"/>
    </row>
    <row r="169" ht="13.2" spans="1:15">
      <c r="A169" s="26">
        <f>IFERROR(__xludf.DUMMYFUNCTION("""COMPUTED_VALUE"""),166)</f>
        <v>166</v>
      </c>
      <c r="B169" s="26"/>
      <c r="C169" s="26" t="str">
        <f>IFERROR(__xludf.DUMMYFUNCTION("""COMPUTED_VALUE"""),"PE")</f>
        <v>PE</v>
      </c>
      <c r="D169" s="26" t="str">
        <f>IFERROR(__xludf.DUMMYFUNCTION("""COMPUTED_VALUE"""),"CS1416")</f>
        <v>CS1416</v>
      </c>
      <c r="E169" s="26" t="str">
        <f>IFERROR(__xludf.DUMMYFUNCTION("""COMPUTED_VALUE"""),"19CS416")</f>
        <v>19CS416</v>
      </c>
      <c r="F169" s="27" t="str">
        <f>IFERROR(__xludf.DUMMYFUNCTION("""COMPUTED_VALUE"""),"Cloud Security")</f>
        <v>Cloud Security</v>
      </c>
      <c r="G169" s="26" t="str">
        <f>IFERROR(__xludf.DUMMYFUNCTION("""COMPUTED_VALUE"""),"-")</f>
        <v>-</v>
      </c>
      <c r="H169" s="26">
        <f>IFERROR(__xludf.DUMMYFUNCTION("""COMPUTED_VALUE"""),2)</f>
        <v>2</v>
      </c>
      <c r="I169" s="26">
        <f>IFERROR(__xludf.DUMMYFUNCTION("""COMPUTED_VALUE"""),1)</f>
        <v>1</v>
      </c>
      <c r="J169" s="26">
        <f>IFERROR(__xludf.DUMMYFUNCTION("""COMPUTED_VALUE"""),3)</f>
        <v>3</v>
      </c>
      <c r="K169" s="26" t="str">
        <f>IFERROR(__xludf.DUMMYFUNCTION("""COMPUTED_VALUE"""),"CGPA")</f>
        <v>CGPA</v>
      </c>
      <c r="L169" s="26" t="str">
        <f>IFERROR(__xludf.DUMMYFUNCTION("""COMPUTED_VALUE"""),"TIP (6 Expts)")</f>
        <v>TIP (6 Expts)</v>
      </c>
      <c r="M169" s="26"/>
      <c r="N169" s="26"/>
      <c r="O169" s="26"/>
    </row>
    <row r="170" ht="13.2" spans="1:15">
      <c r="A170" s="26">
        <f>IFERROR(__xludf.DUMMYFUNCTION("""COMPUTED_VALUE"""),167)</f>
        <v>167</v>
      </c>
      <c r="B170" s="26"/>
      <c r="C170" s="26" t="str">
        <f>IFERROR(__xludf.DUMMYFUNCTION("""COMPUTED_VALUE"""),"PE")</f>
        <v>PE</v>
      </c>
      <c r="D170" s="26" t="str">
        <f>IFERROR(__xludf.DUMMYFUNCTION("""COMPUTED_VALUE"""),"CS1419")</f>
        <v>CS1419</v>
      </c>
      <c r="E170" s="26" t="str">
        <f>IFERROR(__xludf.DUMMYFUNCTION("""COMPUTED_VALUE"""),"19CS419")</f>
        <v>19CS419</v>
      </c>
      <c r="F170" s="27" t="str">
        <f>IFERROR(__xludf.DUMMYFUNCTION("""COMPUTED_VALUE"""),"Digital Forensics and Digital Investigations")</f>
        <v>Digital Forensics and Digital Investigations</v>
      </c>
      <c r="G170" s="26" t="str">
        <f>IFERROR(__xludf.DUMMYFUNCTION("""COMPUTED_VALUE"""),"-")</f>
        <v>-</v>
      </c>
      <c r="H170" s="26">
        <f>IFERROR(__xludf.DUMMYFUNCTION("""COMPUTED_VALUE"""),2)</f>
        <v>2</v>
      </c>
      <c r="I170" s="26">
        <f>IFERROR(__xludf.DUMMYFUNCTION("""COMPUTED_VALUE"""),1)</f>
        <v>1</v>
      </c>
      <c r="J170" s="26">
        <f>IFERROR(__xludf.DUMMYFUNCTION("""COMPUTED_VALUE"""),3)</f>
        <v>3</v>
      </c>
      <c r="K170" s="26" t="str">
        <f>IFERROR(__xludf.DUMMYFUNCTION("""COMPUTED_VALUE"""),"CGPA")</f>
        <v>CGPA</v>
      </c>
      <c r="L170" s="26" t="str">
        <f>IFERROR(__xludf.DUMMYFUNCTION("""COMPUTED_VALUE"""),"TIP (6 Expts)")</f>
        <v>TIP (6 Expts)</v>
      </c>
      <c r="M170" s="26"/>
      <c r="N170" s="26"/>
      <c r="O170" s="26"/>
    </row>
    <row r="171" ht="13.2" spans="1:15">
      <c r="A171" s="26">
        <f>IFERROR(__xludf.DUMMYFUNCTION("""COMPUTED_VALUE"""),168)</f>
        <v>168</v>
      </c>
      <c r="B171" s="26"/>
      <c r="C171" s="26" t="str">
        <f>IFERROR(__xludf.DUMMYFUNCTION("""COMPUTED_VALUE"""),"PE")</f>
        <v>PE</v>
      </c>
      <c r="D171" s="26" t="str">
        <f>IFERROR(__xludf.DUMMYFUNCTION("""COMPUTED_VALUE"""),"CS1421")</f>
        <v>CS1421</v>
      </c>
      <c r="E171" s="26" t="str">
        <f>IFERROR(__xludf.DUMMYFUNCTION("""COMPUTED_VALUE"""),"19CS421")</f>
        <v>19CS421</v>
      </c>
      <c r="F171" s="27" t="str">
        <f>IFERROR(__xludf.DUMMYFUNCTION("""COMPUTED_VALUE"""),"Edge Computing")</f>
        <v>Edge Computing</v>
      </c>
      <c r="G171" s="26" t="str">
        <f>IFERROR(__xludf.DUMMYFUNCTION("""COMPUTED_VALUE"""),"-")</f>
        <v>-</v>
      </c>
      <c r="H171" s="26">
        <f>IFERROR(__xludf.DUMMYFUNCTION("""COMPUTED_VALUE"""),2)</f>
        <v>2</v>
      </c>
      <c r="I171" s="26">
        <f>IFERROR(__xludf.DUMMYFUNCTION("""COMPUTED_VALUE"""),1)</f>
        <v>1</v>
      </c>
      <c r="J171" s="26">
        <f>IFERROR(__xludf.DUMMYFUNCTION("""COMPUTED_VALUE"""),3)</f>
        <v>3</v>
      </c>
      <c r="K171" s="26" t="str">
        <f>IFERROR(__xludf.DUMMYFUNCTION("""COMPUTED_VALUE"""),"CGPA")</f>
        <v>CGPA</v>
      </c>
      <c r="L171" s="26" t="str">
        <f>IFERROR(__xludf.DUMMYFUNCTION("""COMPUTED_VALUE"""),"TIP (6 Expts)")</f>
        <v>TIP (6 Expts)</v>
      </c>
      <c r="M171" s="26"/>
      <c r="N171" s="26"/>
      <c r="O171" s="26"/>
    </row>
    <row r="172" ht="13.2" spans="1:15">
      <c r="A172" s="26">
        <f>IFERROR(__xludf.DUMMYFUNCTION("""COMPUTED_VALUE"""),169)</f>
        <v>169</v>
      </c>
      <c r="B172" s="26"/>
      <c r="C172" s="26" t="str">
        <f>IFERROR(__xludf.DUMMYFUNCTION("""COMPUTED_VALUE"""),"PE")</f>
        <v>PE</v>
      </c>
      <c r="D172" s="26" t="str">
        <f>IFERROR(__xludf.DUMMYFUNCTION("""COMPUTED_VALUE"""),"CS1422")</f>
        <v>CS1422</v>
      </c>
      <c r="E172" s="26" t="str">
        <f>IFERROR(__xludf.DUMMYFUNCTION("""COMPUTED_VALUE"""),"19CS422")</f>
        <v>19CS422</v>
      </c>
      <c r="F172" s="27" t="str">
        <f>IFERROR(__xludf.DUMMYFUNCTION("""COMPUTED_VALUE"""),"Security for IoT Systems")</f>
        <v>Security for IoT Systems</v>
      </c>
      <c r="G172" s="26" t="str">
        <f>IFERROR(__xludf.DUMMYFUNCTION("""COMPUTED_VALUE"""),"-")</f>
        <v>-</v>
      </c>
      <c r="H172" s="26">
        <f>IFERROR(__xludf.DUMMYFUNCTION("""COMPUTED_VALUE"""),3)</f>
        <v>3</v>
      </c>
      <c r="I172" s="26">
        <f>IFERROR(__xludf.DUMMYFUNCTION("""COMPUTED_VALUE"""),0)</f>
        <v>0</v>
      </c>
      <c r="J172" s="26">
        <f>IFERROR(__xludf.DUMMYFUNCTION("""COMPUTED_VALUE"""),3)</f>
        <v>3</v>
      </c>
      <c r="K172" s="26" t="str">
        <f>IFERROR(__xludf.DUMMYFUNCTION("""COMPUTED_VALUE"""),"CGPA")</f>
        <v>CGPA</v>
      </c>
      <c r="L172" s="26" t="str">
        <f>IFERROR(__xludf.DUMMYFUNCTION("""COMPUTED_VALUE"""),"Theory")</f>
        <v>Theory</v>
      </c>
      <c r="M172" s="26"/>
      <c r="N172" s="26"/>
      <c r="O172" s="26"/>
    </row>
    <row r="173" ht="13.2" spans="1:15">
      <c r="A173" s="26">
        <f>IFERROR(__xludf.DUMMYFUNCTION("""COMPUTED_VALUE"""),170)</f>
        <v>170</v>
      </c>
      <c r="B173" s="26"/>
      <c r="C173" s="26" t="str">
        <f>IFERROR(__xludf.DUMMYFUNCTION("""COMPUTED_VALUE"""),"PE")</f>
        <v>PE</v>
      </c>
      <c r="D173" s="26" t="str">
        <f>IFERROR(__xludf.DUMMYFUNCTION("""COMPUTED_VALUE"""),"CS1516")</f>
        <v>CS1516</v>
      </c>
      <c r="E173" s="26" t="str">
        <f>IFERROR(__xludf.DUMMYFUNCTION("""COMPUTED_VALUE"""),"19CS516")</f>
        <v>19CS516</v>
      </c>
      <c r="F173" s="27" t="str">
        <f>IFERROR(__xludf.DUMMYFUNCTION("""COMPUTED_VALUE"""),"Software Testing and Quality Assurance")</f>
        <v>Software Testing and Quality Assurance</v>
      </c>
      <c r="G173" s="26" t="str">
        <f>IFERROR(__xludf.DUMMYFUNCTION("""COMPUTED_VALUE"""),"-")</f>
        <v>-</v>
      </c>
      <c r="H173" s="26">
        <f>IFERROR(__xludf.DUMMYFUNCTION("""COMPUTED_VALUE"""),3)</f>
        <v>3</v>
      </c>
      <c r="I173" s="26">
        <f>IFERROR(__xludf.DUMMYFUNCTION("""COMPUTED_VALUE"""),0)</f>
        <v>0</v>
      </c>
      <c r="J173" s="26">
        <f>IFERROR(__xludf.DUMMYFUNCTION("""COMPUTED_VALUE"""),3)</f>
        <v>3</v>
      </c>
      <c r="K173" s="26" t="str">
        <f>IFERROR(__xludf.DUMMYFUNCTION("""COMPUTED_VALUE"""),"CGPA")</f>
        <v>CGPA</v>
      </c>
      <c r="L173" s="26" t="str">
        <f>IFERROR(__xludf.DUMMYFUNCTION("""COMPUTED_VALUE"""),"Theory")</f>
        <v>Theory</v>
      </c>
      <c r="M173" s="26"/>
      <c r="N173" s="26"/>
      <c r="O173" s="26"/>
    </row>
    <row r="174" ht="13.2" spans="1:15">
      <c r="A174" s="26">
        <f>IFERROR(__xludf.DUMMYFUNCTION("""COMPUTED_VALUE"""),171)</f>
        <v>171</v>
      </c>
      <c r="B174" s="26"/>
      <c r="C174" s="26" t="str">
        <f>IFERROR(__xludf.DUMMYFUNCTION("""COMPUTED_VALUE"""),"PE")</f>
        <v>PE</v>
      </c>
      <c r="D174" s="26" t="str">
        <f>IFERROR(__xludf.DUMMYFUNCTION("""COMPUTED_VALUE"""),"NA")</f>
        <v>NA</v>
      </c>
      <c r="E174" s="26" t="str">
        <f>IFERROR(__xludf.DUMMYFUNCTION("""COMPUTED_VALUE"""),"19CS525")</f>
        <v>19CS525</v>
      </c>
      <c r="F174" s="27" t="str">
        <f>IFERROR(__xludf.DUMMYFUNCTION("""COMPUTED_VALUE"""),"Industrial IOT")</f>
        <v>Industrial IOT</v>
      </c>
      <c r="G174" s="26" t="str">
        <f>IFERROR(__xludf.DUMMYFUNCTION("""COMPUTED_VALUE"""),"-")</f>
        <v>-</v>
      </c>
      <c r="H174" s="26">
        <f>IFERROR(__xludf.DUMMYFUNCTION("""COMPUTED_VALUE"""),3)</f>
        <v>3</v>
      </c>
      <c r="I174" s="26">
        <f>IFERROR(__xludf.DUMMYFUNCTION("""COMPUTED_VALUE"""),0)</f>
        <v>0</v>
      </c>
      <c r="J174" s="26">
        <f>IFERROR(__xludf.DUMMYFUNCTION("""COMPUTED_VALUE"""),3)</f>
        <v>3</v>
      </c>
      <c r="K174" s="26" t="str">
        <f>IFERROR(__xludf.DUMMYFUNCTION("""COMPUTED_VALUE"""),"CGPA")</f>
        <v>CGPA</v>
      </c>
      <c r="L174" s="26" t="str">
        <f>IFERROR(__xludf.DUMMYFUNCTION("""COMPUTED_VALUE"""),"Theory")</f>
        <v>Theory</v>
      </c>
      <c r="M174" s="26"/>
      <c r="N174" s="26"/>
      <c r="O174" s="26"/>
    </row>
    <row r="175" ht="13.2" spans="1:15">
      <c r="A175" s="26">
        <f>IFERROR(__xludf.DUMMYFUNCTION("""COMPUTED_VALUE"""),172)</f>
        <v>172</v>
      </c>
      <c r="B175" s="26"/>
      <c r="C175" s="26" t="str">
        <f>IFERROR(__xludf.DUMMYFUNCTION("""COMPUTED_VALUE"""),"PE")</f>
        <v>PE</v>
      </c>
      <c r="D175" s="26" t="str">
        <f>IFERROR(__xludf.DUMMYFUNCTION("""COMPUTED_VALUE"""),"CS1533")</f>
        <v>CS1533</v>
      </c>
      <c r="E175" s="26" t="str">
        <f>IFERROR(__xludf.DUMMYFUNCTION("""COMPUTED_VALUE"""),"19CS533")</f>
        <v>19CS533</v>
      </c>
      <c r="F175" s="27" t="str">
        <f>IFERROR(__xludf.DUMMYFUNCTION("""COMPUTED_VALUE"""),"Information Security Intelligence and Analytics using Big Data")</f>
        <v>Information Security Intelligence and Analytics using Big Data</v>
      </c>
      <c r="G175" s="26" t="str">
        <f>IFERROR(__xludf.DUMMYFUNCTION("""COMPUTED_VALUE"""),"-")</f>
        <v>-</v>
      </c>
      <c r="H175" s="26">
        <f>IFERROR(__xludf.DUMMYFUNCTION("""COMPUTED_VALUE"""),2)</f>
        <v>2</v>
      </c>
      <c r="I175" s="26">
        <f>IFERROR(__xludf.DUMMYFUNCTION("""COMPUTED_VALUE"""),1)</f>
        <v>1</v>
      </c>
      <c r="J175" s="26">
        <f>IFERROR(__xludf.DUMMYFUNCTION("""COMPUTED_VALUE"""),3)</f>
        <v>3</v>
      </c>
      <c r="K175" s="26" t="str">
        <f>IFERROR(__xludf.DUMMYFUNCTION("""COMPUTED_VALUE"""),"CGPA")</f>
        <v>CGPA</v>
      </c>
      <c r="L175" s="26" t="str">
        <f>IFERROR(__xludf.DUMMYFUNCTION("""COMPUTED_VALUE"""),"TIP (6 Expts)")</f>
        <v>TIP (6 Expts)</v>
      </c>
      <c r="M175" s="26"/>
      <c r="N175" s="26"/>
      <c r="O175" s="26"/>
    </row>
    <row r="176" ht="13.2" spans="1:15">
      <c r="A176" s="26">
        <f>IFERROR(__xludf.DUMMYFUNCTION("""COMPUTED_VALUE"""),173)</f>
        <v>173</v>
      </c>
      <c r="B176" s="26"/>
      <c r="C176" s="26" t="str">
        <f>IFERROR(__xludf.DUMMYFUNCTION("""COMPUTED_VALUE"""),"PE")</f>
        <v>PE</v>
      </c>
      <c r="D176" s="26" t="str">
        <f>IFERROR(__xludf.DUMMYFUNCTION("""COMPUTED_VALUE"""),"CS1534")</f>
        <v>CS1534</v>
      </c>
      <c r="E176" s="26" t="str">
        <f>IFERROR(__xludf.DUMMYFUNCTION("""COMPUTED_VALUE"""),"19CS534")</f>
        <v>19CS534</v>
      </c>
      <c r="F176" s="27" t="str">
        <f>IFERROR(__xludf.DUMMYFUNCTION("""COMPUTED_VALUE"""),"Prevention Methodology for Cybersecurity")</f>
        <v>Prevention Methodology for Cybersecurity</v>
      </c>
      <c r="G176" s="26" t="str">
        <f>IFERROR(__xludf.DUMMYFUNCTION("""COMPUTED_VALUE"""),"-")</f>
        <v>-</v>
      </c>
      <c r="H176" s="26">
        <f>IFERROR(__xludf.DUMMYFUNCTION("""COMPUTED_VALUE"""),2)</f>
        <v>2</v>
      </c>
      <c r="I176" s="26">
        <f>IFERROR(__xludf.DUMMYFUNCTION("""COMPUTED_VALUE"""),1)</f>
        <v>1</v>
      </c>
      <c r="J176" s="26">
        <f>IFERROR(__xludf.DUMMYFUNCTION("""COMPUTED_VALUE"""),3)</f>
        <v>3</v>
      </c>
      <c r="K176" s="26" t="str">
        <f>IFERROR(__xludf.DUMMYFUNCTION("""COMPUTED_VALUE"""),"CGPA")</f>
        <v>CGPA</v>
      </c>
      <c r="L176" s="26" t="str">
        <f>IFERROR(__xludf.DUMMYFUNCTION("""COMPUTED_VALUE"""),"TIP (6 Expts)")</f>
        <v>TIP (6 Expts)</v>
      </c>
      <c r="M176" s="26"/>
      <c r="N176" s="26"/>
      <c r="O176" s="26"/>
    </row>
    <row r="177" ht="13.2" spans="1:15">
      <c r="A177" s="26">
        <f>IFERROR(__xludf.DUMMYFUNCTION("""COMPUTED_VALUE"""),174)</f>
        <v>174</v>
      </c>
      <c r="B177" s="26"/>
      <c r="C177" s="26" t="str">
        <f>IFERROR(__xludf.DUMMYFUNCTION("""COMPUTED_VALUE"""),"PE")</f>
        <v>PE</v>
      </c>
      <c r="D177" s="26" t="str">
        <f>IFERROR(__xludf.DUMMYFUNCTION("""COMPUTED_VALUE"""),"CS1535")</f>
        <v>CS1535</v>
      </c>
      <c r="E177" s="26" t="str">
        <f>IFERROR(__xludf.DUMMYFUNCTION("""COMPUTED_VALUE"""),"19CS535")</f>
        <v>19CS535</v>
      </c>
      <c r="F177" s="27" t="str">
        <f>IFERROR(__xludf.DUMMYFUNCTION("""COMPUTED_VALUE"""),"Trusted Network Systems")</f>
        <v>Trusted Network Systems</v>
      </c>
      <c r="G177" s="26" t="str">
        <f>IFERROR(__xludf.DUMMYFUNCTION("""COMPUTED_VALUE"""),"-")</f>
        <v>-</v>
      </c>
      <c r="H177" s="26">
        <f>IFERROR(__xludf.DUMMYFUNCTION("""COMPUTED_VALUE"""),3)</f>
        <v>3</v>
      </c>
      <c r="I177" s="26">
        <f>IFERROR(__xludf.DUMMYFUNCTION("""COMPUTED_VALUE"""),0)</f>
        <v>0</v>
      </c>
      <c r="J177" s="26">
        <f>IFERROR(__xludf.DUMMYFUNCTION("""COMPUTED_VALUE"""),3)</f>
        <v>3</v>
      </c>
      <c r="K177" s="26" t="str">
        <f>IFERROR(__xludf.DUMMYFUNCTION("""COMPUTED_VALUE"""),"CGPA")</f>
        <v>CGPA</v>
      </c>
      <c r="L177" s="26" t="str">
        <f>IFERROR(__xludf.DUMMYFUNCTION("""COMPUTED_VALUE"""),"Theory")</f>
        <v>Theory</v>
      </c>
      <c r="M177" s="26"/>
      <c r="N177" s="26"/>
      <c r="O177" s="26"/>
    </row>
    <row r="178" ht="13.2" spans="1:15">
      <c r="A178" s="26">
        <f>IFERROR(__xludf.DUMMYFUNCTION("""COMPUTED_VALUE"""),175)</f>
        <v>175</v>
      </c>
      <c r="B178" s="26"/>
      <c r="C178" s="26" t="str">
        <f>IFERROR(__xludf.DUMMYFUNCTION("""COMPUTED_VALUE"""),"PE")</f>
        <v>PE</v>
      </c>
      <c r="D178" s="26" t="str">
        <f>IFERROR(__xludf.DUMMYFUNCTION("""COMPUTED_VALUE"""),"CS1536")</f>
        <v>CS1536</v>
      </c>
      <c r="E178" s="26" t="str">
        <f>IFERROR(__xludf.DUMMYFUNCTION("""COMPUTED_VALUE"""),"19CS536")</f>
        <v>19CS536</v>
      </c>
      <c r="F178" s="27" t="str">
        <f>IFERROR(__xludf.DUMMYFUNCTION("""COMPUTED_VALUE"""),"Firewalls and Intrusion Detection System")</f>
        <v>Firewalls and Intrusion Detection System</v>
      </c>
      <c r="G178" s="26" t="str">
        <f>IFERROR(__xludf.DUMMYFUNCTION("""COMPUTED_VALUE"""),"-")</f>
        <v>-</v>
      </c>
      <c r="H178" s="26">
        <f>IFERROR(__xludf.DUMMYFUNCTION("""COMPUTED_VALUE"""),2)</f>
        <v>2</v>
      </c>
      <c r="I178" s="26">
        <f>IFERROR(__xludf.DUMMYFUNCTION("""COMPUTED_VALUE"""),1)</f>
        <v>1</v>
      </c>
      <c r="J178" s="26">
        <f>IFERROR(__xludf.DUMMYFUNCTION("""COMPUTED_VALUE"""),3)</f>
        <v>3</v>
      </c>
      <c r="K178" s="26" t="str">
        <f>IFERROR(__xludf.DUMMYFUNCTION("""COMPUTED_VALUE"""),"CGPA")</f>
        <v>CGPA</v>
      </c>
      <c r="L178" s="26" t="str">
        <f>IFERROR(__xludf.DUMMYFUNCTION("""COMPUTED_VALUE"""),"TIP (6 Expts)")</f>
        <v>TIP (6 Expts)</v>
      </c>
      <c r="M178" s="26"/>
      <c r="N178" s="26"/>
      <c r="O178" s="26"/>
    </row>
    <row r="179" ht="13.2" spans="1:15">
      <c r="A179" s="26">
        <f>IFERROR(__xludf.DUMMYFUNCTION("""COMPUTED_VALUE"""),176)</f>
        <v>176</v>
      </c>
      <c r="B179" s="26"/>
      <c r="C179" s="26" t="str">
        <f>IFERROR(__xludf.DUMMYFUNCTION("""COMPUTED_VALUE"""),"PE")</f>
        <v>PE</v>
      </c>
      <c r="D179" s="26" t="str">
        <f>IFERROR(__xludf.DUMMYFUNCTION("""COMPUTED_VALUE"""),"CS1537")</f>
        <v>CS1537</v>
      </c>
      <c r="E179" s="26" t="str">
        <f>IFERROR(__xludf.DUMMYFUNCTION("""COMPUTED_VALUE"""),"19CS537")</f>
        <v>19CS537</v>
      </c>
      <c r="F179" s="27" t="str">
        <f>IFERROR(__xludf.DUMMYFUNCTION("""COMPUTED_VALUE"""),"Secure Software Engineering")</f>
        <v>Secure Software Engineering</v>
      </c>
      <c r="G179" s="26" t="str">
        <f>IFERROR(__xludf.DUMMYFUNCTION("""COMPUTED_VALUE"""),"-")</f>
        <v>-</v>
      </c>
      <c r="H179" s="26">
        <f>IFERROR(__xludf.DUMMYFUNCTION("""COMPUTED_VALUE"""),2)</f>
        <v>2</v>
      </c>
      <c r="I179" s="26">
        <f>IFERROR(__xludf.DUMMYFUNCTION("""COMPUTED_VALUE"""),1)</f>
        <v>1</v>
      </c>
      <c r="J179" s="26">
        <f>IFERROR(__xludf.DUMMYFUNCTION("""COMPUTED_VALUE"""),3)</f>
        <v>3</v>
      </c>
      <c r="K179" s="26" t="str">
        <f>IFERROR(__xludf.DUMMYFUNCTION("""COMPUTED_VALUE"""),"CGPA")</f>
        <v>CGPA</v>
      </c>
      <c r="L179" s="26" t="str">
        <f>IFERROR(__xludf.DUMMYFUNCTION("""COMPUTED_VALUE"""),"TIP (6 Expts)")</f>
        <v>TIP (6 Expts)</v>
      </c>
      <c r="M179" s="26"/>
      <c r="N179" s="26"/>
      <c r="O179" s="26"/>
    </row>
    <row r="180" ht="13.2" spans="1:15">
      <c r="A180" s="26">
        <f>IFERROR(__xludf.DUMMYFUNCTION("""COMPUTED_VALUE"""),177)</f>
        <v>177</v>
      </c>
      <c r="B180" s="26"/>
      <c r="C180" s="26" t="str">
        <f>IFERROR(__xludf.DUMMYFUNCTION("""COMPUTED_VALUE"""),"PE")</f>
        <v>PE</v>
      </c>
      <c r="D180" s="26" t="str">
        <f>IFERROR(__xludf.DUMMYFUNCTION("""COMPUTED_VALUE"""),"CS1538")</f>
        <v>CS1538</v>
      </c>
      <c r="E180" s="26" t="str">
        <f>IFERROR(__xludf.DUMMYFUNCTION("""COMPUTED_VALUE"""),"19CS538")</f>
        <v>19CS538</v>
      </c>
      <c r="F180" s="27" t="str">
        <f>IFERROR(__xludf.DUMMYFUNCTION("""COMPUTED_VALUE"""),"System Security")</f>
        <v>System Security</v>
      </c>
      <c r="G180" s="26" t="str">
        <f>IFERROR(__xludf.DUMMYFUNCTION("""COMPUTED_VALUE"""),"-")</f>
        <v>-</v>
      </c>
      <c r="H180" s="26">
        <f>IFERROR(__xludf.DUMMYFUNCTION("""COMPUTED_VALUE"""),3)</f>
        <v>3</v>
      </c>
      <c r="I180" s="26">
        <f>IFERROR(__xludf.DUMMYFUNCTION("""COMPUTED_VALUE"""),0)</f>
        <v>0</v>
      </c>
      <c r="J180" s="26">
        <f>IFERROR(__xludf.DUMMYFUNCTION("""COMPUTED_VALUE"""),3)</f>
        <v>3</v>
      </c>
      <c r="K180" s="26" t="str">
        <f>IFERROR(__xludf.DUMMYFUNCTION("""COMPUTED_VALUE"""),"CGPA")</f>
        <v>CGPA</v>
      </c>
      <c r="L180" s="26" t="str">
        <f>IFERROR(__xludf.DUMMYFUNCTION("""COMPUTED_VALUE"""),"Theory")</f>
        <v>Theory</v>
      </c>
      <c r="M180" s="26"/>
      <c r="N180" s="26"/>
      <c r="O180" s="26"/>
    </row>
    <row r="181" ht="13.2" spans="1:15">
      <c r="A181" s="26">
        <f>IFERROR(__xludf.DUMMYFUNCTION("""COMPUTED_VALUE"""),178)</f>
        <v>178</v>
      </c>
      <c r="B181" s="26"/>
      <c r="C181" s="26" t="str">
        <f>IFERROR(__xludf.DUMMYFUNCTION("""COMPUTED_VALUE"""),"PE")</f>
        <v>PE</v>
      </c>
      <c r="D181" s="26" t="str">
        <f>IFERROR(__xludf.DUMMYFUNCTION("""COMPUTED_VALUE"""),"CS1539")</f>
        <v>CS1539</v>
      </c>
      <c r="E181" s="26" t="str">
        <f>IFERROR(__xludf.DUMMYFUNCTION("""COMPUTED_VALUE"""),"19CS539")</f>
        <v>19CS539</v>
      </c>
      <c r="F181" s="27" t="str">
        <f>IFERROR(__xludf.DUMMYFUNCTION("""COMPUTED_VALUE"""),"Hardware Security")</f>
        <v>Hardware Security</v>
      </c>
      <c r="G181" s="26" t="str">
        <f>IFERROR(__xludf.DUMMYFUNCTION("""COMPUTED_VALUE"""),"-")</f>
        <v>-</v>
      </c>
      <c r="H181" s="26">
        <f>IFERROR(__xludf.DUMMYFUNCTION("""COMPUTED_VALUE"""),3)</f>
        <v>3</v>
      </c>
      <c r="I181" s="26">
        <f>IFERROR(__xludf.DUMMYFUNCTION("""COMPUTED_VALUE"""),0)</f>
        <v>0</v>
      </c>
      <c r="J181" s="26">
        <f>IFERROR(__xludf.DUMMYFUNCTION("""COMPUTED_VALUE"""),3)</f>
        <v>3</v>
      </c>
      <c r="K181" s="26" t="str">
        <f>IFERROR(__xludf.DUMMYFUNCTION("""COMPUTED_VALUE"""),"CGPA")</f>
        <v>CGPA</v>
      </c>
      <c r="L181" s="26" t="str">
        <f>IFERROR(__xludf.DUMMYFUNCTION("""COMPUTED_VALUE"""),"Theory")</f>
        <v>Theory</v>
      </c>
      <c r="M181" s="26"/>
      <c r="N181" s="26"/>
      <c r="O181" s="26"/>
    </row>
    <row r="182" ht="13.2" spans="1:15">
      <c r="A182" s="26">
        <f>IFERROR(__xludf.DUMMYFUNCTION("""COMPUTED_VALUE"""),179)</f>
        <v>179</v>
      </c>
      <c r="B182" s="26"/>
      <c r="C182" s="26" t="str">
        <f>IFERROR(__xludf.DUMMYFUNCTION("""COMPUTED_VALUE"""),"PE")</f>
        <v>PE</v>
      </c>
      <c r="D182" s="26" t="str">
        <f>IFERROR(__xludf.DUMMYFUNCTION("""COMPUTED_VALUE"""),"CS1540")</f>
        <v>CS1540</v>
      </c>
      <c r="E182" s="26" t="str">
        <f>IFERROR(__xludf.DUMMYFUNCTION("""COMPUTED_VALUE"""),"19CS540")</f>
        <v>19CS540</v>
      </c>
      <c r="F182" s="27" t="str">
        <f>IFERROR(__xludf.DUMMYFUNCTION("""COMPUTED_VALUE"""),"Fog Computing")</f>
        <v>Fog Computing</v>
      </c>
      <c r="G182" s="26" t="str">
        <f>IFERROR(__xludf.DUMMYFUNCTION("""COMPUTED_VALUE"""),"-")</f>
        <v>-</v>
      </c>
      <c r="H182" s="26">
        <f>IFERROR(__xludf.DUMMYFUNCTION("""COMPUTED_VALUE"""),3)</f>
        <v>3</v>
      </c>
      <c r="I182" s="26">
        <f>IFERROR(__xludf.DUMMYFUNCTION("""COMPUTED_VALUE"""),0)</f>
        <v>0</v>
      </c>
      <c r="J182" s="26">
        <f>IFERROR(__xludf.DUMMYFUNCTION("""COMPUTED_VALUE"""),3)</f>
        <v>3</v>
      </c>
      <c r="K182" s="26" t="str">
        <f>IFERROR(__xludf.DUMMYFUNCTION("""COMPUTED_VALUE"""),"CGPA")</f>
        <v>CGPA</v>
      </c>
      <c r="L182" s="26" t="str">
        <f>IFERROR(__xludf.DUMMYFUNCTION("""COMPUTED_VALUE"""),"Theory")</f>
        <v>Theory</v>
      </c>
      <c r="M182" s="26"/>
      <c r="N182" s="26"/>
      <c r="O182" s="26"/>
    </row>
    <row r="183" ht="13.2" spans="1:15">
      <c r="A183" s="26">
        <f>IFERROR(__xludf.DUMMYFUNCTION("""COMPUTED_VALUE"""),180)</f>
        <v>180</v>
      </c>
      <c r="B183" s="26"/>
      <c r="C183" s="26" t="str">
        <f>IFERROR(__xludf.DUMMYFUNCTION("""COMPUTED_VALUE"""),"PE")</f>
        <v>PE</v>
      </c>
      <c r="D183" s="26" t="str">
        <f>IFERROR(__xludf.DUMMYFUNCTION("""COMPUTED_VALUE"""),"CS1543")</f>
        <v>CS1543</v>
      </c>
      <c r="E183" s="26" t="str">
        <f>IFERROR(__xludf.DUMMYFUNCTION("""COMPUTED_VALUE"""),"19CS543")</f>
        <v>19CS543</v>
      </c>
      <c r="F183" s="27" t="str">
        <f>IFERROR(__xludf.DUMMYFUNCTION("""COMPUTED_VALUE"""),"Embedded Board Manufacturing")</f>
        <v>Embedded Board Manufacturing</v>
      </c>
      <c r="G183" s="26" t="str">
        <f>IFERROR(__xludf.DUMMYFUNCTION("""COMPUTED_VALUE"""),"-")</f>
        <v>-</v>
      </c>
      <c r="H183" s="26">
        <f>IFERROR(__xludf.DUMMYFUNCTION("""COMPUTED_VALUE"""),2)</f>
        <v>2</v>
      </c>
      <c r="I183" s="26">
        <f>IFERROR(__xludf.DUMMYFUNCTION("""COMPUTED_VALUE"""),1)</f>
        <v>1</v>
      </c>
      <c r="J183" s="26">
        <f>IFERROR(__xludf.DUMMYFUNCTION("""COMPUTED_VALUE"""),3)</f>
        <v>3</v>
      </c>
      <c r="K183" s="26" t="str">
        <f>IFERROR(__xludf.DUMMYFUNCTION("""COMPUTED_VALUE"""),"CGPA")</f>
        <v>CGPA</v>
      </c>
      <c r="L183" s="26" t="str">
        <f>IFERROR(__xludf.DUMMYFUNCTION("""COMPUTED_VALUE"""),"TIP (6 Expts)")</f>
        <v>TIP (6 Expts)</v>
      </c>
      <c r="M183" s="26"/>
      <c r="N183" s="26"/>
      <c r="O183" s="26"/>
    </row>
    <row r="184" ht="13.2" spans="1:15">
      <c r="A184" s="26">
        <f>IFERROR(__xludf.DUMMYFUNCTION("""COMPUTED_VALUE"""),181)</f>
        <v>181</v>
      </c>
      <c r="B184" s="26"/>
      <c r="C184" s="26" t="str">
        <f>IFERROR(__xludf.DUMMYFUNCTION("""COMPUTED_VALUE"""),"PE")</f>
        <v>PE</v>
      </c>
      <c r="D184" s="26" t="str">
        <f>IFERROR(__xludf.DUMMYFUNCTION("""COMPUTED_VALUE"""),"CS1548")</f>
        <v>CS1548</v>
      </c>
      <c r="E184" s="26" t="str">
        <f>IFERROR(__xludf.DUMMYFUNCTION("""COMPUTED_VALUE"""),"19CS548")</f>
        <v>19CS548</v>
      </c>
      <c r="F184" s="27" t="str">
        <f>IFERROR(__xludf.DUMMYFUNCTION("""COMPUTED_VALUE"""),"Cloud Services Management")</f>
        <v>Cloud Services Management</v>
      </c>
      <c r="G184" s="26" t="str">
        <f>IFERROR(__xludf.DUMMYFUNCTION("""COMPUTED_VALUE"""),"-")</f>
        <v>-</v>
      </c>
      <c r="H184" s="26">
        <f>IFERROR(__xludf.DUMMYFUNCTION("""COMPUTED_VALUE"""),2)</f>
        <v>2</v>
      </c>
      <c r="I184" s="26">
        <f>IFERROR(__xludf.DUMMYFUNCTION("""COMPUTED_VALUE"""),1)</f>
        <v>1</v>
      </c>
      <c r="J184" s="26">
        <f>IFERROR(__xludf.DUMMYFUNCTION("""COMPUTED_VALUE"""),3)</f>
        <v>3</v>
      </c>
      <c r="K184" s="26" t="str">
        <f>IFERROR(__xludf.DUMMYFUNCTION("""COMPUTED_VALUE"""),"CGPA")</f>
        <v>CGPA</v>
      </c>
      <c r="L184" s="26" t="str">
        <f>IFERROR(__xludf.DUMMYFUNCTION("""COMPUTED_VALUE"""),"TIP (6 Expts)")</f>
        <v>TIP (6 Expts)</v>
      </c>
      <c r="M184" s="26"/>
      <c r="N184" s="26"/>
      <c r="O184" s="26"/>
    </row>
    <row r="185" ht="13.2" spans="1:15">
      <c r="A185" s="26">
        <f>IFERROR(__xludf.DUMMYFUNCTION("""COMPUTED_VALUE"""),182)</f>
        <v>182</v>
      </c>
      <c r="B185" s="26"/>
      <c r="C185" s="26" t="str">
        <f>IFERROR(__xludf.DUMMYFUNCTION("""COMPUTED_VALUE"""),"PE")</f>
        <v>PE</v>
      </c>
      <c r="D185" s="26" t="str">
        <f>IFERROR(__xludf.DUMMYFUNCTION("""COMPUTED_VALUE"""),"CS1549")</f>
        <v>CS1549</v>
      </c>
      <c r="E185" s="26" t="str">
        <f>IFERROR(__xludf.DUMMYFUNCTION("""COMPUTED_VALUE"""),"19CS549")</f>
        <v>19CS549</v>
      </c>
      <c r="F185" s="27" t="str">
        <f>IFERROR(__xludf.DUMMYFUNCTION("""COMPUTED_VALUE"""),"UI and UX Design")</f>
        <v>UI and UX Design</v>
      </c>
      <c r="G185" s="26" t="str">
        <f>IFERROR(__xludf.DUMMYFUNCTION("""COMPUTED_VALUE"""),"-")</f>
        <v>-</v>
      </c>
      <c r="H185" s="26">
        <f>IFERROR(__xludf.DUMMYFUNCTION("""COMPUTED_VALUE"""),2)</f>
        <v>2</v>
      </c>
      <c r="I185" s="26">
        <f>IFERROR(__xludf.DUMMYFUNCTION("""COMPUTED_VALUE"""),1)</f>
        <v>1</v>
      </c>
      <c r="J185" s="26">
        <f>IFERROR(__xludf.DUMMYFUNCTION("""COMPUTED_VALUE"""),3)</f>
        <v>3</v>
      </c>
      <c r="K185" s="26" t="str">
        <f>IFERROR(__xludf.DUMMYFUNCTION("""COMPUTED_VALUE"""),"CGPA")</f>
        <v>CGPA</v>
      </c>
      <c r="L185" s="26" t="str">
        <f>IFERROR(__xludf.DUMMYFUNCTION("""COMPUTED_VALUE"""),"TIP (6 Expts)")</f>
        <v>TIP (6 Expts)</v>
      </c>
      <c r="M185" s="26"/>
      <c r="N185" s="26"/>
      <c r="O185" s="26"/>
    </row>
    <row r="186" ht="13.2" spans="1:15">
      <c r="A186" s="26">
        <f>IFERROR(__xludf.DUMMYFUNCTION("""COMPUTED_VALUE"""),183)</f>
        <v>183</v>
      </c>
      <c r="B186" s="26"/>
      <c r="C186" s="26" t="str">
        <f>IFERROR(__xludf.DUMMYFUNCTION("""COMPUTED_VALUE"""),"PE")</f>
        <v>PE</v>
      </c>
      <c r="D186" s="26" t="str">
        <f>IFERROR(__xludf.DUMMYFUNCTION("""COMPUTED_VALUE"""),"CS1551")</f>
        <v>CS1551</v>
      </c>
      <c r="E186" s="26" t="str">
        <f>IFERROR(__xludf.DUMMYFUNCTION("""COMPUTED_VALUE"""),"19CS551")</f>
        <v>19CS551</v>
      </c>
      <c r="F186" s="27" t="str">
        <f>IFERROR(__xludf.DUMMYFUNCTION("""COMPUTED_VALUE"""),"Software Testing and Automation")</f>
        <v>Software Testing and Automation</v>
      </c>
      <c r="G186" s="26" t="str">
        <f>IFERROR(__xludf.DUMMYFUNCTION("""COMPUTED_VALUE"""),"-")</f>
        <v>-</v>
      </c>
      <c r="H186" s="26">
        <f>IFERROR(__xludf.DUMMYFUNCTION("""COMPUTED_VALUE"""),2)</f>
        <v>2</v>
      </c>
      <c r="I186" s="26">
        <f>IFERROR(__xludf.DUMMYFUNCTION("""COMPUTED_VALUE"""),1)</f>
        <v>1</v>
      </c>
      <c r="J186" s="26">
        <f>IFERROR(__xludf.DUMMYFUNCTION("""COMPUTED_VALUE"""),3)</f>
        <v>3</v>
      </c>
      <c r="K186" s="26" t="str">
        <f>IFERROR(__xludf.DUMMYFUNCTION("""COMPUTED_VALUE"""),"CGPA")</f>
        <v>CGPA</v>
      </c>
      <c r="L186" s="26" t="str">
        <f>IFERROR(__xludf.DUMMYFUNCTION("""COMPUTED_VALUE"""),"TIP (6 Expts)")</f>
        <v>TIP (6 Expts)</v>
      </c>
      <c r="M186" s="26"/>
      <c r="N186" s="26"/>
      <c r="O186" s="26"/>
    </row>
    <row r="187" ht="13.2" spans="1:15">
      <c r="A187" s="26">
        <f>IFERROR(__xludf.DUMMYFUNCTION("""COMPUTED_VALUE"""),184)</f>
        <v>184</v>
      </c>
      <c r="B187" s="26"/>
      <c r="C187" s="26" t="str">
        <f>IFERROR(__xludf.DUMMYFUNCTION("""COMPUTED_VALUE"""),"PE")</f>
        <v>PE</v>
      </c>
      <c r="D187" s="26" t="str">
        <f>IFERROR(__xludf.DUMMYFUNCTION("""COMPUTED_VALUE"""),"CS1552")</f>
        <v>CS1552</v>
      </c>
      <c r="E187" s="26" t="str">
        <f>IFERROR(__xludf.DUMMYFUNCTION("""COMPUTED_VALUE"""),"19CS552")</f>
        <v>19CS552</v>
      </c>
      <c r="F187" s="27" t="str">
        <f>IFERROR(__xludf.DUMMYFUNCTION("""COMPUTED_VALUE"""),"DevOps")</f>
        <v>DevOps</v>
      </c>
      <c r="G187" s="26" t="str">
        <f>IFERROR(__xludf.DUMMYFUNCTION("""COMPUTED_VALUE"""),"-")</f>
        <v>-</v>
      </c>
      <c r="H187" s="26">
        <f>IFERROR(__xludf.DUMMYFUNCTION("""COMPUTED_VALUE"""),2)</f>
        <v>2</v>
      </c>
      <c r="I187" s="26">
        <f>IFERROR(__xludf.DUMMYFUNCTION("""COMPUTED_VALUE"""),1)</f>
        <v>1</v>
      </c>
      <c r="J187" s="26">
        <f>IFERROR(__xludf.DUMMYFUNCTION("""COMPUTED_VALUE"""),3)</f>
        <v>3</v>
      </c>
      <c r="K187" s="26" t="str">
        <f>IFERROR(__xludf.DUMMYFUNCTION("""COMPUTED_VALUE"""),"CGPA")</f>
        <v>CGPA</v>
      </c>
      <c r="L187" s="26" t="str">
        <f>IFERROR(__xludf.DUMMYFUNCTION("""COMPUTED_VALUE"""),"TIP (6 Expts)")</f>
        <v>TIP (6 Expts)</v>
      </c>
      <c r="M187" s="26"/>
      <c r="N187" s="26"/>
      <c r="O187" s="26"/>
    </row>
    <row r="188" ht="13.2" spans="1:15">
      <c r="A188" s="26">
        <f>IFERROR(__xludf.DUMMYFUNCTION("""COMPUTED_VALUE"""),185)</f>
        <v>185</v>
      </c>
      <c r="B188" s="26"/>
      <c r="C188" s="26" t="str">
        <f>IFERROR(__xludf.DUMMYFUNCTION("""COMPUTED_VALUE"""),"PE")</f>
        <v>PE</v>
      </c>
      <c r="D188" s="26" t="str">
        <f>IFERROR(__xludf.DUMMYFUNCTION("""COMPUTED_VALUE"""),"CS1553")</f>
        <v>CS1553</v>
      </c>
      <c r="E188" s="26" t="str">
        <f>IFERROR(__xludf.DUMMYFUNCTION("""COMPUTED_VALUE"""),"19CS553")</f>
        <v>19CS553</v>
      </c>
      <c r="F188" s="27" t="str">
        <f>IFERROR(__xludf.DUMMYFUNCTION("""COMPUTED_VALUE"""),"Web Application Security")</f>
        <v>Web Application Security</v>
      </c>
      <c r="G188" s="26" t="str">
        <f>IFERROR(__xludf.DUMMYFUNCTION("""COMPUTED_VALUE"""),"-")</f>
        <v>-</v>
      </c>
      <c r="H188" s="26">
        <f>IFERROR(__xludf.DUMMYFUNCTION("""COMPUTED_VALUE"""),2)</f>
        <v>2</v>
      </c>
      <c r="I188" s="26">
        <f>IFERROR(__xludf.DUMMYFUNCTION("""COMPUTED_VALUE"""),1)</f>
        <v>1</v>
      </c>
      <c r="J188" s="26">
        <f>IFERROR(__xludf.DUMMYFUNCTION("""COMPUTED_VALUE"""),3)</f>
        <v>3</v>
      </c>
      <c r="K188" s="26" t="str">
        <f>IFERROR(__xludf.DUMMYFUNCTION("""COMPUTED_VALUE"""),"CGPA")</f>
        <v>CGPA</v>
      </c>
      <c r="L188" s="26" t="str">
        <f>IFERROR(__xludf.DUMMYFUNCTION("""COMPUTED_VALUE"""),"TIP (6 Expts)")</f>
        <v>TIP (6 Expts)</v>
      </c>
      <c r="M188" s="26"/>
      <c r="N188" s="26"/>
      <c r="O188" s="26"/>
    </row>
    <row r="189" ht="13.2" spans="1:15">
      <c r="A189" s="26">
        <f>IFERROR(__xludf.DUMMYFUNCTION("""COMPUTED_VALUE"""),186)</f>
        <v>186</v>
      </c>
      <c r="B189" s="26"/>
      <c r="C189" s="26" t="str">
        <f>IFERROR(__xludf.DUMMYFUNCTION("""COMPUTED_VALUE"""),"PE")</f>
        <v>PE</v>
      </c>
      <c r="D189" s="26" t="str">
        <f>IFERROR(__xludf.DUMMYFUNCTION("""COMPUTED_VALUE"""),"CS1565")</f>
        <v>CS1565</v>
      </c>
      <c r="E189" s="26" t="str">
        <f>IFERROR(__xludf.DUMMYFUNCTION("""COMPUTED_VALUE"""),"19CS565")</f>
        <v>19CS565</v>
      </c>
      <c r="F189" s="27" t="str">
        <f>IFERROR(__xludf.DUMMYFUNCTION("""COMPUTED_VALUE"""),"Robotic Process Automation")</f>
        <v>Robotic Process Automation</v>
      </c>
      <c r="G189" s="26" t="str">
        <f>IFERROR(__xludf.DUMMYFUNCTION("""COMPUTED_VALUE"""),"-")</f>
        <v>-</v>
      </c>
      <c r="H189" s="26">
        <f>IFERROR(__xludf.DUMMYFUNCTION("""COMPUTED_VALUE"""),2)</f>
        <v>2</v>
      </c>
      <c r="I189" s="26">
        <f>IFERROR(__xludf.DUMMYFUNCTION("""COMPUTED_VALUE"""),1)</f>
        <v>1</v>
      </c>
      <c r="J189" s="26">
        <f>IFERROR(__xludf.DUMMYFUNCTION("""COMPUTED_VALUE"""),3)</f>
        <v>3</v>
      </c>
      <c r="K189" s="26" t="str">
        <f>IFERROR(__xludf.DUMMYFUNCTION("""COMPUTED_VALUE"""),"CGPA")</f>
        <v>CGPA</v>
      </c>
      <c r="L189" s="26" t="str">
        <f>IFERROR(__xludf.DUMMYFUNCTION("""COMPUTED_VALUE"""),"TIP (6 Expts)")</f>
        <v>TIP (6 Expts)</v>
      </c>
      <c r="M189" s="26"/>
      <c r="N189" s="26"/>
      <c r="O189" s="26"/>
    </row>
    <row r="190" ht="13.2" spans="1:15">
      <c r="A190" s="26">
        <f>IFERROR(__xludf.DUMMYFUNCTION("""COMPUTED_VALUE"""),187)</f>
        <v>187</v>
      </c>
      <c r="B190" s="26"/>
      <c r="C190" s="26" t="str">
        <f>IFERROR(__xludf.DUMMYFUNCTION("""COMPUTED_VALUE"""),"PE")</f>
        <v>PE</v>
      </c>
      <c r="D190" s="26" t="str">
        <f>IFERROR(__xludf.DUMMYFUNCTION("""COMPUTED_VALUE"""),"CS1566")</f>
        <v>CS1566</v>
      </c>
      <c r="E190" s="26" t="str">
        <f>IFERROR(__xludf.DUMMYFUNCTION("""COMPUTED_VALUE"""),"19CS566")</f>
        <v>19CS566</v>
      </c>
      <c r="F190" s="27" t="str">
        <f>IFERROR(__xludf.DUMMYFUNCTION("""COMPUTED_VALUE"""),"Software Project Management and Version Control")</f>
        <v>Software Project Management and Version Control</v>
      </c>
      <c r="G190" s="26" t="str">
        <f>IFERROR(__xludf.DUMMYFUNCTION("""COMPUTED_VALUE"""),"-")</f>
        <v>-</v>
      </c>
      <c r="H190" s="26">
        <f>IFERROR(__xludf.DUMMYFUNCTION("""COMPUTED_VALUE"""),3)</f>
        <v>3</v>
      </c>
      <c r="I190" s="26">
        <f>IFERROR(__xludf.DUMMYFUNCTION("""COMPUTED_VALUE"""),0)</f>
        <v>0</v>
      </c>
      <c r="J190" s="26">
        <f>IFERROR(__xludf.DUMMYFUNCTION("""COMPUTED_VALUE"""),3)</f>
        <v>3</v>
      </c>
      <c r="K190" s="26" t="str">
        <f>IFERROR(__xludf.DUMMYFUNCTION("""COMPUTED_VALUE"""),"CGPA")</f>
        <v>CGPA</v>
      </c>
      <c r="L190" s="26" t="str">
        <f>IFERROR(__xludf.DUMMYFUNCTION("""COMPUTED_VALUE"""),"Theory")</f>
        <v>Theory</v>
      </c>
      <c r="M190" s="26"/>
      <c r="N190" s="26"/>
      <c r="O190" s="26"/>
    </row>
    <row r="191" ht="13.2" spans="1:15">
      <c r="A191" s="26">
        <f>IFERROR(__xludf.DUMMYFUNCTION("""COMPUTED_VALUE"""),188)</f>
        <v>188</v>
      </c>
      <c r="B191" s="26"/>
      <c r="C191" s="26" t="str">
        <f>IFERROR(__xludf.DUMMYFUNCTION("""COMPUTED_VALUE"""),"PE")</f>
        <v>PE</v>
      </c>
      <c r="D191" s="26" t="str">
        <f>IFERROR(__xludf.DUMMYFUNCTION("""COMPUTED_VALUE"""),"CS1579")</f>
        <v>CS1579</v>
      </c>
      <c r="E191" s="26" t="str">
        <f>IFERROR(__xludf.DUMMYFUNCTION("""COMPUTED_VALUE"""),"19CS579")</f>
        <v>19CS579</v>
      </c>
      <c r="F191" s="27" t="str">
        <f>IFERROR(__xludf.DUMMYFUNCTION("""COMPUTED_VALUE"""),"Generative AI Application Development")</f>
        <v>Generative AI Application Development</v>
      </c>
      <c r="G191" s="26" t="str">
        <f>IFERROR(__xludf.DUMMYFUNCTION("""COMPUTED_VALUE"""),"-")</f>
        <v>-</v>
      </c>
      <c r="H191" s="26">
        <f>IFERROR(__xludf.DUMMYFUNCTION("""COMPUTED_VALUE"""),2)</f>
        <v>2</v>
      </c>
      <c r="I191" s="26">
        <f>IFERROR(__xludf.DUMMYFUNCTION("""COMPUTED_VALUE"""),1)</f>
        <v>1</v>
      </c>
      <c r="J191" s="26">
        <f>IFERROR(__xludf.DUMMYFUNCTION("""COMPUTED_VALUE"""),3)</f>
        <v>3</v>
      </c>
      <c r="K191" s="26" t="str">
        <f>IFERROR(__xludf.DUMMYFUNCTION("""COMPUTED_VALUE"""),"CGPA")</f>
        <v>CGPA</v>
      </c>
      <c r="L191" s="26" t="str">
        <f>IFERROR(__xludf.DUMMYFUNCTION("""COMPUTED_VALUE"""),"TIP (6 Expts)")</f>
        <v>TIP (6 Expts)</v>
      </c>
      <c r="M191" s="26"/>
      <c r="N191" s="26"/>
      <c r="O191" s="26"/>
    </row>
    <row r="192" ht="13.2" spans="1:15">
      <c r="A192" s="26">
        <f>IFERROR(__xludf.DUMMYFUNCTION("""COMPUTED_VALUE"""),189)</f>
        <v>189</v>
      </c>
      <c r="B192" s="26"/>
      <c r="C192" s="26" t="str">
        <f>IFERROR(__xludf.DUMMYFUNCTION("""COMPUTED_VALUE"""),"PE")</f>
        <v>PE</v>
      </c>
      <c r="D192" s="26" t="str">
        <f>IFERROR(__xludf.DUMMYFUNCTION("""COMPUTED_VALUE"""),"CS1568")</f>
        <v>CS1568</v>
      </c>
      <c r="E192" s="26" t="str">
        <f>IFERROR(__xludf.DUMMYFUNCTION("""COMPUTED_VALUE"""),"19CS568")</f>
        <v>19CS568</v>
      </c>
      <c r="F192" s="27" t="str">
        <f>IFERROR(__xludf.DUMMYFUNCTION("""COMPUTED_VALUE"""),"Fine Tuning Large Language Models")</f>
        <v>Fine Tuning Large Language Models</v>
      </c>
      <c r="G192" s="26" t="str">
        <f>IFERROR(__xludf.DUMMYFUNCTION("""COMPUTED_VALUE"""),"-")</f>
        <v>-</v>
      </c>
      <c r="H192" s="26">
        <f>IFERROR(__xludf.DUMMYFUNCTION("""COMPUTED_VALUE"""),3)</f>
        <v>3</v>
      </c>
      <c r="I192" s="26">
        <f>IFERROR(__xludf.DUMMYFUNCTION("""COMPUTED_VALUE"""),0)</f>
        <v>0</v>
      </c>
      <c r="J192" s="26">
        <f>IFERROR(__xludf.DUMMYFUNCTION("""COMPUTED_VALUE"""),3)</f>
        <v>3</v>
      </c>
      <c r="K192" s="26" t="str">
        <f>IFERROR(__xludf.DUMMYFUNCTION("""COMPUTED_VALUE"""),"CGPA")</f>
        <v>CGPA</v>
      </c>
      <c r="L192" s="26" t="str">
        <f>IFERROR(__xludf.DUMMYFUNCTION("""COMPUTED_VALUE"""),"Theory")</f>
        <v>Theory</v>
      </c>
      <c r="M192" s="26"/>
      <c r="N192" s="26"/>
      <c r="O192" s="26"/>
    </row>
    <row r="193" ht="13.2" spans="1:15">
      <c r="A193" s="26">
        <f>IFERROR(__xludf.DUMMYFUNCTION("""COMPUTED_VALUE"""),190)</f>
        <v>190</v>
      </c>
      <c r="B193" s="26"/>
      <c r="C193" s="26" t="str">
        <f>IFERROR(__xludf.DUMMYFUNCTION("""COMPUTED_VALUE"""),"PE")</f>
        <v>PE</v>
      </c>
      <c r="D193" s="26" t="str">
        <f>IFERROR(__xludf.DUMMYFUNCTION("""COMPUTED_VALUE"""),"CS1569")</f>
        <v>CS1569</v>
      </c>
      <c r="E193" s="26" t="str">
        <f>IFERROR(__xludf.DUMMYFUNCTION("""COMPUTED_VALUE"""),"19CS569")</f>
        <v>19CS569</v>
      </c>
      <c r="F193" s="27" t="str">
        <f>IFERROR(__xludf.DUMMYFUNCTION("""COMPUTED_VALUE"""),"Applied Data Science")</f>
        <v>Applied Data Science</v>
      </c>
      <c r="G193" s="26" t="str">
        <f>IFERROR(__xludf.DUMMYFUNCTION("""COMPUTED_VALUE"""),"-")</f>
        <v>-</v>
      </c>
      <c r="H193" s="26">
        <f>IFERROR(__xludf.DUMMYFUNCTION("""COMPUTED_VALUE"""),2)</f>
        <v>2</v>
      </c>
      <c r="I193" s="26">
        <f>IFERROR(__xludf.DUMMYFUNCTION("""COMPUTED_VALUE"""),1)</f>
        <v>1</v>
      </c>
      <c r="J193" s="26">
        <f>IFERROR(__xludf.DUMMYFUNCTION("""COMPUTED_VALUE"""),3)</f>
        <v>3</v>
      </c>
      <c r="K193" s="26" t="str">
        <f>IFERROR(__xludf.DUMMYFUNCTION("""COMPUTED_VALUE"""),"CGPA")</f>
        <v>CGPA</v>
      </c>
      <c r="L193" s="26" t="str">
        <f>IFERROR(__xludf.DUMMYFUNCTION("""COMPUTED_VALUE"""),"TIP (6 Expts)")</f>
        <v>TIP (6 Expts)</v>
      </c>
      <c r="M193" s="26"/>
      <c r="N193" s="26"/>
      <c r="O193" s="26"/>
    </row>
    <row r="194" ht="13.2" spans="1:15">
      <c r="A194" s="26">
        <f>IFERROR(__xludf.DUMMYFUNCTION("""COMPUTED_VALUE"""),191)</f>
        <v>191</v>
      </c>
      <c r="B194" s="26"/>
      <c r="C194" s="26" t="str">
        <f>IFERROR(__xludf.DUMMYFUNCTION("""COMPUTED_VALUE"""),"PE")</f>
        <v>PE</v>
      </c>
      <c r="D194" s="26" t="str">
        <f>IFERROR(__xludf.DUMMYFUNCTION("""COMPUTED_VALUE"""),"CS1570")</f>
        <v>CS1570</v>
      </c>
      <c r="E194" s="26" t="str">
        <f>IFERROR(__xludf.DUMMYFUNCTION("""COMPUTED_VALUE"""),"19CS570")</f>
        <v>19CS570</v>
      </c>
      <c r="F194" s="27" t="str">
        <f>IFERROR(__xludf.DUMMYFUNCTION("""COMPUTED_VALUE"""),"Entrepreneurship and Small Business Development")</f>
        <v>Entrepreneurship and Small Business Development</v>
      </c>
      <c r="G194" s="26" t="str">
        <f>IFERROR(__xludf.DUMMYFUNCTION("""COMPUTED_VALUE"""),"-")</f>
        <v>-</v>
      </c>
      <c r="H194" s="26">
        <f>IFERROR(__xludf.DUMMYFUNCTION("""COMPUTED_VALUE"""),2)</f>
        <v>2</v>
      </c>
      <c r="I194" s="26">
        <f>IFERROR(__xludf.DUMMYFUNCTION("""COMPUTED_VALUE"""),1)</f>
        <v>1</v>
      </c>
      <c r="J194" s="26">
        <f>IFERROR(__xludf.DUMMYFUNCTION("""COMPUTED_VALUE"""),3)</f>
        <v>3</v>
      </c>
      <c r="K194" s="26" t="str">
        <f>IFERROR(__xludf.DUMMYFUNCTION("""COMPUTED_VALUE"""),"CGPA")</f>
        <v>CGPA</v>
      </c>
      <c r="L194" s="26" t="str">
        <f>IFERROR(__xludf.DUMMYFUNCTION("""COMPUTED_VALUE"""),"TIP (6 Expts)")</f>
        <v>TIP (6 Expts)</v>
      </c>
      <c r="M194" s="26"/>
      <c r="N194" s="26"/>
      <c r="O194" s="26"/>
    </row>
    <row r="195" ht="13.2" spans="1:15">
      <c r="A195" s="26">
        <f>IFERROR(__xludf.DUMMYFUNCTION("""COMPUTED_VALUE"""),192)</f>
        <v>192</v>
      </c>
      <c r="B195" s="26"/>
      <c r="C195" s="26" t="str">
        <f>IFERROR(__xludf.DUMMYFUNCTION("""COMPUTED_VALUE"""),"PE")</f>
        <v>PE</v>
      </c>
      <c r="D195" s="26" t="str">
        <f>IFERROR(__xludf.DUMMYFUNCTION("""COMPUTED_VALUE"""),"CS1571")</f>
        <v>CS1571</v>
      </c>
      <c r="E195" s="26" t="str">
        <f>IFERROR(__xludf.DUMMYFUNCTION("""COMPUTED_VALUE"""),"19CS571")</f>
        <v>19CS571</v>
      </c>
      <c r="F195" s="27" t="str">
        <f>IFERROR(__xludf.DUMMYFUNCTION("""COMPUTED_VALUE"""),"Software Development and Operations")</f>
        <v>Software Development and Operations</v>
      </c>
      <c r="G195" s="26" t="str">
        <f>IFERROR(__xludf.DUMMYFUNCTION("""COMPUTED_VALUE"""),"-")</f>
        <v>-</v>
      </c>
      <c r="H195" s="26">
        <f>IFERROR(__xludf.DUMMYFUNCTION("""COMPUTED_VALUE"""),3)</f>
        <v>3</v>
      </c>
      <c r="I195" s="26">
        <f>IFERROR(__xludf.DUMMYFUNCTION("""COMPUTED_VALUE"""),0)</f>
        <v>0</v>
      </c>
      <c r="J195" s="26">
        <f>IFERROR(__xludf.DUMMYFUNCTION("""COMPUTED_VALUE"""),3)</f>
        <v>3</v>
      </c>
      <c r="K195" s="26" t="str">
        <f>IFERROR(__xludf.DUMMYFUNCTION("""COMPUTED_VALUE"""),"CGPA")</f>
        <v>CGPA</v>
      </c>
      <c r="L195" s="26" t="str">
        <f>IFERROR(__xludf.DUMMYFUNCTION("""COMPUTED_VALUE"""),"Theory")</f>
        <v>Theory</v>
      </c>
      <c r="M195" s="26"/>
      <c r="N195" s="26"/>
      <c r="O195" s="26"/>
    </row>
    <row r="196" ht="13.2" spans="1:15">
      <c r="A196" s="26">
        <f>IFERROR(__xludf.DUMMYFUNCTION("""COMPUTED_VALUE"""),193)</f>
        <v>193</v>
      </c>
      <c r="B196" s="26"/>
      <c r="C196" s="26" t="str">
        <f>IFERROR(__xludf.DUMMYFUNCTION("""COMPUTED_VALUE"""),"PE")</f>
        <v>PE</v>
      </c>
      <c r="D196" s="26" t="str">
        <f>IFERROR(__xludf.DUMMYFUNCTION("""COMPUTED_VALUE"""),"CS1572")</f>
        <v>CS1572</v>
      </c>
      <c r="E196" s="26" t="str">
        <f>IFERROR(__xludf.DUMMYFUNCTION("""COMPUTED_VALUE"""),"19CS572")</f>
        <v>19CS572</v>
      </c>
      <c r="F196" s="27" t="str">
        <f>IFERROR(__xludf.DUMMYFUNCTION("""COMPUTED_VALUE"""),"Serverless App Development")</f>
        <v>Serverless App Development</v>
      </c>
      <c r="G196" s="26" t="str">
        <f>IFERROR(__xludf.DUMMYFUNCTION("""COMPUTED_VALUE"""),"-")</f>
        <v>-</v>
      </c>
      <c r="H196" s="26">
        <f>IFERROR(__xludf.DUMMYFUNCTION("""COMPUTED_VALUE"""),3)</f>
        <v>3</v>
      </c>
      <c r="I196" s="26">
        <f>IFERROR(__xludf.DUMMYFUNCTION("""COMPUTED_VALUE"""),0)</f>
        <v>0</v>
      </c>
      <c r="J196" s="26">
        <f>IFERROR(__xludf.DUMMYFUNCTION("""COMPUTED_VALUE"""),3)</f>
        <v>3</v>
      </c>
      <c r="K196" s="26" t="str">
        <f>IFERROR(__xludf.DUMMYFUNCTION("""COMPUTED_VALUE"""),"CGPA")</f>
        <v>CGPA</v>
      </c>
      <c r="L196" s="26" t="str">
        <f>IFERROR(__xludf.DUMMYFUNCTION("""COMPUTED_VALUE"""),"Theory")</f>
        <v>Theory</v>
      </c>
      <c r="M196" s="26"/>
      <c r="N196" s="26"/>
      <c r="O196" s="26"/>
    </row>
    <row r="197" ht="13.2" spans="1:15">
      <c r="A197" s="26">
        <f>IFERROR(__xludf.DUMMYFUNCTION("""COMPUTED_VALUE"""),194)</f>
        <v>194</v>
      </c>
      <c r="B197" s="26"/>
      <c r="C197" s="26" t="str">
        <f>IFERROR(__xludf.DUMMYFUNCTION("""COMPUTED_VALUE"""),"PE")</f>
        <v>PE</v>
      </c>
      <c r="D197" s="26" t="str">
        <f>IFERROR(__xludf.DUMMYFUNCTION("""COMPUTED_VALUE"""),"CS1573")</f>
        <v>CS1573</v>
      </c>
      <c r="E197" s="26" t="str">
        <f>IFERROR(__xludf.DUMMYFUNCTION("""COMPUTED_VALUE"""),"19CS573")</f>
        <v>19CS573</v>
      </c>
      <c r="F197" s="27" t="str">
        <f>IFERROR(__xludf.DUMMYFUNCTION("""COMPUTED_VALUE"""),"Enterprise Cloud Architecture")</f>
        <v>Enterprise Cloud Architecture</v>
      </c>
      <c r="G197" s="26" t="str">
        <f>IFERROR(__xludf.DUMMYFUNCTION("""COMPUTED_VALUE"""),"-")</f>
        <v>-</v>
      </c>
      <c r="H197" s="26">
        <f>IFERROR(__xludf.DUMMYFUNCTION("""COMPUTED_VALUE"""),3)</f>
        <v>3</v>
      </c>
      <c r="I197" s="26">
        <f>IFERROR(__xludf.DUMMYFUNCTION("""COMPUTED_VALUE"""),0)</f>
        <v>0</v>
      </c>
      <c r="J197" s="26">
        <f>IFERROR(__xludf.DUMMYFUNCTION("""COMPUTED_VALUE"""),3)</f>
        <v>3</v>
      </c>
      <c r="K197" s="26" t="str">
        <f>IFERROR(__xludf.DUMMYFUNCTION("""COMPUTED_VALUE"""),"CGPA")</f>
        <v>CGPA</v>
      </c>
      <c r="L197" s="26" t="str">
        <f>IFERROR(__xludf.DUMMYFUNCTION("""COMPUTED_VALUE"""),"Theory")</f>
        <v>Theory</v>
      </c>
      <c r="M197" s="26"/>
      <c r="N197" s="26"/>
      <c r="O197" s="26"/>
    </row>
    <row r="198" ht="13.2" spans="1:15">
      <c r="A198" s="26">
        <f>IFERROR(__xludf.DUMMYFUNCTION("""COMPUTED_VALUE"""),195)</f>
        <v>195</v>
      </c>
      <c r="B198" s="26"/>
      <c r="C198" s="26" t="str">
        <f>IFERROR(__xludf.DUMMYFUNCTION("""COMPUTED_VALUE"""),"PE")</f>
        <v>PE</v>
      </c>
      <c r="D198" s="26" t="str">
        <f>IFERROR(__xludf.DUMMYFUNCTION("""COMPUTED_VALUE"""),"CS1574")</f>
        <v>CS1574</v>
      </c>
      <c r="E198" s="26" t="str">
        <f>IFERROR(__xludf.DUMMYFUNCTION("""COMPUTED_VALUE"""),"19CS574")</f>
        <v>19CS574</v>
      </c>
      <c r="F198" s="27" t="str">
        <f>IFERROR(__xludf.DUMMYFUNCTION("""COMPUTED_VALUE"""),"Advanced Class Design and Object-Oriented Techniques")</f>
        <v>Advanced Class Design and Object-Oriented Techniques</v>
      </c>
      <c r="G198" s="26" t="str">
        <f>IFERROR(__xludf.DUMMYFUNCTION("""COMPUTED_VALUE"""),"-")</f>
        <v>-</v>
      </c>
      <c r="H198" s="26">
        <f>IFERROR(__xludf.DUMMYFUNCTION("""COMPUTED_VALUE"""),3)</f>
        <v>3</v>
      </c>
      <c r="I198" s="26">
        <f>IFERROR(__xludf.DUMMYFUNCTION("""COMPUTED_VALUE"""),0)</f>
        <v>0</v>
      </c>
      <c r="J198" s="26">
        <f>IFERROR(__xludf.DUMMYFUNCTION("""COMPUTED_VALUE"""),3)</f>
        <v>3</v>
      </c>
      <c r="K198" s="26" t="str">
        <f>IFERROR(__xludf.DUMMYFUNCTION("""COMPUTED_VALUE"""),"CGPA")</f>
        <v>CGPA</v>
      </c>
      <c r="L198" s="26" t="str">
        <f>IFERROR(__xludf.DUMMYFUNCTION("""COMPUTED_VALUE"""),"Theory")</f>
        <v>Theory</v>
      </c>
      <c r="M198" s="26"/>
      <c r="N198" s="26"/>
      <c r="O198" s="26"/>
    </row>
    <row r="199" ht="13.2" spans="1:15">
      <c r="A199" s="26">
        <f>IFERROR(__xludf.DUMMYFUNCTION("""COMPUTED_VALUE"""),196)</f>
        <v>196</v>
      </c>
      <c r="B199" s="26"/>
      <c r="C199" s="26" t="str">
        <f>IFERROR(__xludf.DUMMYFUNCTION("""COMPUTED_VALUE"""),"PE")</f>
        <v>PE</v>
      </c>
      <c r="D199" s="26" t="str">
        <f>IFERROR(__xludf.DUMMYFUNCTION("""COMPUTED_VALUE"""),"CS1575")</f>
        <v>CS1575</v>
      </c>
      <c r="E199" s="26" t="str">
        <f>IFERROR(__xludf.DUMMYFUNCTION("""COMPUTED_VALUE"""),"19CS575")</f>
        <v>19CS575</v>
      </c>
      <c r="F199" s="27" t="str">
        <f>IFERROR(__xludf.DUMMYFUNCTION("""COMPUTED_VALUE"""),"Low-Code App Development")</f>
        <v>Low-Code App Development</v>
      </c>
      <c r="G199" s="26" t="str">
        <f>IFERROR(__xludf.DUMMYFUNCTION("""COMPUTED_VALUE"""),"-")</f>
        <v>-</v>
      </c>
      <c r="H199" s="26">
        <f>IFERROR(__xludf.DUMMYFUNCTION("""COMPUTED_VALUE"""),3)</f>
        <v>3</v>
      </c>
      <c r="I199" s="26">
        <f>IFERROR(__xludf.DUMMYFUNCTION("""COMPUTED_VALUE"""),0)</f>
        <v>0</v>
      </c>
      <c r="J199" s="26">
        <f>IFERROR(__xludf.DUMMYFUNCTION("""COMPUTED_VALUE"""),3)</f>
        <v>3</v>
      </c>
      <c r="K199" s="26" t="str">
        <f>IFERROR(__xludf.DUMMYFUNCTION("""COMPUTED_VALUE"""),"CGPA")</f>
        <v>CGPA</v>
      </c>
      <c r="L199" s="26" t="str">
        <f>IFERROR(__xludf.DUMMYFUNCTION("""COMPUTED_VALUE"""),"Theory")</f>
        <v>Theory</v>
      </c>
      <c r="M199" s="26"/>
      <c r="N199" s="26"/>
      <c r="O199" s="26"/>
    </row>
    <row r="200" ht="13.2" spans="1:15">
      <c r="A200" s="26">
        <f>IFERROR(__xludf.DUMMYFUNCTION("""COMPUTED_VALUE"""),197)</f>
        <v>197</v>
      </c>
      <c r="B200" s="26"/>
      <c r="C200" s="26" t="str">
        <f>IFERROR(__xludf.DUMMYFUNCTION("""COMPUTED_VALUE"""),"PE")</f>
        <v>PE</v>
      </c>
      <c r="D200" s="26" t="str">
        <f>IFERROR(__xludf.DUMMYFUNCTION("""COMPUTED_VALUE"""),"CS1577")</f>
        <v>CS1577</v>
      </c>
      <c r="E200" s="26" t="str">
        <f>IFERROR(__xludf.DUMMYFUNCTION("""COMPUTED_VALUE"""),"19CS577")</f>
        <v>19CS577</v>
      </c>
      <c r="F200" s="27" t="str">
        <f>IFERROR(__xludf.DUMMYFUNCTION("""COMPUTED_VALUE"""),"Cloud System Administration")</f>
        <v>Cloud System Administration</v>
      </c>
      <c r="G200" s="26" t="str">
        <f>IFERROR(__xludf.DUMMYFUNCTION("""COMPUTED_VALUE"""),"-")</f>
        <v>-</v>
      </c>
      <c r="H200" s="26">
        <f>IFERROR(__xludf.DUMMYFUNCTION("""COMPUTED_VALUE"""),3)</f>
        <v>3</v>
      </c>
      <c r="I200" s="26">
        <f>IFERROR(__xludf.DUMMYFUNCTION("""COMPUTED_VALUE"""),0)</f>
        <v>0</v>
      </c>
      <c r="J200" s="26">
        <f>IFERROR(__xludf.DUMMYFUNCTION("""COMPUTED_VALUE"""),3)</f>
        <v>3</v>
      </c>
      <c r="K200" s="26" t="str">
        <f>IFERROR(__xludf.DUMMYFUNCTION("""COMPUTED_VALUE"""),"CGPA")</f>
        <v>CGPA</v>
      </c>
      <c r="L200" s="26" t="str">
        <f>IFERROR(__xludf.DUMMYFUNCTION("""COMPUTED_VALUE"""),"Theory")</f>
        <v>Theory</v>
      </c>
      <c r="M200" s="26"/>
      <c r="N200" s="26"/>
      <c r="O200" s="26"/>
    </row>
    <row r="201" ht="13.2" spans="1:15">
      <c r="A201" s="26">
        <f>IFERROR(__xludf.DUMMYFUNCTION("""COMPUTED_VALUE"""),198)</f>
        <v>198</v>
      </c>
      <c r="B201" s="26"/>
      <c r="C201" s="26" t="str">
        <f>IFERROR(__xludf.DUMMYFUNCTION("""COMPUTED_VALUE"""),"PE")</f>
        <v>PE</v>
      </c>
      <c r="D201" s="26" t="str">
        <f>IFERROR(__xludf.DUMMYFUNCTION("""COMPUTED_VALUE"""),"CS1578")</f>
        <v>CS1578</v>
      </c>
      <c r="E201" s="26" t="str">
        <f>IFERROR(__xludf.DUMMYFUNCTION("""COMPUTED_VALUE"""),"19CS578")</f>
        <v>19CS578</v>
      </c>
      <c r="F201" s="27" t="str">
        <f>IFERROR(__xludf.DUMMYFUNCTION("""COMPUTED_VALUE"""),"Machine Learning Operations")</f>
        <v>Machine Learning Operations</v>
      </c>
      <c r="G201" s="26" t="str">
        <f>IFERROR(__xludf.DUMMYFUNCTION("""COMPUTED_VALUE"""),"-")</f>
        <v>-</v>
      </c>
      <c r="H201" s="26">
        <f>IFERROR(__xludf.DUMMYFUNCTION("""COMPUTED_VALUE"""),3)</f>
        <v>3</v>
      </c>
      <c r="I201" s="26">
        <f>IFERROR(__xludf.DUMMYFUNCTION("""COMPUTED_VALUE"""),0)</f>
        <v>0</v>
      </c>
      <c r="J201" s="26">
        <f>IFERROR(__xludf.DUMMYFUNCTION("""COMPUTED_VALUE"""),3)</f>
        <v>3</v>
      </c>
      <c r="K201" s="26" t="str">
        <f>IFERROR(__xludf.DUMMYFUNCTION("""COMPUTED_VALUE"""),"CGPA")</f>
        <v>CGPA</v>
      </c>
      <c r="L201" s="26" t="str">
        <f>IFERROR(__xludf.DUMMYFUNCTION("""COMPUTED_VALUE"""),"Theory")</f>
        <v>Theory</v>
      </c>
      <c r="M201" s="26"/>
      <c r="N201" s="26"/>
      <c r="O201" s="26"/>
    </row>
    <row r="202" ht="13.2" spans="1:15">
      <c r="A202" s="26">
        <f>IFERROR(__xludf.DUMMYFUNCTION("""COMPUTED_VALUE"""),199)</f>
        <v>199</v>
      </c>
      <c r="B202" s="26"/>
      <c r="C202" s="26" t="str">
        <f>IFERROR(__xludf.DUMMYFUNCTION("""COMPUTED_VALUE"""),"PE")</f>
        <v>PE</v>
      </c>
      <c r="D202" s="26" t="str">
        <f>IFERROR(__xludf.DUMMYFUNCTION("""COMPUTED_VALUE"""),"CS2401")</f>
        <v>CS2401</v>
      </c>
      <c r="E202" s="26" t="str">
        <f>IFERROR(__xludf.DUMMYFUNCTION("""COMPUTED_VALUE"""),"19IT401")</f>
        <v>19IT401</v>
      </c>
      <c r="F202" s="27" t="str">
        <f>IFERROR(__xludf.DUMMYFUNCTION("""COMPUTED_VALUE"""),"Information Technology Essentials")</f>
        <v>Information Technology Essentials</v>
      </c>
      <c r="G202" s="26" t="str">
        <f>IFERROR(__xludf.DUMMYFUNCTION("""COMPUTED_VALUE"""),"-")</f>
        <v>-</v>
      </c>
      <c r="H202" s="26">
        <f>IFERROR(__xludf.DUMMYFUNCTION("""COMPUTED_VALUE"""),3)</f>
        <v>3</v>
      </c>
      <c r="I202" s="26">
        <f>IFERROR(__xludf.DUMMYFUNCTION("""COMPUTED_VALUE"""),1)</f>
        <v>1</v>
      </c>
      <c r="J202" s="26">
        <f>IFERROR(__xludf.DUMMYFUNCTION("""COMPUTED_VALUE"""),4)</f>
        <v>4</v>
      </c>
      <c r="K202" s="26" t="str">
        <f>IFERROR(__xludf.DUMMYFUNCTION("""COMPUTED_VALUE"""),"CGPA")</f>
        <v>CGPA</v>
      </c>
      <c r="L202" s="26" t="str">
        <f>IFERROR(__xludf.DUMMYFUNCTION("""COMPUTED_VALUE"""),"TIP (6 Expts)")</f>
        <v>TIP (6 Expts)</v>
      </c>
      <c r="M202" s="26"/>
      <c r="N202" s="26"/>
      <c r="O202" s="26"/>
    </row>
    <row r="203" ht="13.2" spans="1:15">
      <c r="A203" s="26">
        <f>IFERROR(__xludf.DUMMYFUNCTION("""COMPUTED_VALUE"""),200)</f>
        <v>200</v>
      </c>
      <c r="B203" s="26"/>
      <c r="C203" s="26" t="str">
        <f>IFERROR(__xludf.DUMMYFUNCTION("""COMPUTED_VALUE"""),"PE")</f>
        <v>PE</v>
      </c>
      <c r="D203" s="26" t="str">
        <f>IFERROR(__xludf.DUMMYFUNCTION("""COMPUTED_VALUE"""),"CS2402")</f>
        <v>CS2402</v>
      </c>
      <c r="E203" s="26" t="str">
        <f>IFERROR(__xludf.DUMMYFUNCTION("""COMPUTED_VALUE"""),"19IT402")</f>
        <v>19IT402</v>
      </c>
      <c r="F203" s="27" t="str">
        <f>IFERROR(__xludf.DUMMYFUNCTION("""COMPUTED_VALUE"""),"Game Development Technologies")</f>
        <v>Game Development Technologies</v>
      </c>
      <c r="G203" s="26" t="str">
        <f>IFERROR(__xludf.DUMMYFUNCTION("""COMPUTED_VALUE"""),"-")</f>
        <v>-</v>
      </c>
      <c r="H203" s="26">
        <f>IFERROR(__xludf.DUMMYFUNCTION("""COMPUTED_VALUE"""),3)</f>
        <v>3</v>
      </c>
      <c r="I203" s="26">
        <f>IFERROR(__xludf.DUMMYFUNCTION("""COMPUTED_VALUE"""),1)</f>
        <v>1</v>
      </c>
      <c r="J203" s="26">
        <f>IFERROR(__xludf.DUMMYFUNCTION("""COMPUTED_VALUE"""),4)</f>
        <v>4</v>
      </c>
      <c r="K203" s="26" t="str">
        <f>IFERROR(__xludf.DUMMYFUNCTION("""COMPUTED_VALUE"""),"CGPA")</f>
        <v>CGPA</v>
      </c>
      <c r="L203" s="26" t="str">
        <f>IFERROR(__xludf.DUMMYFUNCTION("""COMPUTED_VALUE"""),"TIP (6 Expts)")</f>
        <v>TIP (6 Expts)</v>
      </c>
      <c r="M203" s="26"/>
      <c r="N203" s="26"/>
      <c r="O203" s="26"/>
    </row>
    <row r="204" ht="13.2" spans="1:15">
      <c r="A204" s="26">
        <f>IFERROR(__xludf.DUMMYFUNCTION("""COMPUTED_VALUE"""),201)</f>
        <v>201</v>
      </c>
      <c r="B204" s="26"/>
      <c r="C204" s="26" t="str">
        <f>IFERROR(__xludf.DUMMYFUNCTION("""COMPUTED_VALUE"""),"PE")</f>
        <v>PE</v>
      </c>
      <c r="D204" s="26" t="str">
        <f>IFERROR(__xludf.DUMMYFUNCTION("""COMPUTED_VALUE"""),"CS2405")</f>
        <v>CS2405</v>
      </c>
      <c r="E204" s="26" t="str">
        <f>IFERROR(__xludf.DUMMYFUNCTION("""COMPUTED_VALUE"""),"19IT405")</f>
        <v>19IT405</v>
      </c>
      <c r="F204" s="27" t="str">
        <f>IFERROR(__xludf.DUMMYFUNCTION("""COMPUTED_VALUE"""),"Data Structures using Python")</f>
        <v>Data Structures using Python</v>
      </c>
      <c r="G204" s="26" t="str">
        <f>IFERROR(__xludf.DUMMYFUNCTION("""COMPUTED_VALUE"""),"-")</f>
        <v>-</v>
      </c>
      <c r="H204" s="26">
        <f>IFERROR(__xludf.DUMMYFUNCTION("""COMPUTED_VALUE"""),3)</f>
        <v>3</v>
      </c>
      <c r="I204" s="26">
        <f>IFERROR(__xludf.DUMMYFUNCTION("""COMPUTED_VALUE"""),1)</f>
        <v>1</v>
      </c>
      <c r="J204" s="26">
        <f>IFERROR(__xludf.DUMMYFUNCTION("""COMPUTED_VALUE"""),4)</f>
        <v>4</v>
      </c>
      <c r="K204" s="26" t="str">
        <f>IFERROR(__xludf.DUMMYFUNCTION("""COMPUTED_VALUE"""),"CGPA")</f>
        <v>CGPA</v>
      </c>
      <c r="L204" s="26" t="str">
        <f>IFERROR(__xludf.DUMMYFUNCTION("""COMPUTED_VALUE"""),"TIP (6 Expts)")</f>
        <v>TIP (6 Expts)</v>
      </c>
      <c r="M204" s="26"/>
      <c r="N204" s="26"/>
      <c r="O204" s="26"/>
    </row>
    <row r="205" ht="13.2" spans="1:15">
      <c r="A205" s="26">
        <f>IFERROR(__xludf.DUMMYFUNCTION("""COMPUTED_VALUE"""),202)</f>
        <v>202</v>
      </c>
      <c r="B205" s="26"/>
      <c r="C205" s="26" t="str">
        <f>IFERROR(__xludf.DUMMYFUNCTION("""COMPUTED_VALUE"""),"PE")</f>
        <v>PE</v>
      </c>
      <c r="D205" s="26" t="str">
        <f>IFERROR(__xludf.DUMMYFUNCTION("""COMPUTED_VALUE"""),"CS2406")</f>
        <v>CS2406</v>
      </c>
      <c r="E205" s="26" t="str">
        <f>IFERROR(__xludf.DUMMYFUNCTION("""COMPUTED_VALUE"""),"19IT406")</f>
        <v>19IT406</v>
      </c>
      <c r="F205" s="27" t="str">
        <f>IFERROR(__xludf.DUMMYFUNCTION("""COMPUTED_VALUE"""),"Grid and Cloud Computing")</f>
        <v>Grid and Cloud Computing</v>
      </c>
      <c r="G205" s="26" t="str">
        <f>IFERROR(__xludf.DUMMYFUNCTION("""COMPUTED_VALUE"""),"-")</f>
        <v>-</v>
      </c>
      <c r="H205" s="26">
        <f>IFERROR(__xludf.DUMMYFUNCTION("""COMPUTED_VALUE"""),3)</f>
        <v>3</v>
      </c>
      <c r="I205" s="26">
        <f>IFERROR(__xludf.DUMMYFUNCTION("""COMPUTED_VALUE"""),1)</f>
        <v>1</v>
      </c>
      <c r="J205" s="26">
        <f>IFERROR(__xludf.DUMMYFUNCTION("""COMPUTED_VALUE"""),4)</f>
        <v>4</v>
      </c>
      <c r="K205" s="26" t="str">
        <f>IFERROR(__xludf.DUMMYFUNCTION("""COMPUTED_VALUE"""),"CGPA")</f>
        <v>CGPA</v>
      </c>
      <c r="L205" s="26" t="str">
        <f>IFERROR(__xludf.DUMMYFUNCTION("""COMPUTED_VALUE"""),"TIP (6 Expts)")</f>
        <v>TIP (6 Expts)</v>
      </c>
      <c r="M205" s="26"/>
      <c r="N205" s="26"/>
      <c r="O205" s="26"/>
    </row>
    <row r="206" ht="13.2" spans="1:15">
      <c r="A206" s="26">
        <f>IFERROR(__xludf.DUMMYFUNCTION("""COMPUTED_VALUE"""),203)</f>
        <v>203</v>
      </c>
      <c r="B206" s="26"/>
      <c r="C206" s="26" t="str">
        <f>IFERROR(__xludf.DUMMYFUNCTION("""COMPUTED_VALUE"""),"PE")</f>
        <v>PE</v>
      </c>
      <c r="D206" s="26" t="str">
        <f>IFERROR(__xludf.DUMMYFUNCTION("""COMPUTED_VALUE"""),"CS2408")</f>
        <v>CS2408</v>
      </c>
      <c r="E206" s="26" t="str">
        <f>IFERROR(__xludf.DUMMYFUNCTION("""COMPUTED_VALUE"""),"19IT408")</f>
        <v>19IT408</v>
      </c>
      <c r="F206" s="27" t="str">
        <f>IFERROR(__xludf.DUMMYFUNCTION("""COMPUTED_VALUE"""),"Distributed Computing")</f>
        <v>Distributed Computing</v>
      </c>
      <c r="G206" s="26" t="str">
        <f>IFERROR(__xludf.DUMMYFUNCTION("""COMPUTED_VALUE"""),"-")</f>
        <v>-</v>
      </c>
      <c r="H206" s="26">
        <f>IFERROR(__xludf.DUMMYFUNCTION("""COMPUTED_VALUE"""),3)</f>
        <v>3</v>
      </c>
      <c r="I206" s="26">
        <f>IFERROR(__xludf.DUMMYFUNCTION("""COMPUTED_VALUE"""),0)</f>
        <v>0</v>
      </c>
      <c r="J206" s="26">
        <f>IFERROR(__xludf.DUMMYFUNCTION("""COMPUTED_VALUE"""),3)</f>
        <v>3</v>
      </c>
      <c r="K206" s="26" t="str">
        <f>IFERROR(__xludf.DUMMYFUNCTION("""COMPUTED_VALUE"""),"CGPA")</f>
        <v>CGPA</v>
      </c>
      <c r="L206" s="26" t="str">
        <f>IFERROR(__xludf.DUMMYFUNCTION("""COMPUTED_VALUE"""),"Theory")</f>
        <v>Theory</v>
      </c>
      <c r="M206" s="26"/>
      <c r="N206" s="26"/>
      <c r="O206" s="26"/>
    </row>
    <row r="207" ht="13.2" spans="1:15">
      <c r="A207" s="26">
        <f>IFERROR(__xludf.DUMMYFUNCTION("""COMPUTED_VALUE"""),204)</f>
        <v>204</v>
      </c>
      <c r="B207" s="26"/>
      <c r="C207" s="26" t="str">
        <f>IFERROR(__xludf.DUMMYFUNCTION("""COMPUTED_VALUE"""),"PE")</f>
        <v>PE</v>
      </c>
      <c r="D207" s="26" t="str">
        <f>IFERROR(__xludf.DUMMYFUNCTION("""COMPUTED_VALUE"""),"CS2501")</f>
        <v>CS2501</v>
      </c>
      <c r="E207" s="26" t="str">
        <f>IFERROR(__xludf.DUMMYFUNCTION("""COMPUTED_VALUE"""),"19IT501")</f>
        <v>19IT501</v>
      </c>
      <c r="F207" s="27" t="str">
        <f>IFERROR(__xludf.DUMMYFUNCTION("""COMPUTED_VALUE"""),"Information Theory and Coding Techniques")</f>
        <v>Information Theory and Coding Techniques</v>
      </c>
      <c r="G207" s="26" t="str">
        <f>IFERROR(__xludf.DUMMYFUNCTION("""COMPUTED_VALUE"""),"-")</f>
        <v>-</v>
      </c>
      <c r="H207" s="26">
        <f>IFERROR(__xludf.DUMMYFUNCTION("""COMPUTED_VALUE"""),3)</f>
        <v>3</v>
      </c>
      <c r="I207" s="26">
        <f>IFERROR(__xludf.DUMMYFUNCTION("""COMPUTED_VALUE"""),0)</f>
        <v>0</v>
      </c>
      <c r="J207" s="26">
        <f>IFERROR(__xludf.DUMMYFUNCTION("""COMPUTED_VALUE"""),3)</f>
        <v>3</v>
      </c>
      <c r="K207" s="26" t="str">
        <f>IFERROR(__xludf.DUMMYFUNCTION("""COMPUTED_VALUE"""),"CGPA")</f>
        <v>CGPA</v>
      </c>
      <c r="L207" s="26" t="str">
        <f>IFERROR(__xludf.DUMMYFUNCTION("""COMPUTED_VALUE"""),"Theory")</f>
        <v>Theory</v>
      </c>
      <c r="M207" s="26"/>
      <c r="N207" s="26"/>
      <c r="O207" s="26"/>
    </row>
    <row r="208" ht="13.2" spans="1:15">
      <c r="A208" s="26">
        <f>IFERROR(__xludf.DUMMYFUNCTION("""COMPUTED_VALUE"""),205)</f>
        <v>205</v>
      </c>
      <c r="B208" s="26"/>
      <c r="C208" s="26" t="str">
        <f>IFERROR(__xludf.DUMMYFUNCTION("""COMPUTED_VALUE"""),"PE")</f>
        <v>PE</v>
      </c>
      <c r="D208" s="26" t="str">
        <f>IFERROR(__xludf.DUMMYFUNCTION("""COMPUTED_VALUE"""),"CS2502")</f>
        <v>CS2502</v>
      </c>
      <c r="E208" s="26" t="str">
        <f>IFERROR(__xludf.DUMMYFUNCTION("""COMPUTED_VALUE"""),"19IT502")</f>
        <v>19IT502</v>
      </c>
      <c r="F208" s="27" t="str">
        <f>IFERROR(__xludf.DUMMYFUNCTION("""COMPUTED_VALUE"""),"Enterprise Resource Planning")</f>
        <v>Enterprise Resource Planning</v>
      </c>
      <c r="G208" s="26" t="str">
        <f>IFERROR(__xludf.DUMMYFUNCTION("""COMPUTED_VALUE"""),"-")</f>
        <v>-</v>
      </c>
      <c r="H208" s="26">
        <f>IFERROR(__xludf.DUMMYFUNCTION("""COMPUTED_VALUE"""),3)</f>
        <v>3</v>
      </c>
      <c r="I208" s="26">
        <f>IFERROR(__xludf.DUMMYFUNCTION("""COMPUTED_VALUE"""),0)</f>
        <v>0</v>
      </c>
      <c r="J208" s="26">
        <f>IFERROR(__xludf.DUMMYFUNCTION("""COMPUTED_VALUE"""),3)</f>
        <v>3</v>
      </c>
      <c r="K208" s="26" t="str">
        <f>IFERROR(__xludf.DUMMYFUNCTION("""COMPUTED_VALUE"""),"CGPA")</f>
        <v>CGPA</v>
      </c>
      <c r="L208" s="26" t="str">
        <f>IFERROR(__xludf.DUMMYFUNCTION("""COMPUTED_VALUE"""),"Theory")</f>
        <v>Theory</v>
      </c>
      <c r="M208" s="26"/>
      <c r="N208" s="26"/>
      <c r="O208" s="26"/>
    </row>
    <row r="209" ht="13.2" spans="1:15">
      <c r="A209" s="26">
        <f>IFERROR(__xludf.DUMMYFUNCTION("""COMPUTED_VALUE"""),206)</f>
        <v>206</v>
      </c>
      <c r="B209" s="26"/>
      <c r="C209" s="26" t="str">
        <f>IFERROR(__xludf.DUMMYFUNCTION("""COMPUTED_VALUE"""),"PE")</f>
        <v>PE</v>
      </c>
      <c r="D209" s="26" t="str">
        <f>IFERROR(__xludf.DUMMYFUNCTION("""COMPUTED_VALUE"""),"CS2503")</f>
        <v>CS2503</v>
      </c>
      <c r="E209" s="26" t="str">
        <f>IFERROR(__xludf.DUMMYFUNCTION("""COMPUTED_VALUE"""),"19IT503")</f>
        <v>19IT503</v>
      </c>
      <c r="F209" s="27" t="str">
        <f>IFERROR(__xludf.DUMMYFUNCTION("""COMPUTED_VALUE"""),"User Interface Design")</f>
        <v>User Interface Design</v>
      </c>
      <c r="G209" s="26" t="str">
        <f>IFERROR(__xludf.DUMMYFUNCTION("""COMPUTED_VALUE"""),"-")</f>
        <v>-</v>
      </c>
      <c r="H209" s="26">
        <f>IFERROR(__xludf.DUMMYFUNCTION("""COMPUTED_VALUE"""),3)</f>
        <v>3</v>
      </c>
      <c r="I209" s="26">
        <f>IFERROR(__xludf.DUMMYFUNCTION("""COMPUTED_VALUE"""),0)</f>
        <v>0</v>
      </c>
      <c r="J209" s="26">
        <f>IFERROR(__xludf.DUMMYFUNCTION("""COMPUTED_VALUE"""),3)</f>
        <v>3</v>
      </c>
      <c r="K209" s="26" t="str">
        <f>IFERROR(__xludf.DUMMYFUNCTION("""COMPUTED_VALUE"""),"CGPA")</f>
        <v>CGPA</v>
      </c>
      <c r="L209" s="26" t="str">
        <f>IFERROR(__xludf.DUMMYFUNCTION("""COMPUTED_VALUE"""),"Theory")</f>
        <v>Theory</v>
      </c>
      <c r="M209" s="26"/>
      <c r="N209" s="26"/>
      <c r="O209" s="26"/>
    </row>
    <row r="210" ht="13.2" spans="1:15">
      <c r="A210" s="26">
        <f>IFERROR(__xludf.DUMMYFUNCTION("""COMPUTED_VALUE"""),207)</f>
        <v>207</v>
      </c>
      <c r="B210" s="26"/>
      <c r="C210" s="26" t="str">
        <f>IFERROR(__xludf.DUMMYFUNCTION("""COMPUTED_VALUE"""),"PE")</f>
        <v>PE</v>
      </c>
      <c r="D210" s="26" t="str">
        <f>IFERROR(__xludf.DUMMYFUNCTION("""COMPUTED_VALUE"""),"CS2504")</f>
        <v>CS2504</v>
      </c>
      <c r="E210" s="26" t="str">
        <f>IFERROR(__xludf.DUMMYFUNCTION("""COMPUTED_VALUE"""),"19IT504")</f>
        <v>19IT504</v>
      </c>
      <c r="F210" s="27" t="str">
        <f>IFERROR(__xludf.DUMMYFUNCTION("""COMPUTED_VALUE"""),"Information Storage Management")</f>
        <v>Information Storage Management</v>
      </c>
      <c r="G210" s="26" t="str">
        <f>IFERROR(__xludf.DUMMYFUNCTION("""COMPUTED_VALUE"""),"-")</f>
        <v>-</v>
      </c>
      <c r="H210" s="26">
        <f>IFERROR(__xludf.DUMMYFUNCTION("""COMPUTED_VALUE"""),3)</f>
        <v>3</v>
      </c>
      <c r="I210" s="26">
        <f>IFERROR(__xludf.DUMMYFUNCTION("""COMPUTED_VALUE"""),0)</f>
        <v>0</v>
      </c>
      <c r="J210" s="26">
        <f>IFERROR(__xludf.DUMMYFUNCTION("""COMPUTED_VALUE"""),3)</f>
        <v>3</v>
      </c>
      <c r="K210" s="26" t="str">
        <f>IFERROR(__xludf.DUMMYFUNCTION("""COMPUTED_VALUE"""),"CGPA")</f>
        <v>CGPA</v>
      </c>
      <c r="L210" s="26" t="str">
        <f>IFERROR(__xludf.DUMMYFUNCTION("""COMPUTED_VALUE"""),"Theory")</f>
        <v>Theory</v>
      </c>
      <c r="M210" s="26"/>
      <c r="N210" s="26"/>
      <c r="O210" s="26"/>
    </row>
    <row r="211" ht="13.2" spans="1:15">
      <c r="A211" s="26">
        <f>IFERROR(__xludf.DUMMYFUNCTION("""COMPUTED_VALUE"""),208)</f>
        <v>208</v>
      </c>
      <c r="B211" s="26"/>
      <c r="C211" s="26" t="str">
        <f>IFERROR(__xludf.DUMMYFUNCTION("""COMPUTED_VALUE"""),"PE")</f>
        <v>PE</v>
      </c>
      <c r="D211" s="26" t="str">
        <f>IFERROR(__xludf.DUMMYFUNCTION("""COMPUTED_VALUE"""),"CS2505")</f>
        <v>CS2505</v>
      </c>
      <c r="E211" s="26" t="str">
        <f>IFERROR(__xludf.DUMMYFUNCTION("""COMPUTED_VALUE"""),"19IT505")</f>
        <v>19IT505</v>
      </c>
      <c r="F211" s="27" t="str">
        <f>IFERROR(__xludf.DUMMYFUNCTION("""COMPUTED_VALUE"""),"Software Design Patterns")</f>
        <v>Software Design Patterns</v>
      </c>
      <c r="G211" s="26" t="str">
        <f>IFERROR(__xludf.DUMMYFUNCTION("""COMPUTED_VALUE"""),"-")</f>
        <v>-</v>
      </c>
      <c r="H211" s="26">
        <f>IFERROR(__xludf.DUMMYFUNCTION("""COMPUTED_VALUE"""),3)</f>
        <v>3</v>
      </c>
      <c r="I211" s="26">
        <f>IFERROR(__xludf.DUMMYFUNCTION("""COMPUTED_VALUE"""),0)</f>
        <v>0</v>
      </c>
      <c r="J211" s="26">
        <f>IFERROR(__xludf.DUMMYFUNCTION("""COMPUTED_VALUE"""),3)</f>
        <v>3</v>
      </c>
      <c r="K211" s="26" t="str">
        <f>IFERROR(__xludf.DUMMYFUNCTION("""COMPUTED_VALUE"""),"CGPA")</f>
        <v>CGPA</v>
      </c>
      <c r="L211" s="26" t="str">
        <f>IFERROR(__xludf.DUMMYFUNCTION("""COMPUTED_VALUE"""),"Theory")</f>
        <v>Theory</v>
      </c>
      <c r="M211" s="26"/>
      <c r="N211" s="26"/>
      <c r="O211" s="26"/>
    </row>
    <row r="212" ht="13.2" spans="1:15">
      <c r="A212" s="26">
        <f>IFERROR(__xludf.DUMMYFUNCTION("""COMPUTED_VALUE"""),209)</f>
        <v>209</v>
      </c>
      <c r="B212" s="26"/>
      <c r="C212" s="26" t="str">
        <f>IFERROR(__xludf.DUMMYFUNCTION("""COMPUTED_VALUE"""),"PE")</f>
        <v>PE</v>
      </c>
      <c r="D212" s="26" t="str">
        <f>IFERROR(__xludf.DUMMYFUNCTION("""COMPUTED_VALUE"""),"CS2506")</f>
        <v>CS2506</v>
      </c>
      <c r="E212" s="26" t="str">
        <f>IFERROR(__xludf.DUMMYFUNCTION("""COMPUTED_VALUE"""),"19IT506")</f>
        <v>19IT506</v>
      </c>
      <c r="F212" s="27" t="str">
        <f>IFERROR(__xludf.DUMMYFUNCTION("""COMPUTED_VALUE"""),"E-Learning Techniques")</f>
        <v>E-Learning Techniques</v>
      </c>
      <c r="G212" s="26" t="str">
        <f>IFERROR(__xludf.DUMMYFUNCTION("""COMPUTED_VALUE"""),"-")</f>
        <v>-</v>
      </c>
      <c r="H212" s="26">
        <f>IFERROR(__xludf.DUMMYFUNCTION("""COMPUTED_VALUE"""),3)</f>
        <v>3</v>
      </c>
      <c r="I212" s="26">
        <f>IFERROR(__xludf.DUMMYFUNCTION("""COMPUTED_VALUE"""),0)</f>
        <v>0</v>
      </c>
      <c r="J212" s="26">
        <f>IFERROR(__xludf.DUMMYFUNCTION("""COMPUTED_VALUE"""),3)</f>
        <v>3</v>
      </c>
      <c r="K212" s="26" t="str">
        <f>IFERROR(__xludf.DUMMYFUNCTION("""COMPUTED_VALUE"""),"CGPA")</f>
        <v>CGPA</v>
      </c>
      <c r="L212" s="26" t="str">
        <f>IFERROR(__xludf.DUMMYFUNCTION("""COMPUTED_VALUE"""),"Theory")</f>
        <v>Theory</v>
      </c>
      <c r="M212" s="26"/>
      <c r="N212" s="26"/>
      <c r="O212" s="26"/>
    </row>
    <row r="213" ht="13.2" spans="1:15">
      <c r="A213" s="26">
        <f>IFERROR(__xludf.DUMMYFUNCTION("""COMPUTED_VALUE"""),210)</f>
        <v>210</v>
      </c>
      <c r="B213" s="26"/>
      <c r="C213" s="26" t="str">
        <f>IFERROR(__xludf.DUMMYFUNCTION("""COMPUTED_VALUE"""),"PE")</f>
        <v>PE</v>
      </c>
      <c r="D213" s="26" t="str">
        <f>IFERROR(__xludf.DUMMYFUNCTION("""COMPUTED_VALUE"""),"CS2508")</f>
        <v>CS2508</v>
      </c>
      <c r="E213" s="26" t="str">
        <f>IFERROR(__xludf.DUMMYFUNCTION("""COMPUTED_VALUE"""),"19IT508")</f>
        <v>19IT508</v>
      </c>
      <c r="F213" s="27" t="str">
        <f>IFERROR(__xludf.DUMMYFUNCTION("""COMPUTED_VALUE"""),"TCP/IP Design and Implementation")</f>
        <v>TCP/IP Design and Implementation</v>
      </c>
      <c r="G213" s="26" t="str">
        <f>IFERROR(__xludf.DUMMYFUNCTION("""COMPUTED_VALUE"""),"-")</f>
        <v>-</v>
      </c>
      <c r="H213" s="26">
        <f>IFERROR(__xludf.DUMMYFUNCTION("""COMPUTED_VALUE"""),3)</f>
        <v>3</v>
      </c>
      <c r="I213" s="26">
        <f>IFERROR(__xludf.DUMMYFUNCTION("""COMPUTED_VALUE"""),0)</f>
        <v>0</v>
      </c>
      <c r="J213" s="26">
        <f>IFERROR(__xludf.DUMMYFUNCTION("""COMPUTED_VALUE"""),3)</f>
        <v>3</v>
      </c>
      <c r="K213" s="26" t="str">
        <f>IFERROR(__xludf.DUMMYFUNCTION("""COMPUTED_VALUE"""),"CGPA")</f>
        <v>CGPA</v>
      </c>
      <c r="L213" s="26" t="str">
        <f>IFERROR(__xludf.DUMMYFUNCTION("""COMPUTED_VALUE"""),"Theory")</f>
        <v>Theory</v>
      </c>
      <c r="M213" s="26"/>
      <c r="N213" s="26"/>
      <c r="O213" s="26"/>
    </row>
    <row r="214" ht="13.2" spans="1:15">
      <c r="A214" s="26">
        <f>IFERROR(__xludf.DUMMYFUNCTION("""COMPUTED_VALUE"""),211)</f>
        <v>211</v>
      </c>
      <c r="B214" s="26"/>
      <c r="C214" s="26" t="str">
        <f>IFERROR(__xludf.DUMMYFUNCTION("""COMPUTED_VALUE"""),"PE")</f>
        <v>PE</v>
      </c>
      <c r="D214" s="26" t="str">
        <f>IFERROR(__xludf.DUMMYFUNCTION("""COMPUTED_VALUE"""),"CS2509")</f>
        <v>CS2509</v>
      </c>
      <c r="E214" s="26" t="str">
        <f>IFERROR(__xludf.DUMMYFUNCTION("""COMPUTED_VALUE"""),"19IT509")</f>
        <v>19IT509</v>
      </c>
      <c r="F214" s="27" t="str">
        <f>IFERROR(__xludf.DUMMYFUNCTION("""COMPUTED_VALUE"""),"Advanced Algorithms")</f>
        <v>Advanced Algorithms</v>
      </c>
      <c r="G214" s="26" t="str">
        <f>IFERROR(__xludf.DUMMYFUNCTION("""COMPUTED_VALUE"""),"-")</f>
        <v>-</v>
      </c>
      <c r="H214" s="26">
        <f>IFERROR(__xludf.DUMMYFUNCTION("""COMPUTED_VALUE"""),3)</f>
        <v>3</v>
      </c>
      <c r="I214" s="26">
        <f>IFERROR(__xludf.DUMMYFUNCTION("""COMPUTED_VALUE"""),0)</f>
        <v>0</v>
      </c>
      <c r="J214" s="26">
        <f>IFERROR(__xludf.DUMMYFUNCTION("""COMPUTED_VALUE"""),3)</f>
        <v>3</v>
      </c>
      <c r="K214" s="26" t="str">
        <f>IFERROR(__xludf.DUMMYFUNCTION("""COMPUTED_VALUE"""),"CGPA")</f>
        <v>CGPA</v>
      </c>
      <c r="L214" s="26" t="str">
        <f>IFERROR(__xludf.DUMMYFUNCTION("""COMPUTED_VALUE"""),"Theory")</f>
        <v>Theory</v>
      </c>
      <c r="M214" s="26"/>
      <c r="N214" s="26"/>
      <c r="O214" s="26"/>
    </row>
    <row r="215" ht="13.2" spans="1:15">
      <c r="A215" s="26">
        <f>IFERROR(__xludf.DUMMYFUNCTION("""COMPUTED_VALUE"""),212)</f>
        <v>212</v>
      </c>
      <c r="B215" s="26"/>
      <c r="C215" s="26" t="str">
        <f>IFERROR(__xludf.DUMMYFUNCTION("""COMPUTED_VALUE"""),"PE")</f>
        <v>PE</v>
      </c>
      <c r="D215" s="26" t="str">
        <f>IFERROR(__xludf.DUMMYFUNCTION("""COMPUTED_VALUE"""),"CS2510")</f>
        <v>CS2510</v>
      </c>
      <c r="E215" s="26" t="str">
        <f>IFERROR(__xludf.DUMMYFUNCTION("""COMPUTED_VALUE"""),"19IT510")</f>
        <v>19IT510</v>
      </c>
      <c r="F215" s="27" t="str">
        <f>IFERROR(__xludf.DUMMYFUNCTION("""COMPUTED_VALUE"""),"Ethical Hacking")</f>
        <v>Ethical Hacking</v>
      </c>
      <c r="G215" s="26" t="str">
        <f>IFERROR(__xludf.DUMMYFUNCTION("""COMPUTED_VALUE"""),"-")</f>
        <v>-</v>
      </c>
      <c r="H215" s="26">
        <f>IFERROR(__xludf.DUMMYFUNCTION("""COMPUTED_VALUE"""),3)</f>
        <v>3</v>
      </c>
      <c r="I215" s="26">
        <f>IFERROR(__xludf.DUMMYFUNCTION("""COMPUTED_VALUE"""),0)</f>
        <v>0</v>
      </c>
      <c r="J215" s="26">
        <f>IFERROR(__xludf.DUMMYFUNCTION("""COMPUTED_VALUE"""),3)</f>
        <v>3</v>
      </c>
      <c r="K215" s="26" t="str">
        <f>IFERROR(__xludf.DUMMYFUNCTION("""COMPUTED_VALUE"""),"CGPA")</f>
        <v>CGPA</v>
      </c>
      <c r="L215" s="26" t="str">
        <f>IFERROR(__xludf.DUMMYFUNCTION("""COMPUTED_VALUE"""),"Theory")</f>
        <v>Theory</v>
      </c>
      <c r="M215" s="26"/>
      <c r="N215" s="26"/>
      <c r="O215" s="26"/>
    </row>
    <row r="216" ht="13.2" spans="1:15">
      <c r="A216" s="26">
        <f>IFERROR(__xludf.DUMMYFUNCTION("""COMPUTED_VALUE"""),213)</f>
        <v>213</v>
      </c>
      <c r="B216" s="26"/>
      <c r="C216" s="26" t="str">
        <f>IFERROR(__xludf.DUMMYFUNCTION("""COMPUTED_VALUE"""),"PE")</f>
        <v>PE</v>
      </c>
      <c r="D216" s="26" t="str">
        <f>IFERROR(__xludf.DUMMYFUNCTION("""COMPUTED_VALUE"""),"CS2511")</f>
        <v>CS2511</v>
      </c>
      <c r="E216" s="26" t="str">
        <f>IFERROR(__xludf.DUMMYFUNCTION("""COMPUTED_VALUE"""),"19IT511")</f>
        <v>19IT511</v>
      </c>
      <c r="F216" s="27" t="str">
        <f>IFERROR(__xludf.DUMMYFUNCTION("""COMPUTED_VALUE"""),"DHTML and XML")</f>
        <v>DHTML and XML</v>
      </c>
      <c r="G216" s="26" t="str">
        <f>IFERROR(__xludf.DUMMYFUNCTION("""COMPUTED_VALUE"""),"-")</f>
        <v>-</v>
      </c>
      <c r="H216" s="26">
        <f>IFERROR(__xludf.DUMMYFUNCTION("""COMPUTED_VALUE"""),3)</f>
        <v>3</v>
      </c>
      <c r="I216" s="26">
        <f>IFERROR(__xludf.DUMMYFUNCTION("""COMPUTED_VALUE"""),0)</f>
        <v>0</v>
      </c>
      <c r="J216" s="26">
        <f>IFERROR(__xludf.DUMMYFUNCTION("""COMPUTED_VALUE"""),3)</f>
        <v>3</v>
      </c>
      <c r="K216" s="26" t="str">
        <f>IFERROR(__xludf.DUMMYFUNCTION("""COMPUTED_VALUE"""),"CGPA")</f>
        <v>CGPA</v>
      </c>
      <c r="L216" s="26" t="str">
        <f>IFERROR(__xludf.DUMMYFUNCTION("""COMPUTED_VALUE"""),"Theory")</f>
        <v>Theory</v>
      </c>
      <c r="M216" s="26"/>
      <c r="N216" s="26"/>
      <c r="O216" s="26"/>
    </row>
    <row r="217" ht="13.2" spans="1:15">
      <c r="A217" s="26">
        <f>IFERROR(__xludf.DUMMYFUNCTION("""COMPUTED_VALUE"""),214)</f>
        <v>214</v>
      </c>
      <c r="B217" s="26"/>
      <c r="C217" s="26" t="str">
        <f>IFERROR(__xludf.DUMMYFUNCTION("""COMPUTED_VALUE"""),"PE")</f>
        <v>PE</v>
      </c>
      <c r="D217" s="26" t="str">
        <f>IFERROR(__xludf.DUMMYFUNCTION("""COMPUTED_VALUE"""),"CS2512")</f>
        <v>CS2512</v>
      </c>
      <c r="E217" s="26" t="str">
        <f>IFERROR(__xludf.DUMMYFUNCTION("""COMPUTED_VALUE"""),"19IT512")</f>
        <v>19IT512</v>
      </c>
      <c r="F217" s="27" t="str">
        <f>IFERROR(__xludf.DUMMYFUNCTION("""COMPUTED_VALUE"""),"E-Commerce")</f>
        <v>E-Commerce</v>
      </c>
      <c r="G217" s="26" t="str">
        <f>IFERROR(__xludf.DUMMYFUNCTION("""COMPUTED_VALUE"""),"-")</f>
        <v>-</v>
      </c>
      <c r="H217" s="26">
        <f>IFERROR(__xludf.DUMMYFUNCTION("""COMPUTED_VALUE"""),3)</f>
        <v>3</v>
      </c>
      <c r="I217" s="26">
        <f>IFERROR(__xludf.DUMMYFUNCTION("""COMPUTED_VALUE"""),0)</f>
        <v>0</v>
      </c>
      <c r="J217" s="26">
        <f>IFERROR(__xludf.DUMMYFUNCTION("""COMPUTED_VALUE"""),3)</f>
        <v>3</v>
      </c>
      <c r="K217" s="26" t="str">
        <f>IFERROR(__xludf.DUMMYFUNCTION("""COMPUTED_VALUE"""),"CGPA")</f>
        <v>CGPA</v>
      </c>
      <c r="L217" s="26" t="str">
        <f>IFERROR(__xludf.DUMMYFUNCTION("""COMPUTED_VALUE"""),"Theory")</f>
        <v>Theory</v>
      </c>
      <c r="M217" s="26"/>
      <c r="N217" s="26"/>
      <c r="O217" s="26"/>
    </row>
    <row r="218" ht="13.2" spans="1:15">
      <c r="A218" s="26">
        <f>IFERROR(__xludf.DUMMYFUNCTION("""COMPUTED_VALUE"""),215)</f>
        <v>215</v>
      </c>
      <c r="B218" s="26"/>
      <c r="C218" s="26" t="str">
        <f>IFERROR(__xludf.DUMMYFUNCTION("""COMPUTED_VALUE"""),"PE")</f>
        <v>PE</v>
      </c>
      <c r="D218" s="26" t="str">
        <f>IFERROR(__xludf.DUMMYFUNCTION("""COMPUTED_VALUE"""),"CS2513")</f>
        <v>CS2513</v>
      </c>
      <c r="E218" s="26" t="str">
        <f>IFERROR(__xludf.DUMMYFUNCTION("""COMPUTED_VALUE"""),"19IT513")</f>
        <v>19IT513</v>
      </c>
      <c r="F218" s="27" t="str">
        <f>IFERROR(__xludf.DUMMYFUNCTION("""COMPUTED_VALUE"""),"Free Open Source Software")</f>
        <v>Free Open Source Software</v>
      </c>
      <c r="G218" s="26" t="str">
        <f>IFERROR(__xludf.DUMMYFUNCTION("""COMPUTED_VALUE"""),"-")</f>
        <v>-</v>
      </c>
      <c r="H218" s="26">
        <f>IFERROR(__xludf.DUMMYFUNCTION("""COMPUTED_VALUE"""),3)</f>
        <v>3</v>
      </c>
      <c r="I218" s="26">
        <f>IFERROR(__xludf.DUMMYFUNCTION("""COMPUTED_VALUE"""),0)</f>
        <v>0</v>
      </c>
      <c r="J218" s="26">
        <f>IFERROR(__xludf.DUMMYFUNCTION("""COMPUTED_VALUE"""),3)</f>
        <v>3</v>
      </c>
      <c r="K218" s="26" t="str">
        <f>IFERROR(__xludf.DUMMYFUNCTION("""COMPUTED_VALUE"""),"CGPA")</f>
        <v>CGPA</v>
      </c>
      <c r="L218" s="26" t="str">
        <f>IFERROR(__xludf.DUMMYFUNCTION("""COMPUTED_VALUE"""),"Theory")</f>
        <v>Theory</v>
      </c>
      <c r="M218" s="26"/>
      <c r="N218" s="26"/>
      <c r="O218" s="26"/>
    </row>
    <row r="219" ht="13.2" spans="1:15">
      <c r="A219" s="26">
        <f>IFERROR(__xludf.DUMMYFUNCTION("""COMPUTED_VALUE"""),216)</f>
        <v>216</v>
      </c>
      <c r="B219" s="26"/>
      <c r="C219" s="26" t="str">
        <f>IFERROR(__xludf.DUMMYFUNCTION("""COMPUTED_VALUE"""),"PE")</f>
        <v>PE</v>
      </c>
      <c r="D219" s="26" t="str">
        <f>IFERROR(__xludf.DUMMYFUNCTION("""COMPUTED_VALUE"""),"CS2514")</f>
        <v>CS2514</v>
      </c>
      <c r="E219" s="26" t="str">
        <f>IFERROR(__xludf.DUMMYFUNCTION("""COMPUTED_VALUE"""),"19IT514")</f>
        <v>19IT514</v>
      </c>
      <c r="F219" s="27" t="str">
        <f>IFERROR(__xludf.DUMMYFUNCTION("""COMPUTED_VALUE"""),"Real Time Operating Systems")</f>
        <v>Real Time Operating Systems</v>
      </c>
      <c r="G219" s="26" t="str">
        <f>IFERROR(__xludf.DUMMYFUNCTION("""COMPUTED_VALUE"""),"-")</f>
        <v>-</v>
      </c>
      <c r="H219" s="26">
        <f>IFERROR(__xludf.DUMMYFUNCTION("""COMPUTED_VALUE"""),3)</f>
        <v>3</v>
      </c>
      <c r="I219" s="26">
        <f>IFERROR(__xludf.DUMMYFUNCTION("""COMPUTED_VALUE"""),0)</f>
        <v>0</v>
      </c>
      <c r="J219" s="26">
        <f>IFERROR(__xludf.DUMMYFUNCTION("""COMPUTED_VALUE"""),3)</f>
        <v>3</v>
      </c>
      <c r="K219" s="26" t="str">
        <f>IFERROR(__xludf.DUMMYFUNCTION("""COMPUTED_VALUE"""),"CGPA")</f>
        <v>CGPA</v>
      </c>
      <c r="L219" s="26" t="str">
        <f>IFERROR(__xludf.DUMMYFUNCTION("""COMPUTED_VALUE"""),"Theory")</f>
        <v>Theory</v>
      </c>
      <c r="M219" s="26"/>
      <c r="N219" s="26"/>
      <c r="O219" s="26"/>
    </row>
    <row r="220" ht="13.2" spans="1:15">
      <c r="A220" s="26">
        <f>IFERROR(__xludf.DUMMYFUNCTION("""COMPUTED_VALUE"""),217)</f>
        <v>217</v>
      </c>
      <c r="B220" s="26"/>
      <c r="C220" s="26" t="str">
        <f>IFERROR(__xludf.DUMMYFUNCTION("""COMPUTED_VALUE"""),"PE")</f>
        <v>PE</v>
      </c>
      <c r="D220" s="26" t="str">
        <f>IFERROR(__xludf.DUMMYFUNCTION("""COMPUTED_VALUE"""),"CS2515")</f>
        <v>CS2515</v>
      </c>
      <c r="E220" s="26" t="str">
        <f>IFERROR(__xludf.DUMMYFUNCTION("""COMPUTED_VALUE"""),"19IT515")</f>
        <v>19IT515</v>
      </c>
      <c r="F220" s="27" t="str">
        <f>IFERROR(__xludf.DUMMYFUNCTION("""COMPUTED_VALUE"""),"Software Agents")</f>
        <v>Software Agents</v>
      </c>
      <c r="G220" s="26" t="str">
        <f>IFERROR(__xludf.DUMMYFUNCTION("""COMPUTED_VALUE"""),"-")</f>
        <v>-</v>
      </c>
      <c r="H220" s="26">
        <f>IFERROR(__xludf.DUMMYFUNCTION("""COMPUTED_VALUE"""),3)</f>
        <v>3</v>
      </c>
      <c r="I220" s="26">
        <f>IFERROR(__xludf.DUMMYFUNCTION("""COMPUTED_VALUE"""),0)</f>
        <v>0</v>
      </c>
      <c r="J220" s="26">
        <f>IFERROR(__xludf.DUMMYFUNCTION("""COMPUTED_VALUE"""),3)</f>
        <v>3</v>
      </c>
      <c r="K220" s="26" t="str">
        <f>IFERROR(__xludf.DUMMYFUNCTION("""COMPUTED_VALUE"""),"CGPA")</f>
        <v>CGPA</v>
      </c>
      <c r="L220" s="26" t="str">
        <f>IFERROR(__xludf.DUMMYFUNCTION("""COMPUTED_VALUE"""),"Theory")</f>
        <v>Theory</v>
      </c>
      <c r="M220" s="26"/>
      <c r="N220" s="26"/>
      <c r="O220" s="26"/>
    </row>
    <row r="221" ht="13.2" spans="1:15">
      <c r="A221" s="26">
        <f>IFERROR(__xludf.DUMMYFUNCTION("""COMPUTED_VALUE"""),218)</f>
        <v>218</v>
      </c>
      <c r="B221" s="26"/>
      <c r="C221" s="26" t="str">
        <f>IFERROR(__xludf.DUMMYFUNCTION("""COMPUTED_VALUE"""),"PE")</f>
        <v>PE</v>
      </c>
      <c r="D221" s="26" t="str">
        <f>IFERROR(__xludf.DUMMYFUNCTION("""COMPUTED_VALUE"""),"CS2516")</f>
        <v>CS2516</v>
      </c>
      <c r="E221" s="26" t="str">
        <f>IFERROR(__xludf.DUMMYFUNCTION("""COMPUTED_VALUE"""),"19IT516")</f>
        <v>19IT516</v>
      </c>
      <c r="F221" s="27" t="str">
        <f>IFERROR(__xludf.DUMMYFUNCTION("""COMPUTED_VALUE"""),"Business Intelligence and Analytics")</f>
        <v>Business Intelligence and Analytics</v>
      </c>
      <c r="G221" s="26" t="str">
        <f>IFERROR(__xludf.DUMMYFUNCTION("""COMPUTED_VALUE"""),"-")</f>
        <v>-</v>
      </c>
      <c r="H221" s="26">
        <f>IFERROR(__xludf.DUMMYFUNCTION("""COMPUTED_VALUE"""),3)</f>
        <v>3</v>
      </c>
      <c r="I221" s="26">
        <f>IFERROR(__xludf.DUMMYFUNCTION("""COMPUTED_VALUE"""),0)</f>
        <v>0</v>
      </c>
      <c r="J221" s="26">
        <f>IFERROR(__xludf.DUMMYFUNCTION("""COMPUTED_VALUE"""),3)</f>
        <v>3</v>
      </c>
      <c r="K221" s="26" t="str">
        <f>IFERROR(__xludf.DUMMYFUNCTION("""COMPUTED_VALUE"""),"CGPA")</f>
        <v>CGPA</v>
      </c>
      <c r="L221" s="26" t="str">
        <f>IFERROR(__xludf.DUMMYFUNCTION("""COMPUTED_VALUE"""),"Theory")</f>
        <v>Theory</v>
      </c>
      <c r="M221" s="26"/>
      <c r="N221" s="26"/>
      <c r="O221" s="26"/>
    </row>
    <row r="222" ht="13.2" spans="1:15">
      <c r="A222" s="26">
        <f>IFERROR(__xludf.DUMMYFUNCTION("""COMPUTED_VALUE"""),219)</f>
        <v>219</v>
      </c>
      <c r="B222" s="26"/>
      <c r="C222" s="26" t="str">
        <f>IFERROR(__xludf.DUMMYFUNCTION("""COMPUTED_VALUE"""),"PE")</f>
        <v>PE</v>
      </c>
      <c r="D222" s="26" t="str">
        <f>IFERROR(__xludf.DUMMYFUNCTION("""COMPUTED_VALUE"""),"CS3412")</f>
        <v>CS3412</v>
      </c>
      <c r="E222" s="26" t="str">
        <f>IFERROR(__xludf.DUMMYFUNCTION("""COMPUTED_VALUE"""),"19AI412")</f>
        <v>19AI412</v>
      </c>
      <c r="F222" s="27" t="str">
        <f>IFERROR(__xludf.DUMMYFUNCTION("""COMPUTED_VALUE"""),"Web Data Mining")</f>
        <v>Web Data Mining</v>
      </c>
      <c r="G222" s="26" t="str">
        <f>IFERROR(__xludf.DUMMYFUNCTION("""COMPUTED_VALUE"""),"-")</f>
        <v>-</v>
      </c>
      <c r="H222" s="26">
        <f>IFERROR(__xludf.DUMMYFUNCTION("""COMPUTED_VALUE"""),3)</f>
        <v>3</v>
      </c>
      <c r="I222" s="26">
        <f>IFERROR(__xludf.DUMMYFUNCTION("""COMPUTED_VALUE"""),1)</f>
        <v>1</v>
      </c>
      <c r="J222" s="26">
        <f>IFERROR(__xludf.DUMMYFUNCTION("""COMPUTED_VALUE"""),4)</f>
        <v>4</v>
      </c>
      <c r="K222" s="26" t="str">
        <f>IFERROR(__xludf.DUMMYFUNCTION("""COMPUTED_VALUE"""),"CGPA")</f>
        <v>CGPA</v>
      </c>
      <c r="L222" s="26" t="str">
        <f>IFERROR(__xludf.DUMMYFUNCTION("""COMPUTED_VALUE"""),"TIP (6 Expts)")</f>
        <v>TIP (6 Expts)</v>
      </c>
      <c r="M222" s="26"/>
      <c r="N222" s="26"/>
      <c r="O222" s="26"/>
    </row>
    <row r="223" ht="13.2" spans="1:15">
      <c r="A223" s="26">
        <f>IFERROR(__xludf.DUMMYFUNCTION("""COMPUTED_VALUE"""),220)</f>
        <v>220</v>
      </c>
      <c r="B223" s="26"/>
      <c r="C223" s="26" t="str">
        <f>IFERROR(__xludf.DUMMYFUNCTION("""COMPUTED_VALUE"""),"PE")</f>
        <v>PE</v>
      </c>
      <c r="D223" s="26" t="str">
        <f>IFERROR(__xludf.DUMMYFUNCTION("""COMPUTED_VALUE"""),"CS1557")</f>
        <v>CS1557</v>
      </c>
      <c r="E223" s="26" t="str">
        <f>IFERROR(__xludf.DUMMYFUNCTION("""COMPUTED_VALUE"""),"19CS557")</f>
        <v>19CS557</v>
      </c>
      <c r="F223" s="26" t="str">
        <f>IFERROR(__xludf.DUMMYFUNCTION("""COMPUTED_VALUE"""),"Software Defined Networks")</f>
        <v>Software Defined Networks</v>
      </c>
      <c r="G223" s="26" t="str">
        <f>IFERROR(__xludf.DUMMYFUNCTION("""COMPUTED_VALUE"""),"-")</f>
        <v>-</v>
      </c>
      <c r="H223" s="26">
        <f>IFERROR(__xludf.DUMMYFUNCTION("""COMPUTED_VALUE"""),2)</f>
        <v>2</v>
      </c>
      <c r="I223" s="26">
        <f>IFERROR(__xludf.DUMMYFUNCTION("""COMPUTED_VALUE"""),1)</f>
        <v>1</v>
      </c>
      <c r="J223" s="26">
        <f>IFERROR(__xludf.DUMMYFUNCTION("""COMPUTED_VALUE"""),3)</f>
        <v>3</v>
      </c>
      <c r="K223" s="26" t="str">
        <f>IFERROR(__xludf.DUMMYFUNCTION("""COMPUTED_VALUE"""),"CGPA")</f>
        <v>CGPA</v>
      </c>
      <c r="L223" s="26" t="str">
        <f>IFERROR(__xludf.DUMMYFUNCTION("""COMPUTED_VALUE"""),"TIP (6 Expts)")</f>
        <v>TIP (6 Expts)</v>
      </c>
      <c r="M223" s="26"/>
      <c r="N223" s="26"/>
      <c r="O223" s="26"/>
    </row>
    <row r="224" ht="13.2" spans="1:15">
      <c r="A224" s="26">
        <f>IFERROR(__xludf.DUMMYFUNCTION("""COMPUTED_VALUE"""),221)</f>
        <v>221</v>
      </c>
      <c r="B224" s="26"/>
      <c r="C224" s="26" t="str">
        <f>IFERROR(__xludf.DUMMYFUNCTION("""COMPUTED_VALUE"""),"PE")</f>
        <v>PE</v>
      </c>
      <c r="D224" s="26" t="str">
        <f>IFERROR(__xludf.DUMMYFUNCTION("""COMPUTED_VALUE"""),"CS1556")</f>
        <v>CS1556</v>
      </c>
      <c r="E224" s="26" t="str">
        <f>IFERROR(__xludf.DUMMYFUNCTION("""COMPUTED_VALUE"""),"19CS556")</f>
        <v>19CS556</v>
      </c>
      <c r="F224" s="27" t="str">
        <f>IFERROR(__xludf.DUMMYFUNCTION("""COMPUTED_VALUE"""),"Core Computing Concepts")</f>
        <v>Core Computing Concepts</v>
      </c>
      <c r="G224" s="26" t="str">
        <f>IFERROR(__xludf.DUMMYFUNCTION("""COMPUTED_VALUE"""),"-")</f>
        <v>-</v>
      </c>
      <c r="H224" s="26">
        <f>IFERROR(__xludf.DUMMYFUNCTION("""COMPUTED_VALUE"""),2)</f>
        <v>2</v>
      </c>
      <c r="I224" s="26">
        <f>IFERROR(__xludf.DUMMYFUNCTION("""COMPUTED_VALUE"""),1)</f>
        <v>1</v>
      </c>
      <c r="J224" s="26">
        <f>IFERROR(__xludf.DUMMYFUNCTION("""COMPUTED_VALUE"""),3)</f>
        <v>3</v>
      </c>
      <c r="K224" s="26" t="str">
        <f>IFERROR(__xludf.DUMMYFUNCTION("""COMPUTED_VALUE"""),"CGPA")</f>
        <v>CGPA</v>
      </c>
      <c r="L224" s="26" t="str">
        <f>IFERROR(__xludf.DUMMYFUNCTION("""COMPUTED_VALUE"""),"TIP (6 Expts)")</f>
        <v>TIP (6 Expts)</v>
      </c>
      <c r="M224" s="26"/>
      <c r="N224" s="26"/>
      <c r="O224" s="26"/>
    </row>
    <row r="225" ht="13.2" spans="1:15">
      <c r="A225" s="26">
        <f>IFERROR(__xludf.DUMMYFUNCTION("""COMPUTED_VALUE"""),222)</f>
        <v>222</v>
      </c>
      <c r="B225" s="26"/>
      <c r="C225" s="26" t="str">
        <f>IFERROR(__xludf.DUMMYFUNCTION("""COMPUTED_VALUE"""),"OE")</f>
        <v>OE</v>
      </c>
      <c r="D225" s="26" t="str">
        <f>IFERROR(__xludf.DUMMYFUNCTION("""COMPUTED_VALUE"""),"XXXXXX")</f>
        <v>XXXXXX</v>
      </c>
      <c r="E225" s="26" t="str">
        <f>IFERROR(__xludf.DUMMYFUNCTION("""COMPUTED_VALUE"""),"19XXXXX")</f>
        <v>19XXXXX</v>
      </c>
      <c r="F225" s="26" t="str">
        <f>IFERROR(__xludf.DUMMYFUNCTION("""COMPUTED_VALUE"""),"Open Electives")</f>
        <v>Open Electives</v>
      </c>
      <c r="G225" s="26" t="str">
        <f>IFERROR(__xludf.DUMMYFUNCTION("""COMPUTED_VALUE"""),"-")</f>
        <v>-</v>
      </c>
      <c r="H225" s="26">
        <f>IFERROR(__xludf.DUMMYFUNCTION("""COMPUTED_VALUE"""),0)</f>
        <v>0</v>
      </c>
      <c r="I225" s="26">
        <f>IFERROR(__xludf.DUMMYFUNCTION("""COMPUTED_VALUE"""),0)</f>
        <v>0</v>
      </c>
      <c r="J225" s="26">
        <f>IFERROR(__xludf.DUMMYFUNCTION("""COMPUTED_VALUE"""),0)</f>
        <v>0</v>
      </c>
      <c r="K225" s="26" t="str">
        <f>IFERROR(__xludf.DUMMYFUNCTION("""COMPUTED_VALUE"""),"CGPA")</f>
        <v>CGPA</v>
      </c>
      <c r="L225" s="26" t="str">
        <f>IFERROR(__xludf.DUMMYFUNCTION("""COMPUTED_VALUE"""),"Theory")</f>
        <v>Theory</v>
      </c>
      <c r="M225" s="26"/>
      <c r="N225" s="26"/>
      <c r="O225" s="26"/>
    </row>
    <row r="226" ht="13.2" spans="1:15">
      <c r="A226" s="26">
        <f>IFERROR(__xludf.DUMMYFUNCTION("""COMPUTED_VALUE"""),223)</f>
        <v>223</v>
      </c>
      <c r="B226" s="26"/>
      <c r="C226" s="26" t="str">
        <f>IFERROR(__xludf.DUMMYFUNCTION("""COMPUTED_VALUE"""),"OE")</f>
        <v>OE</v>
      </c>
      <c r="D226" s="26" t="str">
        <f>IFERROR(__xludf.DUMMYFUNCTION("""COMPUTED_VALUE"""),"XXXXXX")</f>
        <v>XXXXXX</v>
      </c>
      <c r="E226" s="26" t="str">
        <f>IFERROR(__xludf.DUMMYFUNCTION("""COMPUTED_VALUE"""),"19XXXXX")</f>
        <v>19XXXXX</v>
      </c>
      <c r="F226" s="26" t="str">
        <f>IFERROR(__xludf.DUMMYFUNCTION("""COMPUTED_VALUE"""),"Online Courses")</f>
        <v>Online Courses</v>
      </c>
      <c r="G226" s="26" t="str">
        <f>IFERROR(__xludf.DUMMYFUNCTION("""COMPUTED_VALUE"""),"-")</f>
        <v>-</v>
      </c>
      <c r="H226" s="26">
        <f>IFERROR(__xludf.DUMMYFUNCTION("""COMPUTED_VALUE"""),0)</f>
        <v>0</v>
      </c>
      <c r="I226" s="26">
        <f>IFERROR(__xludf.DUMMYFUNCTION("""COMPUTED_VALUE"""),0)</f>
        <v>0</v>
      </c>
      <c r="J226" s="26">
        <f>IFERROR(__xludf.DUMMYFUNCTION("""COMPUTED_VALUE"""),0)</f>
        <v>0</v>
      </c>
      <c r="K226" s="26" t="str">
        <f>IFERROR(__xludf.DUMMYFUNCTION("""COMPUTED_VALUE"""),"CGPA")</f>
        <v>CGPA</v>
      </c>
      <c r="L226" s="26" t="str">
        <f>IFERROR(__xludf.DUMMYFUNCTION("""COMPUTED_VALUE"""),"Experiential Learning")</f>
        <v>Experiential Learning</v>
      </c>
      <c r="M226" s="26"/>
      <c r="N226" s="26"/>
      <c r="O226" s="26"/>
    </row>
    <row r="227" ht="13.2" spans="1:15">
      <c r="A227" s="26">
        <f>IFERROR(__xludf.DUMMYFUNCTION("""COMPUTED_VALUE"""),224)</f>
        <v>224</v>
      </c>
      <c r="B227" s="26"/>
      <c r="C227" s="26" t="str">
        <f>IFERROR(__xludf.DUMMYFUNCTION("""COMPUTED_VALUE"""),"EEC")</f>
        <v>EEC</v>
      </c>
      <c r="D227" s="26" t="str">
        <f>IFERROR(__xludf.DUMMYFUNCTION("""COMPUTED_VALUE"""),"CS3701")</f>
        <v>CS3701</v>
      </c>
      <c r="E227" s="26" t="str">
        <f>IFERROR(__xludf.DUMMYFUNCTION("""COMPUTED_VALUE"""),"19AI701")</f>
        <v>19AI701</v>
      </c>
      <c r="F227" s="27" t="str">
        <f>IFERROR(__xludf.DUMMYFUNCTION("""COMPUTED_VALUE"""),"Mini Project")</f>
        <v>Mini Project</v>
      </c>
      <c r="G227" s="26" t="str">
        <f>IFERROR(__xludf.DUMMYFUNCTION("""COMPUTED_VALUE"""),"-")</f>
        <v>-</v>
      </c>
      <c r="H227" s="26">
        <f>IFERROR(__xludf.DUMMYFUNCTION("""COMPUTED_VALUE"""),0)</f>
        <v>0</v>
      </c>
      <c r="I227" s="26">
        <f>IFERROR(__xludf.DUMMYFUNCTION("""COMPUTED_VALUE"""),2)</f>
        <v>2</v>
      </c>
      <c r="J227" s="26">
        <f>IFERROR(__xludf.DUMMYFUNCTION("""COMPUTED_VALUE"""),2)</f>
        <v>2</v>
      </c>
      <c r="K227" s="26" t="str">
        <f>IFERROR(__xludf.DUMMYFUNCTION("""COMPUTED_VALUE"""),"CGPA")</f>
        <v>CGPA</v>
      </c>
      <c r="L227" s="26" t="str">
        <f>IFERROR(__xludf.DUMMYFUNCTION("""COMPUTED_VALUE"""),"Project (Int Only)")</f>
        <v>Project (Int Only)</v>
      </c>
      <c r="M227" s="26"/>
      <c r="N227" s="26"/>
      <c r="O227" s="26"/>
    </row>
    <row r="228" ht="13.2" spans="1:15">
      <c r="A228" s="26">
        <f>IFERROR(__xludf.DUMMYFUNCTION("""COMPUTED_VALUE"""),225)</f>
        <v>225</v>
      </c>
      <c r="B228" s="26" t="str">
        <f>IFERROR(__xludf.DUMMYFUNCTION("""COMPUTED_VALUE"""),"Option 1")</f>
        <v>Option 1</v>
      </c>
      <c r="C228" s="26" t="str">
        <f>IFERROR(__xludf.DUMMYFUNCTION("""COMPUTED_VALUE"""),"EEC")</f>
        <v>EEC</v>
      </c>
      <c r="D228" s="26" t="str">
        <f>IFERROR(__xludf.DUMMYFUNCTION("""COMPUTED_VALUE"""),"CS3702")</f>
        <v>CS3702</v>
      </c>
      <c r="E228" s="26" t="str">
        <f>IFERROR(__xludf.DUMMYFUNCTION("""COMPUTED_VALUE"""),"19AI702")</f>
        <v>19AI702</v>
      </c>
      <c r="F228" s="27" t="str">
        <f>IFERROR(__xludf.DUMMYFUNCTION("""COMPUTED_VALUE"""),"Project Work I")</f>
        <v>Project Work I</v>
      </c>
      <c r="G228" s="26" t="str">
        <f>IFERROR(__xludf.DUMMYFUNCTION("""COMPUTED_VALUE"""),"-")</f>
        <v>-</v>
      </c>
      <c r="H228" s="26">
        <f>IFERROR(__xludf.DUMMYFUNCTION("""COMPUTED_VALUE"""),0)</f>
        <v>0</v>
      </c>
      <c r="I228" s="26">
        <f>IFERROR(__xludf.DUMMYFUNCTION("""COMPUTED_VALUE"""),2)</f>
        <v>2</v>
      </c>
      <c r="J228" s="26">
        <f>IFERROR(__xludf.DUMMYFUNCTION("""COMPUTED_VALUE"""),2)</f>
        <v>2</v>
      </c>
      <c r="K228" s="26" t="str">
        <f>IFERROR(__xludf.DUMMYFUNCTION("""COMPUTED_VALUE"""),"CGPA")</f>
        <v>CGPA</v>
      </c>
      <c r="L228" s="26" t="str">
        <f>IFERROR(__xludf.DUMMYFUNCTION("""COMPUTED_VALUE"""),"Practical (10 Expts)")</f>
        <v>Practical (10 Expts)</v>
      </c>
      <c r="M228" s="26"/>
      <c r="N228" s="26"/>
      <c r="O228" s="26"/>
    </row>
    <row r="229" ht="13.2" spans="1:15">
      <c r="A229" s="26">
        <f>IFERROR(__xludf.DUMMYFUNCTION("""COMPUTED_VALUE"""),226)</f>
        <v>226</v>
      </c>
      <c r="B229" s="26" t="str">
        <f>IFERROR(__xludf.DUMMYFUNCTION("""COMPUTED_VALUE"""),"Option 1")</f>
        <v>Option 1</v>
      </c>
      <c r="C229" s="26" t="str">
        <f>IFERROR(__xludf.DUMMYFUNCTION("""COMPUTED_VALUE"""),"EEC")</f>
        <v>EEC</v>
      </c>
      <c r="D229" s="26" t="str">
        <f>IFERROR(__xludf.DUMMYFUNCTION("""COMPUTED_VALUE"""),"CS3703")</f>
        <v>CS3703</v>
      </c>
      <c r="E229" s="26" t="str">
        <f>IFERROR(__xludf.DUMMYFUNCTION("""COMPUTED_VALUE"""),"19AI703")</f>
        <v>19AI703</v>
      </c>
      <c r="F229" s="27" t="str">
        <f>IFERROR(__xludf.DUMMYFUNCTION("""COMPUTED_VALUE"""),"Project Work II")</f>
        <v>Project Work II</v>
      </c>
      <c r="G229" s="26" t="str">
        <f>IFERROR(__xludf.DUMMYFUNCTION("""COMPUTED_VALUE"""),"19AI702")</f>
        <v>19AI702</v>
      </c>
      <c r="H229" s="26">
        <f>IFERROR(__xludf.DUMMYFUNCTION("""COMPUTED_VALUE"""),0)</f>
        <v>0</v>
      </c>
      <c r="I229" s="26">
        <f>IFERROR(__xludf.DUMMYFUNCTION("""COMPUTED_VALUE"""),6)</f>
        <v>6</v>
      </c>
      <c r="J229" s="26">
        <f>IFERROR(__xludf.DUMMYFUNCTION("""COMPUTED_VALUE"""),6)</f>
        <v>6</v>
      </c>
      <c r="K229" s="26" t="str">
        <f>IFERROR(__xludf.DUMMYFUNCTION("""COMPUTED_VALUE"""),"CGPA")</f>
        <v>CGPA</v>
      </c>
      <c r="L229" s="26" t="str">
        <f>IFERROR(__xludf.DUMMYFUNCTION("""COMPUTED_VALUE"""),"Project")</f>
        <v>Project</v>
      </c>
      <c r="M229" s="26"/>
      <c r="N229" s="26"/>
      <c r="O229" s="26"/>
    </row>
    <row r="230" ht="13.2" spans="1:15">
      <c r="A230" s="26">
        <f>IFERROR(__xludf.DUMMYFUNCTION("""COMPUTED_VALUE"""),227)</f>
        <v>227</v>
      </c>
      <c r="B230" s="26" t="str">
        <f>IFERROR(__xludf.DUMMYFUNCTION("""COMPUTED_VALUE"""),"Option 2")</f>
        <v>Option 2</v>
      </c>
      <c r="C230" s="26" t="str">
        <f>IFERROR(__xludf.DUMMYFUNCTION("""COMPUTED_VALUE"""),"EEC")</f>
        <v>EEC</v>
      </c>
      <c r="D230" s="26" t="str">
        <f>IFERROR(__xludf.DUMMYFUNCTION("""COMPUTED_VALUE"""),"SH6802")</f>
        <v>SH6802</v>
      </c>
      <c r="E230" s="26" t="str">
        <f>IFERROR(__xludf.DUMMYFUNCTION("""COMPUTED_VALUE"""),"NA")</f>
        <v>NA</v>
      </c>
      <c r="F230" s="26" t="str">
        <f>IFERROR(__xludf.DUMMYFUNCTION("""COMPUTED_VALUE"""),"Start Up")</f>
        <v>Start Up</v>
      </c>
      <c r="G230" s="26" t="str">
        <f>IFERROR(__xludf.DUMMYFUNCTION("""COMPUTED_VALUE"""),"-")</f>
        <v>-</v>
      </c>
      <c r="H230" s="26">
        <f>IFERROR(__xludf.DUMMYFUNCTION("""COMPUTED_VALUE"""),0)</f>
        <v>0</v>
      </c>
      <c r="I230" s="26">
        <f>IFERROR(__xludf.DUMMYFUNCTION("""COMPUTED_VALUE"""),8)</f>
        <v>8</v>
      </c>
      <c r="J230" s="26">
        <f>IFERROR(__xludf.DUMMYFUNCTION("""COMPUTED_VALUE"""),8)</f>
        <v>8</v>
      </c>
      <c r="K230" s="26" t="str">
        <f>IFERROR(__xludf.DUMMYFUNCTION("""COMPUTED_VALUE"""),"CGPA")</f>
        <v>CGPA</v>
      </c>
      <c r="L230" s="26" t="str">
        <f>IFERROR(__xludf.DUMMYFUNCTION("""COMPUTED_VALUE"""),"Project")</f>
        <v>Project</v>
      </c>
      <c r="M230" s="26"/>
      <c r="N230" s="26"/>
      <c r="O230" s="26"/>
    </row>
    <row r="231" ht="13.2" spans="1:15">
      <c r="A231" s="26">
        <f>IFERROR(__xludf.DUMMYFUNCTION("""COMPUTED_VALUE"""),228)</f>
        <v>228</v>
      </c>
      <c r="B231" s="26"/>
      <c r="C231" s="26" t="str">
        <f>IFERROR(__xludf.DUMMYFUNCTION("""COMPUTED_VALUE"""),"EEC")</f>
        <v>EEC</v>
      </c>
      <c r="D231" s="26" t="str">
        <f>IFERROR(__xludf.DUMMYFUNCTION("""COMPUTED_VALUE"""),"SH6708")</f>
        <v>SH6708</v>
      </c>
      <c r="E231" s="26" t="str">
        <f>IFERROR(__xludf.DUMMYFUNCTION("""COMPUTED_VALUE"""),"19EY708")</f>
        <v>19EY708</v>
      </c>
      <c r="F231" s="27" t="str">
        <f>IFERROR(__xludf.DUMMYFUNCTION("""COMPUTED_VALUE"""),"Career Development Skills")</f>
        <v>Career Development Skills</v>
      </c>
      <c r="G231" s="26" t="str">
        <f>IFERROR(__xludf.DUMMYFUNCTION("""COMPUTED_VALUE"""),"NIL")</f>
        <v>NIL</v>
      </c>
      <c r="H231" s="26">
        <f>IFERROR(__xludf.DUMMYFUNCTION("""COMPUTED_VALUE"""),1)</f>
        <v>1</v>
      </c>
      <c r="I231" s="26">
        <f>IFERROR(__xludf.DUMMYFUNCTION("""COMPUTED_VALUE"""),0)</f>
        <v>0</v>
      </c>
      <c r="J231" s="26">
        <f>IFERROR(__xludf.DUMMYFUNCTION("""COMPUTED_VALUE"""),1)</f>
        <v>1</v>
      </c>
      <c r="K231" s="26" t="str">
        <f>IFERROR(__xludf.DUMMYFUNCTION("""COMPUTED_VALUE"""),"CGPA")</f>
        <v>CGPA</v>
      </c>
      <c r="L231" s="26" t="str">
        <f>IFERROR(__xludf.DUMMYFUNCTION("""COMPUTED_VALUE"""),"Theory (Int Only)")</f>
        <v>Theory (Int Only)</v>
      </c>
      <c r="M231" s="26"/>
      <c r="N231" s="26"/>
      <c r="O231" s="26"/>
    </row>
    <row r="232" ht="13.2" spans="1:15">
      <c r="A232" s="26">
        <f>IFERROR(__xludf.DUMMYFUNCTION("""COMPUTED_VALUE"""),229)</f>
        <v>229</v>
      </c>
      <c r="B232" s="26"/>
      <c r="C232" s="26" t="str">
        <f>IFERROR(__xludf.DUMMYFUNCTION("""COMPUTED_VALUE"""),"EEC")</f>
        <v>EEC</v>
      </c>
      <c r="D232" s="26" t="str">
        <f>IFERROR(__xludf.DUMMYFUNCTION("""COMPUTED_VALUE"""),"SH6709")</f>
        <v>SH6709</v>
      </c>
      <c r="E232" s="26" t="str">
        <f>IFERROR(__xludf.DUMMYFUNCTION("""COMPUTED_VALUE"""),"19EY709")</f>
        <v>19EY709</v>
      </c>
      <c r="F232" s="27" t="str">
        <f>IFERROR(__xludf.DUMMYFUNCTION("""COMPUTED_VALUE"""),"Reasoning Ability")</f>
        <v>Reasoning Ability</v>
      </c>
      <c r="G232" s="26" t="str">
        <f>IFERROR(__xludf.DUMMYFUNCTION("""COMPUTED_VALUE"""),"NIL")</f>
        <v>NIL</v>
      </c>
      <c r="H232" s="26">
        <f>IFERROR(__xludf.DUMMYFUNCTION("""COMPUTED_VALUE"""),1)</f>
        <v>1</v>
      </c>
      <c r="I232" s="26">
        <f>IFERROR(__xludf.DUMMYFUNCTION("""COMPUTED_VALUE"""),0)</f>
        <v>0</v>
      </c>
      <c r="J232" s="26">
        <f>IFERROR(__xludf.DUMMYFUNCTION("""COMPUTED_VALUE"""),1)</f>
        <v>1</v>
      </c>
      <c r="K232" s="26" t="str">
        <f>IFERROR(__xludf.DUMMYFUNCTION("""COMPUTED_VALUE"""),"CGPA")</f>
        <v>CGPA</v>
      </c>
      <c r="L232" s="26" t="str">
        <f>IFERROR(__xludf.DUMMYFUNCTION("""COMPUTED_VALUE"""),"Theory (Int Only)")</f>
        <v>Theory (Int Only)</v>
      </c>
      <c r="M232" s="26"/>
      <c r="N232" s="26"/>
      <c r="O232" s="26"/>
    </row>
    <row r="233" ht="13.2" spans="1:15">
      <c r="A233" s="26">
        <f>IFERROR(__xludf.DUMMYFUNCTION("""COMPUTED_VALUE"""),230)</f>
        <v>230</v>
      </c>
      <c r="B233" s="26"/>
      <c r="C233" s="26" t="str">
        <f>IFERROR(__xludf.DUMMYFUNCTION("""COMPUTED_VALUE"""),"EEC")</f>
        <v>EEC</v>
      </c>
      <c r="D233" s="26" t="str">
        <f>IFERROR(__xludf.DUMMYFUNCTION("""COMPUTED_VALUE"""),"SH6710")</f>
        <v>SH6710</v>
      </c>
      <c r="E233" s="26" t="str">
        <f>IFERROR(__xludf.DUMMYFUNCTION("""COMPUTED_VALUE"""),"19EY710")</f>
        <v>19EY710</v>
      </c>
      <c r="F233" s="27" t="str">
        <f>IFERROR(__xludf.DUMMYFUNCTION("""COMPUTED_VALUE"""),"Quantitative Ability I")</f>
        <v>Quantitative Ability I</v>
      </c>
      <c r="G233" s="26" t="str">
        <f>IFERROR(__xludf.DUMMYFUNCTION("""COMPUTED_VALUE"""),"NIL")</f>
        <v>NIL</v>
      </c>
      <c r="H233" s="26">
        <f>IFERROR(__xludf.DUMMYFUNCTION("""COMPUTED_VALUE"""),1)</f>
        <v>1</v>
      </c>
      <c r="I233" s="26">
        <f>IFERROR(__xludf.DUMMYFUNCTION("""COMPUTED_VALUE"""),0)</f>
        <v>0</v>
      </c>
      <c r="J233" s="26">
        <f>IFERROR(__xludf.DUMMYFUNCTION("""COMPUTED_VALUE"""),1)</f>
        <v>1</v>
      </c>
      <c r="K233" s="26" t="str">
        <f>IFERROR(__xludf.DUMMYFUNCTION("""COMPUTED_VALUE"""),"CGPA")</f>
        <v>CGPA</v>
      </c>
      <c r="L233" s="26" t="str">
        <f>IFERROR(__xludf.DUMMYFUNCTION("""COMPUTED_VALUE"""),"Theory (Int Only)")</f>
        <v>Theory (Int Only)</v>
      </c>
      <c r="M233" s="26"/>
      <c r="N233" s="26"/>
      <c r="O233" s="26"/>
    </row>
    <row r="234" ht="13.2" spans="1:15">
      <c r="A234" s="26">
        <f>IFERROR(__xludf.DUMMYFUNCTION("""COMPUTED_VALUE"""),231)</f>
        <v>231</v>
      </c>
      <c r="B234" s="26"/>
      <c r="C234" s="26" t="str">
        <f>IFERROR(__xludf.DUMMYFUNCTION("""COMPUTED_VALUE"""),"EEC")</f>
        <v>EEC</v>
      </c>
      <c r="D234" s="26" t="str">
        <f>IFERROR(__xludf.DUMMYFUNCTION("""COMPUTED_VALUE"""),"SH6711")</f>
        <v>SH6711</v>
      </c>
      <c r="E234" s="26" t="str">
        <f>IFERROR(__xludf.DUMMYFUNCTION("""COMPUTED_VALUE"""),"19EY711")</f>
        <v>19EY711</v>
      </c>
      <c r="F234" s="27" t="str">
        <f>IFERROR(__xludf.DUMMYFUNCTION("""COMPUTED_VALUE"""),"Quantitative Ability II")</f>
        <v>Quantitative Ability II</v>
      </c>
      <c r="G234" s="26" t="str">
        <f>IFERROR(__xludf.DUMMYFUNCTION("""COMPUTED_VALUE"""),"SH6710 /19EY710")</f>
        <v>SH6710 /19EY710</v>
      </c>
      <c r="H234" s="26">
        <f>IFERROR(__xludf.DUMMYFUNCTION("""COMPUTED_VALUE"""),1)</f>
        <v>1</v>
      </c>
      <c r="I234" s="26">
        <f>IFERROR(__xludf.DUMMYFUNCTION("""COMPUTED_VALUE"""),0)</f>
        <v>0</v>
      </c>
      <c r="J234" s="26">
        <f>IFERROR(__xludf.DUMMYFUNCTION("""COMPUTED_VALUE"""),1)</f>
        <v>1</v>
      </c>
      <c r="K234" s="26" t="str">
        <f>IFERROR(__xludf.DUMMYFUNCTION("""COMPUTED_VALUE"""),"CGPA")</f>
        <v>CGPA</v>
      </c>
      <c r="L234" s="26" t="str">
        <f>IFERROR(__xludf.DUMMYFUNCTION("""COMPUTED_VALUE"""),"Theory (Int Only)")</f>
        <v>Theory (Int Only)</v>
      </c>
      <c r="M234" s="26"/>
      <c r="N234" s="26"/>
      <c r="O234" s="26"/>
    </row>
    <row r="235" ht="13.2" spans="1:15">
      <c r="A235" s="26">
        <f>IFERROR(__xludf.DUMMYFUNCTION("""COMPUTED_VALUE"""),232)</f>
        <v>232</v>
      </c>
      <c r="B235" s="26"/>
      <c r="C235" s="26" t="str">
        <f>IFERROR(__xludf.DUMMYFUNCTION("""COMPUTED_VALUE"""),"EEC")</f>
        <v>EEC</v>
      </c>
      <c r="D235" s="26" t="str">
        <f>IFERROR(__xludf.DUMMYFUNCTION("""COMPUTED_VALUE"""),"SH6712")</f>
        <v>SH6712</v>
      </c>
      <c r="E235" s="26" t="str">
        <f>IFERROR(__xludf.DUMMYFUNCTION("""COMPUTED_VALUE"""),"19EY712")</f>
        <v>19EY712</v>
      </c>
      <c r="F235" s="27" t="str">
        <f>IFERROR(__xludf.DUMMYFUNCTION("""COMPUTED_VALUE"""),"Employment Enrichment Skills")</f>
        <v>Employment Enrichment Skills</v>
      </c>
      <c r="G235" s="26" t="str">
        <f>IFERROR(__xludf.DUMMYFUNCTION("""COMPUTED_VALUE"""),"19EY702 / 19EY709 / SH6709")</f>
        <v>19EY702 / 19EY709 / SH6709</v>
      </c>
      <c r="H235" s="26">
        <f>IFERROR(__xludf.DUMMYFUNCTION("""COMPUTED_VALUE"""),1)</f>
        <v>1</v>
      </c>
      <c r="I235" s="26">
        <f>IFERROR(__xludf.DUMMYFUNCTION("""COMPUTED_VALUE"""),0)</f>
        <v>0</v>
      </c>
      <c r="J235" s="26">
        <f>IFERROR(__xludf.DUMMYFUNCTION("""COMPUTED_VALUE"""),1)</f>
        <v>1</v>
      </c>
      <c r="K235" s="26" t="str">
        <f>IFERROR(__xludf.DUMMYFUNCTION("""COMPUTED_VALUE"""),"CGPA")</f>
        <v>CGPA</v>
      </c>
      <c r="L235" s="26" t="str">
        <f>IFERROR(__xludf.DUMMYFUNCTION("""COMPUTED_VALUE"""),"Theory (Int Only)")</f>
        <v>Theory (Int Only)</v>
      </c>
      <c r="M235" s="26"/>
      <c r="N235" s="26"/>
      <c r="O235" s="26"/>
    </row>
    <row r="236" ht="13.2" spans="1:15">
      <c r="A236" s="26">
        <f>IFERROR(__xludf.DUMMYFUNCTION("""COMPUTED_VALUE"""),233)</f>
        <v>233</v>
      </c>
      <c r="B236" s="26" t="str">
        <f>IFERROR(__xludf.DUMMYFUNCTION("""COMPUTED_VALUE"""),"Any 1")</f>
        <v>Any 1</v>
      </c>
      <c r="C236" s="26" t="str">
        <f>IFERROR(__xludf.DUMMYFUNCTION("""COMPUTED_VALUE"""),"EEC")</f>
        <v>EEC</v>
      </c>
      <c r="D236" s="26" t="str">
        <f>IFERROR(__xludf.DUMMYFUNCTION("""COMPUTED_VALUE"""),"NA")</f>
        <v>NA</v>
      </c>
      <c r="E236" s="26" t="str">
        <f>IFERROR(__xludf.DUMMYFUNCTION("""COMPUTED_VALUE"""),"19EY706")</f>
        <v>19EY706</v>
      </c>
      <c r="F236" s="27" t="str">
        <f>IFERROR(__xludf.DUMMYFUNCTION("""COMPUTED_VALUE"""),"Company Specific Assessments For Employability")</f>
        <v>Company Specific Assessments For Employability</v>
      </c>
      <c r="G236" s="26" t="str">
        <f>IFERROR(__xludf.DUMMYFUNCTION("""COMPUTED_VALUE"""),"-")</f>
        <v>-</v>
      </c>
      <c r="H236" s="26">
        <f>IFERROR(__xludf.DUMMYFUNCTION("""COMPUTED_VALUE"""),0)</f>
        <v>0</v>
      </c>
      <c r="I236" s="26">
        <f>IFERROR(__xludf.DUMMYFUNCTION("""COMPUTED_VALUE"""),1)</f>
        <v>1</v>
      </c>
      <c r="J236" s="26">
        <f>IFERROR(__xludf.DUMMYFUNCTION("""COMPUTED_VALUE"""),1)</f>
        <v>1</v>
      </c>
      <c r="K236" s="26" t="str">
        <f>IFERROR(__xludf.DUMMYFUNCTION("""COMPUTED_VALUE"""),"CGPA")</f>
        <v>CGPA</v>
      </c>
      <c r="L236" s="26" t="str">
        <f>IFERROR(__xludf.DUMMYFUNCTION("""COMPUTED_VALUE"""),"Practical (6 Expts)")</f>
        <v>Practical (6 Expts)</v>
      </c>
      <c r="M236" s="26"/>
      <c r="N236" s="26"/>
      <c r="O236" s="26"/>
    </row>
    <row r="237" ht="13.2" spans="1:15">
      <c r="A237" s="26">
        <f>IFERROR(__xludf.DUMMYFUNCTION("""COMPUTED_VALUE"""),234)</f>
        <v>234</v>
      </c>
      <c r="B237" s="26" t="str">
        <f>IFERROR(__xludf.DUMMYFUNCTION("""COMPUTED_VALUE"""),"Any 1")</f>
        <v>Any 1</v>
      </c>
      <c r="C237" s="26"/>
      <c r="D237" s="26" t="str">
        <f>IFERROR(__xludf.DUMMYFUNCTION("""COMPUTED_VALUE"""),"SH6713")</f>
        <v>SH6713</v>
      </c>
      <c r="E237" s="26" t="str">
        <f>IFERROR(__xludf.DUMMYFUNCTION("""COMPUTED_VALUE"""),"19EY713")</f>
        <v>19EY713</v>
      </c>
      <c r="F237" s="27" t="str">
        <f>IFERROR(__xludf.DUMMYFUNCTION("""COMPUTED_VALUE"""),"Placement Readiness Assessment")</f>
        <v>Placement Readiness Assessment</v>
      </c>
      <c r="G237" s="26" t="str">
        <f>IFERROR(__xludf.DUMMYFUNCTION("""COMPUTED_VALUE"""),"19EY704 / 19EY711/SH6711")</f>
        <v>19EY704 / 19EY711/SH6711</v>
      </c>
      <c r="H237" s="26">
        <f>IFERROR(__xludf.DUMMYFUNCTION("""COMPUTED_VALUE"""),1)</f>
        <v>1</v>
      </c>
      <c r="I237" s="26">
        <f>IFERROR(__xludf.DUMMYFUNCTION("""COMPUTED_VALUE"""),0)</f>
        <v>0</v>
      </c>
      <c r="J237" s="26">
        <f>IFERROR(__xludf.DUMMYFUNCTION("""COMPUTED_VALUE"""),1)</f>
        <v>1</v>
      </c>
      <c r="K237" s="26" t="str">
        <f>IFERROR(__xludf.DUMMYFUNCTION("""COMPUTED_VALUE"""),"CGPA")</f>
        <v>CGPA</v>
      </c>
      <c r="L237" s="26" t="str">
        <f>IFERROR(__xludf.DUMMYFUNCTION("""COMPUTED_VALUE"""),"Theory (Int Only)")</f>
        <v>Theory (Int Only)</v>
      </c>
      <c r="M237" s="26"/>
      <c r="N237" s="26"/>
      <c r="O237" s="26"/>
    </row>
    <row r="238" ht="13.2" spans="1:15">
      <c r="A238" s="26">
        <f>IFERROR(__xludf.DUMMYFUNCTION("""COMPUTED_VALUE"""),235)</f>
        <v>235</v>
      </c>
      <c r="B238" s="26"/>
      <c r="C238" s="26" t="str">
        <f>IFERROR(__xludf.DUMMYFUNCTION("""COMPUTED_VALUE"""),"EEC")</f>
        <v>EEC</v>
      </c>
      <c r="D238" s="26" t="str">
        <f>IFERROR(__xludf.DUMMYFUNCTION("""COMPUTED_VALUE"""),"SH6707")</f>
        <v>SH6707</v>
      </c>
      <c r="E238" s="26" t="str">
        <f>IFERROR(__xludf.DUMMYFUNCTION("""COMPUTED_VALUE"""),"19EY707")</f>
        <v>19EY707</v>
      </c>
      <c r="F238" s="27" t="str">
        <f>IFERROR(__xludf.DUMMYFUNCTION("""COMPUTED_VALUE"""),"Paper Publication")</f>
        <v>Paper Publication</v>
      </c>
      <c r="G238" s="26" t="str">
        <f>IFERROR(__xludf.DUMMYFUNCTION("""COMPUTED_VALUE"""),"-")</f>
        <v>-</v>
      </c>
      <c r="H238" s="26">
        <f>IFERROR(__xludf.DUMMYFUNCTION("""COMPUTED_VALUE"""),0)</f>
        <v>0</v>
      </c>
      <c r="I238" s="26">
        <f>IFERROR(__xludf.DUMMYFUNCTION("""COMPUTED_VALUE"""),0)</f>
        <v>0</v>
      </c>
      <c r="J238" s="26">
        <f>IFERROR(__xludf.DUMMYFUNCTION("""COMPUTED_VALUE"""),1)</f>
        <v>1</v>
      </c>
      <c r="K238" s="26" t="str">
        <f>IFERROR(__xludf.DUMMYFUNCTION("""COMPUTED_VALUE"""),"NON-CGPA")</f>
        <v>NON-CGPA</v>
      </c>
      <c r="L238" s="26" t="str">
        <f>IFERROR(__xludf.DUMMYFUNCTION("""COMPUTED_VALUE"""),"Experiential Learning (Int Only)")</f>
        <v>Experiential Learning (Int Only)</v>
      </c>
      <c r="M238" s="26"/>
      <c r="N238" s="26"/>
      <c r="O238" s="26"/>
    </row>
    <row r="239" ht="13.2" spans="1:15">
      <c r="A239" s="26">
        <f>IFERROR(__xludf.DUMMYFUNCTION("""COMPUTED_VALUE"""),236)</f>
        <v>236</v>
      </c>
      <c r="B239" s="26"/>
      <c r="C239" s="26" t="str">
        <f>IFERROR(__xludf.DUMMYFUNCTION("""COMPUTED_VALUE"""),"MC")</f>
        <v>MC</v>
      </c>
      <c r="D239" s="26" t="str">
        <f>IFERROR(__xludf.DUMMYFUNCTION("""COMPUTED_VALUE"""),"SH8801")</f>
        <v>SH8801</v>
      </c>
      <c r="E239" s="26" t="str">
        <f>IFERROR(__xludf.DUMMYFUNCTION("""COMPUTED_VALUE"""),"NA")</f>
        <v>NA</v>
      </c>
      <c r="F239" s="27" t="str">
        <f>IFERROR(__xludf.DUMMYFUNCTION("""COMPUTED_VALUE"""),"Constitutionalism and Artificial Intelligence Policies in India")</f>
        <v>Constitutionalism and Artificial Intelligence Policies in India</v>
      </c>
      <c r="G239" s="26" t="str">
        <f>IFERROR(__xludf.DUMMYFUNCTION("""COMPUTED_VALUE"""),"-")</f>
        <v>-</v>
      </c>
      <c r="H239" s="26">
        <f>IFERROR(__xludf.DUMMYFUNCTION("""COMPUTED_VALUE"""),1)</f>
        <v>1</v>
      </c>
      <c r="I239" s="26">
        <f>IFERROR(__xludf.DUMMYFUNCTION("""COMPUTED_VALUE"""),0)</f>
        <v>0</v>
      </c>
      <c r="J239" s="26">
        <f>IFERROR(__xludf.DUMMYFUNCTION("""COMPUTED_VALUE"""),1)</f>
        <v>1</v>
      </c>
      <c r="K239" s="26" t="str">
        <f>IFERROR(__xludf.DUMMYFUNCTION("""COMPUTED_VALUE"""),"NON-CGPA")</f>
        <v>NON-CGPA</v>
      </c>
      <c r="L239" s="26" t="str">
        <f>IFERROR(__xludf.DUMMYFUNCTION("""COMPUTED_VALUE"""),"Theory (Int Only)")</f>
        <v>Theory (Int Only)</v>
      </c>
      <c r="M239" s="26"/>
      <c r="N239" s="26"/>
      <c r="O239" s="26"/>
    </row>
    <row r="240" ht="13.2" spans="1:15">
      <c r="A240" s="26">
        <f>IFERROR(__xludf.DUMMYFUNCTION("""COMPUTED_VALUE"""),237)</f>
        <v>237</v>
      </c>
      <c r="B240" s="26" t="str">
        <f>IFERROR(__xludf.DUMMYFUNCTION("""COMPUTED_VALUE"""),"Any 1")</f>
        <v>Any 1</v>
      </c>
      <c r="C240" s="26" t="str">
        <f>IFERROR(__xludf.DUMMYFUNCTION("""COMPUTED_VALUE"""),"MC")</f>
        <v>MC</v>
      </c>
      <c r="D240" s="26" t="str">
        <f>IFERROR(__xludf.DUMMYFUNCTION("""COMPUTED_VALUE"""),"SH8802")</f>
        <v>SH8802</v>
      </c>
      <c r="E240" s="26" t="str">
        <f>IFERROR(__xludf.DUMMYFUNCTION("""COMPUTED_VALUE"""),"NA")</f>
        <v>NA</v>
      </c>
      <c r="F240" s="27" t="str">
        <f>IFERROR(__xludf.DUMMYFUNCTION("""COMPUTED_VALUE"""),"Internship")</f>
        <v>Internship</v>
      </c>
      <c r="G240" s="26" t="str">
        <f>IFERROR(__xludf.DUMMYFUNCTION("""COMPUTED_VALUE"""),"-")</f>
        <v>-</v>
      </c>
      <c r="H240" s="26">
        <f>IFERROR(__xludf.DUMMYFUNCTION("""COMPUTED_VALUE"""),0)</f>
        <v>0</v>
      </c>
      <c r="I240" s="26">
        <f>IFERROR(__xludf.DUMMYFUNCTION("""COMPUTED_VALUE"""),0)</f>
        <v>0</v>
      </c>
      <c r="J240" s="26">
        <f>IFERROR(__xludf.DUMMYFUNCTION("""COMPUTED_VALUE"""),2)</f>
        <v>2</v>
      </c>
      <c r="K240" s="26" t="str">
        <f>IFERROR(__xludf.DUMMYFUNCTION("""COMPUTED_VALUE"""),"NON-CGPA")</f>
        <v>NON-CGPA</v>
      </c>
      <c r="L240" s="26" t="str">
        <f>IFERROR(__xludf.DUMMYFUNCTION("""COMPUTED_VALUE"""),"Experiential Learning (Int Only)")</f>
        <v>Experiential Learning (Int Only)</v>
      </c>
      <c r="M240" s="26"/>
      <c r="N240" s="26"/>
      <c r="O240" s="26"/>
    </row>
    <row r="241" ht="13.2" spans="1:15">
      <c r="A241" s="26">
        <f>IFERROR(__xludf.DUMMYFUNCTION("""COMPUTED_VALUE"""),238)</f>
        <v>238</v>
      </c>
      <c r="B241" s="26" t="str">
        <f>IFERROR(__xludf.DUMMYFUNCTION("""COMPUTED_VALUE"""),"Any 1")</f>
        <v>Any 1</v>
      </c>
      <c r="C241" s="26" t="str">
        <f>IFERROR(__xludf.DUMMYFUNCTION("""COMPUTED_VALUE"""),"MC")</f>
        <v>MC</v>
      </c>
      <c r="D241" s="26" t="str">
        <f>IFERROR(__xludf.DUMMYFUNCTION("""COMPUTED_VALUE"""),"SH8803")</f>
        <v>SH8803</v>
      </c>
      <c r="E241" s="26" t="str">
        <f>IFERROR(__xludf.DUMMYFUNCTION("""COMPUTED_VALUE"""),"NA")</f>
        <v>NA</v>
      </c>
      <c r="F241" s="26" t="str">
        <f>IFERROR(__xludf.DUMMYFUNCTION("""COMPUTED_VALUE"""),"Entrepreneurship")</f>
        <v>Entrepreneurship</v>
      </c>
      <c r="G241" s="26" t="str">
        <f>IFERROR(__xludf.DUMMYFUNCTION("""COMPUTED_VALUE"""),"-")</f>
        <v>-</v>
      </c>
      <c r="H241" s="26">
        <f>IFERROR(__xludf.DUMMYFUNCTION("""COMPUTED_VALUE"""),0)</f>
        <v>0</v>
      </c>
      <c r="I241" s="26">
        <f>IFERROR(__xludf.DUMMYFUNCTION("""COMPUTED_VALUE"""),0)</f>
        <v>0</v>
      </c>
      <c r="J241" s="26">
        <f>IFERROR(__xludf.DUMMYFUNCTION("""COMPUTED_VALUE"""),2)</f>
        <v>2</v>
      </c>
      <c r="K241" s="26" t="str">
        <f>IFERROR(__xludf.DUMMYFUNCTION("""COMPUTED_VALUE"""),"NON-CGPA")</f>
        <v>NON-CGPA</v>
      </c>
      <c r="L241" s="26" t="str">
        <f>IFERROR(__xludf.DUMMYFUNCTION("""COMPUTED_VALUE"""),"Experiential Learning (Int Only)")</f>
        <v>Experiential Learning (Int Only)</v>
      </c>
      <c r="M241" s="26"/>
      <c r="N241" s="26"/>
      <c r="O241" s="26"/>
    </row>
    <row r="242" ht="13.2" spans="1:15">
      <c r="A242" s="26">
        <f>IFERROR(__xludf.DUMMYFUNCTION("""COMPUTED_VALUE"""),239)</f>
        <v>239</v>
      </c>
      <c r="B242" s="26" t="str">
        <f>IFERROR(__xludf.DUMMYFUNCTION("""COMPUTED_VALUE"""),"Any 1")</f>
        <v>Any 1</v>
      </c>
      <c r="C242" s="26" t="str">
        <f>IFERROR(__xludf.DUMMYFUNCTION("""COMPUTED_VALUE"""),"MC")</f>
        <v>MC</v>
      </c>
      <c r="D242" s="26" t="str">
        <f>IFERROR(__xludf.DUMMYFUNCTION("""COMPUTED_VALUE"""),"SH6803")</f>
        <v>SH6803</v>
      </c>
      <c r="E242" s="26" t="str">
        <f>IFERROR(__xludf.DUMMYFUNCTION("""COMPUTED_VALUE"""),"19MC807")</f>
        <v>19MC807</v>
      </c>
      <c r="F242" s="26" t="str">
        <f>IFERROR(__xludf.DUMMYFUNCTION("""COMPUTED_VALUE"""),"National Service Scheme")</f>
        <v>National Service Scheme</v>
      </c>
      <c r="G242" s="26" t="str">
        <f>IFERROR(__xludf.DUMMYFUNCTION("""COMPUTED_VALUE"""),"-")</f>
        <v>-</v>
      </c>
      <c r="H242" s="26">
        <f>IFERROR(__xludf.DUMMYFUNCTION("""COMPUTED_VALUE"""),0)</f>
        <v>0</v>
      </c>
      <c r="I242" s="26">
        <f>IFERROR(__xludf.DUMMYFUNCTION("""COMPUTED_VALUE"""),0)</f>
        <v>0</v>
      </c>
      <c r="J242" s="26">
        <f>IFERROR(__xludf.DUMMYFUNCTION("""COMPUTED_VALUE"""),0)</f>
        <v>0</v>
      </c>
      <c r="K242" s="26" t="str">
        <f>IFERROR(__xludf.DUMMYFUNCTION("""COMPUTED_VALUE"""),"NON-CGPA")</f>
        <v>NON-CGPA</v>
      </c>
      <c r="L242" s="26" t="str">
        <f>IFERROR(__xludf.DUMMYFUNCTION("""COMPUTED_VALUE"""),"Experiential Learning (Int Only)")</f>
        <v>Experiential Learning (Int Only)</v>
      </c>
      <c r="M242" s="26"/>
      <c r="N242" s="26"/>
      <c r="O242" s="26"/>
    </row>
    <row r="243" ht="13.2" spans="1:15">
      <c r="A243" s="26">
        <f>IFERROR(__xludf.DUMMYFUNCTION("""COMPUTED_VALUE"""),240)</f>
        <v>240</v>
      </c>
      <c r="B243" s="26" t="str">
        <f>IFERROR(__xludf.DUMMYFUNCTION("""COMPUTED_VALUE"""),"Any 1")</f>
        <v>Any 1</v>
      </c>
      <c r="C243" s="26" t="str">
        <f>IFERROR(__xludf.DUMMYFUNCTION("""COMPUTED_VALUE"""),"MC")</f>
        <v>MC</v>
      </c>
      <c r="D243" s="26" t="str">
        <f>IFERROR(__xludf.DUMMYFUNCTION("""COMPUTED_VALUE"""),"SH8807")</f>
        <v>SH8807</v>
      </c>
      <c r="E243" s="26" t="str">
        <f>IFERROR(__xludf.DUMMYFUNCTION("""COMPUTED_VALUE"""),"19MC808")</f>
        <v>19MC808</v>
      </c>
      <c r="F243" s="26" t="str">
        <f>IFERROR(__xludf.DUMMYFUNCTION("""COMPUTED_VALUE"""),"National Sports Organization ")</f>
        <v>National Sports Organization </v>
      </c>
      <c r="G243" s="26" t="str">
        <f>IFERROR(__xludf.DUMMYFUNCTION("""COMPUTED_VALUE"""),"-")</f>
        <v>-</v>
      </c>
      <c r="H243" s="26">
        <f>IFERROR(__xludf.DUMMYFUNCTION("""COMPUTED_VALUE"""),0)</f>
        <v>0</v>
      </c>
      <c r="I243" s="26">
        <f>IFERROR(__xludf.DUMMYFUNCTION("""COMPUTED_VALUE"""),0)</f>
        <v>0</v>
      </c>
      <c r="J243" s="26">
        <f>IFERROR(__xludf.DUMMYFUNCTION("""COMPUTED_VALUE"""),0)</f>
        <v>0</v>
      </c>
      <c r="K243" s="26" t="str">
        <f>IFERROR(__xludf.DUMMYFUNCTION("""COMPUTED_VALUE"""),"NON-CGPA")</f>
        <v>NON-CGPA</v>
      </c>
      <c r="L243" s="26" t="str">
        <f>IFERROR(__xludf.DUMMYFUNCTION("""COMPUTED_VALUE"""),"Experiential Learning (Int Only)")</f>
        <v>Experiential Learning (Int Only)</v>
      </c>
      <c r="M243" s="26"/>
      <c r="N243" s="26"/>
      <c r="O243" s="26"/>
    </row>
    <row r="244" ht="13.2" spans="1:15">
      <c r="A244" s="26">
        <f>IFERROR(__xludf.DUMMYFUNCTION("""COMPUTED_VALUE"""),241)</f>
        <v>241</v>
      </c>
      <c r="B244" s="26" t="str">
        <f>IFERROR(__xludf.DUMMYFUNCTION("""COMPUTED_VALUE"""),"Any 1")</f>
        <v>Any 1</v>
      </c>
      <c r="C244" s="26" t="str">
        <f>IFERROR(__xludf.DUMMYFUNCTION("""COMPUTED_VALUE"""),"MC")</f>
        <v>MC</v>
      </c>
      <c r="D244" s="26" t="str">
        <f>IFERROR(__xludf.DUMMYFUNCTION("""COMPUTED_VALUE"""),"SH8808")</f>
        <v>SH8808</v>
      </c>
      <c r="E244" s="26" t="str">
        <f>IFERROR(__xludf.DUMMYFUNCTION("""COMPUTED_VALUE"""),"19MC809")</f>
        <v>19MC809</v>
      </c>
      <c r="F244" s="26" t="str">
        <f>IFERROR(__xludf.DUMMYFUNCTION("""COMPUTED_VALUE"""),"Youth Red Cross")</f>
        <v>Youth Red Cross</v>
      </c>
      <c r="G244" s="26" t="str">
        <f>IFERROR(__xludf.DUMMYFUNCTION("""COMPUTED_VALUE"""),"-")</f>
        <v>-</v>
      </c>
      <c r="H244" s="26">
        <f>IFERROR(__xludf.DUMMYFUNCTION("""COMPUTED_VALUE"""),0)</f>
        <v>0</v>
      </c>
      <c r="I244" s="26">
        <f>IFERROR(__xludf.DUMMYFUNCTION("""COMPUTED_VALUE"""),0)</f>
        <v>0</v>
      </c>
      <c r="J244" s="26">
        <f>IFERROR(__xludf.DUMMYFUNCTION("""COMPUTED_VALUE"""),0)</f>
        <v>0</v>
      </c>
      <c r="K244" s="26" t="str">
        <f>IFERROR(__xludf.DUMMYFUNCTION("""COMPUTED_VALUE"""),"NON-CGPA")</f>
        <v>NON-CGPA</v>
      </c>
      <c r="L244" s="26" t="str">
        <f>IFERROR(__xludf.DUMMYFUNCTION("""COMPUTED_VALUE"""),"Experiential Learning (Int Only)")</f>
        <v>Experiential Learning (Int Only)</v>
      </c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  <row r="811" ht="13.2" spans="1: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</row>
    <row r="812" ht="13.2" spans="1: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</row>
    <row r="813" ht="13.2" spans="1: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</row>
    <row r="814" ht="13.2" spans="1: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</row>
    <row r="815" ht="13.2" spans="1: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</row>
    <row r="816" ht="13.2" spans="1: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</row>
    <row r="817" ht="13.2" spans="1: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</row>
    <row r="818" ht="13.2" spans="1: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</row>
    <row r="819" ht="13.2" spans="1: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</row>
    <row r="820" ht="13.2" spans="1: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</row>
    <row r="821" ht="13.2" spans="1: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</row>
    <row r="822" ht="13.2" spans="1: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</row>
    <row r="823" ht="13.2" spans="1: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</row>
    <row r="824" ht="13.2" spans="1: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</row>
    <row r="825" ht="13.2" spans="1: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</row>
    <row r="826" ht="13.2" spans="1: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</row>
    <row r="827" ht="13.2" spans="1: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</row>
    <row r="828" ht="13.2" spans="1: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</row>
    <row r="829" ht="13.2" spans="1: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</row>
    <row r="830" ht="13.2" spans="1: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</row>
    <row r="831" ht="13.2" spans="1: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</row>
    <row r="832" ht="13.2" spans="1: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</row>
    <row r="833" ht="13.2" spans="1: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</row>
    <row r="834" ht="13.2" spans="1: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</row>
    <row r="835" ht="13.2" spans="1: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</row>
    <row r="836" ht="13.2" spans="1: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</row>
    <row r="837" ht="13.2" spans="1: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</row>
    <row r="838" ht="13.2" spans="1: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</row>
    <row r="839" ht="13.2" spans="1: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</row>
    <row r="840" ht="13.2" spans="1: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</row>
    <row r="841" ht="13.2" spans="1: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</row>
    <row r="842" ht="13.2" spans="1: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</row>
    <row r="843" ht="13.2" spans="1: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</row>
    <row r="844" ht="13.2" spans="1: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</row>
    <row r="845" ht="13.2" spans="1: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</row>
    <row r="846" ht="13.2" spans="1: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</row>
    <row r="847" ht="13.2" spans="1: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</row>
    <row r="848" ht="13.2" spans="1: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</row>
    <row r="849" ht="13.2" spans="1: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</row>
    <row r="850" ht="13.2" spans="1: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</row>
    <row r="851" ht="13.2" spans="1: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</row>
    <row r="852" ht="13.2" spans="1: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</row>
    <row r="853" ht="13.2" spans="1: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</row>
    <row r="854" ht="13.2" spans="1: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</row>
    <row r="855" ht="13.2" spans="1: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</row>
    <row r="856" ht="13.2" spans="1: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</row>
    <row r="857" ht="13.2" spans="1: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</row>
    <row r="858" ht="13.2" spans="1: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</row>
    <row r="859" ht="13.2" spans="1: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</row>
    <row r="860" ht="13.2" spans="1: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</row>
    <row r="861" ht="13.2" spans="1: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</row>
    <row r="862" ht="13.2" spans="1: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</row>
    <row r="863" ht="13.2" spans="1: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</row>
    <row r="864" ht="13.2" spans="1: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</row>
    <row r="865" ht="13.2" spans="1: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</row>
    <row r="866" ht="13.2" spans="1: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</row>
    <row r="867" ht="13.2" spans="1: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</row>
    <row r="868" ht="13.2" spans="1: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</row>
    <row r="869" ht="13.2" spans="1: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</row>
    <row r="870" ht="13.2" spans="1: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</row>
    <row r="871" ht="13.2" spans="1: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</row>
    <row r="872" ht="13.2" spans="1: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</row>
    <row r="873" ht="13.2" spans="1: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</row>
    <row r="874" ht="13.2" spans="1: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</row>
    <row r="875" ht="13.2" spans="1: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</row>
    <row r="876" ht="13.2" spans="1: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</row>
    <row r="877" ht="13.2" spans="1: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</row>
    <row r="878" ht="13.2" spans="1: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</row>
    <row r="879" ht="13.2" spans="1: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</row>
    <row r="880" ht="13.2" spans="1: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</row>
    <row r="881" ht="13.2" spans="1: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</row>
    <row r="882" ht="13.2" spans="1: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</row>
    <row r="883" ht="13.2" spans="1: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</row>
    <row r="884" ht="13.2" spans="1: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</row>
    <row r="885" ht="13.2" spans="1: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</row>
    <row r="886" ht="13.2" spans="1: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</row>
    <row r="887" ht="13.2" spans="1: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</row>
    <row r="888" ht="13.2" spans="1: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</row>
    <row r="889" ht="13.2" spans="1: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</row>
    <row r="890" ht="13.2" spans="1: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</row>
    <row r="891" ht="13.2" spans="1: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</row>
    <row r="892" ht="13.2" spans="1: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</row>
    <row r="893" ht="13.2" spans="1: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</row>
    <row r="894" ht="13.2" spans="1: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</row>
    <row r="895" ht="13.2" spans="1: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</row>
    <row r="896" ht="13.2" spans="1: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</row>
    <row r="897" ht="13.2" spans="1: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</row>
    <row r="898" ht="13.2" spans="1: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</row>
    <row r="899" ht="13.2" spans="1: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</row>
    <row r="900" ht="13.2" spans="1: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</row>
    <row r="901" ht="13.2" spans="1: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</row>
    <row r="902" ht="13.2" spans="1: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</row>
    <row r="903" ht="13.2" spans="1: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</row>
    <row r="904" ht="13.2" spans="1: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</row>
    <row r="905" ht="13.2" spans="1: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</row>
    <row r="906" ht="13.2" spans="1: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</row>
    <row r="907" ht="13.2" spans="1: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</row>
    <row r="908" ht="13.2" spans="1: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</row>
    <row r="909" ht="13.2" spans="1: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</row>
    <row r="910" ht="13.2" spans="1: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</row>
    <row r="911" ht="13.2" spans="1: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</row>
    <row r="912" ht="13.2" spans="1: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</row>
    <row r="913" ht="13.2" spans="1: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</row>
    <row r="914" ht="13.2" spans="1: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</row>
    <row r="915" ht="13.2" spans="1: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</row>
    <row r="916" ht="13.2" spans="1: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</row>
    <row r="917" ht="13.2" spans="1: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</row>
    <row r="918" ht="13.2" spans="1: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</row>
    <row r="919" ht="13.2" spans="1: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</row>
    <row r="920" ht="13.2" spans="1: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</row>
    <row r="921" ht="13.2" spans="1: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</row>
    <row r="922" ht="13.2" spans="1: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</row>
    <row r="923" ht="13.2" spans="1: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</row>
    <row r="924" ht="13.2" spans="1: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</row>
    <row r="925" ht="13.2" spans="1: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</row>
    <row r="926" ht="13.2" spans="1: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</row>
    <row r="927" ht="13.2" spans="1: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</row>
    <row r="928" ht="13.2" spans="1: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</row>
    <row r="929" ht="13.2" spans="1: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</row>
    <row r="930" ht="13.2" spans="1: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</row>
    <row r="931" ht="13.2" spans="1: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</row>
    <row r="932" ht="13.2" spans="1: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</row>
    <row r="933" ht="13.2" spans="1: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</row>
    <row r="934" ht="13.2" spans="1: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</row>
    <row r="935" ht="13.2" spans="1: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</row>
    <row r="936" ht="13.2" spans="1: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</row>
    <row r="937" ht="13.2" spans="1: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</row>
    <row r="938" ht="13.2" spans="1: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</row>
    <row r="939" ht="13.2" spans="1: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</row>
    <row r="940" ht="13.2" spans="1: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</row>
    <row r="941" ht="13.2" spans="1: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</row>
    <row r="942" ht="13.2" spans="1: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</row>
    <row r="943" ht="13.2" spans="1: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</row>
    <row r="944" ht="13.2" spans="1: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</row>
    <row r="945" ht="13.2" spans="1: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</row>
    <row r="946" ht="13.2" spans="1: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</row>
    <row r="947" ht="13.2" spans="1: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</row>
    <row r="948" ht="13.2" spans="1: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</row>
    <row r="949" ht="13.2" spans="1: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</row>
    <row r="950" ht="13.2" spans="1: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</row>
    <row r="951" ht="13.2" spans="1: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</row>
    <row r="952" ht="13.2" spans="1: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</row>
    <row r="953" ht="13.2" spans="1: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</row>
    <row r="954" ht="13.2" spans="1: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</row>
    <row r="955" ht="13.2" spans="1: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</row>
    <row r="956" ht="13.2" spans="1: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</row>
    <row r="957" ht="13.2" spans="1: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</row>
    <row r="958" ht="13.2" spans="1: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</row>
    <row r="959" ht="13.2" spans="1: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</row>
    <row r="960" ht="13.2" spans="1: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</row>
    <row r="961" ht="13.2" spans="1: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</row>
    <row r="962" ht="13.2" spans="1: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</row>
    <row r="963" ht="13.2" spans="1: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</row>
    <row r="964" ht="13.2" spans="1: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</row>
    <row r="965" ht="13.2" spans="1: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</row>
    <row r="966" ht="13.2" spans="1: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</row>
    <row r="967" ht="13.2" spans="1: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</row>
    <row r="968" ht="13.2" spans="1: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</row>
    <row r="969" ht="13.2" spans="1: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</row>
    <row r="970" ht="13.2" spans="1: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</row>
    <row r="971" ht="13.2" spans="1: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</row>
    <row r="972" ht="13.2" spans="1: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</row>
    <row r="973" ht="13.2" spans="1: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</row>
    <row r="974" ht="13.2" spans="1:1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</row>
    <row r="975" ht="13.2" spans="1:1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</row>
    <row r="976" ht="13.2" spans="1:1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</row>
    <row r="977" ht="13.2" spans="1:1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</row>
    <row r="978" ht="13.2" spans="1:1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</row>
    <row r="979" ht="13.2" spans="1:1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</row>
    <row r="980" ht="13.2" spans="1:1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</row>
    <row r="981" ht="13.2" spans="1:1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</row>
    <row r="982" ht="13.2" spans="1:1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</row>
    <row r="983" ht="13.2" spans="1:1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</row>
    <row r="984" ht="13.2" spans="1:1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</row>
    <row r="985" ht="13.2" spans="1:1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</row>
    <row r="986" ht="13.2" spans="1:1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</row>
    <row r="987" ht="13.2" spans="1:1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</row>
    <row r="988" ht="13.2" spans="1:1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</row>
    <row r="989" ht="13.2" spans="1:1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</row>
    <row r="990" ht="13.2" spans="1:1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</row>
    <row r="991" ht="13.2" spans="1:1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</row>
  </sheetData>
  <hyperlinks>
    <hyperlink ref="A3" r:id="rId1" display="=IFERROR(@__xludf.DUMMYFUNCTION(&quot;&quot;&quot;COMPUTED_VALUE&quot;&quot;&quot;),&quot;S.No&quot;)"/>
    <hyperlink ref="F4" r:id="rId2" display="=IFERROR(@__xludf.DUMMYFUNCTION(&quot;&quot;&quot;COMPUTED_VALUE&quot;&quot;&quot;),&quot;Technical Writing&quot;)"/>
    <hyperlink ref="F5" r:id="rId3" display="=IFERROR(@__xludf.DUMMYFUNCTION(&quot;&quot;&quot;COMPUTED_VALUE&quot;&quot;&quot;),&quot;Public Speaking&quot;)"/>
    <hyperlink ref="F6" r:id="rId4" display="=IFERROR(@__xludf.DUMMYFUNCTION(&quot;&quot;&quot;COMPUTED_VALUE&quot;&quot;&quot;),&quot;Communicative English&quot;)"/>
    <hyperlink ref="F7" r:id="rId5" display="=IFERROR(@__xludf.DUMMYFUNCTION(&quot;&quot;&quot;COMPUTED_VALUE&quot;&quot;&quot;),&quot;Basic Financial Accounting&quot;)"/>
    <hyperlink ref="F8" r:id="rId6" display="=IFERROR(@__xludf.DUMMYFUNCTION(&quot;&quot;&quot;COMPUTED_VALUE&quot;&quot;&quot;),&quot;Human Resource Management and Team Building&quot;)"/>
    <hyperlink ref="F9" r:id="rId7" display="=IFERROR(@__xludf.DUMMYFUNCTION(&quot;&quot;&quot;COMPUTED_VALUE&quot;&quot;&quot;),&quot;Stock Market and Company Operations&quot;)"/>
    <hyperlink ref="F10" r:id="rId8" display="=IFERROR(@__xludf.DUMMYFUNCTION(&quot;&quot;&quot;COMPUTED_VALUE&quot;&quot;&quot;),&quot;தமிழர் மரபு/ Heritage of Tamils&quot;)"/>
    <hyperlink ref="F11" r:id="rId9" display="=IFERROR(@__xludf.DUMMYFUNCTION(&quot;&quot;&quot;COMPUTED_VALUE&quot;&quot;&quot;),&quot;தமிழரும் தொழில்நுட்பமும்/ Tamils and Technology&quot;)"/>
    <hyperlink ref="F12" r:id="rId10" display="=IFERROR(@__xludf.DUMMYFUNCTION(&quot;&quot;&quot;COMPUTED_VALUE&quot;&quot;&quot;),&quot;Human Values and Professional Ethics&quot;)"/>
    <hyperlink ref="F13" r:id="rId11" display="=IFERROR(@__xludf.DUMMYFUNCTION(&quot;&quot;&quot;COMPUTED_VALUE&quot;&quot;&quot;),&quot;Probability and Queueing Models&quot;)"/>
    <hyperlink ref="F14" r:id="rId12" display="=IFERROR(@__xludf.DUMMYFUNCTION(&quot;&quot;&quot;COMPUTED_VALUE&quot;&quot;&quot;),&quot;Transforms and Its Applications&quot;)"/>
    <hyperlink ref="F15" r:id="rId13" display="=IFERROR(@__xludf.DUMMYFUNCTION(&quot;&quot;&quot;COMPUTED_VALUE&quot;&quot;&quot;),&quot;Mathematics for Artificial Intelligence&quot;)"/>
    <hyperlink ref="F16" r:id="rId14" display="=IFERROR(@__xludf.DUMMYFUNCTION(&quot;&quot;&quot;COMPUTED_VALUE&quot;&quot;&quot;),&quot;Linear Algebra Laboratory&quot;)"/>
    <hyperlink ref="F17" r:id="rId15" display="=IFERROR(@__xludf.DUMMYFUNCTION(&quot;&quot;&quot;COMPUTED_VALUE&quot;&quot;&quot;),&quot;Statistics and Numerical Methods&quot;)"/>
    <hyperlink ref="F18" r:id="rId16" display="=IFERROR(@__xludf.DUMMYFUNCTION(&quot;&quot;&quot;COMPUTED_VALUE&quot;&quot;&quot;),&quot;Physics for Quantum Computing&quot;)"/>
    <hyperlink ref="F19" r:id="rId17" display="=IFERROR(@__xludf.DUMMYFUNCTION(&quot;&quot;&quot;COMPUTED_VALUE&quot;&quot;&quot;),&quot;Principles of Chemistry in Engineering&quot;)"/>
    <hyperlink ref="F20" r:id="rId18" display="=IFERROR(@__xludf.DUMMYFUNCTION(&quot;&quot;&quot;COMPUTED_VALUE&quot;&quot;&quot;),&quot;Environmental Sciences and Sustainability&quot;)"/>
    <hyperlink ref="F21" r:id="rId19" display="=IFERROR(@__xludf.DUMMYFUNCTION(&quot;&quot;&quot;COMPUTED_VALUE&quot;&quot;&quot;),&quot;Python Programming&quot;)"/>
    <hyperlink ref="F22" r:id="rId20" display="=IFERROR(@__xludf.DUMMYFUNCTION(&quot;&quot;&quot;COMPUTED_VALUE&quot;&quot;&quot;),&quot;Engineering Design and Modelling&quot;)"/>
    <hyperlink ref="F23" r:id="rId21" display="=IFERROR(@__xludf.DUMMYFUNCTION(&quot;&quot;&quot;COMPUTED_VALUE&quot;&quot;&quot;),&quot;Engineering Mechanics and Product Development&quot;)"/>
    <hyperlink ref="F24" r:id="rId22" display="=IFERROR(@__xludf.DUMMYFUNCTION(&quot;&quot;&quot;COMPUTED_VALUE&quot;&quot;&quot;),&quot;Object Oriented Programming using C++&quot;)"/>
    <hyperlink ref="F25" r:id="rId23" display="=IFERROR(@__xludf.DUMMYFUNCTION(&quot;&quot;&quot;COMPUTED_VALUE&quot;&quot;&quot;),&quot;Object Oriented Programming using Java&quot;)"/>
    <hyperlink ref="F26" r:id="rId24" display="=IFERROR(@__xludf.DUMMYFUNCTION(&quot;&quot;&quot;COMPUTED_VALUE&quot;&quot;&quot;),&quot;Object Oriented Programming using C#&quot;)"/>
    <hyperlink ref="F27" r:id="rId25" display="=IFERROR(@__xludf.DUMMYFUNCTION(&quot;&quot;&quot;COMPUTED_VALUE&quot;&quot;&quot;),&quot;Digital Electronics&quot;)"/>
    <hyperlink ref="F28" r:id="rId26" display="=IFERROR(@__xludf.DUMMYFUNCTION(&quot;&quot;&quot;COMPUTED_VALUE&quot;&quot;&quot;),&quot;Basic Electrical, Electronics and Measurement Engineering&quot;)"/>
    <hyperlink ref="F29" r:id="rId27" display="=IFERROR(@__xludf.DUMMYFUNCTION(&quot;&quot;&quot;COMPUTED_VALUE&quot;&quot;&quot;),&quot;Programming Microcontrollers&quot;)"/>
    <hyperlink ref="F30" r:id="rId28" display="=IFERROR(@__xludf.DUMMYFUNCTION(&quot;&quot;&quot;COMPUTED_VALUE&quot;&quot;&quot;),&quot;Fundamentals of C Programming&quot;)"/>
    <hyperlink ref="F31" r:id="rId29" display="=IFERROR(@__xludf.DUMMYFUNCTION(&quot;&quot;&quot;COMPUTED_VALUE&quot;&quot;&quot;),&quot;Advanced C Programming&quot;)"/>
    <hyperlink ref="F32" r:id="rId30" display="=IFERROR(@__xludf.DUMMYFUNCTION(&quot;&quot;&quot;COMPUTED_VALUE&quot;&quot;&quot;),&quot;Operating System&quot;)"/>
    <hyperlink ref="F33" r:id="rId31" display="=IFERROR(@__xludf.DUMMYFUNCTION(&quot;&quot;&quot;COMPUTED_VALUE&quot;&quot;&quot;),&quot;Computer Networks&quot;)"/>
    <hyperlink ref="F35" r:id="rId32" display="=IFERROR(@__xludf.DUMMYFUNCTION(&quot;&quot;&quot;COMPUTED_VALUE&quot;&quot;&quot;),&quot;Data Structures&quot;)"/>
    <hyperlink ref="F36" r:id="rId33" display="=IFERROR(@__xludf.DUMMYFUNCTION(&quot;&quot;&quot;COMPUTED_VALUE&quot;&quot;&quot;),&quot;Analysis of Algorithms&quot;)"/>
    <hyperlink ref="F37" r:id="rId34" display="=IFERROR(@__xludf.DUMMYFUNCTION(&quot;&quot;&quot;COMPUTED_VALUE&quot;&quot;&quot;),&quot;Fundamentals of Web Application Development&quot;)"/>
    <hyperlink ref="F38" r:id="rId35" display="=IFERROR(@__xludf.DUMMYFUNCTION(&quot;&quot;&quot;COMPUTED_VALUE&quot;&quot;&quot;),&quot;Fundamentals of Artificial Intelligence&quot;)"/>
    <hyperlink ref="F39" r:id="rId36" display="=IFERROR(@__xludf.DUMMYFUNCTION(&quot;&quot;&quot;COMPUTED_VALUE&quot;&quot;&quot;),&quot;Artificial Intelligence for Games&quot;)"/>
    <hyperlink ref="F40" r:id="rId37" display="=IFERROR(@__xludf.DUMMYFUNCTION(&quot;&quot;&quot;COMPUTED_VALUE&quot;&quot;&quot;),&quot;Digital Image Processing Techniques&quot;)"/>
    <hyperlink ref="F41" r:id="rId38" display="=IFERROR(@__xludf.DUMMYFUNCTION(&quot;&quot;&quot;COMPUTED_VALUE&quot;&quot;&quot;),&quot;Applied Artificial Intelligence&quot;)"/>
    <hyperlink ref="F42" r:id="rId39" display="=IFERROR(@__xludf.DUMMYFUNCTION(&quot;&quot;&quot;COMPUTED_VALUE&quot;&quot;&quot;),&quot;Introduction to Machine Learning&quot;)"/>
    <hyperlink ref="F44" r:id="rId40" display="=IFERROR(@__xludf.DUMMYFUNCTION(&quot;&quot;&quot;COMPUTED_VALUE&quot;&quot;&quot;),&quot;Neural Networks&quot;)"/>
    <hyperlink ref="F46" r:id="rId41" display="=IFERROR(@__xludf.DUMMYFUNCTION(&quot;&quot;&quot;COMPUTED_VALUE&quot;&quot;&quot;),&quot;Deep Learning and its Applications&quot;)"/>
    <hyperlink ref="F48" r:id="rId42" display="=IFERROR(@__xludf.DUMMYFUNCTION(&quot;&quot;&quot;COMPUTED_VALUE&quot;&quot;&quot;),&quot;Applied Natural Language Processing&quot;)"/>
    <hyperlink ref="F49" r:id="rId43" display="=IFERROR(@__xludf.DUMMYFUNCTION(&quot;&quot;&quot;COMPUTED_VALUE&quot;&quot;&quot;),&quot;Computer Vision&quot;)"/>
    <hyperlink ref="F50" r:id="rId44" display="=IFERROR(@__xludf.DUMMYFUNCTION(&quot;&quot;&quot;COMPUTED_VALUE&quot;&quot;&quot;),&quot;Mobile Robotics&quot;)"/>
    <hyperlink ref="F52" r:id="rId45" display="=IFERROR(@__xludf.DUMMYFUNCTION(&quot;&quot;&quot;COMPUTED_VALUE&quot;&quot;&quot;),&quot;Special Topics in Artificial Intelligence&quot;)"/>
    <hyperlink ref="F54" r:id="rId46" display="=IFERROR(@__xludf.DUMMYFUNCTION(&quot;&quot;&quot;COMPUTED_VALUE&quot;&quot;&quot;),&quot;Concepts of Virtual And Augmented Reality&quot;)"/>
    <hyperlink ref="F55" r:id="rId47" display="=IFERROR(@__xludf.DUMMYFUNCTION(&quot;&quot;&quot;COMPUTED_VALUE&quot;&quot;&quot;),&quot;Mobile VR And AI In Unity&quot;)"/>
    <hyperlink ref="F56" r:id="rId48" display="=IFERROR(@__xludf.DUMMYFUNCTION(&quot;&quot;&quot;COMPUTED_VALUE&quot;&quot;&quot;),&quot;Scientific and Engineering Data Visualization&quot;)"/>
    <hyperlink ref="F57" r:id="rId49" display="=IFERROR(@__xludf.DUMMYFUNCTION(&quot;&quot;&quot;COMPUTED_VALUE&quot;&quot;&quot;),&quot;NoSQL Database Design&quot;)"/>
    <hyperlink ref="F58" r:id="rId50" display="=IFERROR(@__xludf.DUMMYFUNCTION(&quot;&quot;&quot;COMPUTED_VALUE&quot;&quot;&quot;),&quot;Game Programming&quot;)"/>
    <hyperlink ref="F59" r:id="rId51" display="=IFERROR(@__xludf.DUMMYFUNCTION(&quot;&quot;&quot;COMPUTED_VALUE&quot;&quot;&quot;),&quot;Self Driving Car&quot;)"/>
    <hyperlink ref="F60" r:id="rId52" display="=IFERROR(@__xludf.DUMMYFUNCTION(&quot;&quot;&quot;COMPUTED_VALUE&quot;&quot;&quot;),&quot;Smart Manufacturing Technology&quot;)"/>
    <hyperlink ref="F61" r:id="rId53" display="=IFERROR(@__xludf.DUMMYFUNCTION(&quot;&quot;&quot;COMPUTED_VALUE&quot;&quot;&quot;),&quot;Information Retrieval&quot;)"/>
    <hyperlink ref="F62" r:id="rId54" display="=IFERROR(@__xludf.DUMMYFUNCTION(&quot;&quot;&quot;COMPUTED_VALUE&quot;&quot;&quot;),&quot;Big Data Mining and Analysis&quot;)"/>
    <hyperlink ref="F63" r:id="rId55" display="=IFERROR(@__xludf.DUMMYFUNCTION(&quot;&quot;&quot;COMPUTED_VALUE&quot;&quot;&quot;),&quot;Business Analytics&quot;)"/>
    <hyperlink ref="F64" r:id="rId56" display="=IFERROR(@__xludf.DUMMYFUNCTION(&quot;&quot;&quot;COMPUTED_VALUE&quot;&quot;&quot;),&quot;Cognitive Systems&quot;)"/>
    <hyperlink ref="F65" r:id="rId57" display="=IFERROR(@__xludf.DUMMYFUNCTION(&quot;&quot;&quot;COMPUTED_VALUE&quot;&quot;&quot;),&quot;Distributed Database&quot;)"/>
    <hyperlink ref="F66" r:id="rId58" display="=IFERROR(@__xludf.DUMMYFUNCTION(&quot;&quot;&quot;COMPUTED_VALUE&quot;&quot;&quot;),&quot;Data Mining and Warehousing&quot;)"/>
    <hyperlink ref="F67" r:id="rId59" display="=IFERROR(@__xludf.DUMMYFUNCTION(&quot;&quot;&quot;COMPUTED_VALUE&quot;&quot;&quot;),&quot;Expert Systems&quot;)"/>
    <hyperlink ref="F68" r:id="rId60" display="=IFERROR(@__xludf.DUMMYFUNCTION(&quot;&quot;&quot;COMPUTED_VALUE&quot;&quot;&quot;),&quot;Knowledge Engineering&quot;)"/>
    <hyperlink ref="F69" r:id="rId61" display="=IFERROR(@__xludf.DUMMYFUNCTION(&quot;&quot;&quot;COMPUTED_VALUE&quot;&quot;&quot;),&quot;Mobile Database&quot;)"/>
    <hyperlink ref="F70" r:id="rId62" display="=IFERROR(@__xludf.DUMMYFUNCTION(&quot;&quot;&quot;COMPUTED_VALUE&quot;&quot;&quot;),&quot;Multimedia Database&quot;)"/>
    <hyperlink ref="F71" r:id="rId63" display="=IFERROR(@__xludf.DUMMYFUNCTION(&quot;&quot;&quot;COMPUTED_VALUE&quot;&quot;&quot;),&quot;Video Processing&quot;)"/>
    <hyperlink ref="F73" r:id="rId64" display="=IFERROR(@__xludf.DUMMYFUNCTION(&quot;&quot;&quot;COMPUTED_VALUE&quot;&quot;&quot;),&quot;Genetic Algorithms&quot;)"/>
    <hyperlink ref="F75" r:id="rId65" display="=IFERROR(@__xludf.DUMMYFUNCTION(&quot;&quot;&quot;COMPUTED_VALUE&quot;&quot;&quot;),&quot;Brain Computer Interaction&quot;)"/>
    <hyperlink ref="F76" r:id="rId66" display="=IFERROR(@__xludf.DUMMYFUNCTION(&quot;&quot;&quot;COMPUTED_VALUE&quot;&quot;&quot;),&quot;Information Security and Access Control&quot;)"/>
    <hyperlink ref="F77" r:id="rId67" display="=IFERROR(@__xludf.DUMMYFUNCTION(&quot;&quot;&quot;COMPUTED_VALUE&quot;&quot;&quot;),&quot;Security Assessment and Risk Analysis&quot;)"/>
    <hyperlink ref="F78" r:id="rId68" display="=IFERROR(@__xludf.DUMMYFUNCTION(&quot;&quot;&quot;COMPUTED_VALUE&quot;&quot;&quot;),&quot;Theory of Computation&quot;)"/>
    <hyperlink ref="F79" r:id="rId69" display="=IFERROR(@__xludf.DUMMYFUNCTION(&quot;&quot;&quot;COMPUTED_VALUE&quot;&quot;&quot;),&quot;Software Engineering&quot;)"/>
    <hyperlink ref="F80" r:id="rId70" display="=IFERROR(@__xludf.DUMMYFUNCTION(&quot;&quot;&quot;COMPUTED_VALUE&quot;&quot;&quot;),&quot;Compiler Design&quot;)"/>
    <hyperlink ref="F81" r:id="rId71" display="=IFERROR(@__xludf.DUMMYFUNCTION(&quot;&quot;&quot;COMPUTED_VALUE&quot;&quot;&quot;),&quot;Advanced Graph Theory and Applications&quot;)"/>
    <hyperlink ref="F82" r:id="rId72" display="=IFERROR(@__xludf.DUMMYFUNCTION(&quot;&quot;&quot;COMPUTED_VALUE&quot;&quot;&quot;),&quot;Advanced Data Structures&quot;)"/>
    <hyperlink ref="F83" r:id="rId73" display="=IFERROR(@__xludf.DUMMYFUNCTION(&quot;&quot;&quot;COMPUTED_VALUE&quot;&quot;&quot;),&quot;Control of Robotic Systems&quot;)"/>
    <hyperlink ref="F84" r:id="rId74" display="=IFERROR(@__xludf.DUMMYFUNCTION(&quot;&quot;&quot;COMPUTED_VALUE&quot;&quot;&quot;),&quot;Cryptography and Security&quot;)"/>
    <hyperlink ref="F85" r:id="rId75" display="=IFERROR(@__xludf.DUMMYFUNCTION(&quot;&quot;&quot;COMPUTED_VALUE&quot;&quot;&quot;),&quot;Information Theory for Cyber Security&quot;)"/>
    <hyperlink ref="F86" r:id="rId76" display="=IFERROR(@__xludf.DUMMYFUNCTION(&quot;&quot;&quot;COMPUTED_VALUE&quot;&quot;&quot;),&quot;Introduction to Robotics&quot;)"/>
    <hyperlink ref="F87" r:id="rId77" display="=IFERROR(@__xludf.DUMMYFUNCTION(&quot;&quot;&quot;COMPUTED_VALUE&quot;&quot;&quot;),&quot;Kinematics and Dynamics of Robots&quot;)"/>
    <hyperlink ref="F88" r:id="rId78" display="=IFERROR(@__xludf.DUMMYFUNCTION(&quot;&quot;&quot;COMPUTED_VALUE&quot;&quot;&quot;),&quot;Robotic Sensors&quot;)"/>
    <hyperlink ref="F89" r:id="rId79" display="=IFERROR(@__xludf.DUMMYFUNCTION(&quot;&quot;&quot;COMPUTED_VALUE&quot;&quot;&quot;),&quot;Steganography and Digital Watermarking&quot;)"/>
    <hyperlink ref="F90" r:id="rId80" display="=IFERROR(@__xludf.DUMMYFUNCTION(&quot;&quot;&quot;COMPUTED_VALUE&quot;&quot;&quot;),&quot;Computer Graphics for Virtual Reality&quot;)"/>
    <hyperlink ref="F91" r:id="rId81" display="=IFERROR(@__xludf.DUMMYFUNCTION(&quot;&quot;&quot;COMPUTED_VALUE&quot;&quot;&quot;),&quot;Mathematical Modelling and Computer Aided Engineering&quot;)"/>
    <hyperlink ref="F92" r:id="rId82" display="=IFERROR(@__xludf.DUMMYFUNCTION(&quot;&quot;&quot;COMPUTED_VALUE&quot;&quot;&quot;),&quot;Mobile User Interface Development&quot;)"/>
    <hyperlink ref="F93" r:id="rId83" display="=IFERROR(@__xludf.DUMMYFUNCTION(&quot;&quot;&quot;COMPUTED_VALUE&quot;&quot;&quot;),&quot;Programming Mobile Devices&quot;)"/>
    <hyperlink ref="F94" r:id="rId84" display="=IFERROR(@__xludf.DUMMYFUNCTION(&quot;&quot;&quot;COMPUTED_VALUE&quot;&quot;&quot;),&quot;Cloud Computing&quot;)"/>
    <hyperlink ref="F95" r:id="rId85" display="=IFERROR(@__xludf.DUMMYFUNCTION(&quot;&quot;&quot;COMPUTED_VALUE&quot;&quot;&quot;),&quot;Agile Software Development&quot;)"/>
    <hyperlink ref="F96" r:id="rId86" display="=IFERROR(@__xludf.DUMMYFUNCTION(&quot;&quot;&quot;COMPUTED_VALUE&quot;&quot;&quot;),&quot;Software Testing&quot;)"/>
    <hyperlink ref="F97" r:id="rId87" display="=IFERROR(@__xludf.DUMMYFUNCTION(&quot;&quot;&quot;COMPUTED_VALUE&quot;&quot;&quot;),&quot;Virtualization and Containerization&quot;)"/>
    <hyperlink ref="F98" r:id="rId88" display="=IFERROR(@__xludf.DUMMYFUNCTION(&quot;&quot;&quot;COMPUTED_VALUE&quot;&quot;&quot;),&quot;Modern Web Application Development&quot;)"/>
    <hyperlink ref="F99" r:id="rId89" display="=IFERROR(@__xludf.DUMMYFUNCTION(&quot;&quot;&quot;COMPUTED_VALUE&quot;&quot;&quot;),&quot;Web Server Programming&quot;)"/>
    <hyperlink ref="F100" r:id="rId90" display="=IFERROR(@__xludf.DUMMYFUNCTION(&quot;&quot;&quot;COMPUTED_VALUE&quot;&quot;&quot;),&quot;Blockchain for Business&quot;)"/>
    <hyperlink ref="F101" r:id="rId91" display="=IFERROR(@__xludf.DUMMYFUNCTION(&quot;&quot;&quot;COMPUTED_VALUE&quot;&quot;&quot;),&quot;Parallel Computing Architecture&quot;)"/>
    <hyperlink ref="F102" r:id="rId92" display="=IFERROR(@__xludf.DUMMYFUNCTION(&quot;&quot;&quot;COMPUTED_VALUE&quot;&quot;&quot;),&quot;Introduction to IoT&quot;)"/>
    <hyperlink ref="F103" r:id="rId93" display="=IFERROR(@__xludf.DUMMYFUNCTION(&quot;&quot;&quot;COMPUTED_VALUE&quot;&quot;&quot;),&quot;Prototyping of IoT Systems&quot;)"/>
    <hyperlink ref="F104" r:id="rId94" display="=IFERROR(@__xludf.DUMMYFUNCTION(&quot;&quot;&quot;COMPUTED_VALUE&quot;&quot;&quot;),&quot;Embedded Board Design&quot;)"/>
    <hyperlink ref="F105" r:id="rId95" display="=IFERROR(@__xludf.DUMMYFUNCTION(&quot;&quot;&quot;COMPUTED_VALUE&quot;&quot;&quot;),&quot;Advanced Java Web Applications&quot;)"/>
    <hyperlink ref="F106" r:id="rId96" display="=IFERROR(@__xludf.DUMMYFUNCTION(&quot;&quot;&quot;COMPUTED_VALUE&quot;&quot;&quot;),&quot;Ethical Hacking Techniques&quot;)"/>
    <hyperlink ref="F107" r:id="rId97" display="=IFERROR(@__xludf.DUMMYFUNCTION(&quot;&quot;&quot;COMPUTED_VALUE&quot;&quot;&quot;),&quot;Open Source Operating System&quot;)"/>
    <hyperlink ref="F108" r:id="rId98" display="=IFERROR(@__xludf.DUMMYFUNCTION(&quot;&quot;&quot;COMPUTED_VALUE&quot;&quot;&quot;),&quot;Cyber Law and Compliance&quot;)"/>
    <hyperlink ref="F109" r:id="rId86" display="=IFERROR(@__xludf.DUMMYFUNCTION(&quot;&quot;&quot;COMPUTED_VALUE&quot;&quot;&quot;),&quot;Software Testing&quot;)"/>
    <hyperlink ref="F110" r:id="rId99" display="=IFERROR(@__xludf.DUMMYFUNCTION(&quot;&quot;&quot;COMPUTED_VALUE&quot;&quot;&quot;),&quot;Robot Programming&quot;)"/>
    <hyperlink ref="F111" r:id="rId100" display="=IFERROR(@__xludf.DUMMYFUNCTION(&quot;&quot;&quot;COMPUTED_VALUE&quot;&quot;&quot;),&quot;Drone Assembly and Applications&quot;)"/>
    <hyperlink ref="F112" r:id="rId36" display="=IFERROR(@__xludf.DUMMYFUNCTION(&quot;&quot;&quot;COMPUTED_VALUE&quot;&quot;&quot;),&quot;Artificial Intelligence for Games&quot;)"/>
    <hyperlink ref="F113" r:id="rId101" display="=IFERROR(@__xludf.DUMMYFUNCTION(&quot;&quot;&quot;COMPUTED_VALUE&quot;&quot;&quot;),&quot;Drone Design and Control&quot;)"/>
    <hyperlink ref="F114" r:id="rId102" display="=IFERROR(@__xludf.DUMMYFUNCTION(&quot;&quot;&quot;COMPUTED_VALUE&quot;&quot;&quot;),&quot;Web Application User Interface Development&quot;)"/>
    <hyperlink ref="F115" r:id="rId103" display="=IFERROR(@__xludf.DUMMYFUNCTION(&quot;&quot;&quot;COMPUTED_VALUE&quot;&quot;&quot;),&quot;Fundamentals of Large Language Models&quot;)"/>
    <hyperlink ref="F118" r:id="rId104" display="=IFERROR(@__xludf.DUMMYFUNCTION(&quot;&quot;&quot;COMPUTED_VALUE&quot;&quot;&quot;),&quot;Exploratory Data Analysis&quot;)"/>
    <hyperlink ref="F119" r:id="rId105" display="=IFERROR(@__xludf.DUMMYFUNCTION(&quot;&quot;&quot;COMPUTED_VALUE&quot;&quot;&quot;),&quot;Image and Video Analytics&quot;)"/>
    <hyperlink ref="F120" r:id="rId106" display="=IFERROR(@__xludf.DUMMYFUNCTION(&quot;&quot;&quot;COMPUTED_VALUE&quot;&quot;&quot;),&quot;Neural Networks and Deep Learning&quot;)"/>
    <hyperlink ref="F121" r:id="rId107" display="=IFERROR(@__xludf.DUMMYFUNCTION(&quot;&quot;&quot;COMPUTED_VALUE&quot;&quot;&quot;),&quot;Recommender Systems&quot;)"/>
    <hyperlink ref="F122" r:id="rId108" display="=IFERROR(@__xludf.DUMMYFUNCTION(&quot;&quot;&quot;COMPUTED_VALUE&quot;&quot;&quot;),&quot;Text and Speech Analysis&quot;)"/>
    <hyperlink ref="F125" r:id="rId64" display="=IFERROR(@__xludf.DUMMYFUNCTION(&quot;&quot;&quot;COMPUTED_VALUE&quot;&quot;&quot;),&quot;Genetic Algorithms&quot;)"/>
    <hyperlink ref="F127" r:id="rId65" display="=IFERROR(@__xludf.DUMMYFUNCTION(&quot;&quot;&quot;COMPUTED_VALUE&quot;&quot;&quot;),&quot;Brain Computer Interaction&quot;)"/>
    <hyperlink ref="F128" r:id="rId109" display="=IFERROR(@__xludf.DUMMYFUNCTION(&quot;&quot;&quot;COMPUTED_VALUE&quot;&quot;&quot;),&quot;Statistical Learning Theory&quot;)"/>
    <hyperlink ref="F129" r:id="rId110" display="=IFERROR(@__xludf.DUMMYFUNCTION(&quot;&quot;&quot;COMPUTED_VALUE&quot;&quot;&quot;),&quot;Sensors and Actuators for IoT&quot;)"/>
    <hyperlink ref="F130" r:id="rId111" display="=IFERROR(@__xludf.DUMMYFUNCTION(&quot;&quot;&quot;COMPUTED_VALUE&quot;&quot;&quot;),&quot;Security and Trust in IoT&quot;)"/>
    <hyperlink ref="F131" r:id="rId112" display="=IFERROR(@__xludf.DUMMYFUNCTION(&quot;&quot;&quot;COMPUTED_VALUE&quot;&quot;&quot;),&quot;Industrial Internet of Things&quot;)"/>
    <hyperlink ref="F132" r:id="rId113" display="=IFERROR(@__xludf.DUMMYFUNCTION(&quot;&quot;&quot;COMPUTED_VALUE&quot;&quot;&quot;),&quot;Software for Embedded Systems&quot;)"/>
    <hyperlink ref="F133" r:id="rId114" display="=IFERROR(@__xludf.DUMMYFUNCTION(&quot;&quot;&quot;COMPUTED_VALUE&quot;&quot;&quot;),&quot;IoT Architecture and Protocols&quot;)"/>
    <hyperlink ref="F134" r:id="rId115" display="=IFERROR(@__xludf.DUMMYFUNCTION(&quot;&quot;&quot;COMPUTED_VALUE&quot;&quot;&quot;),&quot;Arduino for IoT&quot;)"/>
    <hyperlink ref="F135" r:id="rId116" display="=IFERROR(@__xludf.DUMMYFUNCTION(&quot;&quot;&quot;COMPUTED_VALUE&quot;&quot;&quot;),&quot;Raspberry Pi for IoT&quot;)"/>
    <hyperlink ref="F136" r:id="rId117" display="=IFERROR(@__xludf.DUMMYFUNCTION(&quot;&quot;&quot;COMPUTED_VALUE&quot;&quot;&quot;),&quot;Motion Planning Techniques&quot;)"/>
    <hyperlink ref="F137" r:id="rId118" display="=IFERROR(@__xludf.DUMMYFUNCTION(&quot;&quot;&quot;COMPUTED_VALUE&quot;&quot;&quot;),&quot;Advanced Java Programming&quot;)"/>
    <hyperlink ref="F142" r:id="rId43" display="=IFERROR(@__xludf.DUMMYFUNCTION(&quot;&quot;&quot;COMPUTED_VALUE&quot;&quot;&quot;),&quot;Computer Vision&quot;)"/>
    <hyperlink ref="F144" r:id="rId42" display="=IFERROR(@__xludf.DUMMYFUNCTION(&quot;&quot;&quot;COMPUTED_VALUE&quot;&quot;&quot;),&quot;Applied Natural Language Processing&quot;)"/>
    <hyperlink ref="F145" r:id="rId119" display="=IFERROR(@__xludf.DUMMYFUNCTION(&quot;&quot;&quot;COMPUTED_VALUE&quot;&quot;&quot;),&quot;Computer Architecture&quot;)"/>
    <hyperlink ref="F146" r:id="rId120" display="=IFERROR(@__xludf.DUMMYFUNCTION(&quot;&quot;&quot;COMPUTED_VALUE&quot;&quot;&quot;),&quot;Cloud Native App Development&quot;)"/>
    <hyperlink ref="F147" r:id="rId121" display="=IFERROR(@__xludf.DUMMYFUNCTION(&quot;&quot;&quot;COMPUTED_VALUE&quot;&quot;&quot;),&quot;Cryptography&quot;)"/>
    <hyperlink ref="F148" r:id="rId66" display="=IFERROR(@__xludf.DUMMYFUNCTION(&quot;&quot;&quot;COMPUTED_VALUE&quot;&quot;&quot;),&quot;Information Security and Access Control&quot;)"/>
    <hyperlink ref="F149" r:id="rId67" display="=IFERROR(@__xludf.DUMMYFUNCTION(&quot;&quot;&quot;COMPUTED_VALUE&quot;&quot;&quot;),&quot;Security Assessment and Risk Analysis&quot;)"/>
    <hyperlink ref="F150" r:id="rId71" display="=IFERROR(@__xludf.DUMMYFUNCTION(&quot;&quot;&quot;COMPUTED_VALUE&quot;&quot;&quot;),&quot;Advanced Graph Theory and Applications&quot;)"/>
    <hyperlink ref="F151" r:id="rId72" display="=IFERROR(@__xludf.DUMMYFUNCTION(&quot;&quot;&quot;COMPUTED_VALUE&quot;&quot;&quot;),&quot;Advanced Data Structures&quot;)"/>
    <hyperlink ref="F152" r:id="rId122" display="=IFERROR(@__xludf.DUMMYFUNCTION(&quot;&quot;&quot;COMPUTED_VALUE&quot;&quot;&quot;),&quot;Artificial Intelligence and Applications&quot;)"/>
    <hyperlink ref="F153" r:id="rId123" display="=IFERROR(@__xludf.DUMMYFUNCTION(&quot;&quot;&quot;COMPUTED_VALUE&quot;&quot;&quot;),&quot;Python Programming for IoT&quot;)"/>
    <hyperlink ref="F154" r:id="rId124" display="=IFERROR(@__xludf.DUMMYFUNCTION(&quot;&quot;&quot;COMPUTED_VALUE&quot;&quot;&quot;),&quot;Applications of IoT in Robotics&quot;)"/>
    <hyperlink ref="F155" r:id="rId125" display="=IFERROR(@__xludf.DUMMYFUNCTION(&quot;&quot;&quot;COMPUTED_VALUE&quot;&quot;&quot;),&quot;Programming for IoT Boards&quot;)"/>
    <hyperlink ref="F156" r:id="rId126" display="=IFERROR(@__xludf.DUMMYFUNCTION(&quot;&quot;&quot;COMPUTED_VALUE&quot;&quot;&quot;),&quot;Design of Smart Cities&quot;)"/>
    <hyperlink ref="F157" r:id="rId127" display="=IFERROR(@__xludf.DUMMYFUNCTION(&quot;&quot;&quot;COMPUTED_VALUE&quot;&quot;&quot;),&quot;IoT and Multimedia Technology&quot;)"/>
    <hyperlink ref="F158" r:id="rId128" display="=IFERROR(@__xludf.DUMMYFUNCTION(&quot;&quot;&quot;COMPUTED_VALUE&quot;&quot;&quot;),&quot;Mobile Application Development for IoT&quot;)"/>
    <hyperlink ref="F159" r:id="rId128" display="=IFERROR(@__xludf.DUMMYFUNCTION(&quot;&quot;&quot;COMPUTED_VALUE&quot;&quot;&quot;),&quot;Open Source Programming for IoT&quot;)"/>
    <hyperlink ref="F160" r:id="rId129" display="=IFERROR(@__xludf.DUMMYFUNCTION(&quot;&quot;&quot;COMPUTED_VALUE&quot;&quot;&quot;),&quot;Problem Solving and Python Programming&quot;)"/>
    <hyperlink ref="F161" r:id="rId130" display="=IFERROR(@__xludf.DUMMYFUNCTION(&quot;&quot;&quot;COMPUTED_VALUE&quot;&quot;&quot;),&quot;Programming in C&quot;)"/>
    <hyperlink ref="F162" r:id="rId131" display="=IFERROR(@__xludf.DUMMYFUNCTION(&quot;&quot;&quot;COMPUTED_VALUE&quot;&quot;&quot;),&quot;Software Testing Laboratory&quot;)"/>
    <hyperlink ref="F163" r:id="rId132" display="=IFERROR(@__xludf.DUMMYFUNCTION(&quot;&quot;&quot;COMPUTED_VALUE&quot;&quot;&quot;),&quot;Data Structures and Object Oriented Programming using C++&quot;)"/>
    <hyperlink ref="F164" r:id="rId133" display="=IFERROR(@__xludf.DUMMYFUNCTION(&quot;&quot;&quot;COMPUTED_VALUE&quot;&quot;&quot;),&quot;Design and Analysis of Algorithms&quot;)"/>
    <hyperlink ref="F165" r:id="rId134" display="=IFERROR(@__xludf.DUMMYFUNCTION(&quot;&quot;&quot;COMPUTED_VALUE&quot;&quot;&quot;),&quot;Programming Paradigms&quot;)"/>
    <hyperlink ref="F166" r:id="rId135" display="=IFERROR(@__xludf.DUMMYFUNCTION(&quot;&quot;&quot;COMPUTED_VALUE&quot;&quot;&quot;),&quot;Web Programming&quot;)"/>
    <hyperlink ref="F167" r:id="rId136" display="=IFERROR(@__xludf.DUMMYFUNCTION(&quot;&quot;&quot;COMPUTED_VALUE&quot;&quot;&quot;),&quot;Virtualization and Cloud Computing&quot;)"/>
    <hyperlink ref="F168" r:id="rId137" display="=IFERROR(@__xludf.DUMMYFUNCTION(&quot;&quot;&quot;COMPUTED_VALUE&quot;&quot;&quot;),&quot;Cryptography and Network Security&quot;)"/>
    <hyperlink ref="F169" r:id="rId138" display="=IFERROR(@__xludf.DUMMYFUNCTION(&quot;&quot;&quot;COMPUTED_VALUE&quot;&quot;&quot;),&quot;Cloud Security&quot;)"/>
    <hyperlink ref="F170" r:id="rId121" display="=IFERROR(@__xludf.DUMMYFUNCTION(&quot;&quot;&quot;COMPUTED_VALUE&quot;&quot;&quot;),&quot;Digital Forensics and Digital Investigations&quot;)"/>
    <hyperlink ref="F171" r:id="rId139" display="=IFERROR(@__xludf.DUMMYFUNCTION(&quot;&quot;&quot;COMPUTED_VALUE&quot;&quot;&quot;),&quot;Edge Computing&quot;)"/>
    <hyperlink ref="F172" r:id="rId140" display="=IFERROR(@__xludf.DUMMYFUNCTION(&quot;&quot;&quot;COMPUTED_VALUE&quot;&quot;&quot;),&quot;Security for IoT Systems&quot;)"/>
    <hyperlink ref="F173" r:id="rId141" display="=IFERROR(@__xludf.DUMMYFUNCTION(&quot;&quot;&quot;COMPUTED_VALUE&quot;&quot;&quot;),&quot;Software Testing and Quality Assurance&quot;)"/>
    <hyperlink ref="F174" r:id="rId142" display="=IFERROR(@__xludf.DUMMYFUNCTION(&quot;&quot;&quot;COMPUTED_VALUE&quot;&quot;&quot;),&quot;Industrial IOT&quot;)"/>
    <hyperlink ref="F175" r:id="rId143" display="=IFERROR(@__xludf.DUMMYFUNCTION(&quot;&quot;&quot;COMPUTED_VALUE&quot;&quot;&quot;),&quot;Information Security Intelligence and Analytics using Big Data&quot;)"/>
    <hyperlink ref="F176" r:id="rId144" display="=IFERROR(@__xludf.DUMMYFUNCTION(&quot;&quot;&quot;COMPUTED_VALUE&quot;&quot;&quot;),&quot;Prevention Methodology for Cybersecurity&quot;)"/>
    <hyperlink ref="F177" r:id="rId145" display="=IFERROR(@__xludf.DUMMYFUNCTION(&quot;&quot;&quot;COMPUTED_VALUE&quot;&quot;&quot;),&quot;Trusted Network Systems&quot;)"/>
    <hyperlink ref="F178" r:id="rId146" display="=IFERROR(@__xludf.DUMMYFUNCTION(&quot;&quot;&quot;COMPUTED_VALUE&quot;&quot;&quot;),&quot;Firewalls and Intrusion Detection System&quot;)"/>
    <hyperlink ref="F179" r:id="rId147" display="=IFERROR(@__xludf.DUMMYFUNCTION(&quot;&quot;&quot;COMPUTED_VALUE&quot;&quot;&quot;),&quot;Secure Software Engineering&quot;)"/>
    <hyperlink ref="F180" r:id="rId148" display="=IFERROR(@__xludf.DUMMYFUNCTION(&quot;&quot;&quot;COMPUTED_VALUE&quot;&quot;&quot;),&quot;System Security&quot;)"/>
    <hyperlink ref="F181" r:id="rId149" display="=IFERROR(@__xludf.DUMMYFUNCTION(&quot;&quot;&quot;COMPUTED_VALUE&quot;&quot;&quot;),&quot;Hardware Security&quot;)"/>
    <hyperlink ref="F182" r:id="rId150" display="=IFERROR(@__xludf.DUMMYFUNCTION(&quot;&quot;&quot;COMPUTED_VALUE&quot;&quot;&quot;),&quot;Fog Computing&quot;)"/>
    <hyperlink ref="F183" r:id="rId144" display="=IFERROR(@__xludf.DUMMYFUNCTION(&quot;&quot;&quot;COMPUTED_VALUE&quot;&quot;&quot;),&quot;Embedded Board Manufacturing&quot;)"/>
    <hyperlink ref="F184" r:id="rId151" display="=IFERROR(@__xludf.DUMMYFUNCTION(&quot;&quot;&quot;COMPUTED_VALUE&quot;&quot;&quot;),&quot;Cloud Services Management&quot;)"/>
    <hyperlink ref="F185" r:id="rId152" display="=IFERROR(@__xludf.DUMMYFUNCTION(&quot;&quot;&quot;COMPUTED_VALUE&quot;&quot;&quot;),&quot;UI and UX Design&quot;)"/>
    <hyperlink ref="F186" r:id="rId153" display="=IFERROR(@__xludf.DUMMYFUNCTION(&quot;&quot;&quot;COMPUTED_VALUE&quot;&quot;&quot;),&quot;Software Testing and Automation&quot;)"/>
    <hyperlink ref="F187" r:id="rId154" display="=IFERROR(@__xludf.DUMMYFUNCTION(&quot;&quot;&quot;COMPUTED_VALUE&quot;&quot;&quot;),&quot;DevOps&quot;)"/>
    <hyperlink ref="F188" r:id="rId155" display="=IFERROR(@__xludf.DUMMYFUNCTION(&quot;&quot;&quot;COMPUTED_VALUE&quot;&quot;&quot;),&quot;Web Application Security&quot;)"/>
    <hyperlink ref="F189" r:id="rId156" display="=IFERROR(@__xludf.DUMMYFUNCTION(&quot;&quot;&quot;COMPUTED_VALUE&quot;&quot;&quot;),&quot;Robotic Process Automation&quot;)"/>
    <hyperlink ref="F190" r:id="rId157" display="=IFERROR(@__xludf.DUMMYFUNCTION(&quot;&quot;&quot;COMPUTED_VALUE&quot;&quot;&quot;),&quot;Software Project Management and Version Control&quot;)"/>
    <hyperlink ref="F191" r:id="rId158" display="=IFERROR(@__xludf.DUMMYFUNCTION(&quot;&quot;&quot;COMPUTED_VALUE&quot;&quot;&quot;),&quot;Generative AI Application Development&quot;)"/>
    <hyperlink ref="F192" r:id="rId159" display="=IFERROR(@__xludf.DUMMYFUNCTION(&quot;&quot;&quot;COMPUTED_VALUE&quot;&quot;&quot;),&quot;Fine Tuning Large Language Models&quot;)"/>
    <hyperlink ref="F193" r:id="rId160" display="=IFERROR(@__xludf.DUMMYFUNCTION(&quot;&quot;&quot;COMPUTED_VALUE&quot;&quot;&quot;),&quot;Applied Data Science&quot;)"/>
    <hyperlink ref="F194" r:id="rId161" display="=IFERROR(@__xludf.DUMMYFUNCTION(&quot;&quot;&quot;COMPUTED_VALUE&quot;&quot;&quot;),&quot;Entrepreneurship and Small Business Development&quot;)"/>
    <hyperlink ref="F195" r:id="rId162" display="=IFERROR(@__xludf.DUMMYFUNCTION(&quot;&quot;&quot;COMPUTED_VALUE&quot;&quot;&quot;),&quot;Software Development and Operations&quot;)"/>
    <hyperlink ref="F196" r:id="rId163" display="=IFERROR(@__xludf.DUMMYFUNCTION(&quot;&quot;&quot;COMPUTED_VALUE&quot;&quot;&quot;),&quot;Serverless App Development&quot;)"/>
    <hyperlink ref="F197" r:id="rId164" display="=IFERROR(@__xludf.DUMMYFUNCTION(&quot;&quot;&quot;COMPUTED_VALUE&quot;&quot;&quot;),&quot;Enterprise Cloud Architecture&quot;)"/>
    <hyperlink ref="F198" r:id="rId165" display="=IFERROR(@__xludf.DUMMYFUNCTION(&quot;&quot;&quot;COMPUTED_VALUE&quot;&quot;&quot;),&quot;Advanced Class Design and Object-Oriented Techniques&quot;)"/>
    <hyperlink ref="F199" r:id="rId166" display="=IFERROR(@__xludf.DUMMYFUNCTION(&quot;&quot;&quot;COMPUTED_VALUE&quot;&quot;&quot;),&quot;Low-Code App Development&quot;)"/>
    <hyperlink ref="F200" r:id="rId167" display="=IFERROR(@__xludf.DUMMYFUNCTION(&quot;&quot;&quot;COMPUTED_VALUE&quot;&quot;&quot;),&quot;Cloud System Administration&quot;)"/>
    <hyperlink ref="F201" r:id="rId168" display="=IFERROR(@__xludf.DUMMYFUNCTION(&quot;&quot;&quot;COMPUTED_VALUE&quot;&quot;&quot;),&quot;Machine Learning Operations&quot;)"/>
    <hyperlink ref="F202" r:id="rId169" display="=IFERROR(@__xludf.DUMMYFUNCTION(&quot;&quot;&quot;COMPUTED_VALUE&quot;&quot;&quot;),&quot;Information Technology Essentials&quot;)"/>
    <hyperlink ref="F203" r:id="rId170" display="=IFERROR(@__xludf.DUMMYFUNCTION(&quot;&quot;&quot;COMPUTED_VALUE&quot;&quot;&quot;),&quot;Game Development Technologies&quot;)"/>
    <hyperlink ref="F204" r:id="rId171" display="=IFERROR(@__xludf.DUMMYFUNCTION(&quot;&quot;&quot;COMPUTED_VALUE&quot;&quot;&quot;),&quot;Data Structures using Python&quot;)"/>
    <hyperlink ref="F205" r:id="rId172" display="=IFERROR(@__xludf.DUMMYFUNCTION(&quot;&quot;&quot;COMPUTED_VALUE&quot;&quot;&quot;),&quot;Grid and Cloud Computing&quot;)"/>
    <hyperlink ref="F206" r:id="rId173" display="=IFERROR(@__xludf.DUMMYFUNCTION(&quot;&quot;&quot;COMPUTED_VALUE&quot;&quot;&quot;),&quot;Distributed Computing&quot;)"/>
    <hyperlink ref="F207" r:id="rId174" display="=IFERROR(@__xludf.DUMMYFUNCTION(&quot;&quot;&quot;COMPUTED_VALUE&quot;&quot;&quot;),&quot;Information Theory and Coding Techniques&quot;)"/>
    <hyperlink ref="F208" r:id="rId175" display="=IFERROR(@__xludf.DUMMYFUNCTION(&quot;&quot;&quot;COMPUTED_VALUE&quot;&quot;&quot;),&quot;Enterprise Resource Planning&quot;)"/>
    <hyperlink ref="F209" r:id="rId176" display="=IFERROR(@__xludf.DUMMYFUNCTION(&quot;&quot;&quot;COMPUTED_VALUE&quot;&quot;&quot;),&quot;User Interface Design&quot;)"/>
    <hyperlink ref="F210" r:id="rId177" display="=IFERROR(@__xludf.DUMMYFUNCTION(&quot;&quot;&quot;COMPUTED_VALUE&quot;&quot;&quot;),&quot;Information Storage Management&quot;)"/>
    <hyperlink ref="F211" r:id="rId178" display="=IFERROR(@__xludf.DUMMYFUNCTION(&quot;&quot;&quot;COMPUTED_VALUE&quot;&quot;&quot;),&quot;Software Design Patterns&quot;)"/>
    <hyperlink ref="F212" r:id="rId179" display="=IFERROR(@__xludf.DUMMYFUNCTION(&quot;&quot;&quot;COMPUTED_VALUE&quot;&quot;&quot;),&quot;E-Learning Techniques&quot;)"/>
    <hyperlink ref="F213" r:id="rId180" display="=IFERROR(@__xludf.DUMMYFUNCTION(&quot;&quot;&quot;COMPUTED_VALUE&quot;&quot;&quot;),&quot;TCP/IP Design and Implementation&quot;)"/>
    <hyperlink ref="F214" r:id="rId181" display="=IFERROR(@__xludf.DUMMYFUNCTION(&quot;&quot;&quot;COMPUTED_VALUE&quot;&quot;&quot;),&quot;Advanced Algorithms&quot;)"/>
    <hyperlink ref="F215" r:id="rId182" display="=IFERROR(@__xludf.DUMMYFUNCTION(&quot;&quot;&quot;COMPUTED_VALUE&quot;&quot;&quot;),&quot;Ethical Hacking&quot;)"/>
    <hyperlink ref="F216" r:id="rId183" display="=IFERROR(@__xludf.DUMMYFUNCTION(&quot;&quot;&quot;COMPUTED_VALUE&quot;&quot;&quot;),&quot;DHTML and XML&quot;)"/>
    <hyperlink ref="F217" r:id="rId184" display="=IFERROR(@__xludf.DUMMYFUNCTION(&quot;&quot;&quot;COMPUTED_VALUE&quot;&quot;&quot;),&quot;E-Commerce&quot;)"/>
    <hyperlink ref="F218" r:id="rId185" display="=IFERROR(@__xludf.DUMMYFUNCTION(&quot;&quot;&quot;COMPUTED_VALUE&quot;&quot;&quot;),&quot;Free Open Source Software&quot;)"/>
    <hyperlink ref="F219" r:id="rId186" display="=IFERROR(@__xludf.DUMMYFUNCTION(&quot;&quot;&quot;COMPUTED_VALUE&quot;&quot;&quot;),&quot;Real Time Operating Systems&quot;)"/>
    <hyperlink ref="F220" r:id="rId187" display="=IFERROR(@__xludf.DUMMYFUNCTION(&quot;&quot;&quot;COMPUTED_VALUE&quot;&quot;&quot;),&quot;Software Agents&quot;)"/>
    <hyperlink ref="F221" r:id="rId188" display="=IFERROR(@__xludf.DUMMYFUNCTION(&quot;&quot;&quot;COMPUTED_VALUE&quot;&quot;&quot;),&quot;Business Intelligence and Analytics&quot;)"/>
    <hyperlink ref="F222" r:id="rId189" display="=IFERROR(@__xludf.DUMMYFUNCTION(&quot;&quot;&quot;COMPUTED_VALUE&quot;&quot;&quot;),&quot;Web Data Mining&quot;)"/>
    <hyperlink ref="F224" r:id="rId190" display="=IFERROR(@__xludf.DUMMYFUNCTION(&quot;&quot;&quot;COMPUTED_VALUE&quot;&quot;&quot;),&quot;Core Computing Concepts&quot;)"/>
    <hyperlink ref="F227" r:id="rId191" display="=IFERROR(@__xludf.DUMMYFUNCTION(&quot;&quot;&quot;COMPUTED_VALUE&quot;&quot;&quot;),&quot;Mini Project&quot;)"/>
    <hyperlink ref="F228" r:id="rId192" display="=IFERROR(@__xludf.DUMMYFUNCTION(&quot;&quot;&quot;COMPUTED_VALUE&quot;&quot;&quot;),&quot;Project Work I&quot;)"/>
    <hyperlink ref="F229" r:id="rId193" display="=IFERROR(@__xludf.DUMMYFUNCTION(&quot;&quot;&quot;COMPUTED_VALUE&quot;&quot;&quot;),&quot;Project Work II&quot;)"/>
    <hyperlink ref="F231" r:id="rId194" display="=IFERROR(@__xludf.DUMMYFUNCTION(&quot;&quot;&quot;COMPUTED_VALUE&quot;&quot;&quot;),&quot;Career Development Skills&quot;)"/>
    <hyperlink ref="F232" r:id="rId195" display="=IFERROR(@__xludf.DUMMYFUNCTION(&quot;&quot;&quot;COMPUTED_VALUE&quot;&quot;&quot;),&quot;Reasoning Ability&quot;)"/>
    <hyperlink ref="F233" r:id="rId196" display="=IFERROR(@__xludf.DUMMYFUNCTION(&quot;&quot;&quot;COMPUTED_VALUE&quot;&quot;&quot;),&quot;Quantitative Ability I&quot;)"/>
    <hyperlink ref="F234" r:id="rId197" display="=IFERROR(@__xludf.DUMMYFUNCTION(&quot;&quot;&quot;COMPUTED_VALUE&quot;&quot;&quot;),&quot;Quantitative Ability II&quot;)"/>
    <hyperlink ref="F235" r:id="rId198" display="=IFERROR(@__xludf.DUMMYFUNCTION(&quot;&quot;&quot;COMPUTED_VALUE&quot;&quot;&quot;),&quot;Employment Enrichment Skills&quot;)"/>
    <hyperlink ref="F236" r:id="rId199" display="=IFERROR(@__xludf.DUMMYFUNCTION(&quot;&quot;&quot;COMPUTED_VALUE&quot;&quot;&quot;),&quot;Company Specific Assessments For Employability&quot;)"/>
    <hyperlink ref="F237" r:id="rId200" display="=IFERROR(@__xludf.DUMMYFUNCTION(&quot;&quot;&quot;COMPUTED_VALUE&quot;&quot;&quot;),&quot;Placement Readiness Assessment&quot;)"/>
    <hyperlink ref="F238" r:id="rId201" display="=IFERROR(@__xludf.DUMMYFUNCTION(&quot;&quot;&quot;COMPUTED_VALUE&quot;&quot;&quot;),&quot;Paper Publication&quot;)"/>
    <hyperlink ref="F239" r:id="rId202" display="=IFERROR(@__xludf.DUMMYFUNCTION(&quot;&quot;&quot;COMPUTED_VALUE&quot;&quot;&quot;),&quot;Constitutionalism and Artificial Intelligence Policies in India&quot;)"/>
    <hyperlink ref="F240" r:id="rId203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0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IMPORTRANGE(""https://docs.google.com/spreadsheets/d/1UvPg-G_Bj-UNhLC2uL8tntfYsnld_PABqE3impzOchM/edCSE(CS)"", ""2023-CSE(CS)!A:A""),
IMPORTRANGE(""https://docs.google.com/spreadsheets/d/1UvPg-G_Bj-UNhLC2uL8tntfYsnld_PABqE3impzOchM/edCSE(CS"&amp;")"", ""2023-CSE(CS)!D:D""),
IMPORTRANGE(""https://docs.google.com/spreadsheets/d/1UvPg-G_Bj-UNhLC2uL8tntfYsnld_PABqE3impzOchM/edCSE(CS)"", ""2023-CSE(CS)!E:E""),
IMPORTRANGE(""https://docs.google.com/spreadsheets/d/1UvPg-G_Bj-UNhLC2uL8tntfYsnld_PABqE3impz"&amp;"OchM/edCSE(CS)"", ""2023-CSE(CS)!F:F""),
IMPORTRANGE(""https://docs.google.com/spreadsheets/d/1UvPg-G_Bj-UNhLC2uL8tntfYsnld_PABqE3impzOchM/edCSE(CS)"", ""2023-CSE(CS)!G:G""),
IMPORTRANGE(""https://docs.google.com/spreadsheets/d/1UvPg-G_Bj-UNhLC2uL8tntfYsn"&amp;"ld_PABqE3impzOchM/edCSE(CS)"", ""2023-CSE(CS)!I:I""),
IMPORTRANGE(""https://docs.google.com/spreadsheets/d/1UvPg-G_Bj-UNhLC2uL8tntfYsnld_PABqE3impzOchM/edCSE(CS)"", ""2023-CSE(CS)!N:N""),
IMPORTRANGE(""https://docs.google.com/spreadsheets/d/1UvPg-G_Bj-UNh"&amp;"LC2uL8tntfYsnld_PABqE3impzOchM/edCSE(CS)"", ""2023-CSE(CS)!O:O""),
IMPORTRANGE(""https://docs.google.com/spreadsheets/d/1UvPg-G_Bj-UNhLC2uL8tntfYsnld_PABqE3impzOchM/edCSE(CS)"", ""2023-CSE(CS)!P:P""),
IMPORTRANGE(""https://docs.google.com/spreadsheets/d/1"&amp;"UvPg-G_Bj-UNhLC2uL8tntfYsnld_PABqE3impzOchM/edCSE(CS)"", ""2023-CSE(CS)!Q:Q""),
IMPORTRANGE(""https://docs.google.com/spreadsheets/d/1UvPg-G_Bj-UNhLC2uL8tntfYsnld_PABqE3impzOchM/edCSE(CS)"", ""2023-CSE(CS)!R:R""),
IMPORTRANGE(""https://docs.google.com/spr"&amp;"eadsheets/d/1UvPg-G_Bj-UNhLC2uL8tntfYsnld_PABqE3impzOchM/edCSE(CS)"", ""2023-CSE(CS)!S:S""),
IMPORTRANGE(""https://docs.google.com/spreadsheets/d/1UvPg-G_Bj-UNhLC2uL8tntfYsnld_PABqE3impzOchM/edCSE(CS)"", ""2023-CSE(CS)!V:V""),
IMPORTRANGE(""https://docs.g"&amp;"oogle.com/spreadsheets/d/1UvPg-G_Bj-UNhLC2uL8tntfYsnld_PABqE3impzOchM/edCSE(CS)"", ""2023-CSE(CS)!X:X""),
IMPORTRANGE(""https://docs.google.com/spreadsheets/d/1UvPg-G_Bj-UNhLC2uL8tntfYsnld_PABqE3impzOchM/edCSE(CS)"", ""2023-CSE(CS)!Y:Y""),
IMPORTRANGE(""h"&amp;"ttps://docs.google.com/spreadsheets/d/1UvPg-G_Bj-UNhLC2uL8tntfYsnld_PABqE3impzOchM/edCSE(CS)"", ""2023-CSE(CS)!AA:AA""),
IMPORTRANGE(""https://docs.google.com/spreadsheets/d/1UvPg-G_Bj-UNhLC2uL8tntfYsnld_PABqE3impzOchM/edCSE(CS)"", ""2023-CSE(CS)!AC:AC"")"&amp;",
IMPORTRANGE(""https://docs.google.com/spreadsheets/d/1UvPg-G_Bj-UNhLC2uL8tntfYsnld_PABqE3impzOchM/edCSE(CS)"", ""2023-CSE(CS)!AD:AD"")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2023-2027")</f>
        <v>BATCH: 2023-2027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IFERROR(__xludf.DUMMYFUNCTION("""COMPUTED_VALUE"""),14)</f>
        <v>14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IFERROR(__xludf.DUMMYFUNCTION("""COMPUTED_VALUE"""),18)</f>
        <v>18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IFERROR(__xludf.DUMMYFUNCTION("""COMPUTED_VALUE"""),28)</f>
        <v>28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IFERROR(__xludf.DUMMYFUNCTION("""COMPUTED_VALUE"""),54)</f>
        <v>54</v>
      </c>
      <c r="O6" s="20">
        <f>IFERROR(__xludf.DUMMYFUNCTION("""COMPUTED_VALUE"""),47)</f>
        <v>47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IFERROR(__xludf.DUMMYFUNCTION("""COMPUTED_VALUE"""),17)</f>
        <v>17</v>
      </c>
      <c r="O7" s="20">
        <f>IFERROR(__xludf.DUMMYFUNCTION("""COMPUTED_VALUE"""),17)</f>
        <v>17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IFERROR(__xludf.DUMMYFUNCTION("""COMPUTED_VALUE"""),3)</f>
        <v>3</v>
      </c>
      <c r="O10" s="20">
        <f>IFERROR(__xludf.DUMMYFUNCTION("""COMPUTED_VALUE"""),3)</f>
        <v>3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/>
      <c r="C11" s="2" t="str">
        <f>IFERROR(__xludf.DUMMYFUNCTION("""COMPUTED_VALUE"""),"BS")</f>
        <v>BS</v>
      </c>
      <c r="D11" s="2" t="str">
        <f>IFERROR(__xludf.DUMMYFUNCTION("""COMPUTED_VALUE"""),"SH2222")</f>
        <v>SH2222</v>
      </c>
      <c r="E11" s="2" t="str">
        <f>IFERROR(__xludf.DUMMYFUNCTION("""COMPUTED_VALUE"""),"19MA222")</f>
        <v>19MA222</v>
      </c>
      <c r="F11" s="7" t="str">
        <f>IFERROR(__xludf.DUMMYFUNCTION("""COMPUTED_VALUE"""),"Probability and Queueing Models")</f>
        <v>Probability and Queueing Models</v>
      </c>
      <c r="G11" s="2" t="str">
        <f>IFERROR(__xludf.DUMMYFUNCTION("""COMPUTED_VALUE"""),"-")</f>
        <v>-</v>
      </c>
      <c r="H11" s="2">
        <f>IFERROR(__xludf.DUMMYFUNCTION("""COMPUTED_VALUE"""),3)</f>
        <v>3</v>
      </c>
      <c r="I11" s="2">
        <f>IFERROR(__xludf.DUMMYFUNCTION("""COMPUTED_VALUE"""),1)</f>
        <v>1</v>
      </c>
      <c r="J11" s="2">
        <f>IFERROR(__xludf.DUMMYFUNCTION("""COMPUTED_VALUE"""),4)</f>
        <v>4</v>
      </c>
      <c r="K11" s="2" t="str">
        <f>IFERROR(__xludf.DUMMYFUNCTION("""COMPUTED_VALUE"""),"CGPA")</f>
        <v>CGPA</v>
      </c>
      <c r="L11" s="18" t="str">
        <f>IFERROR(__xludf.DUMMYFUNCTION("""COMPUTED_VALUE"""),"TIP (6 Expts)")</f>
        <v>TIP (6 Expts)</v>
      </c>
      <c r="M11" s="21" t="str">
        <f>IFERROR(__xludf.DUMMYFUNCTION("""COMPUTED_VALUE"""),"TOTAL")</f>
        <v>TOTAL</v>
      </c>
      <c r="N11" s="22">
        <f>IFERROR(__xludf.DUMMYFUNCTION("""COMPUTED_VALUE"""),169)</f>
        <v>169</v>
      </c>
      <c r="O11" s="23">
        <f>IFERROR(__xludf.DUMMYFUNCTION("""COMPUTED_VALUE"""),128)</f>
        <v>128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IFERROR(__xludf.DUMMYFUNCTION("""COMPUTED_VALUE"""),"SH2212")</f>
        <v>SH2212</v>
      </c>
      <c r="E12" s="2" t="str">
        <f>IFERROR(__xludf.DUMMYFUNCTION("""COMPUTED_VALUE"""),"19MA212")</f>
        <v>19MA212</v>
      </c>
      <c r="F12" s="7" t="str">
        <f>IFERROR(__xludf.DUMMYFUNCTION("""COMPUTED_VALUE"""),"Algebra and Number Theory")</f>
        <v>Algebra and Number Theory</v>
      </c>
      <c r="G12" s="2" t="str">
        <f>IFERROR(__xludf.DUMMYFUNCTION("""COMPUTED_VALUE"""),"19MA201")</f>
        <v>19MA201</v>
      </c>
      <c r="H12" s="2">
        <f>IFERROR(__xludf.DUMMYFUNCTION("""COMPUTED_VALUE"""),4)</f>
        <v>4</v>
      </c>
      <c r="I12" s="2">
        <f>IFERROR(__xludf.DUMMYFUNCTION("""COMPUTED_VALUE"""),0)</f>
        <v>0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IFERROR(__xludf.DUMMYFUNCTION("""COMPUTED_VALUE"""),"Theory")</f>
        <v>Theory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IFERROR(__xludf.DUMMYFUNCTION("""COMPUTED_VALUE"""),"SH2220")</f>
        <v>SH2220</v>
      </c>
      <c r="E13" s="2" t="str">
        <f>IFERROR(__xludf.DUMMYFUNCTION("""COMPUTED_VALUE"""),"19MA220")</f>
        <v>19MA220</v>
      </c>
      <c r="F13" s="7" t="str">
        <f>IFERROR(__xludf.DUMMYFUNCTION("""COMPUTED_VALUE"""),"Mathematics for Artificial Intelligence")</f>
        <v>Mathematics for Artificial Intelligence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IFERROR(__xludf.DUMMYFUNCTION("""COMPUTED_VALUE"""),"SH2221")</f>
        <v>SH2221</v>
      </c>
      <c r="E14" s="2" t="str">
        <f>IFERROR(__xludf.DUMMYFUNCTION("""COMPUTED_VALUE"""),"19MA221")</f>
        <v>19MA221</v>
      </c>
      <c r="F14" s="7" t="str">
        <f>IFERROR(__xludf.DUMMYFUNCTION("""COMPUTED_VALUE"""),"Linear Algebra Laboratory")</f>
        <v>Linear Algebra Laboratory</v>
      </c>
      <c r="G14" s="2" t="str">
        <f>IFERROR(__xludf.DUMMYFUNCTION("""COMPUTED_VALUE"""),"-")</f>
        <v>-</v>
      </c>
      <c r="H14" s="2">
        <f>IFERROR(__xludf.DUMMYFUNCTION("""COMPUTED_VALUE"""),0)</f>
        <v>0</v>
      </c>
      <c r="I14" s="2">
        <f>IFERROR(__xludf.DUMMYFUNCTION("""COMPUTED_VALUE"""),2)</f>
        <v>2</v>
      </c>
      <c r="J14" s="2">
        <f>IFERROR(__xludf.DUMMYFUNCTION("""COMPUTED_VALUE"""),2)</f>
        <v>2</v>
      </c>
      <c r="K14" s="2" t="str">
        <f>IFERROR(__xludf.DUMMYFUNCTION("""COMPUTED_VALUE"""),"CGPA")</f>
        <v>CGPA</v>
      </c>
      <c r="L14" s="2" t="str">
        <f>IFERROR(__xludf.DUMMYFUNCTION("""COMPUTED_VALUE"""),"Practical (10 Expts)")</f>
        <v>Practical (10 Expts)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IFERROR(__xludf.DUMMYFUNCTION("""COMPUTED_VALUE"""),"SH2211")</f>
        <v>SH2211</v>
      </c>
      <c r="E15" s="2" t="str">
        <f>IFERROR(__xludf.DUMMYFUNCTION("""COMPUTED_VALUE"""),"19MA211")</f>
        <v>19MA211</v>
      </c>
      <c r="F15" s="7" t="str">
        <f>IFERROR(__xludf.DUMMYFUNCTION("""COMPUTED_VALUE"""),"Statistics and Numerical Methods")</f>
        <v>Statistics and Numerical Methods</v>
      </c>
      <c r="G15" s="2" t="str">
        <f>IFERROR(__xludf.DUMMYFUNCTION("""COMPUTED_VALUE"""),"-")</f>
        <v>-</v>
      </c>
      <c r="H15" s="2">
        <f>IFERROR(__xludf.DUMMYFUNCTION("""COMPUTED_VALUE"""),3)</f>
        <v>3</v>
      </c>
      <c r="I15" s="2">
        <f>IFERROR(__xludf.DUMMYFUNCTION("""COMPUTED_VALUE"""),1)</f>
        <v>1</v>
      </c>
      <c r="J15" s="2">
        <f>IFERROR(__xludf.DUMMYFUNCTION("""COMPUTED_VALUE"""),4)</f>
        <v>4</v>
      </c>
      <c r="K15" s="2" t="str">
        <f>IFERROR(__xludf.DUMMYFUNCTION("""COMPUTED_VALUE"""),"CGPA")</f>
        <v>CGPA</v>
      </c>
      <c r="L15" s="2" t="str">
        <f>IFERROR(__xludf.DUMMYFUNCTION("""COMPUTED_VALUE"""),"TIP (6 Expts)")</f>
        <v>TIP (6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IFERROR(__xludf.DUMMYFUNCTION("""COMPUTED_VALUE"""),"BS")</f>
        <v>BS</v>
      </c>
      <c r="D16" s="2" t="str">
        <f>IFERROR(__xludf.DUMMYFUNCTION("""COMPUTED_VALUE"""),"SH4205")</f>
        <v>SH4205</v>
      </c>
      <c r="E16" s="2" t="str">
        <f>IFERROR(__xludf.DUMMYFUNCTION("""COMPUTED_VALUE"""),"19CY205")</f>
        <v>19CY205</v>
      </c>
      <c r="F16" s="7" t="str">
        <f>IFERROR(__xludf.DUMMYFUNCTION("""COMPUTED_VALUE"""),"Principles of Chemistry in Engineering")</f>
        <v>Principles of Chemistry in Engineering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/>
      <c r="C17" s="2" t="str">
        <f>IFERROR(__xludf.DUMMYFUNCTION("""COMPUTED_VALUE"""),"BS")</f>
        <v>BS</v>
      </c>
      <c r="D17" s="2" t="str">
        <f>IFERROR(__xludf.DUMMYFUNCTION("""COMPUTED_VALUE"""),"NA")</f>
        <v>NA</v>
      </c>
      <c r="E17" s="2" t="str">
        <f>IFERROR(__xludf.DUMMYFUNCTION("""COMPUTED_VALUE"""),"19PH214")</f>
        <v>19PH214</v>
      </c>
      <c r="F17" s="7" t="str">
        <f>IFERROR(__xludf.DUMMYFUNCTION("""COMPUTED_VALUE"""),"Physics for Quantum Computing")</f>
        <v>Physics for Quantum Computing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IFERROR(__xludf.DUMMYFUNCTION("""COMPUTED_VALUE"""),0)</f>
        <v>0</v>
      </c>
      <c r="J17" s="2">
        <f>IFERROR(__xludf.DUMMYFUNCTION("""COMPUTED_VALUE"""),3)</f>
        <v>3</v>
      </c>
      <c r="K17" s="2" t="str">
        <f>IFERROR(__xludf.DUMMYFUNCTION("""COMPUTED_VALUE"""),"CGPA")</f>
        <v>CGPA</v>
      </c>
      <c r="L17" s="2" t="str">
        <f>IFERROR(__xludf.DUMMYFUNCTION("""COMPUTED_VALUE"""),"Theory")</f>
        <v>Theory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/>
      <c r="C18" s="2" t="str">
        <f>IFERROR(__xludf.DUMMYFUNCTION("""COMPUTED_VALUE"""),"ES")</f>
        <v>ES</v>
      </c>
      <c r="D18" s="2" t="str">
        <f>IFERROR(__xludf.DUMMYFUNCTION("""COMPUTED_VALUE"""),"CS3301")</f>
        <v>CS3301</v>
      </c>
      <c r="E18" s="2" t="str">
        <f>IFERROR(__xludf.DUMMYFUNCTION("""COMPUTED_VALUE"""),"19AI301")</f>
        <v>19AI301</v>
      </c>
      <c r="F18" s="7" t="str">
        <f>IFERROR(__xludf.DUMMYFUNCTION("""COMPUTED_VALUE"""),"Python Programming")</f>
        <v>Python Programming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IFERROR(__xludf.DUMMYFUNCTION("""COMPUTED_VALUE"""),1)</f>
        <v>1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IFERROR(__xludf.DUMMYFUNCTION("""COMPUTED_VALUE"""),"TIP (6 Expts)")</f>
        <v>TIP (6 Expts)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/>
      <c r="C19" s="2" t="str">
        <f>IFERROR(__xludf.DUMMYFUNCTION("""COMPUTED_VALUE"""),"ES")</f>
        <v>ES</v>
      </c>
      <c r="D19" s="2" t="str">
        <f>IFERROR(__xludf.DUMMYFUNCTION("""COMPUTED_VALUE"""),"CS3302")</f>
        <v>CS3302</v>
      </c>
      <c r="E19" s="2" t="str">
        <f>IFERROR(__xludf.DUMMYFUNCTION("""COMPUTED_VALUE"""),"19AI302")</f>
        <v>19AI302</v>
      </c>
      <c r="F19" s="7" t="str">
        <f>IFERROR(__xludf.DUMMYFUNCTION("""COMPUTED_VALUE"""),"Engineering Design and Modelling")</f>
        <v>Engineering Design and Modelling</v>
      </c>
      <c r="G19" s="2" t="str">
        <f>IFERROR(__xludf.DUMMYFUNCTION("""COMPUTED_VALUE"""),"-")</f>
        <v>-</v>
      </c>
      <c r="H19" s="2">
        <f>IFERROR(__xludf.DUMMYFUNCTION("""COMPUTED_VALUE"""),0)</f>
        <v>0</v>
      </c>
      <c r="I19" s="2">
        <f>IFERROR(__xludf.DUMMYFUNCTION("""COMPUTED_VALUE"""),3)</f>
        <v>3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IFERROR(__xludf.DUMMYFUNCTION("""COMPUTED_VALUE"""),"Practical (10 Expts)")</f>
        <v>Practical (10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IFERROR(__xludf.DUMMYFUNCTION("""COMPUTED_VALUE"""),"CS3303")</f>
        <v>CS3303</v>
      </c>
      <c r="E20" s="2" t="str">
        <f>IFERROR(__xludf.DUMMYFUNCTION("""COMPUTED_VALUE"""),"19AI303")</f>
        <v>19AI303</v>
      </c>
      <c r="F20" s="7" t="str">
        <f>IFERROR(__xludf.DUMMYFUNCTION("""COMPUTED_VALUE"""),"Engineering Mechanics and Product Development")</f>
        <v>Engineering Mechanics and Product Development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/>
      <c r="C21" s="2" t="str">
        <f>IFERROR(__xludf.DUMMYFUNCTION("""COMPUTED_VALUE"""),"ES")</f>
        <v>ES</v>
      </c>
      <c r="D21" s="2" t="str">
        <f>IFERROR(__xludf.DUMMYFUNCTION("""COMPUTED_VALUE"""),"CS3306")</f>
        <v>CS3306</v>
      </c>
      <c r="E21" s="2" t="str">
        <f>IFERROR(__xludf.DUMMYFUNCTION("""COMPUTED_VALUE"""),"19AI306")</f>
        <v>19AI306</v>
      </c>
      <c r="F21" s="7" t="str">
        <f>IFERROR(__xludf.DUMMYFUNCTION("""COMPUTED_VALUE"""),"Object Oriented Programming using C++")</f>
        <v>Object Oriented Programming using C++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/>
      <c r="C22" s="2" t="str">
        <f>IFERROR(__xludf.DUMMYFUNCTION("""COMPUTED_VALUE"""),"ES")</f>
        <v>ES</v>
      </c>
      <c r="D22" s="2" t="str">
        <f>IFERROR(__xludf.DUMMYFUNCTION("""COMPUTED_VALUE"""),"CS3307")</f>
        <v>CS3307</v>
      </c>
      <c r="E22" s="2" t="str">
        <f>IFERROR(__xludf.DUMMYFUNCTION("""COMPUTED_VALUE"""),"19AI307")</f>
        <v>19AI307</v>
      </c>
      <c r="F22" s="7" t="str">
        <f>IFERROR(__xludf.DUMMYFUNCTION("""COMPUTED_VALUE"""),"Object Oriented Programming using Java")</f>
        <v>Object Oriented Programming using Java</v>
      </c>
      <c r="G22" s="2" t="str">
        <f>IFERROR(__xludf.DUMMYFUNCTION("""COMPUTED_VALUE"""),"19AI304")</f>
        <v>19AI304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IFERROR(__xludf.DUMMYFUNCTION("""COMPUTED_VALUE"""),"CS3308")</f>
        <v>CS3308</v>
      </c>
      <c r="E23" s="2" t="str">
        <f>IFERROR(__xludf.DUMMYFUNCTION("""COMPUTED_VALUE"""),"19AI308")</f>
        <v>19AI308</v>
      </c>
      <c r="F23" s="7" t="str">
        <f>IFERROR(__xludf.DUMMYFUNCTION("""COMPUTED_VALUE"""),"Object Oriented Programming using C#")</f>
        <v>Object Oriented Programming using C#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IFERROR(__xludf.DUMMYFUNCTION("""COMPUTED_VALUE"""),"EC2404")</f>
        <v>EC2404</v>
      </c>
      <c r="E24" s="2" t="str">
        <f>IFERROR(__xludf.DUMMYFUNCTION("""COMPUTED_VALUE"""),"19EE404")</f>
        <v>19EE404</v>
      </c>
      <c r="F24" s="7" t="str">
        <f>IFERROR(__xludf.DUMMYFUNCTION("""COMPUTED_VALUE"""),"Digital Electronics")</f>
        <v>Digital Electronics</v>
      </c>
      <c r="G24" s="2" t="str">
        <f>IFERROR(__xludf.DUMMYFUNCTION("""COMPUTED_VALUE"""),"-")</f>
        <v>-</v>
      </c>
      <c r="H24" s="2">
        <f>IFERROR(__xludf.DUMMYFUNCTION("""COMPUTED_VALUE"""),3)</f>
        <v>3</v>
      </c>
      <c r="I24" s="2">
        <f>IFERROR(__xludf.DUMMYFUNCTION("""COMPUTED_VALUE"""),1)</f>
        <v>1</v>
      </c>
      <c r="J24" s="2">
        <f>IFERROR(__xludf.DUMMYFUNCTION("""COMPUTED_VALUE"""),4)</f>
        <v>4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IFERROR(__xludf.DUMMYFUNCTION("""COMPUTED_VALUE"""),"EC2305")</f>
        <v>EC2305</v>
      </c>
      <c r="E25" s="2" t="str">
        <f>IFERROR(__xludf.DUMMYFUNCTION("""COMPUTED_VALUE"""),"19EE305")</f>
        <v>19EE305</v>
      </c>
      <c r="F25" s="7" t="str">
        <f>IFERROR(__xludf.DUMMYFUNCTION("""COMPUTED_VALUE"""),"Basic Electrical, Electronics and Measurement Engineering")</f>
        <v>Basic Electrical, Electronics and Measurement Engineering</v>
      </c>
      <c r="G25" s="2" t="str">
        <f>IFERROR(__xludf.DUMMYFUNCTION("""COMPUTED_VALUE"""),"-")</f>
        <v>-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/>
      <c r="C26" s="2" t="str">
        <f>IFERROR(__xludf.DUMMYFUNCTION("""COMPUTED_VALUE"""),"ES")</f>
        <v>ES</v>
      </c>
      <c r="D26" s="2" t="str">
        <f>IFERROR(__xludf.DUMMYFUNCTION("""COMPUTED_VALUE"""),"EC2309")</f>
        <v>EC2309</v>
      </c>
      <c r="E26" s="2" t="str">
        <f>IFERROR(__xludf.DUMMYFUNCTION("""COMPUTED_VALUE"""),"19EE309")</f>
        <v>19EE309</v>
      </c>
      <c r="F26" s="7" t="str">
        <f>IFERROR(__xludf.DUMMYFUNCTION("""COMPUTED_VALUE"""),"Programming Microcontrollers")</f>
        <v>Programming Microcontrollers</v>
      </c>
      <c r="G26" s="2" t="str">
        <f>IFERROR(__xludf.DUMMYFUNCTION("""COMPUTED_VALUE"""),"-")</f>
        <v>-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/>
      <c r="C27" s="2" t="str">
        <f>IFERROR(__xludf.DUMMYFUNCTION("""COMPUTED_VALUE"""),"ES")</f>
        <v>ES</v>
      </c>
      <c r="D27" s="2" t="str">
        <f>IFERROR(__xludf.DUMMYFUNCTION("""COMPUTED_VALUE"""),"CS3304")</f>
        <v>CS3304</v>
      </c>
      <c r="E27" s="2" t="str">
        <f>IFERROR(__xludf.DUMMYFUNCTION("""COMPUTED_VALUE"""),"19AI304")</f>
        <v>19AI304</v>
      </c>
      <c r="F27" s="7" t="str">
        <f>IFERROR(__xludf.DUMMYFUNCTION("""COMPUTED_VALUE"""),"Fundamentals of C Programming")</f>
        <v>Fundamentals of C Programming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/>
      <c r="C28" s="2" t="str">
        <f>IFERROR(__xludf.DUMMYFUNCTION("""COMPUTED_VALUE"""),"ES")</f>
        <v>ES</v>
      </c>
      <c r="D28" s="2" t="str">
        <f>IFERROR(__xludf.DUMMYFUNCTION("""COMPUTED_VALUE"""),"CS3305")</f>
        <v>CS3305</v>
      </c>
      <c r="E28" s="2" t="str">
        <f>IFERROR(__xludf.DUMMYFUNCTION("""COMPUTED_VALUE"""),"19AI305")</f>
        <v>19AI305</v>
      </c>
      <c r="F28" s="7" t="str">
        <f>IFERROR(__xludf.DUMMYFUNCTION("""COMPUTED_VALUE"""),"Advanced C Programming")</f>
        <v>Advanced C Programming</v>
      </c>
      <c r="G28" s="2" t="str">
        <f>IFERROR(__xludf.DUMMYFUNCTION("""COMPUTED_VALUE"""),"19AI304 / CS3304")</f>
        <v>19AI304 / CS3304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IFERROR(__xludf.DUMMYFUNCTION("""COMPUTED_VALUE"""),"CS3414")</f>
        <v>CS3414</v>
      </c>
      <c r="E29" s="2" t="str">
        <f>IFERROR(__xludf.DUMMYFUNCTION("""COMPUTED_VALUE"""),"19AI414")</f>
        <v>19AI414</v>
      </c>
      <c r="F29" s="7" t="str">
        <f>IFERROR(__xludf.DUMMYFUNCTION("""COMPUTED_VALUE"""),"Fundamentals of Web Application Development")</f>
        <v>Fundamentals of Web Application Development</v>
      </c>
      <c r="G29" s="2" t="str">
        <f>IFERROR(__xludf.DUMMYFUNCTION("""COMPUTED_VALUE"""),"-")</f>
        <v>-</v>
      </c>
      <c r="H29" s="2">
        <f>IFERROR(__xludf.DUMMYFUNCTION("""COMPUTED_VALUE"""),3)</f>
        <v>3</v>
      </c>
      <c r="I29" s="2">
        <f>IFERROR(__xludf.DUMMYFUNCTION("""COMPUTED_VALUE"""),2)</f>
        <v>2</v>
      </c>
      <c r="J29" s="2">
        <f>IFERROR(__xludf.DUMMYFUNCTION("""COMPUTED_VALUE"""),5)</f>
        <v>5</v>
      </c>
      <c r="K29" s="2" t="str">
        <f>IFERROR(__xludf.DUMMYFUNCTION("""COMPUTED_VALUE"""),"CGPA")</f>
        <v>CGPA</v>
      </c>
      <c r="L29" s="2" t="str">
        <f>IFERROR(__xludf.DUMMYFUNCTION("""COMPUTED_VALUE"""),"TIP (10 Expts)")</f>
        <v>TIP (10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IFERROR(__xludf.DUMMYFUNCTION("""COMPUTED_VALUE"""),"CS1405")</f>
        <v>CS1405</v>
      </c>
      <c r="E30" s="2" t="str">
        <f>IFERROR(__xludf.DUMMYFUNCTION("""COMPUTED_VALUE"""),"19CS405")</f>
        <v>19CS405</v>
      </c>
      <c r="F30" s="7" t="str">
        <f>IFERROR(__xludf.DUMMYFUNCTION("""COMPUTED_VALUE"""),"Operating System")</f>
        <v>Operating System</v>
      </c>
      <c r="G30" s="2" t="str">
        <f>IFERROR(__xludf.DUMMYFUNCTION("""COMPUTED_VALUE"""),"-")</f>
        <v>-</v>
      </c>
      <c r="H30" s="2">
        <f>IFERROR(__xludf.DUMMYFUNCTION("""COMPUTED_VALUE"""),3)</f>
        <v>3</v>
      </c>
      <c r="I30" s="2">
        <f>IFERROR(__xludf.DUMMYFUNCTION("""COMPUTED_VALUE"""),1)</f>
        <v>1</v>
      </c>
      <c r="J30" s="2">
        <f>IFERROR(__xludf.DUMMYFUNCTION("""COMPUTED_VALUE"""),4)</f>
        <v>4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IFERROR(__xludf.DUMMYFUNCTION("""COMPUTED_VALUE"""),"CS1406")</f>
        <v>CS1406</v>
      </c>
      <c r="E31" s="2" t="str">
        <f>IFERROR(__xludf.DUMMYFUNCTION("""COMPUTED_VALUE"""),"19CS406")</f>
        <v>19CS406</v>
      </c>
      <c r="F31" s="7" t="str">
        <f>IFERROR(__xludf.DUMMYFUNCTION("""COMPUTED_VALUE"""),"Computer Networks")</f>
        <v>Computer Networks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IFERROR(__xludf.DUMMYFUNCTION("""COMPUTED_VALUE"""),1)</f>
        <v>1</v>
      </c>
      <c r="J31" s="2">
        <f>IFERROR(__xludf.DUMMYFUNCTION("""COMPUTED_VALUE"""),4)</f>
        <v>4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/>
      <c r="C32" s="2" t="str">
        <f>IFERROR(__xludf.DUMMYFUNCTION("""COMPUTED_VALUE"""),"PC")</f>
        <v>PC</v>
      </c>
      <c r="D32" s="2" t="str">
        <f>IFERROR(__xludf.DUMMYFUNCTION("""COMPUTED_VALUE"""),"CS1404")</f>
        <v>CS1404</v>
      </c>
      <c r="E32" s="2" t="str">
        <f>IFERROR(__xludf.DUMMYFUNCTION("""COMPUTED_VALUE"""),"19CS404")</f>
        <v>19CS404</v>
      </c>
      <c r="F32" s="3" t="str">
        <f>IFERROR(__xludf.DUMMYFUNCTION("""COMPUTED_VALUE"""),"Database Management System and its Applications")</f>
        <v>Database Management System and its Applications</v>
      </c>
      <c r="G32" s="2" t="str">
        <f>IFERROR(__xludf.DUMMYFUNCTION("""COMPUTED_VALUE"""),"19AI301/19AI304/19CS301/19CS302/19CS303")</f>
        <v>19AI301/19AI304/19CS301/19CS302/19CS303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/>
      <c r="C33" s="2" t="str">
        <f>IFERROR(__xludf.DUMMYFUNCTION("""COMPUTED_VALUE"""),"PC")</f>
        <v>PC</v>
      </c>
      <c r="D33" s="2" t="str">
        <f>IFERROR(__xludf.DUMMYFUNCTION("""COMPUTED_VALUE"""),"CS3408")</f>
        <v>CS3408</v>
      </c>
      <c r="E33" s="2" t="str">
        <f>IFERROR(__xludf.DUMMYFUNCTION("""COMPUTED_VALUE"""),"19AI408")</f>
        <v>19AI408</v>
      </c>
      <c r="F33" s="7" t="str">
        <f>IFERROR(__xludf.DUMMYFUNCTION("""COMPUTED_VALUE"""),"Data Structures")</f>
        <v>Data Structures</v>
      </c>
      <c r="G33" s="2" t="str">
        <f>IFERROR(__xludf.DUMMYFUNCTION("""COMPUTED_VALUE"""),"19AI304 / CS3304")</f>
        <v>19AI304 / CS3304</v>
      </c>
      <c r="H33" s="2">
        <f>IFERROR(__xludf.DUMMYFUNCTION("""COMPUTED_VALUE"""),2)</f>
        <v>2</v>
      </c>
      <c r="I33" s="2">
        <f>IFERROR(__xludf.DUMMYFUNCTION("""COMPUTED_VALUE"""),1)</f>
        <v>1</v>
      </c>
      <c r="J33" s="2">
        <f>IFERROR(__xludf.DUMMYFUNCTION("""COMPUTED_VALUE"""),3)</f>
        <v>3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IFERROR(__xludf.DUMMYFUNCTION("""COMPUTED_VALUE"""),"CS3404")</f>
        <v>CS3404</v>
      </c>
      <c r="E34" s="2" t="str">
        <f>IFERROR(__xludf.DUMMYFUNCTION("""COMPUTED_VALUE"""),"19AI404")</f>
        <v>19AI404</v>
      </c>
      <c r="F34" s="7" t="str">
        <f>IFERROR(__xludf.DUMMYFUNCTION("""COMPUTED_VALUE"""),"Analysis of Algorithms")</f>
        <v>Analysis of Algorithms</v>
      </c>
      <c r="G34" s="2" t="str">
        <f>IFERROR(__xludf.DUMMYFUNCTION("""COMPUTED_VALUE"""),"19AI301")</f>
        <v>19AI301</v>
      </c>
      <c r="H34" s="2">
        <f>IFERROR(__xludf.DUMMYFUNCTION("""COMPUTED_VALUE"""),2)</f>
        <v>2</v>
      </c>
      <c r="I34" s="2">
        <f>IFERROR(__xludf.DUMMYFUNCTION("""COMPUTED_VALUE"""),1)</f>
        <v>1</v>
      </c>
      <c r="J34" s="2">
        <f>IFERROR(__xludf.DUMMYFUNCTION("""COMPUTED_VALUE"""),3)</f>
        <v>3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IFERROR(__xludf.DUMMYFUNCTION("""COMPUTED_VALUE"""),"CS1407")</f>
        <v>CS1407</v>
      </c>
      <c r="E35" s="2" t="str">
        <f>IFERROR(__xludf.DUMMYFUNCTION("""COMPUTED_VALUE"""),"19CS407")</f>
        <v>19CS407</v>
      </c>
      <c r="F35" s="7" t="str">
        <f>IFERROR(__xludf.DUMMYFUNCTION("""COMPUTED_VALUE"""),"Theory of Computation")</f>
        <v>Theory of Computation</v>
      </c>
      <c r="G35" s="2" t="str">
        <f>IFERROR(__xludf.DUMMYFUNCTION("""COMPUTED_VALUE"""),"19MA206")</f>
        <v>19MA206</v>
      </c>
      <c r="H35" s="2">
        <f>IFERROR(__xludf.DUMMYFUNCTION("""COMPUTED_VALUE"""),3)</f>
        <v>3</v>
      </c>
      <c r="I35" s="2">
        <f>IFERROR(__xludf.DUMMYFUNCTION("""COMPUTED_VALUE"""),0)</f>
        <v>0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IFERROR(__xludf.DUMMYFUNCTION("""COMPUTED_VALUE"""),"Theory")</f>
        <v>Theory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IFERROR(__xludf.DUMMYFUNCTION("""COMPUTED_VALUE"""),"CS1408")</f>
        <v>CS1408</v>
      </c>
      <c r="E36" s="2" t="str">
        <f>IFERROR(__xludf.DUMMYFUNCTION("""COMPUTED_VALUE"""),"19CS408")</f>
        <v>19CS408</v>
      </c>
      <c r="F36" s="7" t="str">
        <f>IFERROR(__xludf.DUMMYFUNCTION("""COMPUTED_VALUE"""),"Software Engineering")</f>
        <v>Software Engineering</v>
      </c>
      <c r="G36" s="2" t="str">
        <f>IFERROR(__xludf.DUMMYFUNCTION("""COMPUTED_VALUE"""),"-")</f>
        <v>-</v>
      </c>
      <c r="H36" s="2">
        <f>IFERROR(__xludf.DUMMYFUNCTION("""COMPUTED_VALUE"""),3)</f>
        <v>3</v>
      </c>
      <c r="I36" s="2">
        <f>IFERROR(__xludf.DUMMYFUNCTION("""COMPUTED_VALUE"""),1)</f>
        <v>1</v>
      </c>
      <c r="J36" s="2">
        <f>IFERROR(__xludf.DUMMYFUNCTION("""COMPUTED_VALUE"""),4)</f>
        <v>4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IFERROR(__xludf.DUMMYFUNCTION("""COMPUTED_VALUE"""),"CS3405")</f>
        <v>CS3405</v>
      </c>
      <c r="E37" s="2" t="str">
        <f>IFERROR(__xludf.DUMMYFUNCTION("""COMPUTED_VALUE"""),"19AI405")</f>
        <v>19AI405</v>
      </c>
      <c r="F37" s="7" t="str">
        <f>IFERROR(__xludf.DUMMYFUNCTION("""COMPUTED_VALUE"""),"Fundamentals of Artificial Intelligence")</f>
        <v>Fundamentals of Artificial Intelligence</v>
      </c>
      <c r="G37" s="2" t="str">
        <f>IFERROR(__xludf.DUMMYFUNCTION("""COMPUTED_VALUE"""),"19CS301")</f>
        <v>19CS301</v>
      </c>
      <c r="H37" s="2">
        <f>IFERROR(__xludf.DUMMYFUNCTION("""COMPUTED_VALUE"""),2)</f>
        <v>2</v>
      </c>
      <c r="I37" s="2">
        <f>IFERROR(__xludf.DUMMYFUNCTION("""COMPUTED_VALUE"""),1)</f>
        <v>1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IFERROR(__xludf.DUMMYFUNCTION("""COMPUTED_VALUE"""),"CS3541")</f>
        <v>CS3541</v>
      </c>
      <c r="E38" s="2" t="str">
        <f>IFERROR(__xludf.DUMMYFUNCTION("""COMPUTED_VALUE"""),"19AI541")</f>
        <v>19AI541</v>
      </c>
      <c r="F38" s="7" t="str">
        <f>IFERROR(__xludf.DUMMYFUNCTION("""COMPUTED_VALUE"""),"Cloud Computing")</f>
        <v>Cloud Computing</v>
      </c>
      <c r="G38" s="2" t="str">
        <f>IFERROR(__xludf.DUMMYFUNCTION("""COMPUTED_VALUE"""),"19CS406")</f>
        <v>19CS406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IFERROR(__xludf.DUMMYFUNCTION("""COMPUTED_VALUE"""),"CS1415")</f>
        <v>CS1415</v>
      </c>
      <c r="E39" s="2" t="str">
        <f>IFERROR(__xludf.DUMMYFUNCTION("""COMPUTED_VALUE"""),"19CS415")</f>
        <v>19CS415</v>
      </c>
      <c r="F39" s="7" t="str">
        <f>IFERROR(__xludf.DUMMYFUNCTION("""COMPUTED_VALUE"""),"Cryptography")</f>
        <v>Cryptography</v>
      </c>
      <c r="G39" s="2" t="str">
        <f>IFERROR(__xludf.DUMMYFUNCTION("""COMPUTED_VALUE"""),"-")</f>
        <v>-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IFERROR(__xludf.DUMMYFUNCTION("""COMPUTED_VALUE"""),"CS3547")</f>
        <v>CS3547</v>
      </c>
      <c r="E40" s="2" t="str">
        <f>IFERROR(__xludf.DUMMYFUNCTION("""COMPUTED_VALUE"""),"19AI547")</f>
        <v>19AI547</v>
      </c>
      <c r="F40" s="7" t="str">
        <f>IFERROR(__xludf.DUMMYFUNCTION("""COMPUTED_VALUE"""),"Blockchain for Business")</f>
        <v>Blockchain for Business</v>
      </c>
      <c r="G40" s="2" t="str">
        <f>IFERROR(__xludf.DUMMYFUNCTION("""COMPUTED_VALUE"""),"19CS301")</f>
        <v>19CS301</v>
      </c>
      <c r="H40" s="2">
        <f>IFERROR(__xludf.DUMMYFUNCTION("""COMPUTED_VALUE"""),2)</f>
        <v>2</v>
      </c>
      <c r="I40" s="2">
        <f>IFERROR(__xludf.DUMMYFUNCTION("""COMPUTED_VALUE"""),1)</f>
        <v>1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IFERROR(__xludf.DUMMYFUNCTION("""COMPUTED_VALUE"""),"CS1416")</f>
        <v>CS1416</v>
      </c>
      <c r="E41" s="2" t="str">
        <f>IFERROR(__xludf.DUMMYFUNCTION("""COMPUTED_VALUE"""),"19CS416")</f>
        <v>19CS416</v>
      </c>
      <c r="F41" s="7" t="str">
        <f>IFERROR(__xludf.DUMMYFUNCTION("""COMPUTED_VALUE"""),"Cloud Security")</f>
        <v>Cloud Security</v>
      </c>
      <c r="G41" s="2" t="str">
        <f>IFERROR(__xludf.DUMMYFUNCTION("""COMPUTED_VALUE"""),"-")</f>
        <v>-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IFERROR(__xludf.DUMMYFUNCTION("""COMPUTED_VALUE"""),"CS1417")</f>
        <v>CS1417</v>
      </c>
      <c r="E42" s="2" t="str">
        <f>IFERROR(__xludf.DUMMYFUNCTION("""COMPUTED_VALUE"""),"19CS417")</f>
        <v>19CS417</v>
      </c>
      <c r="F42" s="7" t="str">
        <f>IFERROR(__xludf.DUMMYFUNCTION("""COMPUTED_VALUE"""),"Ethical Hacking Techniques")</f>
        <v>Ethical Hacking Techniques</v>
      </c>
      <c r="G42" s="2" t="str">
        <f>IFERROR(__xludf.DUMMYFUNCTION("""COMPUTED_VALUE"""),"-")</f>
        <v>-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IFERROR(__xludf.DUMMYFUNCTION("""COMPUTED_VALUE"""),"CS1418")</f>
        <v>CS1418</v>
      </c>
      <c r="E43" s="2" t="str">
        <f>IFERROR(__xludf.DUMMYFUNCTION("""COMPUTED_VALUE"""),"19CS418")</f>
        <v>19CS418</v>
      </c>
      <c r="F43" s="7" t="str">
        <f>IFERROR(__xludf.DUMMYFUNCTION("""COMPUTED_VALUE"""),"Cyber Law and Compliance")</f>
        <v>Cyber Law and Compliance</v>
      </c>
      <c r="G43" s="2" t="str">
        <f>IFERROR(__xludf.DUMMYFUNCTION("""COMPUTED_VALUE"""),"-")</f>
        <v>-</v>
      </c>
      <c r="H43" s="2">
        <f>IFERROR(__xludf.DUMMYFUNCTION("""COMPUTED_VALUE"""),3)</f>
        <v>3</v>
      </c>
      <c r="I43" s="2">
        <f>IFERROR(__xludf.DUMMYFUNCTION("""COMPUTED_VALUE"""),0)</f>
        <v>0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IFERROR(__xludf.DUMMYFUNCTION("""COMPUTED_VALUE"""),"Theory")</f>
        <v>Theory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IFERROR(__xludf.DUMMYFUNCTION("""COMPUTED_VALUE"""),"CS1419")</f>
        <v>CS1419</v>
      </c>
      <c r="E44" s="2" t="str">
        <f>IFERROR(__xludf.DUMMYFUNCTION("""COMPUTED_VALUE"""),"19CS419")</f>
        <v>19CS419</v>
      </c>
      <c r="F44" s="7" t="str">
        <f>IFERROR(__xludf.DUMMYFUNCTION("""COMPUTED_VALUE"""),"Digital Forensics and Digital Investigations")</f>
        <v>Digital Forensics and Digital Investigations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IFERROR(__xludf.DUMMYFUNCTION("""COMPUTED_VALUE"""),"PE")</f>
        <v>PE</v>
      </c>
      <c r="D45" s="2" t="str">
        <f>IFERROR(__xludf.DUMMYFUNCTION("""COMPUTED_VALUE"""),"CS1305")</f>
        <v>CS1305</v>
      </c>
      <c r="E45" s="2" t="str">
        <f>IFERROR(__xludf.DUMMYFUNCTION("""COMPUTED_VALUE"""),"19CS305")</f>
        <v>19CS305</v>
      </c>
      <c r="F45" s="7" t="str">
        <f>IFERROR(__xludf.DUMMYFUNCTION("""COMPUTED_VALUE"""),"Computer Architecture")</f>
        <v>Computer Architecture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IFERROR(__xludf.DUMMYFUNCTION("""COMPUTED_VALUE"""),"PE")</f>
        <v>PE</v>
      </c>
      <c r="D46" s="2" t="str">
        <f>IFERROR(__xludf.DUMMYFUNCTION("""COMPUTED_VALUE"""),"CS1547")</f>
        <v>CS1547</v>
      </c>
      <c r="E46" s="2" t="str">
        <f>IFERROR(__xludf.DUMMYFUNCTION("""COMPUTED_VALUE"""),"19CS547")</f>
        <v>19CS547</v>
      </c>
      <c r="F46" s="7" t="str">
        <f>IFERROR(__xludf.DUMMYFUNCTION("""COMPUTED_VALUE"""),"Fundamentals of Cryptocurrency")</f>
        <v>Fundamentals of Cryptocurrency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IFERROR(__xludf.DUMMYFUNCTION("""COMPUTED_VALUE"""),"PE")</f>
        <v>PE</v>
      </c>
      <c r="D47" s="2" t="str">
        <f>IFERROR(__xludf.DUMMYFUNCTION("""COMPUTED_VALUE"""),"CS1533")</f>
        <v>CS1533</v>
      </c>
      <c r="E47" s="2" t="str">
        <f>IFERROR(__xludf.DUMMYFUNCTION("""COMPUTED_VALUE"""),"19CS533")</f>
        <v>19CS533</v>
      </c>
      <c r="F47" s="7" t="str">
        <f>IFERROR(__xludf.DUMMYFUNCTION("""COMPUTED_VALUE"""),"Information Security Intelligence and Analytics using Big Data")</f>
        <v>Information Security Intelligence and Analytics using Big Data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IFERROR(__xludf.DUMMYFUNCTION("""COMPUTED_VALUE"""),"PE")</f>
        <v>PE</v>
      </c>
      <c r="D48" s="2" t="str">
        <f>IFERROR(__xludf.DUMMYFUNCTION("""COMPUTED_VALUE"""),"CS1534")</f>
        <v>CS1534</v>
      </c>
      <c r="E48" s="2" t="str">
        <f>IFERROR(__xludf.DUMMYFUNCTION("""COMPUTED_VALUE"""),"19CS534")</f>
        <v>19CS534</v>
      </c>
      <c r="F48" s="7" t="str">
        <f>IFERROR(__xludf.DUMMYFUNCTION("""COMPUTED_VALUE"""),"Prevention Methodology for Cybersecurity")</f>
        <v>Prevention Methodology for Cybersecurity</v>
      </c>
      <c r="G48" s="2" t="str">
        <f>IFERROR(__xludf.DUMMYFUNCTION("""COMPUTED_VALUE"""),"-")</f>
        <v>-</v>
      </c>
      <c r="H48" s="2">
        <f>IFERROR(__xludf.DUMMYFUNCTION("""COMPUTED_VALUE"""),2)</f>
        <v>2</v>
      </c>
      <c r="I48" s="2">
        <f>IFERROR(__xludf.DUMMYFUNCTION("""COMPUTED_VALUE"""),1)</f>
        <v>1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IFERROR(__xludf.DUMMYFUNCTION("""COMPUTED_VALUE"""),"TIP (6 Expts)")</f>
        <v>TIP (6 Expts)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IFERROR(__xludf.DUMMYFUNCTION("""COMPUTED_VALUE"""),"PE")</f>
        <v>PE</v>
      </c>
      <c r="D49" s="2" t="str">
        <f>IFERROR(__xludf.DUMMYFUNCTION("""COMPUTED_VALUE"""),"CS1535")</f>
        <v>CS1535</v>
      </c>
      <c r="E49" s="2" t="str">
        <f>IFERROR(__xludf.DUMMYFUNCTION("""COMPUTED_VALUE"""),"19CS535")</f>
        <v>19CS535</v>
      </c>
      <c r="F49" s="7" t="str">
        <f>IFERROR(__xludf.DUMMYFUNCTION("""COMPUTED_VALUE"""),"Trusted Network Systems")</f>
        <v>Trusted Network Systems</v>
      </c>
      <c r="G49" s="2" t="str">
        <f>IFERROR(__xludf.DUMMYFUNCTION("""COMPUTED_VALUE"""),"-")</f>
        <v>-</v>
      </c>
      <c r="H49" s="2">
        <f>IFERROR(__xludf.DUMMYFUNCTION("""COMPUTED_VALUE"""),3)</f>
        <v>3</v>
      </c>
      <c r="I49" s="2">
        <f>IFERROR(__xludf.DUMMYFUNCTION("""COMPUTED_VALUE"""),0)</f>
        <v>0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IFERROR(__xludf.DUMMYFUNCTION("""COMPUTED_VALUE"""),"Theory")</f>
        <v>Theory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IFERROR(__xludf.DUMMYFUNCTION("""COMPUTED_VALUE"""),"PE")</f>
        <v>PE</v>
      </c>
      <c r="D50" s="2" t="str">
        <f>IFERROR(__xludf.DUMMYFUNCTION("""COMPUTED_VALUE"""),"CS3526")</f>
        <v>CS3526</v>
      </c>
      <c r="E50" s="2" t="str">
        <f>IFERROR(__xludf.DUMMYFUNCTION("""COMPUTED_VALUE"""),"19AI526")</f>
        <v>19AI526</v>
      </c>
      <c r="F50" s="7" t="str">
        <f>IFERROR(__xludf.DUMMYFUNCTION("""COMPUTED_VALUE"""),"Information Security and Access Control")</f>
        <v>Information Security and Access Control</v>
      </c>
      <c r="G50" s="2" t="str">
        <f>IFERROR(__xludf.DUMMYFUNCTION("""COMPUTED_VALUE"""),"19AI527")</f>
        <v>19AI527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IFERROR(__xludf.DUMMYFUNCTION("""COMPUTED_VALUE"""),"PE")</f>
        <v>PE</v>
      </c>
      <c r="D51" s="2" t="str">
        <f>IFERROR(__xludf.DUMMYFUNCTION("""COMPUTED_VALUE"""),"CS1536")</f>
        <v>CS1536</v>
      </c>
      <c r="E51" s="2" t="str">
        <f>IFERROR(__xludf.DUMMYFUNCTION("""COMPUTED_VALUE"""),"19CS536")</f>
        <v>19CS536</v>
      </c>
      <c r="F51" s="7" t="str">
        <f>IFERROR(__xludf.DUMMYFUNCTION("""COMPUTED_VALUE"""),"Firewalls and Intrusion Detection System")</f>
        <v>Firewalls and Intrusion Detection System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IFERROR(__xludf.DUMMYFUNCTION("""COMPUTED_VALUE"""),"PE")</f>
        <v>PE</v>
      </c>
      <c r="D52" s="2" t="str">
        <f>IFERROR(__xludf.DUMMYFUNCTION("""COMPUTED_VALUE"""),"CS3527")</f>
        <v>CS3527</v>
      </c>
      <c r="E52" s="2" t="str">
        <f>IFERROR(__xludf.DUMMYFUNCTION("""COMPUTED_VALUE"""),"19AI527")</f>
        <v>19AI527</v>
      </c>
      <c r="F52" s="7" t="str">
        <f>IFERROR(__xludf.DUMMYFUNCTION("""COMPUTED_VALUE"""),"Security Assessment and Risk Analysis")</f>
        <v>Security Assessment and Risk Analysis</v>
      </c>
      <c r="G52" s="2" t="str">
        <f>IFERROR(__xludf.DUMMYFUNCTION("""COMPUTED_VALUE"""),"-")</f>
        <v>-</v>
      </c>
      <c r="H52" s="2">
        <f>IFERROR(__xludf.DUMMYFUNCTION("""COMPUTED_VALUE"""),3)</f>
        <v>3</v>
      </c>
      <c r="I52" s="2">
        <f>IFERROR(__xludf.DUMMYFUNCTION("""COMPUTED_VALUE"""),1)</f>
        <v>1</v>
      </c>
      <c r="J52" s="2">
        <f>IFERROR(__xludf.DUMMYFUNCTION("""COMPUTED_VALUE"""),4)</f>
        <v>4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IFERROR(__xludf.DUMMYFUNCTION("""COMPUTED_VALUE"""),"PE")</f>
        <v>PE</v>
      </c>
      <c r="D53" s="2" t="str">
        <f>IFERROR(__xludf.DUMMYFUNCTION("""COMPUTED_VALUE"""),"CS3536")</f>
        <v>CS3536</v>
      </c>
      <c r="E53" s="2" t="str">
        <f>IFERROR(__xludf.DUMMYFUNCTION("""COMPUTED_VALUE"""),"19AI536")</f>
        <v>19AI536</v>
      </c>
      <c r="F53" s="7" t="str">
        <f>IFERROR(__xludf.DUMMYFUNCTION("""COMPUTED_VALUE"""),"Steganography and Digital Watermarking")</f>
        <v>Steganography and Digital Watermarking</v>
      </c>
      <c r="G53" s="2" t="str">
        <f>IFERROR(__xludf.DUMMYFUNCTION("""COMPUTED_VALUE"""),"-")</f>
        <v>-</v>
      </c>
      <c r="H53" s="2">
        <f>IFERROR(__xludf.DUMMYFUNCTION("""COMPUTED_VALUE"""),2)</f>
        <v>2</v>
      </c>
      <c r="I53" s="2">
        <f>IFERROR(__xludf.DUMMYFUNCTION("""COMPUTED_VALUE"""),1)</f>
        <v>1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IFERROR(__xludf.DUMMYFUNCTION("""COMPUTED_VALUE"""),"TIP (6 Expts)")</f>
        <v>TIP (6 Expts)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IFERROR(__xludf.DUMMYFUNCTION("""COMPUTED_VALUE"""),"PE")</f>
        <v>PE</v>
      </c>
      <c r="D54" s="2" t="str">
        <f>IFERROR(__xludf.DUMMYFUNCTION("""COMPUTED_VALUE"""),"CS1537")</f>
        <v>CS1537</v>
      </c>
      <c r="E54" s="2" t="str">
        <f>IFERROR(__xludf.DUMMYFUNCTION("""COMPUTED_VALUE"""),"19CS537")</f>
        <v>19CS537</v>
      </c>
      <c r="F54" s="7" t="str">
        <f>IFERROR(__xludf.DUMMYFUNCTION("""COMPUTED_VALUE"""),"Secure Software Engineering")</f>
        <v>Secure Software Engineering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IFERROR(__xludf.DUMMYFUNCTION("""COMPUTED_VALUE"""),"PE")</f>
        <v>PE</v>
      </c>
      <c r="D55" s="2" t="str">
        <f>IFERROR(__xludf.DUMMYFUNCTION("""COMPUTED_VALUE"""),"CS1538")</f>
        <v>CS1538</v>
      </c>
      <c r="E55" s="2" t="str">
        <f>IFERROR(__xludf.DUMMYFUNCTION("""COMPUTED_VALUE"""),"19CS538")</f>
        <v>19CS538</v>
      </c>
      <c r="F55" s="7" t="str">
        <f>IFERROR(__xludf.DUMMYFUNCTION("""COMPUTED_VALUE"""),"System Security")</f>
        <v>System Security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IFERROR(__xludf.DUMMYFUNCTION("""COMPUTED_VALUE"""),"PE")</f>
        <v>PE</v>
      </c>
      <c r="D56" s="2" t="str">
        <f>IFERROR(__xludf.DUMMYFUNCTION("""COMPUTED_VALUE"""),"CS1539")</f>
        <v>CS1539</v>
      </c>
      <c r="E56" s="2" t="str">
        <f>IFERROR(__xludf.DUMMYFUNCTION("""COMPUTED_VALUE"""),"19CS539")</f>
        <v>19CS539</v>
      </c>
      <c r="F56" s="7" t="str">
        <f>IFERROR(__xludf.DUMMYFUNCTION("""COMPUTED_VALUE"""),"Hardware Security")</f>
        <v>Hardware Security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IFERROR(__xludf.DUMMYFUNCTION("""COMPUTED_VALUE"""),"PE")</f>
        <v>PE</v>
      </c>
      <c r="D57" s="2" t="str">
        <f>IFERROR(__xludf.DUMMYFUNCTION("""COMPUTED_VALUE"""),"CS3409")</f>
        <v>CS3409</v>
      </c>
      <c r="E57" s="2" t="str">
        <f>IFERROR(__xludf.DUMMYFUNCTION("""COMPUTED_VALUE"""),"19AI409")</f>
        <v>19AI409</v>
      </c>
      <c r="F57" s="7" t="str">
        <f>IFERROR(__xludf.DUMMYFUNCTION("""COMPUTED_VALUE"""),"Applied Artificial Intelligence")</f>
        <v>Applied Artificial Intelligence</v>
      </c>
      <c r="G57" s="2" t="str">
        <f>IFERROR(__xludf.DUMMYFUNCTION("""COMPUTED_VALUE"""),"19AI405/19CS301")</f>
        <v>19AI405/19CS301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IFERROR(__xludf.DUMMYFUNCTION("""COMPUTED_VALUE"""),"PE")</f>
        <v>PE</v>
      </c>
      <c r="D58" s="2" t="str">
        <f>IFERROR(__xludf.DUMMYFUNCTION("""COMPUTED_VALUE"""),"CS3501")</f>
        <v>CS3501</v>
      </c>
      <c r="E58" s="2" t="str">
        <f>IFERROR(__xludf.DUMMYFUNCTION("""COMPUTED_VALUE"""),"19AI501")</f>
        <v>19AI501</v>
      </c>
      <c r="F58" s="3" t="str">
        <f>IFERROR(__xludf.DUMMYFUNCTION("""COMPUTED_VALUE"""),"Applications of Artificial Intelligence")</f>
        <v>Applications of Artificial Intelligence</v>
      </c>
      <c r="G58" s="2" t="str">
        <f>IFERROR(__xludf.DUMMYFUNCTION("""COMPUTED_VALUE"""),"-")</f>
        <v>-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IFERROR(__xludf.DUMMYFUNCTION("""COMPUTED_VALUE"""),"PE")</f>
        <v>PE</v>
      </c>
      <c r="D59" s="2" t="str">
        <f>IFERROR(__xludf.DUMMYFUNCTION("""COMPUTED_VALUE"""),"CS3507")</f>
        <v>CS3507</v>
      </c>
      <c r="E59" s="2" t="str">
        <f>IFERROR(__xludf.DUMMYFUNCTION("""COMPUTED_VALUE"""),"19AI507")</f>
        <v>19AI507</v>
      </c>
      <c r="F59" s="7" t="str">
        <f>IFERROR(__xludf.DUMMYFUNCTION("""COMPUTED_VALUE"""),"Special Topics in Artificial Intelligence")</f>
        <v>Special Topics in Artificial Intelligence</v>
      </c>
      <c r="G59" s="2" t="str">
        <f>IFERROR(__xludf.DUMMYFUNCTION("""COMPUTED_VALUE"""),"-")</f>
        <v>-</v>
      </c>
      <c r="H59" s="2">
        <f>IFERROR(__xludf.DUMMYFUNCTION("""COMPUTED_VALUE"""),2)</f>
        <v>2</v>
      </c>
      <c r="I59" s="2">
        <f>IFERROR(__xludf.DUMMYFUNCTION("""COMPUTED_VALUE"""),1)</f>
        <v>1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IFERROR(__xludf.DUMMYFUNCTION("""COMPUTED_VALUE"""),"TIP (6 Expts)")</f>
        <v>TIP (6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IFERROR(__xludf.DUMMYFUNCTION("""COMPUTED_VALUE"""),"PE")</f>
        <v>PE</v>
      </c>
      <c r="D60" s="2" t="str">
        <f>IFERROR(__xludf.DUMMYFUNCTION("""COMPUTED_VALUE"""),"CS3503")</f>
        <v>CS3503</v>
      </c>
      <c r="E60" s="2" t="str">
        <f>IFERROR(__xludf.DUMMYFUNCTION("""COMPUTED_VALUE"""),"19AI503")</f>
        <v>19AI503</v>
      </c>
      <c r="F60" s="7" t="str">
        <f>IFERROR(__xludf.DUMMYFUNCTION("""COMPUTED_VALUE"""),"Computer Vision")</f>
        <v>Computer Vision</v>
      </c>
      <c r="G60" s="2" t="str">
        <f>IFERROR(__xludf.DUMMYFUNCTION("""COMPUTED_VALUE"""),"19CS301")</f>
        <v>19CS301</v>
      </c>
      <c r="H60" s="2">
        <f>IFERROR(__xludf.DUMMYFUNCTION("""COMPUTED_VALUE"""),2)</f>
        <v>2</v>
      </c>
      <c r="I60" s="2">
        <f>IFERROR(__xludf.DUMMYFUNCTION("""COMPUTED_VALUE"""),1)</f>
        <v>1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IFERROR(__xludf.DUMMYFUNCTION("""COMPUTED_VALUE"""),"TIP (6 Expts)")</f>
        <v>TIP (6 Expts)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IFERROR(__xludf.DUMMYFUNCTION("""COMPUTED_VALUE"""),"PE")</f>
        <v>PE</v>
      </c>
      <c r="D61" s="2" t="str">
        <f>IFERROR(__xludf.DUMMYFUNCTION("""COMPUTED_VALUE"""),"CS3514")</f>
        <v>CS3514</v>
      </c>
      <c r="E61" s="2" t="str">
        <f>IFERROR(__xludf.DUMMYFUNCTION("""COMPUTED_VALUE"""),"19AI514")</f>
        <v>19AI514</v>
      </c>
      <c r="F61" s="7" t="str">
        <f>IFERROR(__xludf.DUMMYFUNCTION("""COMPUTED_VALUE"""),"Self Driving Car")</f>
        <v>Self Driving Car</v>
      </c>
      <c r="G61" s="2" t="str">
        <f>IFERROR(__xludf.DUMMYFUNCTION("""COMPUTED_VALUE"""),"19CS301/19AI410")</f>
        <v>19CS301/19AI410</v>
      </c>
      <c r="H61" s="2">
        <f>IFERROR(__xludf.DUMMYFUNCTION("""COMPUTED_VALUE"""),2)</f>
        <v>2</v>
      </c>
      <c r="I61" s="2">
        <f>IFERROR(__xludf.DUMMYFUNCTION("""COMPUTED_VALUE"""),2)</f>
        <v>2</v>
      </c>
      <c r="J61" s="2">
        <f>IFERROR(__xludf.DUMMYFUNCTION("""COMPUTED_VALUE"""),4)</f>
        <v>4</v>
      </c>
      <c r="K61" s="2" t="str">
        <f>IFERROR(__xludf.DUMMYFUNCTION("""COMPUTED_VALUE"""),"CGPA")</f>
        <v>CGPA</v>
      </c>
      <c r="L61" s="2" t="str">
        <f>IFERROR(__xludf.DUMMYFUNCTION("""COMPUTED_VALUE"""),"TIP (10 Expts)")</f>
        <v>TIP (10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IFERROR(__xludf.DUMMYFUNCTION("""COMPUTED_VALUE"""),"PE")</f>
        <v>PE</v>
      </c>
      <c r="D62" s="2" t="str">
        <f>IFERROR(__xludf.DUMMYFUNCTION("""COMPUTED_VALUE"""),"CS3522")</f>
        <v>CS3522</v>
      </c>
      <c r="E62" s="2" t="str">
        <f>IFERROR(__xludf.DUMMYFUNCTION("""COMPUTED_VALUE"""),"19AI522")</f>
        <v>19AI522</v>
      </c>
      <c r="F62" s="7" t="str">
        <f>IFERROR(__xludf.DUMMYFUNCTION("""COMPUTED_VALUE"""),"Knowledge Engineering")</f>
        <v>Knowledge Engineering</v>
      </c>
      <c r="G62" s="2" t="str">
        <f>IFERROR(__xludf.DUMMYFUNCTION("""COMPUTED_VALUE"""),"19CS410")</f>
        <v>19CS410</v>
      </c>
      <c r="H62" s="2">
        <f>IFERROR(__xludf.DUMMYFUNCTION("""COMPUTED_VALUE"""),3)</f>
        <v>3</v>
      </c>
      <c r="I62" s="2">
        <f>IFERROR(__xludf.DUMMYFUNCTION("""COMPUTED_VALUE"""),0)</f>
        <v>0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IFERROR(__xludf.DUMMYFUNCTION("""COMPUTED_VALUE"""),"Theory")</f>
        <v>Theory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IFERROR(__xludf.DUMMYFUNCTION("""COMPUTED_VALUE"""),"PE")</f>
        <v>PE</v>
      </c>
      <c r="D63" s="2" t="str">
        <f>IFERROR(__xludf.DUMMYFUNCTION("""COMPUTED_VALUE"""),"CS3502")</f>
        <v>CS3502</v>
      </c>
      <c r="E63" s="2" t="str">
        <f>IFERROR(__xludf.DUMMYFUNCTION("""COMPUTED_VALUE"""),"19AI502")</f>
        <v>19AI502</v>
      </c>
      <c r="F63" s="7" t="str">
        <f>IFERROR(__xludf.DUMMYFUNCTION("""COMPUTED_VALUE"""),"Applied Natural Language Processing")</f>
        <v>Applied Natural Language Processing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IFERROR(__xludf.DUMMYFUNCTION("""COMPUTED_VALUE"""),"PE")</f>
        <v>PE</v>
      </c>
      <c r="D64" s="2" t="str">
        <f>IFERROR(__xludf.DUMMYFUNCTION("""COMPUTED_VALUE"""),"CS3410")</f>
        <v>CS3410</v>
      </c>
      <c r="E64" s="2" t="str">
        <f>IFERROR(__xludf.DUMMYFUNCTION("""COMPUTED_VALUE"""),"19AI410")</f>
        <v>19AI410</v>
      </c>
      <c r="F64" s="7" t="str">
        <f>IFERROR(__xludf.DUMMYFUNCTION("""COMPUTED_VALUE"""),"Introduction to Machine Learning")</f>
        <v>Introduction to Machine Learning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IFERROR(__xludf.DUMMYFUNCTION("""COMPUTED_VALUE"""),"PE")</f>
        <v>PE</v>
      </c>
      <c r="D65" s="2" t="str">
        <f>IFERROR(__xludf.DUMMYFUNCTION("""COMPUTED_VALUE"""),"CS3411")</f>
        <v>CS3411</v>
      </c>
      <c r="E65" s="2" t="str">
        <f>IFERROR(__xludf.DUMMYFUNCTION("""COMPUTED_VALUE"""),"19AI411")</f>
        <v>19AI411</v>
      </c>
      <c r="F65" s="7" t="str">
        <f>IFERROR(__xludf.DUMMYFUNCTION("""COMPUTED_VALUE"""),"Neural Networks")</f>
        <v>Neural Networks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IFERROR(__xludf.DUMMYFUNCTION("""COMPUTED_VALUE"""),"PE")</f>
        <v>PE</v>
      </c>
      <c r="D66" s="2" t="str">
        <f>IFERROR(__xludf.DUMMYFUNCTION("""COMPUTED_VALUE"""),"CS3506")</f>
        <v>CS3506</v>
      </c>
      <c r="E66" s="2" t="str">
        <f>IFERROR(__xludf.DUMMYFUNCTION("""COMPUTED_VALUE"""),"19AI506")</f>
        <v>19AI506</v>
      </c>
      <c r="F66" s="3" t="str">
        <f>IFERROR(__xludf.DUMMYFUNCTION("""COMPUTED_VALUE"""),"Speech Analysis and Processing")</f>
        <v>Speech Analysis and Processing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IFERROR(__xludf.DUMMYFUNCTION("""COMPUTED_VALUE"""),"PE")</f>
        <v>PE</v>
      </c>
      <c r="D67" s="2" t="str">
        <f>IFERROR(__xludf.DUMMYFUNCTION("""COMPUTED_VALUE"""),"CS3413")</f>
        <v>CS3413</v>
      </c>
      <c r="E67" s="2" t="str">
        <f>IFERROR(__xludf.DUMMYFUNCTION("""COMPUTED_VALUE"""),"19AI413")</f>
        <v>19AI413</v>
      </c>
      <c r="F67" s="7" t="str">
        <f>IFERROR(__xludf.DUMMYFUNCTION("""COMPUTED_VALUE"""),"Deep Learning and its Applications")</f>
        <v>Deep Learning and its Applications</v>
      </c>
      <c r="G67" s="2" t="str">
        <f>IFERROR(__xludf.DUMMYFUNCTION("""COMPUTED_VALUE"""),"-")</f>
        <v>-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IFERROR(__xludf.DUMMYFUNCTION("""COMPUTED_VALUE"""),"PE")</f>
        <v>PE</v>
      </c>
      <c r="D68" s="2" t="str">
        <f>IFERROR(__xludf.DUMMYFUNCTION("""COMPUTED_VALUE"""),"CS3521")</f>
        <v>CS3521</v>
      </c>
      <c r="E68" s="2" t="str">
        <f>IFERROR(__xludf.DUMMYFUNCTION("""COMPUTED_VALUE"""),"19AI521")</f>
        <v>19AI521</v>
      </c>
      <c r="F68" s="7" t="str">
        <f>IFERROR(__xludf.DUMMYFUNCTION("""COMPUTED_VALUE"""),"Expert Systems")</f>
        <v>Expert Systems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IFERROR(__xludf.DUMMYFUNCTION("""COMPUTED_VALUE"""),"PE")</f>
        <v>PE</v>
      </c>
      <c r="D69" s="2" t="str">
        <f>IFERROR(__xludf.DUMMYFUNCTION("""COMPUTED_VALUE"""),"CS3505")</f>
        <v>CS3505</v>
      </c>
      <c r="E69" s="2" t="str">
        <f>IFERROR(__xludf.DUMMYFUNCTION("""COMPUTED_VALUE"""),"19AI505")</f>
        <v>19AI505</v>
      </c>
      <c r="F69" s="3" t="str">
        <f>IFERROR(__xludf.DUMMYFUNCTION("""COMPUTED_VALUE"""),"Reinforcement Learning")</f>
        <v>Reinforcement Learning</v>
      </c>
      <c r="G69" s="2" t="str">
        <f>IFERROR(__xludf.DUMMYFUNCTION("""COMPUTED_VALUE"""),"19CS301")</f>
        <v>19CS301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IFERROR(__xludf.DUMMYFUNCTION("""COMPUTED_VALUE"""),"PE")</f>
        <v>PE</v>
      </c>
      <c r="D70" s="2" t="str">
        <f>IFERROR(__xludf.DUMMYFUNCTION("""COMPUTED_VALUE"""),"CS4501")</f>
        <v>CS4501</v>
      </c>
      <c r="E70" s="2" t="str">
        <f>IFERROR(__xludf.DUMMYFUNCTION("""COMPUTED_VALUE"""),"19AM501")</f>
        <v>19AM501</v>
      </c>
      <c r="F70" s="3" t="str">
        <f>IFERROR(__xludf.DUMMYFUNCTION("""COMPUTED_VALUE"""),"Machine Learning for Bioinformatics")</f>
        <v>Machine Learning for Bioinformatics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IFERROR(__xludf.DUMMYFUNCTION("""COMPUTED_VALUE"""),"PE")</f>
        <v>PE</v>
      </c>
      <c r="D71" s="2" t="str">
        <f>IFERROR(__xludf.DUMMYFUNCTION("""COMPUTED_VALUE"""),"CS4502")</f>
        <v>CS4502</v>
      </c>
      <c r="E71" s="2" t="str">
        <f>IFERROR(__xludf.DUMMYFUNCTION("""COMPUTED_VALUE"""),"19AM502")</f>
        <v>19AM502</v>
      </c>
      <c r="F71" s="7" t="str">
        <f>IFERROR(__xludf.DUMMYFUNCTION("""COMPUTED_VALUE"""),"Genetic Algorithms")</f>
        <v>Genetic Algorithms</v>
      </c>
      <c r="G71" s="2" t="str">
        <f>IFERROR(__xludf.DUMMYFUNCTION("""COMPUTED_VALUE"""),"-")</f>
        <v>-</v>
      </c>
      <c r="H71" s="2">
        <f>IFERROR(__xludf.DUMMYFUNCTION("""COMPUTED_VALUE"""),2)</f>
        <v>2</v>
      </c>
      <c r="I71" s="2">
        <f>IFERROR(__xludf.DUMMYFUNCTION("""COMPUTED_VALUE"""),1)</f>
        <v>1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IFERROR(__xludf.DUMMYFUNCTION("""COMPUTED_VALUE"""),"PE")</f>
        <v>PE</v>
      </c>
      <c r="D72" s="2" t="str">
        <f>IFERROR(__xludf.DUMMYFUNCTION("""COMPUTED_VALUE"""),"CS4505")</f>
        <v>CS4505</v>
      </c>
      <c r="E72" s="2" t="str">
        <f>IFERROR(__xludf.DUMMYFUNCTION("""COMPUTED_VALUE"""),"19AM505")</f>
        <v>19AM505</v>
      </c>
      <c r="F72" s="7" t="str">
        <f>IFERROR(__xludf.DUMMYFUNCTION("""COMPUTED_VALUE"""),"Statistical Learning Theory")</f>
        <v>Statistical Learning Theory</v>
      </c>
      <c r="G72" s="2" t="str">
        <f>IFERROR(__xludf.DUMMYFUNCTION("""COMPUTED_VALUE"""),"-")</f>
        <v>-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IFERROR(__xludf.DUMMYFUNCTION("""COMPUTED_VALUE"""),"PE")</f>
        <v>PE</v>
      </c>
      <c r="D73" s="2" t="str">
        <f>IFERROR(__xludf.DUMMYFUNCTION("""COMPUTED_VALUE"""),"CS3533")</f>
        <v>CS3533</v>
      </c>
      <c r="E73" s="2" t="str">
        <f>IFERROR(__xludf.DUMMYFUNCTION("""COMPUTED_VALUE"""),"19AI533")</f>
        <v>19AI533</v>
      </c>
      <c r="F73" s="7" t="str">
        <f>IFERROR(__xludf.DUMMYFUNCTION("""COMPUTED_VALUE"""),"Introduction to Robotics")</f>
        <v>Introduction to Robotics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IFERROR(__xludf.DUMMYFUNCTION("""COMPUTED_VALUE"""),"PE")</f>
        <v>PE</v>
      </c>
      <c r="D74" s="2" t="str">
        <f>IFERROR(__xludf.DUMMYFUNCTION("""COMPUTED_VALUE"""),"CS3534")</f>
        <v>CS3534</v>
      </c>
      <c r="E74" s="2" t="str">
        <f>IFERROR(__xludf.DUMMYFUNCTION("""COMPUTED_VALUE"""),"19AI534")</f>
        <v>19AI534</v>
      </c>
      <c r="F74" s="7" t="str">
        <f>IFERROR(__xludf.DUMMYFUNCTION("""COMPUTED_VALUE"""),"Kinematics and Dynamics of Robots")</f>
        <v>Kinematics and Dynamics of Robots</v>
      </c>
      <c r="G74" s="2" t="str">
        <f>IFERROR(__xludf.DUMMYFUNCTION("""COMPUTED_VALUE"""),"-")</f>
        <v>-</v>
      </c>
      <c r="H74" s="2">
        <f>IFERROR(__xludf.DUMMYFUNCTION("""COMPUTED_VALUE"""),2)</f>
        <v>2</v>
      </c>
      <c r="I74" s="2">
        <f>IFERROR(__xludf.DUMMYFUNCTION("""COMPUTED_VALUE"""),1)</f>
        <v>1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IFERROR(__xludf.DUMMYFUNCTION("""COMPUTED_VALUE"""),"PE")</f>
        <v>PE</v>
      </c>
      <c r="D75" s="2" t="str">
        <f>IFERROR(__xludf.DUMMYFUNCTION("""COMPUTED_VALUE"""),"CS3535")</f>
        <v>CS3535</v>
      </c>
      <c r="E75" s="2" t="str">
        <f>IFERROR(__xludf.DUMMYFUNCTION("""COMPUTED_VALUE"""),"19AI535")</f>
        <v>19AI535</v>
      </c>
      <c r="F75" s="7" t="str">
        <f>IFERROR(__xludf.DUMMYFUNCTION("""COMPUTED_VALUE"""),"Robotic Sensors")</f>
        <v>Robotic Sensors</v>
      </c>
      <c r="G75" s="2" t="str">
        <f>IFERROR(__xludf.DUMMYFUNCTION("""COMPUTED_VALUE"""),"-")</f>
        <v>-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IFERROR(__xludf.DUMMYFUNCTION("""COMPUTED_VALUE"""),"PE")</f>
        <v>PE</v>
      </c>
      <c r="D76" s="2" t="str">
        <f>IFERROR(__xludf.DUMMYFUNCTION("""COMPUTED_VALUE"""),"CS3530")</f>
        <v>CS3530</v>
      </c>
      <c r="E76" s="2" t="str">
        <f>IFERROR(__xludf.DUMMYFUNCTION("""COMPUTED_VALUE"""),"19AI530")</f>
        <v>19AI530</v>
      </c>
      <c r="F76" s="7" t="str">
        <f>IFERROR(__xludf.DUMMYFUNCTION("""COMPUTED_VALUE"""),"Control of Robotic Systems")</f>
        <v>Control of Robotic Systems</v>
      </c>
      <c r="G76" s="2" t="str">
        <f>IFERROR(__xludf.DUMMYFUNCTION("""COMPUTED_VALUE"""),"-")</f>
        <v>-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IFERROR(__xludf.DUMMYFUNCTION("""COMPUTED_VALUE"""),"PE")</f>
        <v>PE</v>
      </c>
      <c r="D77" s="2" t="str">
        <f>IFERROR(__xludf.DUMMYFUNCTION("""COMPUTED_VALUE"""),"CS3509")</f>
        <v>CS3509</v>
      </c>
      <c r="E77" s="2" t="str">
        <f>IFERROR(__xludf.DUMMYFUNCTION("""COMPUTED_VALUE"""),"19AI509")</f>
        <v>19AI509</v>
      </c>
      <c r="F77" s="7" t="str">
        <f>IFERROR(__xludf.DUMMYFUNCTION("""COMPUTED_VALUE"""),"Concepts of Virtual And Augmented Reality")</f>
        <v>Concepts of Virtual And Augmented Reality</v>
      </c>
      <c r="G77" s="2" t="str">
        <f>IFERROR(__xludf.DUMMYFUNCTION("""COMPUTED_VALUE"""),"-")</f>
        <v>-</v>
      </c>
      <c r="H77" s="2">
        <f>IFERROR(__xludf.DUMMYFUNCTION("""COMPUTED_VALUE"""),2)</f>
        <v>2</v>
      </c>
      <c r="I77" s="2">
        <f>IFERROR(__xludf.DUMMYFUNCTION("""COMPUTED_VALUE"""),1)</f>
        <v>1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IFERROR(__xludf.DUMMYFUNCTION("""COMPUTED_VALUE"""),"TIP (6 Expts)")</f>
        <v>TIP (6 Expts)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IFERROR(__xludf.DUMMYFUNCTION("""COMPUTED_VALUE"""),"PE")</f>
        <v>PE</v>
      </c>
      <c r="D78" s="2" t="str">
        <f>IFERROR(__xludf.DUMMYFUNCTION("""COMPUTED_VALUE"""),"CS3510")</f>
        <v>CS3510</v>
      </c>
      <c r="E78" s="2" t="str">
        <f>IFERROR(__xludf.DUMMYFUNCTION("""COMPUTED_VALUE"""),"19AI510")</f>
        <v>19AI510</v>
      </c>
      <c r="F78" s="7" t="str">
        <f>IFERROR(__xludf.DUMMYFUNCTION("""COMPUTED_VALUE"""),"Mobile VR And AI In Unity")</f>
        <v>Mobile VR And AI In Unity</v>
      </c>
      <c r="G78" s="2" t="str">
        <f>IFERROR(__xludf.DUMMYFUNCTION("""COMPUTED_VALUE"""),"19AI410/19CS302")</f>
        <v>19AI410/19CS302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IFERROR(__xludf.DUMMYFUNCTION("""COMPUTED_VALUE"""),"PE")</f>
        <v>PE</v>
      </c>
      <c r="D79" s="2" t="str">
        <f>IFERROR(__xludf.DUMMYFUNCTION("""COMPUTED_VALUE"""),"CS3513")</f>
        <v>CS3513</v>
      </c>
      <c r="E79" s="2" t="str">
        <f>IFERROR(__xludf.DUMMYFUNCTION("""COMPUTED_VALUE"""),"19AI513")</f>
        <v>19AI513</v>
      </c>
      <c r="F79" s="7" t="str">
        <f>IFERROR(__xludf.DUMMYFUNCTION("""COMPUTED_VALUE"""),"Game Programming")</f>
        <v>Game Programming</v>
      </c>
      <c r="G79" s="2" t="str">
        <f>IFERROR(__xludf.DUMMYFUNCTION("""COMPUTED_VALUE"""),"19CS401")</f>
        <v>19CS401</v>
      </c>
      <c r="H79" s="2">
        <f>IFERROR(__xludf.DUMMYFUNCTION("""COMPUTED_VALUE"""),2)</f>
        <v>2</v>
      </c>
      <c r="I79" s="2">
        <f>IFERROR(__xludf.DUMMYFUNCTION("""COMPUTED_VALUE"""),2)</f>
        <v>2</v>
      </c>
      <c r="J79" s="2">
        <f>IFERROR(__xludf.DUMMYFUNCTION("""COMPUTED_VALUE"""),4)</f>
        <v>4</v>
      </c>
      <c r="K79" s="2" t="str">
        <f>IFERROR(__xludf.DUMMYFUNCTION("""COMPUTED_VALUE"""),"CGPA")</f>
        <v>CGPA</v>
      </c>
      <c r="L79" s="2" t="str">
        <f>IFERROR(__xludf.DUMMYFUNCTION("""COMPUTED_VALUE"""),"TIP (10 Expts)")</f>
        <v>TIP (10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IFERROR(__xludf.DUMMYFUNCTION("""COMPUTED_VALUE"""),"PE")</f>
        <v>PE</v>
      </c>
      <c r="D80" s="2" t="str">
        <f>IFERROR(__xludf.DUMMYFUNCTION("""COMPUTED_VALUE"""),"CS3537")</f>
        <v>CS3537</v>
      </c>
      <c r="E80" s="2" t="str">
        <f>IFERROR(__xludf.DUMMYFUNCTION("""COMPUTED_VALUE"""),"19AI537")</f>
        <v>19AI537</v>
      </c>
      <c r="F80" s="7" t="str">
        <f>IFERROR(__xludf.DUMMYFUNCTION("""COMPUTED_VALUE"""),"Computer Graphics for Virtual Reality")</f>
        <v>Computer Graphics for Virtual Reality</v>
      </c>
      <c r="G80" s="2" t="str">
        <f>IFERROR(__xludf.DUMMYFUNCTION("""COMPUTED_VALUE"""),"-")</f>
        <v>-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IFERROR(__xludf.DUMMYFUNCTION("""COMPUTED_VALUE"""),"PE")</f>
        <v>PE</v>
      </c>
      <c r="D81" s="2" t="str">
        <f>IFERROR(__xludf.DUMMYFUNCTION("""COMPUTED_VALUE"""),"CS4514")</f>
        <v>CS4514</v>
      </c>
      <c r="E81" s="2" t="str">
        <f>IFERROR(__xludf.DUMMYFUNCTION("""COMPUTED_VALUE"""),"19AM514")</f>
        <v>19AM514</v>
      </c>
      <c r="F81" s="7" t="str">
        <f>IFERROR(__xludf.DUMMYFUNCTION("""COMPUTED_VALUE"""),"Motion Planning Techniques")</f>
        <v>Motion Planning Techniques</v>
      </c>
      <c r="G81" s="2" t="str">
        <f>IFERROR(__xludf.DUMMYFUNCTION("""COMPUTED_VALUE"""),"-")</f>
        <v>-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IFERROR(__xludf.DUMMYFUNCTION("""COMPUTED_VALUE"""),"PE")</f>
        <v>PE</v>
      </c>
      <c r="D82" s="2" t="str">
        <f>IFERROR(__xludf.DUMMYFUNCTION("""COMPUTED_VALUE"""),"CS3548")</f>
        <v>CS3548</v>
      </c>
      <c r="E82" s="2" t="str">
        <f>IFERROR(__xludf.DUMMYFUNCTION("""COMPUTED_VALUE"""),"19AI548")</f>
        <v>19AI548</v>
      </c>
      <c r="F82" s="7" t="str">
        <f>IFERROR(__xludf.DUMMYFUNCTION("""COMPUTED_VALUE"""),"Robot Programming")</f>
        <v>Robot Programming</v>
      </c>
      <c r="G82" s="2" t="str">
        <f>IFERROR(__xludf.DUMMYFUNCTION("""COMPUTED_VALUE"""),"-")</f>
        <v>-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IFERROR(__xludf.DUMMYFUNCTION("""COMPUTED_VALUE"""),"PE")</f>
        <v>PE</v>
      </c>
      <c r="D83" s="2" t="str">
        <f>IFERROR(__xludf.DUMMYFUNCTION("""COMPUTED_VALUE"""),"CS3549")</f>
        <v>CS3549</v>
      </c>
      <c r="E83" s="2" t="str">
        <f>IFERROR(__xludf.DUMMYFUNCTION("""COMPUTED_VALUE"""),"19AI549")</f>
        <v>19AI549</v>
      </c>
      <c r="F83" s="7" t="str">
        <f>IFERROR(__xludf.DUMMYFUNCTION("""COMPUTED_VALUE"""),"Drone Assembly and Applications")</f>
        <v>Drone Assembly and Applications</v>
      </c>
      <c r="G83" s="2" t="str">
        <f>IFERROR(__xludf.DUMMYFUNCTION("""COMPUTED_VALUE"""),"-")</f>
        <v>-</v>
      </c>
      <c r="H83" s="2">
        <f>IFERROR(__xludf.DUMMYFUNCTION("""COMPUTED_VALUE"""),2)</f>
        <v>2</v>
      </c>
      <c r="I83" s="2">
        <f>IFERROR(__xludf.DUMMYFUNCTION("""COMPUTED_VALUE"""),1)</f>
        <v>1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IFERROR(__xludf.DUMMYFUNCTION("""COMPUTED_VALUE"""),"PE")</f>
        <v>PE</v>
      </c>
      <c r="D84" s="2" t="str">
        <f>IFERROR(__xludf.DUMMYFUNCTION("""COMPUTED_VALUE"""),"CS3550")</f>
        <v>CS3550</v>
      </c>
      <c r="E84" s="2" t="str">
        <f>IFERROR(__xludf.DUMMYFUNCTION("""COMPUTED_VALUE"""),"19AI550")</f>
        <v>19AI550</v>
      </c>
      <c r="F84" s="7" t="str">
        <f>IFERROR(__xludf.DUMMYFUNCTION("""COMPUTED_VALUE"""),"Artificial Intelligence for Games")</f>
        <v>Artificial Intelligence for Games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IFERROR(__xludf.DUMMYFUNCTION("""COMPUTED_VALUE"""),"PE")</f>
        <v>PE</v>
      </c>
      <c r="D85" s="2" t="str">
        <f>IFERROR(__xludf.DUMMYFUNCTION("""COMPUTED_VALUE"""),"CS3551")</f>
        <v>CS3551</v>
      </c>
      <c r="E85" s="2" t="str">
        <f>IFERROR(__xludf.DUMMYFUNCTION("""COMPUTED_VALUE"""),"19AI551")</f>
        <v>19AI551</v>
      </c>
      <c r="F85" s="7" t="str">
        <f>IFERROR(__xludf.DUMMYFUNCTION("""COMPUTED_VALUE"""),"Drone Design and Control")</f>
        <v>Drone Design and Control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IFERROR(__xludf.DUMMYFUNCTION("""COMPUTED_VALUE"""),"PE")</f>
        <v>PE</v>
      </c>
      <c r="D86" s="2" t="str">
        <f>IFERROR(__xludf.DUMMYFUNCTION("""COMPUTED_VALUE"""),"CS3539")</f>
        <v>CS3539</v>
      </c>
      <c r="E86" s="2" t="str">
        <f>IFERROR(__xludf.DUMMYFUNCTION("""COMPUTED_VALUE"""),"19AI539")</f>
        <v>19AI539</v>
      </c>
      <c r="F86" s="7" t="str">
        <f>IFERROR(__xludf.DUMMYFUNCTION("""COMPUTED_VALUE"""),"Mobile User Interface Development")</f>
        <v>Mobile User Interface Development</v>
      </c>
      <c r="G86" s="2" t="str">
        <f>IFERROR(__xludf.DUMMYFUNCTION("""COMPUTED_VALUE"""),"19CS401")</f>
        <v>19CS401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IFERROR(__xludf.DUMMYFUNCTION("""COMPUTED_VALUE"""),"PE")</f>
        <v>PE</v>
      </c>
      <c r="D87" s="2" t="str">
        <f>IFERROR(__xludf.DUMMYFUNCTION("""COMPUTED_VALUE"""),"CS3540")</f>
        <v>CS3540</v>
      </c>
      <c r="E87" s="2" t="str">
        <f>IFERROR(__xludf.DUMMYFUNCTION("""COMPUTED_VALUE"""),"19AI540")</f>
        <v>19AI540</v>
      </c>
      <c r="F87" s="7" t="str">
        <f>IFERROR(__xludf.DUMMYFUNCTION("""COMPUTED_VALUE"""),"Programming Mobile Devices")</f>
        <v>Programming Mobile Devices</v>
      </c>
      <c r="G87" s="2" t="str">
        <f>IFERROR(__xludf.DUMMYFUNCTION("""COMPUTED_VALUE"""),"19CS401")</f>
        <v>19CS401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IFERROR(__xludf.DUMMYFUNCTION("""COMPUTED_VALUE"""),"PE")</f>
        <v>PE</v>
      </c>
      <c r="D88" s="2" t="str">
        <f>IFERROR(__xludf.DUMMYFUNCTION("""COMPUTED_VALUE"""),"CS3545")</f>
        <v>CS3545</v>
      </c>
      <c r="E88" s="2" t="str">
        <f>IFERROR(__xludf.DUMMYFUNCTION("""COMPUTED_VALUE"""),"19AI545")</f>
        <v>19AI545</v>
      </c>
      <c r="F88" s="7" t="str">
        <f>IFERROR(__xludf.DUMMYFUNCTION("""COMPUTED_VALUE"""),"Modern Web Application Development")</f>
        <v>Modern Web Application Development</v>
      </c>
      <c r="G88" s="2" t="str">
        <f>IFERROR(__xludf.DUMMYFUNCTION("""COMPUTED_VALUE"""),"19CS410")</f>
        <v>19CS410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IFERROR(__xludf.DUMMYFUNCTION("""COMPUTED_VALUE"""),"PE")</f>
        <v>PE</v>
      </c>
      <c r="D89" s="2" t="str">
        <f>IFERROR(__xludf.DUMMYFUNCTION("""COMPUTED_VALUE"""),"CS3546")</f>
        <v>CS3546</v>
      </c>
      <c r="E89" s="2" t="str">
        <f>IFERROR(__xludf.DUMMYFUNCTION("""COMPUTED_VALUE"""),"19AI546")</f>
        <v>19AI546</v>
      </c>
      <c r="F89" s="7" t="str">
        <f>IFERROR(__xludf.DUMMYFUNCTION("""COMPUTED_VALUE"""),"Web Server Programming")</f>
        <v>Web Server Programming</v>
      </c>
      <c r="G89" s="2" t="str">
        <f>IFERROR(__xludf.DUMMYFUNCTION("""COMPUTED_VALUE"""),"19CS401")</f>
        <v>19CS401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IFERROR(__xludf.DUMMYFUNCTION("""COMPUTED_VALUE"""),"PE")</f>
        <v>PE</v>
      </c>
      <c r="D90" s="2" t="str">
        <f>IFERROR(__xludf.DUMMYFUNCTION("""COMPUTED_VALUE"""),"CS3552")</f>
        <v>CS3552</v>
      </c>
      <c r="E90" s="2" t="str">
        <f>IFERROR(__xludf.DUMMYFUNCTION("""COMPUTED_VALUE"""),"19AI552")</f>
        <v>19AI552</v>
      </c>
      <c r="F90" s="7" t="str">
        <f>IFERROR(__xludf.DUMMYFUNCTION("""COMPUTED_VALUE"""),"Web Application User Interface Development")</f>
        <v>Web Application User Interface Development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IFERROR(__xludf.DUMMYFUNCTION("""COMPUTED_VALUE"""),"PE")</f>
        <v>PE</v>
      </c>
      <c r="D91" s="2" t="str">
        <f>IFERROR(__xludf.DUMMYFUNCTION("""COMPUTED_VALUE"""),"CS3553")</f>
        <v>CS3553</v>
      </c>
      <c r="E91" s="2" t="str">
        <f>IFERROR(__xludf.DUMMYFUNCTION("""COMPUTED_VALUE"""),"19AI553")</f>
        <v>19AI553</v>
      </c>
      <c r="F91" s="7" t="str">
        <f>IFERROR(__xludf.DUMMYFUNCTION("""COMPUTED_VALUE"""),"Advanced Java Web Applications")</f>
        <v>Advanced Java Web Applications</v>
      </c>
      <c r="G91" s="2" t="str">
        <f>IFERROR(__xludf.DUMMYFUNCTION("""COMPUTED_VALUE"""),"19AI307")</f>
        <v>19AI307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IFERROR(__xludf.DUMMYFUNCTION("""COMPUTED_VALUE"""),"PE")</f>
        <v>PE</v>
      </c>
      <c r="D92" s="2" t="str">
        <f>IFERROR(__xludf.DUMMYFUNCTION("""COMPUTED_VALUE"""),"CS3403")</f>
        <v>CS3403</v>
      </c>
      <c r="E92" s="2" t="str">
        <f>IFERROR(__xludf.DUMMYFUNCTION("""COMPUTED_VALUE"""),"19AI403")</f>
        <v>19AI403</v>
      </c>
      <c r="F92" s="7" t="str">
        <f>IFERROR(__xludf.DUMMYFUNCTION("""COMPUTED_VALUE"""),"Introduction to Data Science")</f>
        <v>Introduction to Data Science</v>
      </c>
      <c r="G92" s="2" t="str">
        <f>IFERROR(__xludf.DUMMYFUNCTION("""COMPUTED_VALUE"""),"19CS301")</f>
        <v>19CS301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IFERROR(__xludf.DUMMYFUNCTION("""COMPUTED_VALUE"""),"PE")</f>
        <v>PE</v>
      </c>
      <c r="D93" s="2" t="str">
        <f>IFERROR(__xludf.DUMMYFUNCTION("""COMPUTED_VALUE"""),"CS3511")</f>
        <v>CS3511</v>
      </c>
      <c r="E93" s="2" t="str">
        <f>IFERROR(__xludf.DUMMYFUNCTION("""COMPUTED_VALUE"""),"19AI511")</f>
        <v>19AI511</v>
      </c>
      <c r="F93" s="7" t="str">
        <f>IFERROR(__xludf.DUMMYFUNCTION("""COMPUTED_VALUE"""),"Scientific and Engineering Data Visualization")</f>
        <v>Scientific and Engineering Data Visualization</v>
      </c>
      <c r="G93" s="2" t="str">
        <f>IFERROR(__xludf.DUMMYFUNCTION("""COMPUTED_VALUE"""),"-")</f>
        <v>-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IFERROR(__xludf.DUMMYFUNCTION("""COMPUTED_VALUE"""),"PE")</f>
        <v>PE</v>
      </c>
      <c r="D94" s="2" t="str">
        <f>IFERROR(__xludf.DUMMYFUNCTION("""COMPUTED_VALUE"""),"CS3516")</f>
        <v>CS3516</v>
      </c>
      <c r="E94" s="2" t="str">
        <f>IFERROR(__xludf.DUMMYFUNCTION("""COMPUTED_VALUE"""),"19AI516")</f>
        <v>19AI516</v>
      </c>
      <c r="F94" s="7" t="str">
        <f>IFERROR(__xludf.DUMMYFUNCTION("""COMPUTED_VALUE"""),"Big Data Mining and Analysis")</f>
        <v>Big Data Mining and Analysis</v>
      </c>
      <c r="G94" s="2" t="str">
        <f>IFERROR(__xludf.DUMMYFUNCTION("""COMPUTED_VALUE"""),"19AI408/ 19CS410/19IT405")</f>
        <v>19AI408/ 19CS410/19IT405</v>
      </c>
      <c r="H94" s="2">
        <f>IFERROR(__xludf.DUMMYFUNCTION("""COMPUTED_VALUE"""),2)</f>
        <v>2</v>
      </c>
      <c r="I94" s="2">
        <f>IFERROR(__xludf.DUMMYFUNCTION("""COMPUTED_VALUE"""),1)</f>
        <v>1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IFERROR(__xludf.DUMMYFUNCTION("""COMPUTED_VALUE"""),"TIP (6 Expts)")</f>
        <v>TIP (6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IFERROR(__xludf.DUMMYFUNCTION("""COMPUTED_VALUE"""),"PE")</f>
        <v>PE</v>
      </c>
      <c r="D95" s="2" t="str">
        <f>IFERROR(__xludf.DUMMYFUNCTION("""COMPUTED_VALUE"""),"CS3517")</f>
        <v>CS3517</v>
      </c>
      <c r="E95" s="2" t="str">
        <f>IFERROR(__xludf.DUMMYFUNCTION("""COMPUTED_VALUE"""),"19AI517")</f>
        <v>19AI517</v>
      </c>
      <c r="F95" s="7" t="str">
        <f>IFERROR(__xludf.DUMMYFUNCTION("""COMPUTED_VALUE"""),"Business Analytics")</f>
        <v>Business Analytics</v>
      </c>
      <c r="G95" s="2" t="str">
        <f>IFERROR(__xludf.DUMMYFUNCTION("""COMPUTED_VALUE"""),"-")</f>
        <v>-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IFERROR(__xludf.DUMMYFUNCTION("""COMPUTED_VALUE"""),"PE")</f>
        <v>PE</v>
      </c>
      <c r="D96" s="2" t="str">
        <f>IFERROR(__xludf.DUMMYFUNCTION("""COMPUTED_VALUE"""),"CS4503")</f>
        <v>CS4503</v>
      </c>
      <c r="E96" s="2" t="str">
        <f>IFERROR(__xludf.DUMMYFUNCTION("""COMPUTED_VALUE"""),"19AM503")</f>
        <v>19AM503</v>
      </c>
      <c r="F96" s="3" t="str">
        <f>IFERROR(__xludf.DUMMYFUNCTION("""COMPUTED_VALUE"""),"Data Modeling")</f>
        <v>Data Modeling</v>
      </c>
      <c r="G96" s="2" t="str">
        <f>IFERROR(__xludf.DUMMYFUNCTION("""COMPUTED_VALUE"""),"-")</f>
        <v>-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IFERROR(__xludf.DUMMYFUNCTION("""COMPUTED_VALUE"""),"PE")</f>
        <v>PE</v>
      </c>
      <c r="D97" s="2" t="str">
        <f>IFERROR(__xludf.DUMMYFUNCTION("""COMPUTED_VALUE"""),"CS4508")</f>
        <v>CS4508</v>
      </c>
      <c r="E97" s="2" t="str">
        <f>IFERROR(__xludf.DUMMYFUNCTION("""COMPUTED_VALUE"""),"19AM508")</f>
        <v>19AM508</v>
      </c>
      <c r="F97" s="7" t="str">
        <f>IFERROR(__xludf.DUMMYFUNCTION("""COMPUTED_VALUE"""),"Introduction to IoT")</f>
        <v>Introduction to IoT</v>
      </c>
      <c r="G97" s="2" t="str">
        <f>IFERROR(__xludf.DUMMYFUNCTION("""COMPUTED_VALUE"""),"-")</f>
        <v>-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IFERROR(__xludf.DUMMYFUNCTION("""COMPUTED_VALUE"""),"PE")</f>
        <v>PE</v>
      </c>
      <c r="D98" s="2" t="str">
        <f>IFERROR(__xludf.DUMMYFUNCTION("""COMPUTED_VALUE"""),"CS1420")</f>
        <v>CS1420</v>
      </c>
      <c r="E98" s="2" t="str">
        <f>IFERROR(__xludf.DUMMYFUNCTION("""COMPUTED_VALUE"""),"19CS420")</f>
        <v>19CS420</v>
      </c>
      <c r="F98" s="7" t="str">
        <f>IFERROR(__xludf.DUMMYFUNCTION("""COMPUTED_VALUE"""),"Prototyping of IoT Systems")</f>
        <v>Prototyping of IoT Systems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IFERROR(__xludf.DUMMYFUNCTION("""COMPUTED_VALUE"""),"PE")</f>
        <v>PE</v>
      </c>
      <c r="D99" s="2" t="str">
        <f>IFERROR(__xludf.DUMMYFUNCTION("""COMPUTED_VALUE"""),"CS1421")</f>
        <v>CS1421</v>
      </c>
      <c r="E99" s="2" t="str">
        <f>IFERROR(__xludf.DUMMYFUNCTION("""COMPUTED_VALUE"""),"19CS421")</f>
        <v>19CS421</v>
      </c>
      <c r="F99" s="7" t="str">
        <f>IFERROR(__xludf.DUMMYFUNCTION("""COMPUTED_VALUE"""),"Edge Computing")</f>
        <v>Edge Computing</v>
      </c>
      <c r="G99" s="2" t="str">
        <f>IFERROR(__xludf.DUMMYFUNCTION("""COMPUTED_VALUE"""),"-")</f>
        <v>-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IFERROR(__xludf.DUMMYFUNCTION("""COMPUTED_VALUE"""),"PE")</f>
        <v>PE</v>
      </c>
      <c r="D100" s="2" t="str">
        <f>IFERROR(__xludf.DUMMYFUNCTION("""COMPUTED_VALUE"""),"CS4509")</f>
        <v>CS4509</v>
      </c>
      <c r="E100" s="2" t="str">
        <f>IFERROR(__xludf.DUMMYFUNCTION("""COMPUTED_VALUE"""),"19AM509")</f>
        <v>19AM509</v>
      </c>
      <c r="F100" s="7" t="str">
        <f>IFERROR(__xludf.DUMMYFUNCTION("""COMPUTED_VALUE"""),"Industrial Internet of Things")</f>
        <v>Industrial Internet of Things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IFERROR(__xludf.DUMMYFUNCTION("""COMPUTED_VALUE"""),"PE")</f>
        <v>PE</v>
      </c>
      <c r="D101" s="2" t="str">
        <f>IFERROR(__xludf.DUMMYFUNCTION("""COMPUTED_VALUE"""),"CS1422")</f>
        <v>CS1422</v>
      </c>
      <c r="E101" s="2" t="str">
        <f>IFERROR(__xludf.DUMMYFUNCTION("""COMPUTED_VALUE"""),"19CS422")</f>
        <v>19CS422</v>
      </c>
      <c r="F101" s="7" t="str">
        <f>IFERROR(__xludf.DUMMYFUNCTION("""COMPUTED_VALUE"""),"Security for IoT Systems")</f>
        <v>Security for IoT Systems</v>
      </c>
      <c r="G101" s="2" t="str">
        <f>IFERROR(__xludf.DUMMYFUNCTION("""COMPUTED_VALUE"""),"-")</f>
        <v>-</v>
      </c>
      <c r="H101" s="2">
        <f>IFERROR(__xludf.DUMMYFUNCTION("""COMPUTED_VALUE"""),3)</f>
        <v>3</v>
      </c>
      <c r="I101" s="2">
        <f>IFERROR(__xludf.DUMMYFUNCTION("""COMPUTED_VALUE"""),0)</f>
        <v>0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IFERROR(__xludf.DUMMYFUNCTION("""COMPUTED_VALUE"""),"Theory")</f>
        <v>Theory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IFERROR(__xludf.DUMMYFUNCTION("""COMPUTED_VALUE"""),"PE")</f>
        <v>PE</v>
      </c>
      <c r="D102" s="2" t="str">
        <f>IFERROR(__xludf.DUMMYFUNCTION("""COMPUTED_VALUE"""),"NA")</f>
        <v>NA</v>
      </c>
      <c r="E102" s="2" t="str">
        <f>IFERROR(__xludf.DUMMYFUNCTION("""COMPUTED_VALUE"""),"19EC508")</f>
        <v>19EC508</v>
      </c>
      <c r="F102" s="7" t="str">
        <f>IFERROR(__xludf.DUMMYFUNCTION("""COMPUTED_VALUE"""),"Ad Hoc and Wireless Sensor Networks")</f>
        <v>Ad Hoc and Wireless Sensor Networks</v>
      </c>
      <c r="G102" s="2" t="str">
        <f>IFERROR(__xludf.DUMMYFUNCTION("""COMPUTED_VALUE"""),"19EC412")</f>
        <v>19EC412</v>
      </c>
      <c r="H102" s="2">
        <f>IFERROR(__xludf.DUMMYFUNCTION("""COMPUTED_VALUE"""),3)</f>
        <v>3</v>
      </c>
      <c r="I102" s="2">
        <f>IFERROR(__xludf.DUMMYFUNCTION("""COMPUTED_VALUE"""),0)</f>
        <v>0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IFERROR(__xludf.DUMMYFUNCTION("""COMPUTED_VALUE"""),"Theory")</f>
        <v>Theory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IFERROR(__xludf.DUMMYFUNCTION("""COMPUTED_VALUE"""),"PE")</f>
        <v>PE</v>
      </c>
      <c r="D103" s="2" t="str">
        <f>IFERROR(__xludf.DUMMYFUNCTION("""COMPUTED_VALUE"""),"CS1540")</f>
        <v>CS1540</v>
      </c>
      <c r="E103" s="2" t="str">
        <f>IFERROR(__xludf.DUMMYFUNCTION("""COMPUTED_VALUE"""),"19CS540")</f>
        <v>19CS540</v>
      </c>
      <c r="F103" s="7" t="str">
        <f>IFERROR(__xludf.DUMMYFUNCTION("""COMPUTED_VALUE"""),"Fog Computing")</f>
        <v>Fog Computing</v>
      </c>
      <c r="G103" s="2" t="str">
        <f>IFERROR(__xludf.DUMMYFUNCTION("""COMPUTED_VALUE"""),"-")</f>
        <v>-</v>
      </c>
      <c r="H103" s="2">
        <f>IFERROR(__xludf.DUMMYFUNCTION("""COMPUTED_VALUE"""),3)</f>
        <v>3</v>
      </c>
      <c r="I103" s="2">
        <f>IFERROR(__xludf.DUMMYFUNCTION("""COMPUTED_VALUE"""),0)</f>
        <v>0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IFERROR(__xludf.DUMMYFUNCTION("""COMPUTED_VALUE"""),"Theory")</f>
        <v>Theory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IFERROR(__xludf.DUMMYFUNCTION("""COMPUTED_VALUE"""),"PE")</f>
        <v>PE</v>
      </c>
      <c r="D104" s="2" t="str">
        <f>IFERROR(__xludf.DUMMYFUNCTION("""COMPUTED_VALUE"""),"CS4506")</f>
        <v>CS4506</v>
      </c>
      <c r="E104" s="2" t="str">
        <f>IFERROR(__xludf.DUMMYFUNCTION("""COMPUTED_VALUE"""),"19AM506")</f>
        <v>19AM506</v>
      </c>
      <c r="F104" s="7" t="str">
        <f>IFERROR(__xludf.DUMMYFUNCTION("""COMPUTED_VALUE"""),"Sensors and Actuators for IoT")</f>
        <v>Sensors and Actuators for IoT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IFERROR(__xludf.DUMMYFUNCTION("""COMPUTED_VALUE"""),"PE")</f>
        <v>PE</v>
      </c>
      <c r="D105" s="2" t="str">
        <f>IFERROR(__xludf.DUMMYFUNCTION("""COMPUTED_VALUE"""),"CS1542")</f>
        <v>CS1542</v>
      </c>
      <c r="E105" s="2" t="str">
        <f>IFERROR(__xludf.DUMMYFUNCTION("""COMPUTED_VALUE"""),"19CS542")</f>
        <v>19CS542</v>
      </c>
      <c r="F105" s="7" t="str">
        <f>IFERROR(__xludf.DUMMYFUNCTION("""COMPUTED_VALUE"""),"Embedded Board Design")</f>
        <v>Embedded Board Design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IFERROR(__xludf.DUMMYFUNCTION("""COMPUTED_VALUE"""),"PE")</f>
        <v>PE</v>
      </c>
      <c r="D106" s="2" t="str">
        <f>IFERROR(__xludf.DUMMYFUNCTION("""COMPUTED_VALUE"""),"CS1543")</f>
        <v>CS1543</v>
      </c>
      <c r="E106" s="2" t="str">
        <f>IFERROR(__xludf.DUMMYFUNCTION("""COMPUTED_VALUE"""),"19CS543")</f>
        <v>19CS543</v>
      </c>
      <c r="F106" s="7" t="str">
        <f>IFERROR(__xludf.DUMMYFUNCTION("""COMPUTED_VALUE"""),"Embedded Board Manufacturing")</f>
        <v>Embedded Board Manufacturing</v>
      </c>
      <c r="G106" s="2" t="str">
        <f>IFERROR(__xludf.DUMMYFUNCTION("""COMPUTED_VALUE"""),"-")</f>
        <v>-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IFERROR(__xludf.DUMMYFUNCTION("""COMPUTED_VALUE"""),"PE")</f>
        <v>PE</v>
      </c>
      <c r="D107" s="2" t="str">
        <f>IFERROR(__xludf.DUMMYFUNCTION("""COMPUTED_VALUE"""),"CS1544")</f>
        <v>CS1544</v>
      </c>
      <c r="E107" s="2" t="str">
        <f>IFERROR(__xludf.DUMMYFUNCTION("""COMPUTED_VALUE"""),"19CS544")</f>
        <v>19CS544</v>
      </c>
      <c r="F107" s="7" t="str">
        <f>IFERROR(__xludf.DUMMYFUNCTION("""COMPUTED_VALUE"""),"Realtime Operating System")</f>
        <v>Realtime Operating System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IFERROR(__xludf.DUMMYFUNCTION("""COMPUTED_VALUE"""),"PE")</f>
        <v>PE</v>
      </c>
      <c r="D108" s="2" t="str">
        <f>IFERROR(__xludf.DUMMYFUNCTION("""COMPUTED_VALUE"""),"CS1545")</f>
        <v>CS1545</v>
      </c>
      <c r="E108" s="2" t="str">
        <f>IFERROR(__xludf.DUMMYFUNCTION("""COMPUTED_VALUE"""),"19CS545")</f>
        <v>19CS545</v>
      </c>
      <c r="F108" s="7" t="str">
        <f>IFERROR(__xludf.DUMMYFUNCTION("""COMPUTED_VALUE"""),"Open Source Operating System")</f>
        <v>Open Source Operating System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IFERROR(__xludf.DUMMYFUNCTION("""COMPUTED_VALUE"""),"PE")</f>
        <v>PE</v>
      </c>
      <c r="D109" s="2" t="str">
        <f>IFERROR(__xludf.DUMMYFUNCTION("""COMPUTED_VALUE"""),"CS1546")</f>
        <v>CS1546</v>
      </c>
      <c r="E109" s="2" t="str">
        <f>IFERROR(__xludf.DUMMYFUNCTION("""COMPUTED_VALUE"""),"19CS546")</f>
        <v>19CS546</v>
      </c>
      <c r="F109" s="7" t="str">
        <f>IFERROR(__xludf.DUMMYFUNCTION("""COMPUTED_VALUE"""),"Kernel Programming")</f>
        <v>Kernel Programming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IFERROR(__xludf.DUMMYFUNCTION("""COMPUTED_VALUE"""),"PE")</f>
        <v>PE</v>
      </c>
      <c r="D110" s="2" t="str">
        <f>IFERROR(__xludf.DUMMYFUNCTION("""COMPUTED_VALUE"""),"CS3538")</f>
        <v>CS3538</v>
      </c>
      <c r="E110" s="2" t="str">
        <f>IFERROR(__xludf.DUMMYFUNCTION("""COMPUTED_VALUE"""),"19AI538")</f>
        <v>19AI538</v>
      </c>
      <c r="F110" s="7" t="str">
        <f>IFERROR(__xludf.DUMMYFUNCTION("""COMPUTED_VALUE"""),"Mathematical Modelling and Computer Aided Engineering")</f>
        <v>Mathematical Modelling and Computer Aided Engineering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IFERROR(__xludf.DUMMYFUNCTION("""COMPUTED_VALUE"""),"PE")</f>
        <v>PE</v>
      </c>
      <c r="D111" s="2" t="str">
        <f>IFERROR(__xludf.DUMMYFUNCTION("""COMPUTED_VALUE"""),"CS3542")</f>
        <v>CS3542</v>
      </c>
      <c r="E111" s="2" t="str">
        <f>IFERROR(__xludf.DUMMYFUNCTION("""COMPUTED_VALUE"""),"19AI542")</f>
        <v>19AI542</v>
      </c>
      <c r="F111" s="7" t="str">
        <f>IFERROR(__xludf.DUMMYFUNCTION("""COMPUTED_VALUE"""),"Agile Software Development")</f>
        <v>Agile Software Development</v>
      </c>
      <c r="G111" s="2" t="str">
        <f>IFERROR(__xludf.DUMMYFUNCTION("""COMPUTED_VALUE"""),"19CS301")</f>
        <v>19CS301</v>
      </c>
      <c r="H111" s="2">
        <f>IFERROR(__xludf.DUMMYFUNCTION("""COMPUTED_VALUE"""),3)</f>
        <v>3</v>
      </c>
      <c r="I111" s="2">
        <f>IFERROR(__xludf.DUMMYFUNCTION("""COMPUTED_VALUE"""),1)</f>
        <v>1</v>
      </c>
      <c r="J111" s="2">
        <f>IFERROR(__xludf.DUMMYFUNCTION("""COMPUTED_VALUE"""),4)</f>
        <v>4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IFERROR(__xludf.DUMMYFUNCTION("""COMPUTED_VALUE"""),"PE")</f>
        <v>PE</v>
      </c>
      <c r="D112" s="2" t="str">
        <f>IFERROR(__xludf.DUMMYFUNCTION("""COMPUTED_VALUE"""),"CS3543")</f>
        <v>CS3543</v>
      </c>
      <c r="E112" s="2" t="str">
        <f>IFERROR(__xludf.DUMMYFUNCTION("""COMPUTED_VALUE"""),"19AI543")</f>
        <v>19AI543</v>
      </c>
      <c r="F112" s="7" t="str">
        <f>IFERROR(__xludf.DUMMYFUNCTION("""COMPUTED_VALUE"""),"Software Testing")</f>
        <v>Software Testing</v>
      </c>
      <c r="G112" s="2" t="str">
        <f>IFERROR(__xludf.DUMMYFUNCTION("""COMPUTED_VALUE"""),"19CS301")</f>
        <v>19CS301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IFERROR(__xludf.DUMMYFUNCTION("""COMPUTED_VALUE"""),"PE")</f>
        <v>PE</v>
      </c>
      <c r="D113" s="2" t="str">
        <f>IFERROR(__xludf.DUMMYFUNCTION("""COMPUTED_VALUE"""),"CS3544")</f>
        <v>CS3544</v>
      </c>
      <c r="E113" s="2" t="str">
        <f>IFERROR(__xludf.DUMMYFUNCTION("""COMPUTED_VALUE"""),"19AI544")</f>
        <v>19AI544</v>
      </c>
      <c r="F113" s="7" t="str">
        <f>IFERROR(__xludf.DUMMYFUNCTION("""COMPUTED_VALUE"""),"Virtualization and Containerization")</f>
        <v>Virtualization and Containerization</v>
      </c>
      <c r="G113" s="2" t="str">
        <f>IFERROR(__xludf.DUMMYFUNCTION("""COMPUTED_VALUE"""),"19CS405/19CS406")</f>
        <v>19CS405/19CS406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IFERROR(__xludf.DUMMYFUNCTION("""COMPUTED_VALUE"""),"PE")</f>
        <v>PE</v>
      </c>
      <c r="D114" s="2" t="str">
        <f>IFERROR(__xludf.DUMMYFUNCTION("""COMPUTED_VALUE"""),"CS3528")</f>
        <v>CS3528</v>
      </c>
      <c r="E114" s="2" t="str">
        <f>IFERROR(__xludf.DUMMYFUNCTION("""COMPUTED_VALUE"""),"19AI528")</f>
        <v>19AI528</v>
      </c>
      <c r="F114" s="7" t="str">
        <f>IFERROR(__xludf.DUMMYFUNCTION("""COMPUTED_VALUE"""),"Advanced Graph Theory and Applications")</f>
        <v>Advanced Graph Theory and Applications</v>
      </c>
      <c r="G114" s="2" t="str">
        <f>IFERROR(__xludf.DUMMYFUNCTION("""COMPUTED_VALUE"""),"19CS402")</f>
        <v>19CS402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IFERROR(__xludf.DUMMYFUNCTION("""COMPUTED_VALUE"""),"PE")</f>
        <v>PE</v>
      </c>
      <c r="D115" s="2" t="str">
        <f>IFERROR(__xludf.DUMMYFUNCTION("""COMPUTED_VALUE"""),"CS3529")</f>
        <v>CS3529</v>
      </c>
      <c r="E115" s="2" t="str">
        <f>IFERROR(__xludf.DUMMYFUNCTION("""COMPUTED_VALUE"""),"19AI529")</f>
        <v>19AI529</v>
      </c>
      <c r="F115" s="7" t="str">
        <f>IFERROR(__xludf.DUMMYFUNCTION("""COMPUTED_VALUE"""),"Advanced Data Structures")</f>
        <v>Advanced Data Structures</v>
      </c>
      <c r="G115" s="2" t="str">
        <f>IFERROR(__xludf.DUMMYFUNCTION("""COMPUTED_VALUE"""),"19CS401")</f>
        <v>19CS401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IFERROR(__xludf.DUMMYFUNCTION("""COMPUTED_VALUE"""),"PE")</f>
        <v>PE</v>
      </c>
      <c r="D116" s="2" t="str">
        <f>IFERROR(__xludf.DUMMYFUNCTION("""COMPUTED_VALUE"""),"CS3508")</f>
        <v>CS3508</v>
      </c>
      <c r="E116" s="2" t="str">
        <f>IFERROR(__xludf.DUMMYFUNCTION("""COMPUTED_VALUE"""),"19AI508")</f>
        <v>19AI508</v>
      </c>
      <c r="F116" s="3" t="str">
        <f>IFERROR(__xludf.DUMMYFUNCTION("""COMPUTED_VALUE"""),"Soft Computing Techniques")</f>
        <v>Soft Computing Techniques</v>
      </c>
      <c r="G116" s="2" t="str">
        <f>IFERROR(__xludf.DUMMYFUNCTION("""COMPUTED_VALUE"""),"-")</f>
        <v>-</v>
      </c>
      <c r="H116" s="2">
        <f>IFERROR(__xludf.DUMMYFUNCTION("""COMPUTED_VALUE"""),2)</f>
        <v>2</v>
      </c>
      <c r="I116" s="2">
        <f>IFERROR(__xludf.DUMMYFUNCTION("""COMPUTED_VALUE"""),1)</f>
        <v>1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IFERROR(__xludf.DUMMYFUNCTION("""COMPUTED_VALUE"""),"TIP (6 Expts)")</f>
        <v>TIP (6 Expts)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IFERROR(__xludf.DUMMYFUNCTION("""COMPUTED_VALUE"""),"CS3515")</f>
        <v>CS3515</v>
      </c>
      <c r="E117" s="2" t="str">
        <f>IFERROR(__xludf.DUMMYFUNCTION("""COMPUTED_VALUE"""),"19AI515")</f>
        <v>19AI515</v>
      </c>
      <c r="F117" s="7" t="str">
        <f>IFERROR(__xludf.DUMMYFUNCTION("""COMPUTED_VALUE"""),"Smart Manufacturing Technology")</f>
        <v>Smart Manufacturing Technology</v>
      </c>
      <c r="G117" s="2" t="str">
        <f>IFERROR(__xludf.DUMMYFUNCTION("""COMPUTED_VALUE"""),"-")</f>
        <v>-</v>
      </c>
      <c r="H117" s="2">
        <f>IFERROR(__xludf.DUMMYFUNCTION("""COMPUTED_VALUE"""),2)</f>
        <v>2</v>
      </c>
      <c r="I117" s="2">
        <f>IFERROR(__xludf.DUMMYFUNCTION("""COMPUTED_VALUE"""),1)</f>
        <v>1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IFERROR(__xludf.DUMMYFUNCTION("""COMPUTED_VALUE"""),"TIP (6 Expts)")</f>
        <v>TIP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IFERROR(__xludf.DUMMYFUNCTION("""COMPUTED_VALUE"""),"PE")</f>
        <v>PE</v>
      </c>
      <c r="D118" s="2" t="str">
        <f>IFERROR(__xludf.DUMMYFUNCTION("""COMPUTED_VALUE"""),"CS1523")</f>
        <v>CS1523</v>
      </c>
      <c r="E118" s="2" t="str">
        <f>IFERROR(__xludf.DUMMYFUNCTION("""COMPUTED_VALUE"""),"19CS523")</f>
        <v>19CS523</v>
      </c>
      <c r="F118" s="7" t="str">
        <f>IFERROR(__xludf.DUMMYFUNCTION("""COMPUTED_VALUE"""),"Information Retrieval")</f>
        <v>Information Retrieval</v>
      </c>
      <c r="G118" s="2" t="str">
        <f>IFERROR(__xludf.DUMMYFUNCTION("""COMPUTED_VALUE"""),"19AI410/ 19CS501/19CS413")</f>
        <v>19AI410/ 19CS501/19CS413</v>
      </c>
      <c r="H118" s="2">
        <f>IFERROR(__xludf.DUMMYFUNCTION("""COMPUTED_VALUE"""),3)</f>
        <v>3</v>
      </c>
      <c r="I118" s="2">
        <f>IFERROR(__xludf.DUMMYFUNCTION("""COMPUTED_VALUE"""),0)</f>
        <v>0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IFERROR(__xludf.DUMMYFUNCTION("""COMPUTED_VALUE"""),"Theory")</f>
        <v>Theory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IFERROR(__xludf.DUMMYFUNCTION("""COMPUTED_VALUE"""),"PE")</f>
        <v>PE</v>
      </c>
      <c r="D119" s="2" t="str">
        <f>IFERROR(__xludf.DUMMYFUNCTION("""COMPUTED_VALUE"""),"CS3512")</f>
        <v>CS3512</v>
      </c>
      <c r="E119" s="2" t="str">
        <f>IFERROR(__xludf.DUMMYFUNCTION("""COMPUTED_VALUE"""),"19AI512")</f>
        <v>19AI512</v>
      </c>
      <c r="F119" s="7" t="str">
        <f>IFERROR(__xludf.DUMMYFUNCTION("""COMPUTED_VALUE"""),"NoSQL Database Design")</f>
        <v>NoSQL Database Design</v>
      </c>
      <c r="G119" s="2" t="str">
        <f>IFERROR(__xludf.DUMMYFUNCTION("""COMPUTED_VALUE"""),"19CS301")</f>
        <v>19CS301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IFERROR(__xludf.DUMMYFUNCTION("""COMPUTED_VALUE"""),"CS3518")</f>
        <v>CS3518</v>
      </c>
      <c r="E120" s="2" t="str">
        <f>IFERROR(__xludf.DUMMYFUNCTION("""COMPUTED_VALUE"""),"19AI518")</f>
        <v>19AI518</v>
      </c>
      <c r="F120" s="7" t="str">
        <f>IFERROR(__xludf.DUMMYFUNCTION("""COMPUTED_VALUE"""),"Cognitive Systems")</f>
        <v>Cognitive Systems</v>
      </c>
      <c r="G120" s="2" t="str">
        <f>IFERROR(__xludf.DUMMYFUNCTION("""COMPUTED_VALUE"""),"-")</f>
        <v>-</v>
      </c>
      <c r="H120" s="2">
        <f>IFERROR(__xludf.DUMMYFUNCTION("""COMPUTED_VALUE"""),3)</f>
        <v>3</v>
      </c>
      <c r="I120" s="2">
        <f>IFERROR(__xludf.DUMMYFUNCTION("""COMPUTED_VALUE"""),0)</f>
        <v>0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IFERROR(__xludf.DUMMYFUNCTION("""COMPUTED_VALUE"""),"Theory")</f>
        <v>Theory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IFERROR(__xludf.DUMMYFUNCTION("""COMPUTED_VALUE"""),"CS3519")</f>
        <v>CS3519</v>
      </c>
      <c r="E121" s="2" t="str">
        <f>IFERROR(__xludf.DUMMYFUNCTION("""COMPUTED_VALUE"""),"19AI519")</f>
        <v>19AI519</v>
      </c>
      <c r="F121" s="7" t="str">
        <f>IFERROR(__xludf.DUMMYFUNCTION("""COMPUTED_VALUE"""),"Distributed Database")</f>
        <v>Distributed Database</v>
      </c>
      <c r="G121" s="2" t="str">
        <f>IFERROR(__xludf.DUMMYFUNCTION("""COMPUTED_VALUE"""),"19CS404")</f>
        <v>19CS404</v>
      </c>
      <c r="H121" s="2">
        <f>IFERROR(__xludf.DUMMYFUNCTION("""COMPUTED_VALUE"""),3)</f>
        <v>3</v>
      </c>
      <c r="I121" s="2">
        <f>IFERROR(__xludf.DUMMYFUNCTION("""COMPUTED_VALUE"""),0)</f>
        <v>0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IFERROR(__xludf.DUMMYFUNCTION("""COMPUTED_VALUE"""),"Theory")</f>
        <v>Theory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IFERROR(__xludf.DUMMYFUNCTION("""COMPUTED_VALUE"""),"CS3520")</f>
        <v>CS3520</v>
      </c>
      <c r="E122" s="2" t="str">
        <f>IFERROR(__xludf.DUMMYFUNCTION("""COMPUTED_VALUE"""),"19AI520")</f>
        <v>19AI520</v>
      </c>
      <c r="F122" s="7" t="str">
        <f>IFERROR(__xludf.DUMMYFUNCTION("""COMPUTED_VALUE"""),"Data Mining and Warehousing")</f>
        <v>Data Mining and Warehousing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IFERROR(__xludf.DUMMYFUNCTION("""COMPUTED_VALUE"""),"CS3523")</f>
        <v>CS3523</v>
      </c>
      <c r="E123" s="26" t="str">
        <f>IFERROR(__xludf.DUMMYFUNCTION("""COMPUTED_VALUE"""),"19AI523")</f>
        <v>19AI523</v>
      </c>
      <c r="F123" s="27" t="str">
        <f>IFERROR(__xludf.DUMMYFUNCTION("""COMPUTED_VALUE"""),"Mobile Database")</f>
        <v>Mobile Database</v>
      </c>
      <c r="G123" s="26" t="str">
        <f>IFERROR(__xludf.DUMMYFUNCTION("""COMPUTED_VALUE"""),"-")</f>
        <v>-</v>
      </c>
      <c r="H123" s="26">
        <f>IFERROR(__xludf.DUMMYFUNCTION("""COMPUTED_VALUE"""),3)</f>
        <v>3</v>
      </c>
      <c r="I123" s="26">
        <f>IFERROR(__xludf.DUMMYFUNCTION("""COMPUTED_VALUE"""),0)</f>
        <v>0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IFERROR(__xludf.DUMMYFUNCTION("""COMPUTED_VALUE"""),"Theory")</f>
        <v>Theory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IFERROR(__xludf.DUMMYFUNCTION("""COMPUTED_VALUE"""),"CS3524")</f>
        <v>CS3524</v>
      </c>
      <c r="E124" s="26" t="str">
        <f>IFERROR(__xludf.DUMMYFUNCTION("""COMPUTED_VALUE"""),"19AI524")</f>
        <v>19AI524</v>
      </c>
      <c r="F124" s="27" t="str">
        <f>IFERROR(__xludf.DUMMYFUNCTION("""COMPUTED_VALUE"""),"Multimedia Database")</f>
        <v>Multimedia Database</v>
      </c>
      <c r="G124" s="26" t="str">
        <f>IFERROR(__xludf.DUMMYFUNCTION("""COMPUTED_VALUE"""),"19CS410")</f>
        <v>19CS410</v>
      </c>
      <c r="H124" s="26">
        <f>IFERROR(__xludf.DUMMYFUNCTION("""COMPUTED_VALUE"""),3)</f>
        <v>3</v>
      </c>
      <c r="I124" s="26">
        <f>IFERROR(__xludf.DUMMYFUNCTION("""COMPUTED_VALUE"""),0)</f>
        <v>0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IFERROR(__xludf.DUMMYFUNCTION("""COMPUTED_VALUE"""),"Theory")</f>
        <v>Theory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IFERROR(__xludf.DUMMYFUNCTION("""COMPUTED_VALUE"""),"CS3525")</f>
        <v>CS3525</v>
      </c>
      <c r="E125" s="26" t="str">
        <f>IFERROR(__xludf.DUMMYFUNCTION("""COMPUTED_VALUE"""),"19AI525")</f>
        <v>19AI525</v>
      </c>
      <c r="F125" s="27" t="str">
        <f>IFERROR(__xludf.DUMMYFUNCTION("""COMPUTED_VALUE"""),"Video Processing")</f>
        <v>Video Processing</v>
      </c>
      <c r="G125" s="26" t="str">
        <f>IFERROR(__xludf.DUMMYFUNCTION("""COMPUTED_VALUE"""),"19CS301")</f>
        <v>19CS301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IFERROR(__xludf.DUMMYFUNCTION("""COMPUTED_VALUE"""),"CS3406")</f>
        <v>CS3406</v>
      </c>
      <c r="E126" s="26" t="str">
        <f>IFERROR(__xludf.DUMMYFUNCTION("""COMPUTED_VALUE"""),"19AI406")</f>
        <v>19AI406</v>
      </c>
      <c r="F126" s="27" t="str">
        <f>IFERROR(__xludf.DUMMYFUNCTION("""COMPUTED_VALUE"""),"Digital Image Processing Techniques")</f>
        <v>Digital Image Processing Techniques</v>
      </c>
      <c r="G126" s="26" t="str">
        <f>IFERROR(__xludf.DUMMYFUNCTION("""COMPUTED_VALUE"""),"-")</f>
        <v>-</v>
      </c>
      <c r="H126" s="26">
        <f>IFERROR(__xludf.DUMMYFUNCTION("""COMPUTED_VALUE"""),2)</f>
        <v>2</v>
      </c>
      <c r="I126" s="26">
        <f>IFERROR(__xludf.DUMMYFUNCTION("""COMPUTED_VALUE"""),1)</f>
        <v>1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IFERROR(__xludf.DUMMYFUNCTION("""COMPUTED_VALUE"""),"CS3407")</f>
        <v>CS3407</v>
      </c>
      <c r="E127" s="26" t="str">
        <f>IFERROR(__xludf.DUMMYFUNCTION("""COMPUTED_VALUE"""),"19AI407")</f>
        <v>19AI407</v>
      </c>
      <c r="F127" s="27" t="str">
        <f>IFERROR(__xludf.DUMMYFUNCTION("""COMPUTED_VALUE"""),"Parallel Computing Architecture")</f>
        <v>Parallel Computing Architecture</v>
      </c>
      <c r="G127" s="26" t="str">
        <f>IFERROR(__xludf.DUMMYFUNCTION("""COMPUTED_VALUE"""),"-")</f>
        <v>-</v>
      </c>
      <c r="H127" s="26">
        <f>IFERROR(__xludf.DUMMYFUNCTION("""COMPUTED_VALUE"""),3)</f>
        <v>3</v>
      </c>
      <c r="I127" s="26">
        <f>IFERROR(__xludf.DUMMYFUNCTION("""COMPUTED_VALUE"""),1)</f>
        <v>1</v>
      </c>
      <c r="J127" s="26">
        <f>IFERROR(__xludf.DUMMYFUNCTION("""COMPUTED_VALUE"""),4)</f>
        <v>4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IFERROR(__xludf.DUMMYFUNCTION("""COMPUTED_VALUE"""),"CS3412")</f>
        <v>CS3412</v>
      </c>
      <c r="E128" s="26" t="str">
        <f>IFERROR(__xludf.DUMMYFUNCTION("""COMPUTED_VALUE"""),"19AI412")</f>
        <v>19AI412</v>
      </c>
      <c r="F128" s="27" t="str">
        <f>IFERROR(__xludf.DUMMYFUNCTION("""COMPUTED_VALUE"""),"Web Data Mining")</f>
        <v>Web Data Mining</v>
      </c>
      <c r="G128" s="26" t="str">
        <f>IFERROR(__xludf.DUMMYFUNCTION("""COMPUTED_VALUE"""),"-")</f>
        <v>-</v>
      </c>
      <c r="H128" s="26">
        <f>IFERROR(__xludf.DUMMYFUNCTION("""COMPUTED_VALUE"""),3)</f>
        <v>3</v>
      </c>
      <c r="I128" s="26">
        <f>IFERROR(__xludf.DUMMYFUNCTION("""COMPUTED_VALUE"""),1)</f>
        <v>1</v>
      </c>
      <c r="J128" s="26">
        <f>IFERROR(__xludf.DUMMYFUNCTION("""COMPUTED_VALUE"""),4)</f>
        <v>4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IFERROR(__xludf.DUMMYFUNCTION("""COMPUTED_VALUE"""),"CS1567")</f>
        <v>CS1567</v>
      </c>
      <c r="E129" s="26" t="str">
        <f>IFERROR(__xludf.DUMMYFUNCTION("""COMPUTED_VALUE"""),"19CS567")</f>
        <v>19CS567</v>
      </c>
      <c r="F129" s="27" t="str">
        <f>IFERROR(__xludf.DUMMYFUNCTION("""COMPUTED_VALUE"""),"Cloud Native App Development")</f>
        <v>Cloud Native App Development</v>
      </c>
      <c r="G129" s="26" t="str">
        <f>IFERROR(__xludf.DUMMYFUNCTION("""COMPUTED_VALUE"""),"-")</f>
        <v>-</v>
      </c>
      <c r="H129" s="26">
        <f>IFERROR(__xludf.DUMMYFUNCTION("""COMPUTED_VALUE"""),2)</f>
        <v>2</v>
      </c>
      <c r="I129" s="26">
        <f>IFERROR(__xludf.DUMMYFUNCTION("""COMPUTED_VALUE"""),1)</f>
        <v>1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IFERROR(__xludf.DUMMYFUNCTION("""COMPUTED_VALUE"""),"CS1557")</f>
        <v>CS1557</v>
      </c>
      <c r="E130" s="26" t="str">
        <f>IFERROR(__xludf.DUMMYFUNCTION("""COMPUTED_VALUE"""),"19CS557")</f>
        <v>19CS557</v>
      </c>
      <c r="F130" s="26" t="str">
        <f>IFERROR(__xludf.DUMMYFUNCTION("""COMPUTED_VALUE"""),"Software Defined Networks")</f>
        <v>Software Defined Networks</v>
      </c>
      <c r="G130" s="26" t="str">
        <f>IFERROR(__xludf.DUMMYFUNCTION("""COMPUTED_VALUE"""),"-")</f>
        <v>-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IFERROR(__xludf.DUMMYFUNCTION("""COMPUTED_VALUE"""),"CS1556")</f>
        <v>CS1556</v>
      </c>
      <c r="E131" s="26" t="str">
        <f>IFERROR(__xludf.DUMMYFUNCTION("""COMPUTED_VALUE"""),"19CS556")</f>
        <v>19CS556</v>
      </c>
      <c r="F131" s="27" t="str">
        <f>IFERROR(__xludf.DUMMYFUNCTION("""COMPUTED_VALUE"""),"Core Computing Concepts")</f>
        <v>Core Computing Concepts</v>
      </c>
      <c r="G131" s="26" t="str">
        <f>IFERROR(__xludf.DUMMYFUNCTION("""COMPUTED_VALUE"""),"-")</f>
        <v>-</v>
      </c>
      <c r="H131" s="26">
        <f>IFERROR(__xludf.DUMMYFUNCTION("""COMPUTED_VALUE"""),2)</f>
        <v>2</v>
      </c>
      <c r="I131" s="26">
        <f>IFERROR(__xludf.DUMMYFUNCTION("""COMPUTED_VALUE"""),1)</f>
        <v>1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IFERROR(__xludf.DUMMYFUNCTION("""COMPUTED_VALUE"""),"TIP (6 Expts)")</f>
        <v>TIP (6 Expts)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IFERROR(__xludf.DUMMYFUNCTION("""COMPUTED_VALUE"""),"CS2408")</f>
        <v>CS2408</v>
      </c>
      <c r="E132" s="26" t="str">
        <f>IFERROR(__xludf.DUMMYFUNCTION("""COMPUTED_VALUE"""),"19IT408")</f>
        <v>19IT408</v>
      </c>
      <c r="F132" s="27" t="str">
        <f>IFERROR(__xludf.DUMMYFUNCTION("""COMPUTED_VALUE"""),"Distributed Computing")</f>
        <v>Distributed Computing</v>
      </c>
      <c r="G132" s="26" t="str">
        <f>IFERROR(__xludf.DUMMYFUNCTION("""COMPUTED_VALUE"""),"-")</f>
        <v>-</v>
      </c>
      <c r="H132" s="26">
        <f>IFERROR(__xludf.DUMMYFUNCTION("""COMPUTED_VALUE"""),3)</f>
        <v>3</v>
      </c>
      <c r="I132" s="26">
        <f>IFERROR(__xludf.DUMMYFUNCTION("""COMPUTED_VALUE"""),0)</f>
        <v>0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IFERROR(__xludf.DUMMYFUNCTION("""COMPUTED_VALUE"""),"CS2501")</f>
        <v>CS2501</v>
      </c>
      <c r="E133" s="26" t="str">
        <f>IFERROR(__xludf.DUMMYFUNCTION("""COMPUTED_VALUE"""),"19IT501")</f>
        <v>19IT501</v>
      </c>
      <c r="F133" s="27" t="str">
        <f>IFERROR(__xludf.DUMMYFUNCTION("""COMPUTED_VALUE"""),"Information Theory and Coding Techniques")</f>
        <v>Information Theory and Coding Techniques</v>
      </c>
      <c r="G133" s="26" t="str">
        <f>IFERROR(__xludf.DUMMYFUNCTION("""COMPUTED_VALUE"""),"-")</f>
        <v>-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IFERROR(__xludf.DUMMYFUNCTION("""COMPUTED_VALUE"""),"CS2502")</f>
        <v>CS2502</v>
      </c>
      <c r="E134" s="26" t="str">
        <f>IFERROR(__xludf.DUMMYFUNCTION("""COMPUTED_VALUE"""),"19IT502")</f>
        <v>19IT502</v>
      </c>
      <c r="F134" s="27" t="str">
        <f>IFERROR(__xludf.DUMMYFUNCTION("""COMPUTED_VALUE"""),"Enterprise Resource Planning")</f>
        <v>Enterprise Resource Planning</v>
      </c>
      <c r="G134" s="26" t="str">
        <f>IFERROR(__xludf.DUMMYFUNCTION("""COMPUTED_VALUE"""),"-")</f>
        <v>-</v>
      </c>
      <c r="H134" s="26">
        <f>IFERROR(__xludf.DUMMYFUNCTION("""COMPUTED_VALUE"""),3)</f>
        <v>3</v>
      </c>
      <c r="I134" s="26">
        <f>IFERROR(__xludf.DUMMYFUNCTION("""COMPUTED_VALUE"""),0)</f>
        <v>0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IFERROR(__xludf.DUMMYFUNCTION("""COMPUTED_VALUE"""),"Theory")</f>
        <v>Theory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IFERROR(__xludf.DUMMYFUNCTION("""COMPUTED_VALUE"""),"CS2503")</f>
        <v>CS2503</v>
      </c>
      <c r="E135" s="26" t="str">
        <f>IFERROR(__xludf.DUMMYFUNCTION("""COMPUTED_VALUE"""),"19IT503")</f>
        <v>19IT503</v>
      </c>
      <c r="F135" s="27" t="str">
        <f>IFERROR(__xludf.DUMMYFUNCTION("""COMPUTED_VALUE"""),"User Interface Design")</f>
        <v>User Interface Design</v>
      </c>
      <c r="G135" s="26" t="str">
        <f>IFERROR(__xludf.DUMMYFUNCTION("""COMPUTED_VALUE"""),"-")</f>
        <v>-</v>
      </c>
      <c r="H135" s="26">
        <f>IFERROR(__xludf.DUMMYFUNCTION("""COMPUTED_VALUE"""),3)</f>
        <v>3</v>
      </c>
      <c r="I135" s="26">
        <f>IFERROR(__xludf.DUMMYFUNCTION("""COMPUTED_VALUE"""),0)</f>
        <v>0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IFERROR(__xludf.DUMMYFUNCTION("""COMPUTED_VALUE"""),"Theory")</f>
        <v>Theory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IFERROR(__xludf.DUMMYFUNCTION("""COMPUTED_VALUE"""),"CS2504")</f>
        <v>CS2504</v>
      </c>
      <c r="E136" s="26" t="str">
        <f>IFERROR(__xludf.DUMMYFUNCTION("""COMPUTED_VALUE"""),"19IT504")</f>
        <v>19IT504</v>
      </c>
      <c r="F136" s="27" t="str">
        <f>IFERROR(__xludf.DUMMYFUNCTION("""COMPUTED_VALUE"""),"Information Storage Management")</f>
        <v>Information Storage Management</v>
      </c>
      <c r="G136" s="26" t="str">
        <f>IFERROR(__xludf.DUMMYFUNCTION("""COMPUTED_VALUE"""),"-")</f>
        <v>-</v>
      </c>
      <c r="H136" s="26">
        <f>IFERROR(__xludf.DUMMYFUNCTION("""COMPUTED_VALUE"""),3)</f>
        <v>3</v>
      </c>
      <c r="I136" s="26">
        <f>IFERROR(__xludf.DUMMYFUNCTION("""COMPUTED_VALUE"""),0)</f>
        <v>0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IFERROR(__xludf.DUMMYFUNCTION("""COMPUTED_VALUE"""),"Theory")</f>
        <v>Theory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IFERROR(__xludf.DUMMYFUNCTION("""COMPUTED_VALUE"""),"CS2505")</f>
        <v>CS2505</v>
      </c>
      <c r="E137" s="26" t="str">
        <f>IFERROR(__xludf.DUMMYFUNCTION("""COMPUTED_VALUE"""),"19IT505")</f>
        <v>19IT505</v>
      </c>
      <c r="F137" s="27" t="str">
        <f>IFERROR(__xludf.DUMMYFUNCTION("""COMPUTED_VALUE"""),"Software Design Patterns")</f>
        <v>Software Design Patterns</v>
      </c>
      <c r="G137" s="26" t="str">
        <f>IFERROR(__xludf.DUMMYFUNCTION("""COMPUTED_VALUE"""),"-")</f>
        <v>-</v>
      </c>
      <c r="H137" s="26">
        <f>IFERROR(__xludf.DUMMYFUNCTION("""COMPUTED_VALUE"""),3)</f>
        <v>3</v>
      </c>
      <c r="I137" s="26">
        <f>IFERROR(__xludf.DUMMYFUNCTION("""COMPUTED_VALUE"""),0)</f>
        <v>0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IFERROR(__xludf.DUMMYFUNCTION("""COMPUTED_VALUE"""),"Theory")</f>
        <v>Theory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IFERROR(__xludf.DUMMYFUNCTION("""COMPUTED_VALUE"""),"CS2506")</f>
        <v>CS2506</v>
      </c>
      <c r="E138" s="26" t="str">
        <f>IFERROR(__xludf.DUMMYFUNCTION("""COMPUTED_VALUE"""),"19IT506")</f>
        <v>19IT506</v>
      </c>
      <c r="F138" s="27" t="str">
        <f>IFERROR(__xludf.DUMMYFUNCTION("""COMPUTED_VALUE"""),"E-Learning Techniques")</f>
        <v>E-Learning Techniques</v>
      </c>
      <c r="G138" s="26" t="str">
        <f>IFERROR(__xludf.DUMMYFUNCTION("""COMPUTED_VALUE"""),"-")</f>
        <v>-</v>
      </c>
      <c r="H138" s="26">
        <f>IFERROR(__xludf.DUMMYFUNCTION("""COMPUTED_VALUE"""),3)</f>
        <v>3</v>
      </c>
      <c r="I138" s="26">
        <f>IFERROR(__xludf.DUMMYFUNCTION("""COMPUTED_VALUE"""),0)</f>
        <v>0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IFERROR(__xludf.DUMMYFUNCTION("""COMPUTED_VALUE"""),"Theory")</f>
        <v>Theory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IFERROR(__xludf.DUMMYFUNCTION("""COMPUTED_VALUE"""),"CS2508")</f>
        <v>CS2508</v>
      </c>
      <c r="E139" s="26" t="str">
        <f>IFERROR(__xludf.DUMMYFUNCTION("""COMPUTED_VALUE"""),"19IT508")</f>
        <v>19IT508</v>
      </c>
      <c r="F139" s="27" t="str">
        <f>IFERROR(__xludf.DUMMYFUNCTION("""COMPUTED_VALUE"""),"TCP/IP Design and Implementation")</f>
        <v>TCP/IP Design and Implementation</v>
      </c>
      <c r="G139" s="26" t="str">
        <f>IFERROR(__xludf.DUMMYFUNCTION("""COMPUTED_VALUE"""),"-")</f>
        <v>-</v>
      </c>
      <c r="H139" s="26">
        <f>IFERROR(__xludf.DUMMYFUNCTION("""COMPUTED_VALUE"""),3)</f>
        <v>3</v>
      </c>
      <c r="I139" s="26">
        <f>IFERROR(__xludf.DUMMYFUNCTION("""COMPUTED_VALUE"""),0)</f>
        <v>0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IFERROR(__xludf.DUMMYFUNCTION("""COMPUTED_VALUE"""),"Theory")</f>
        <v>Theory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IFERROR(__xludf.DUMMYFUNCTION("""COMPUTED_VALUE"""),"CS2509")</f>
        <v>CS2509</v>
      </c>
      <c r="E140" s="26" t="str">
        <f>IFERROR(__xludf.DUMMYFUNCTION("""COMPUTED_VALUE"""),"19IT509")</f>
        <v>19IT509</v>
      </c>
      <c r="F140" s="27" t="str">
        <f>IFERROR(__xludf.DUMMYFUNCTION("""COMPUTED_VALUE"""),"Advanced Algorithms")</f>
        <v>Advanced Algorithms</v>
      </c>
      <c r="G140" s="26" t="str">
        <f>IFERROR(__xludf.DUMMYFUNCTION("""COMPUTED_VALUE"""),"-")</f>
        <v>-</v>
      </c>
      <c r="H140" s="26">
        <f>IFERROR(__xludf.DUMMYFUNCTION("""COMPUTED_VALUE"""),3)</f>
        <v>3</v>
      </c>
      <c r="I140" s="26">
        <f>IFERROR(__xludf.DUMMYFUNCTION("""COMPUTED_VALUE"""),0)</f>
        <v>0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IFERROR(__xludf.DUMMYFUNCTION("""COMPUTED_VALUE"""),"Theory")</f>
        <v>Theory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IFERROR(__xludf.DUMMYFUNCTION("""COMPUTED_VALUE"""),"CS2510")</f>
        <v>CS2510</v>
      </c>
      <c r="E141" s="26" t="str">
        <f>IFERROR(__xludf.DUMMYFUNCTION("""COMPUTED_VALUE"""),"19IT510")</f>
        <v>19IT510</v>
      </c>
      <c r="F141" s="27" t="str">
        <f>IFERROR(__xludf.DUMMYFUNCTION("""COMPUTED_VALUE"""),"Ethical Hacking")</f>
        <v>Ethical Hacking</v>
      </c>
      <c r="G141" s="26" t="str">
        <f>IFERROR(__xludf.DUMMYFUNCTION("""COMPUTED_VALUE"""),"-")</f>
        <v>-</v>
      </c>
      <c r="H141" s="26">
        <f>IFERROR(__xludf.DUMMYFUNCTION("""COMPUTED_VALUE"""),3)</f>
        <v>3</v>
      </c>
      <c r="I141" s="26">
        <f>IFERROR(__xludf.DUMMYFUNCTION("""COMPUTED_VALUE"""),0)</f>
        <v>0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IFERROR(__xludf.DUMMYFUNCTION("""COMPUTED_VALUE"""),"Theory")</f>
        <v>Theory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IFERROR(__xludf.DUMMYFUNCTION("""COMPUTED_VALUE"""),"CS2511")</f>
        <v>CS2511</v>
      </c>
      <c r="E142" s="26" t="str">
        <f>IFERROR(__xludf.DUMMYFUNCTION("""COMPUTED_VALUE"""),"19IT511")</f>
        <v>19IT511</v>
      </c>
      <c r="F142" s="27" t="str">
        <f>IFERROR(__xludf.DUMMYFUNCTION("""COMPUTED_VALUE"""),"DHTML and XML")</f>
        <v>DHTML and XML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IFERROR(__xludf.DUMMYFUNCTION("""COMPUTED_VALUE"""),0)</f>
        <v>0</v>
      </c>
      <c r="J142" s="26">
        <f>IFERROR(__xludf.DUMMYFUNCTION("""COMPUTED_VALUE"""),3)</f>
        <v>3</v>
      </c>
      <c r="K142" s="26" t="str">
        <f>IFERROR(__xludf.DUMMYFUNCTION("""COMPUTED_VALUE"""),"CGPA")</f>
        <v>CGPA</v>
      </c>
      <c r="L142" s="26" t="str">
        <f>IFERROR(__xludf.DUMMYFUNCTION("""COMPUTED_VALUE"""),"Theory")</f>
        <v>Theory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IFERROR(__xludf.DUMMYFUNCTION("""COMPUTED_VALUE"""),"CS2512")</f>
        <v>CS2512</v>
      </c>
      <c r="E143" s="26" t="str">
        <f>IFERROR(__xludf.DUMMYFUNCTION("""COMPUTED_VALUE"""),"19IT512")</f>
        <v>19IT512</v>
      </c>
      <c r="F143" s="27" t="str">
        <f>IFERROR(__xludf.DUMMYFUNCTION("""COMPUTED_VALUE"""),"E-Commerce")</f>
        <v>E-Commerce</v>
      </c>
      <c r="G143" s="26" t="str">
        <f>IFERROR(__xludf.DUMMYFUNCTION("""COMPUTED_VALUE"""),"-")</f>
        <v>-</v>
      </c>
      <c r="H143" s="26">
        <f>IFERROR(__xludf.DUMMYFUNCTION("""COMPUTED_VALUE"""),3)</f>
        <v>3</v>
      </c>
      <c r="I143" s="26">
        <f>IFERROR(__xludf.DUMMYFUNCTION("""COMPUTED_VALUE"""),0)</f>
        <v>0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IFERROR(__xludf.DUMMYFUNCTION("""COMPUTED_VALUE"""),"Theory")</f>
        <v>Theory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IFERROR(__xludf.DUMMYFUNCTION("""COMPUTED_VALUE"""),142)</f>
        <v>142</v>
      </c>
      <c r="B144" s="26"/>
      <c r="C144" s="26" t="str">
        <f>IFERROR(__xludf.DUMMYFUNCTION("""COMPUTED_VALUE"""),"PE")</f>
        <v>PE</v>
      </c>
      <c r="D144" s="26" t="str">
        <f>IFERROR(__xludf.DUMMYFUNCTION("""COMPUTED_VALUE"""),"CS2513")</f>
        <v>CS2513</v>
      </c>
      <c r="E144" s="26" t="str">
        <f>IFERROR(__xludf.DUMMYFUNCTION("""COMPUTED_VALUE"""),"19IT513")</f>
        <v>19IT513</v>
      </c>
      <c r="F144" s="27" t="str">
        <f>IFERROR(__xludf.DUMMYFUNCTION("""COMPUTED_VALUE"""),"Free Open Source Software")</f>
        <v>Free Open Source Software</v>
      </c>
      <c r="G144" s="26" t="str">
        <f>IFERROR(__xludf.DUMMYFUNCTION("""COMPUTED_VALUE"""),"-")</f>
        <v>-</v>
      </c>
      <c r="H144" s="26">
        <f>IFERROR(__xludf.DUMMYFUNCTION("""COMPUTED_VALUE"""),3)</f>
        <v>3</v>
      </c>
      <c r="I144" s="26">
        <f>IFERROR(__xludf.DUMMYFUNCTION("""COMPUTED_VALUE"""),0)</f>
        <v>0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IFERROR(__xludf.DUMMYFUNCTION("""COMPUTED_VALUE"""),143)</f>
        <v>143</v>
      </c>
      <c r="B145" s="26"/>
      <c r="C145" s="26" t="str">
        <f>IFERROR(__xludf.DUMMYFUNCTION("""COMPUTED_VALUE"""),"PE")</f>
        <v>PE</v>
      </c>
      <c r="D145" s="26" t="str">
        <f>IFERROR(__xludf.DUMMYFUNCTION("""COMPUTED_VALUE"""),"CS2514")</f>
        <v>CS2514</v>
      </c>
      <c r="E145" s="26" t="str">
        <f>IFERROR(__xludf.DUMMYFUNCTION("""COMPUTED_VALUE"""),"19IT514")</f>
        <v>19IT514</v>
      </c>
      <c r="F145" s="27" t="str">
        <f>IFERROR(__xludf.DUMMYFUNCTION("""COMPUTED_VALUE"""),"Real Time Operating Systems")</f>
        <v>Real Time Operating Systems</v>
      </c>
      <c r="G145" s="26" t="str">
        <f>IFERROR(__xludf.DUMMYFUNCTION("""COMPUTED_VALUE"""),"-")</f>
        <v>-</v>
      </c>
      <c r="H145" s="26">
        <f>IFERROR(__xludf.DUMMYFUNCTION("""COMPUTED_VALUE"""),3)</f>
        <v>3</v>
      </c>
      <c r="I145" s="26">
        <f>IFERROR(__xludf.DUMMYFUNCTION("""COMPUTED_VALUE"""),0)</f>
        <v>0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IFERROR(__xludf.DUMMYFUNCTION("""COMPUTED_VALUE"""),"Theory")</f>
        <v>Theory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IFERROR(__xludf.DUMMYFUNCTION("""COMPUTED_VALUE"""),144)</f>
        <v>144</v>
      </c>
      <c r="B146" s="26"/>
      <c r="C146" s="26" t="str">
        <f>IFERROR(__xludf.DUMMYFUNCTION("""COMPUTED_VALUE"""),"PE")</f>
        <v>PE</v>
      </c>
      <c r="D146" s="26" t="str">
        <f>IFERROR(__xludf.DUMMYFUNCTION("""COMPUTED_VALUE"""),"CS2515")</f>
        <v>CS2515</v>
      </c>
      <c r="E146" s="26" t="str">
        <f>IFERROR(__xludf.DUMMYFUNCTION("""COMPUTED_VALUE"""),"19IT515")</f>
        <v>19IT515</v>
      </c>
      <c r="F146" s="27" t="str">
        <f>IFERROR(__xludf.DUMMYFUNCTION("""COMPUTED_VALUE"""),"Software Agents")</f>
        <v>Software Agents</v>
      </c>
      <c r="G146" s="26" t="str">
        <f>IFERROR(__xludf.DUMMYFUNCTION("""COMPUTED_VALUE"""),"-")</f>
        <v>-</v>
      </c>
      <c r="H146" s="26">
        <f>IFERROR(__xludf.DUMMYFUNCTION("""COMPUTED_VALUE"""),3)</f>
        <v>3</v>
      </c>
      <c r="I146" s="26">
        <f>IFERROR(__xludf.DUMMYFUNCTION("""COMPUTED_VALUE"""),0)</f>
        <v>0</v>
      </c>
      <c r="J146" s="26">
        <f>IFERROR(__xludf.DUMMYFUNCTION("""COMPUTED_VALUE"""),3)</f>
        <v>3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IFERROR(__xludf.DUMMYFUNCTION("""COMPUTED_VALUE"""),145)</f>
        <v>145</v>
      </c>
      <c r="B147" s="26"/>
      <c r="C147" s="26" t="str">
        <f>IFERROR(__xludf.DUMMYFUNCTION("""COMPUTED_VALUE"""),"PE")</f>
        <v>PE</v>
      </c>
      <c r="D147" s="26" t="str">
        <f>IFERROR(__xludf.DUMMYFUNCTION("""COMPUTED_VALUE"""),"CS3412")</f>
        <v>CS3412</v>
      </c>
      <c r="E147" s="26" t="str">
        <f>IFERROR(__xludf.DUMMYFUNCTION("""COMPUTED_VALUE"""),"19AI412")</f>
        <v>19AI412</v>
      </c>
      <c r="F147" s="27" t="str">
        <f>IFERROR(__xludf.DUMMYFUNCTION("""COMPUTED_VALUE"""),"Web Data Mining")</f>
        <v>Web Data Mining</v>
      </c>
      <c r="G147" s="26" t="str">
        <f>IFERROR(__xludf.DUMMYFUNCTION("""COMPUTED_VALUE"""),"-")</f>
        <v>-</v>
      </c>
      <c r="H147" s="26">
        <f>IFERROR(__xludf.DUMMYFUNCTION("""COMPUTED_VALUE"""),3)</f>
        <v>3</v>
      </c>
      <c r="I147" s="26">
        <f>IFERROR(__xludf.DUMMYFUNCTION("""COMPUTED_VALUE"""),1)</f>
        <v>1</v>
      </c>
      <c r="J147" s="26">
        <f>IFERROR(__xludf.DUMMYFUNCTION("""COMPUTED_VALUE"""),4)</f>
        <v>4</v>
      </c>
      <c r="K147" s="26" t="str">
        <f>IFERROR(__xludf.DUMMYFUNCTION("""COMPUTED_VALUE"""),"CGPA")</f>
        <v>CGPA</v>
      </c>
      <c r="L147" s="26" t="str">
        <f>IFERROR(__xludf.DUMMYFUNCTION("""COMPUTED_VALUE"""),"TIP (6 Expts)")</f>
        <v>TIP (6 Expts)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IFERROR(__xludf.DUMMYFUNCTION("""COMPUTED_VALUE"""),146)</f>
        <v>146</v>
      </c>
      <c r="B148" s="26"/>
      <c r="C148" s="26" t="str">
        <f>IFERROR(__xludf.DUMMYFUNCTION("""COMPUTED_VALUE"""),"PE")</f>
        <v>PE</v>
      </c>
      <c r="D148" s="26" t="str">
        <f>IFERROR(__xludf.DUMMYFUNCTION("""COMPUTED_VALUE"""),"CS1557")</f>
        <v>CS1557</v>
      </c>
      <c r="E148" s="26" t="str">
        <f>IFERROR(__xludf.DUMMYFUNCTION("""COMPUTED_VALUE"""),"19CS557")</f>
        <v>19CS557</v>
      </c>
      <c r="F148" s="26" t="str">
        <f>IFERROR(__xludf.DUMMYFUNCTION("""COMPUTED_VALUE"""),"Software Defined Networks")</f>
        <v>Software Defined Networks</v>
      </c>
      <c r="G148" s="26" t="str">
        <f>IFERROR(__xludf.DUMMYFUNCTION("""COMPUTED_VALUE"""),"-")</f>
        <v>-</v>
      </c>
      <c r="H148" s="26">
        <f>IFERROR(__xludf.DUMMYFUNCTION("""COMPUTED_VALUE"""),2)</f>
        <v>2</v>
      </c>
      <c r="I148" s="26">
        <f>IFERROR(__xludf.DUMMYFUNCTION("""COMPUTED_VALUE"""),1)</f>
        <v>1</v>
      </c>
      <c r="J148" s="26">
        <f>IFERROR(__xludf.DUMMYFUNCTION("""COMPUTED_VALUE"""),3)</f>
        <v>3</v>
      </c>
      <c r="K148" s="26" t="str">
        <f>IFERROR(__xludf.DUMMYFUNCTION("""COMPUTED_VALUE"""),"CGPA")</f>
        <v>CGPA</v>
      </c>
      <c r="L148" s="26" t="str">
        <f>IFERROR(__xludf.DUMMYFUNCTION("""COMPUTED_VALUE"""),"TIP (6 Expts)")</f>
        <v>TIP (6 Expts)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IFERROR(__xludf.DUMMYFUNCTION("""COMPUTED_VALUE"""),147)</f>
        <v>147</v>
      </c>
      <c r="B149" s="26"/>
      <c r="C149" s="26" t="str">
        <f>IFERROR(__xludf.DUMMYFUNCTION("""COMPUTED_VALUE"""),"PE")</f>
        <v>PE</v>
      </c>
      <c r="D149" s="26" t="str">
        <f>IFERROR(__xludf.DUMMYFUNCTION("""COMPUTED_VALUE"""),"CS1556")</f>
        <v>CS1556</v>
      </c>
      <c r="E149" s="26" t="str">
        <f>IFERROR(__xludf.DUMMYFUNCTION("""COMPUTED_VALUE"""),"19CS556")</f>
        <v>19CS556</v>
      </c>
      <c r="F149" s="27" t="str">
        <f>IFERROR(__xludf.DUMMYFUNCTION("""COMPUTED_VALUE"""),"Core Computing Concepts")</f>
        <v>Core Computing Concepts</v>
      </c>
      <c r="G149" s="26" t="str">
        <f>IFERROR(__xludf.DUMMYFUNCTION("""COMPUTED_VALUE"""),"-")</f>
        <v>-</v>
      </c>
      <c r="H149" s="26">
        <f>IFERROR(__xludf.DUMMYFUNCTION("""COMPUTED_VALUE"""),2)</f>
        <v>2</v>
      </c>
      <c r="I149" s="26">
        <f>IFERROR(__xludf.DUMMYFUNCTION("""COMPUTED_VALUE"""),1)</f>
        <v>1</v>
      </c>
      <c r="J149" s="26">
        <f>IFERROR(__xludf.DUMMYFUNCTION("""COMPUTED_VALUE"""),3)</f>
        <v>3</v>
      </c>
      <c r="K149" s="26" t="str">
        <f>IFERROR(__xludf.DUMMYFUNCTION("""COMPUTED_VALUE"""),"CGPA")</f>
        <v>CGPA</v>
      </c>
      <c r="L149" s="26" t="str">
        <f>IFERROR(__xludf.DUMMYFUNCTION("""COMPUTED_VALUE"""),"TIP (6 Expts)")</f>
        <v>TIP (6 Expts)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IFERROR(__xludf.DUMMYFUNCTION("""COMPUTED_VALUE"""),148)</f>
        <v>148</v>
      </c>
      <c r="B150" s="26"/>
      <c r="C150" s="26" t="str">
        <f>IFERROR(__xludf.DUMMYFUNCTION("""COMPUTED_VALUE"""),"PE")</f>
        <v>PE</v>
      </c>
      <c r="D150" s="26" t="str">
        <f>IFERROR(__xludf.DUMMYFUNCTION("""COMPUTED_VALUE"""),"CS2516")</f>
        <v>CS2516</v>
      </c>
      <c r="E150" s="26" t="str">
        <f>IFERROR(__xludf.DUMMYFUNCTION("""COMPUTED_VALUE"""),"19IT516")</f>
        <v>19IT516</v>
      </c>
      <c r="F150" s="27" t="str">
        <f>IFERROR(__xludf.DUMMYFUNCTION("""COMPUTED_VALUE"""),"Business Intelligence and Analytics")</f>
        <v>Business Intelligence and Analytics</v>
      </c>
      <c r="G150" s="26" t="str">
        <f>IFERROR(__xludf.DUMMYFUNCTION("""COMPUTED_VALUE"""),"-")</f>
        <v>-</v>
      </c>
      <c r="H150" s="26">
        <f>IFERROR(__xludf.DUMMYFUNCTION("""COMPUTED_VALUE"""),3)</f>
        <v>3</v>
      </c>
      <c r="I150" s="26">
        <f>IFERROR(__xludf.DUMMYFUNCTION("""COMPUTED_VALUE"""),0)</f>
        <v>0</v>
      </c>
      <c r="J150" s="26">
        <f>IFERROR(__xludf.DUMMYFUNCTION("""COMPUTED_VALUE"""),3)</f>
        <v>3</v>
      </c>
      <c r="K150" s="26" t="str">
        <f>IFERROR(__xludf.DUMMYFUNCTION("""COMPUTED_VALUE"""),"CGPA")</f>
        <v>CGPA</v>
      </c>
      <c r="L150" s="26" t="str">
        <f>IFERROR(__xludf.DUMMYFUNCTION("""COMPUTED_VALUE"""),"Theory")</f>
        <v>Theory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IFERROR(__xludf.DUMMYFUNCTION("""COMPUTED_VALUE"""),149)</f>
        <v>149</v>
      </c>
      <c r="B151" s="26"/>
      <c r="C151" s="26" t="str">
        <f>IFERROR(__xludf.DUMMYFUNCTION("""COMPUTED_VALUE"""),"PE")</f>
        <v>PE</v>
      </c>
      <c r="D151" s="26" t="str">
        <f>IFERROR(__xludf.DUMMYFUNCTION("""COMPUTED_VALUE"""),"CS1547")</f>
        <v>CS1547</v>
      </c>
      <c r="E151" s="26" t="str">
        <f>IFERROR(__xludf.DUMMYFUNCTION("""COMPUTED_VALUE"""),"19CS547")</f>
        <v>19CS547</v>
      </c>
      <c r="F151" s="27" t="str">
        <f>IFERROR(__xludf.DUMMYFUNCTION("""COMPUTED_VALUE"""),"Fundamentals of Cryptocurrency")</f>
        <v>Fundamentals of Cryptocurrency</v>
      </c>
      <c r="G151" s="26" t="str">
        <f>IFERROR(__xludf.DUMMYFUNCTION("""COMPUTED_VALUE"""),"-")</f>
        <v>-</v>
      </c>
      <c r="H151" s="26">
        <f>IFERROR(__xludf.DUMMYFUNCTION("""COMPUTED_VALUE"""),3)</f>
        <v>3</v>
      </c>
      <c r="I151" s="26">
        <f>IFERROR(__xludf.DUMMYFUNCTION("""COMPUTED_VALUE"""),0)</f>
        <v>0</v>
      </c>
      <c r="J151" s="26">
        <f>IFERROR(__xludf.DUMMYFUNCTION("""COMPUTED_VALUE"""),3)</f>
        <v>3</v>
      </c>
      <c r="K151" s="26" t="str">
        <f>IFERROR(__xludf.DUMMYFUNCTION("""COMPUTED_VALUE"""),"CGPA")</f>
        <v>CGPA</v>
      </c>
      <c r="L151" s="26" t="str">
        <f>IFERROR(__xludf.DUMMYFUNCTION("""COMPUTED_VALUE"""),"Theory")</f>
        <v>Theory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IFERROR(__xludf.DUMMYFUNCTION("""COMPUTED_VALUE"""),150)</f>
        <v>150</v>
      </c>
      <c r="B152" s="26"/>
      <c r="C152" s="26" t="str">
        <f>IFERROR(__xludf.DUMMYFUNCTION("""COMPUTED_VALUE"""),"PE")</f>
        <v>PE</v>
      </c>
      <c r="D152" s="26" t="str">
        <f>IFERROR(__xludf.DUMMYFUNCTION("""COMPUTED_VALUE"""),"CS1554")</f>
        <v>CS1554</v>
      </c>
      <c r="E152" s="26" t="str">
        <f>IFERROR(__xludf.DUMMYFUNCTION("""COMPUTED_VALUE"""),"19CS554")</f>
        <v>19CS554</v>
      </c>
      <c r="F152" s="26" t="str">
        <f>IFERROR(__xludf.DUMMYFUNCTION("""COMPUTED_VALUE"""),"Stream Processing")</f>
        <v>Stream Processing</v>
      </c>
      <c r="G152" s="26" t="str">
        <f>IFERROR(__xludf.DUMMYFUNCTION("""COMPUTED_VALUE"""),"-")</f>
        <v>-</v>
      </c>
      <c r="H152" s="26">
        <f>IFERROR(__xludf.DUMMYFUNCTION("""COMPUTED_VALUE"""),2)</f>
        <v>2</v>
      </c>
      <c r="I152" s="26">
        <f>IFERROR(__xludf.DUMMYFUNCTION("""COMPUTED_VALUE"""),1)</f>
        <v>1</v>
      </c>
      <c r="J152" s="26">
        <f>IFERROR(__xludf.DUMMYFUNCTION("""COMPUTED_VALUE"""),3)</f>
        <v>3</v>
      </c>
      <c r="K152" s="26" t="str">
        <f>IFERROR(__xludf.DUMMYFUNCTION("""COMPUTED_VALUE"""),"CGPA")</f>
        <v>CGPA</v>
      </c>
      <c r="L152" s="26" t="str">
        <f>IFERROR(__xludf.DUMMYFUNCTION("""COMPUTED_VALUE"""),"TIP (6 Expts)")</f>
        <v>TIP (6 Expts)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IFERROR(__xludf.DUMMYFUNCTION("""COMPUTED_VALUE"""),151)</f>
        <v>151</v>
      </c>
      <c r="B153" s="26"/>
      <c r="C153" s="26" t="str">
        <f>IFERROR(__xludf.DUMMYFUNCTION("""COMPUTED_VALUE"""),"PE")</f>
        <v>PE</v>
      </c>
      <c r="D153" s="26" t="str">
        <f>IFERROR(__xludf.DUMMYFUNCTION("""COMPUTED_VALUE"""),"CS1560")</f>
        <v>CS1560</v>
      </c>
      <c r="E153" s="26" t="str">
        <f>IFERROR(__xludf.DUMMYFUNCTION("""COMPUTED_VALUE"""),"19CS560")</f>
        <v>19CS560</v>
      </c>
      <c r="F153" s="26" t="str">
        <f>IFERROR(__xludf.DUMMYFUNCTION("""COMPUTED_VALUE"""),"Smart Contract and Solidity")</f>
        <v>Smart Contract and Solidity</v>
      </c>
      <c r="G153" s="26" t="str">
        <f>IFERROR(__xludf.DUMMYFUNCTION("""COMPUTED_VALUE"""),"-")</f>
        <v>-</v>
      </c>
      <c r="H153" s="26">
        <f>IFERROR(__xludf.DUMMYFUNCTION("""COMPUTED_VALUE"""),2)</f>
        <v>2</v>
      </c>
      <c r="I153" s="26">
        <f>IFERROR(__xludf.DUMMYFUNCTION("""COMPUTED_VALUE"""),1)</f>
        <v>1</v>
      </c>
      <c r="J153" s="26">
        <f>IFERROR(__xludf.DUMMYFUNCTION("""COMPUTED_VALUE"""),3)</f>
        <v>3</v>
      </c>
      <c r="K153" s="26" t="str">
        <f>IFERROR(__xludf.DUMMYFUNCTION("""COMPUTED_VALUE"""),"CGPA")</f>
        <v>CGPA</v>
      </c>
      <c r="L153" s="26" t="str">
        <f>IFERROR(__xludf.DUMMYFUNCTION("""COMPUTED_VALUE"""),"TIP (6 Expts)")</f>
        <v>TIP (6 Expts)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IFERROR(__xludf.DUMMYFUNCTION("""COMPUTED_VALUE"""),152)</f>
        <v>152</v>
      </c>
      <c r="B154" s="26"/>
      <c r="C154" s="26" t="str">
        <f>IFERROR(__xludf.DUMMYFUNCTION("""COMPUTED_VALUE"""),"PE")</f>
        <v>PE</v>
      </c>
      <c r="D154" s="26" t="str">
        <f>IFERROR(__xludf.DUMMYFUNCTION("""COMPUTED_VALUE"""),"CS3548")</f>
        <v>CS3548</v>
      </c>
      <c r="E154" s="26" t="str">
        <f>IFERROR(__xludf.DUMMYFUNCTION("""COMPUTED_VALUE"""),"19AI548")</f>
        <v>19AI548</v>
      </c>
      <c r="F154" s="27" t="str">
        <f>IFERROR(__xludf.DUMMYFUNCTION("""COMPUTED_VALUE"""),"Robot Programming")</f>
        <v>Robot Programming</v>
      </c>
      <c r="G154" s="26" t="str">
        <f>IFERROR(__xludf.DUMMYFUNCTION("""COMPUTED_VALUE"""),"-")</f>
        <v>-</v>
      </c>
      <c r="H154" s="26">
        <f>IFERROR(__xludf.DUMMYFUNCTION("""COMPUTED_VALUE"""),2)</f>
        <v>2</v>
      </c>
      <c r="I154" s="26">
        <f>IFERROR(__xludf.DUMMYFUNCTION("""COMPUTED_VALUE"""),1)</f>
        <v>1</v>
      </c>
      <c r="J154" s="26">
        <f>IFERROR(__xludf.DUMMYFUNCTION("""COMPUTED_VALUE"""),3)</f>
        <v>3</v>
      </c>
      <c r="K154" s="26" t="str">
        <f>IFERROR(__xludf.DUMMYFUNCTION("""COMPUTED_VALUE"""),"CGPA")</f>
        <v>CGPA</v>
      </c>
      <c r="L154" s="26" t="str">
        <f>IFERROR(__xludf.DUMMYFUNCTION("""COMPUTED_VALUE"""),"TIP (6 Expts)")</f>
        <v>TIP (6 Expts)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IFERROR(__xludf.DUMMYFUNCTION("""COMPUTED_VALUE"""),153)</f>
        <v>153</v>
      </c>
      <c r="B155" s="26"/>
      <c r="C155" s="26" t="str">
        <f>IFERROR(__xludf.DUMMYFUNCTION("""COMPUTED_VALUE"""),"PE")</f>
        <v>PE</v>
      </c>
      <c r="D155" s="26" t="str">
        <f>IFERROR(__xludf.DUMMYFUNCTION("""COMPUTED_VALUE"""),"CS3549")</f>
        <v>CS3549</v>
      </c>
      <c r="E155" s="26" t="str">
        <f>IFERROR(__xludf.DUMMYFUNCTION("""COMPUTED_VALUE"""),"19AI549")</f>
        <v>19AI549</v>
      </c>
      <c r="F155" s="27" t="str">
        <f>IFERROR(__xludf.DUMMYFUNCTION("""COMPUTED_VALUE"""),"Drone Assembly and Applications")</f>
        <v>Drone Assembly and Applications</v>
      </c>
      <c r="G155" s="26" t="str">
        <f>IFERROR(__xludf.DUMMYFUNCTION("""COMPUTED_VALUE"""),"-")</f>
        <v>-</v>
      </c>
      <c r="H155" s="26">
        <f>IFERROR(__xludf.DUMMYFUNCTION("""COMPUTED_VALUE"""),2)</f>
        <v>2</v>
      </c>
      <c r="I155" s="26">
        <f>IFERROR(__xludf.DUMMYFUNCTION("""COMPUTED_VALUE"""),1)</f>
        <v>1</v>
      </c>
      <c r="J155" s="26">
        <f>IFERROR(__xludf.DUMMYFUNCTION("""COMPUTED_VALUE"""),3)</f>
        <v>3</v>
      </c>
      <c r="K155" s="26" t="str">
        <f>IFERROR(__xludf.DUMMYFUNCTION("""COMPUTED_VALUE"""),"CGPA")</f>
        <v>CGPA</v>
      </c>
      <c r="L155" s="26" t="str">
        <f>IFERROR(__xludf.DUMMYFUNCTION("""COMPUTED_VALUE"""),"TIP (6 Expts)")</f>
        <v>TIP (6 Expts)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IFERROR(__xludf.DUMMYFUNCTION("""COMPUTED_VALUE"""),154)</f>
        <v>154</v>
      </c>
      <c r="B156" s="26"/>
      <c r="C156" s="26" t="str">
        <f>IFERROR(__xludf.DUMMYFUNCTION("""COMPUTED_VALUE"""),"PE")</f>
        <v>PE</v>
      </c>
      <c r="D156" s="26" t="str">
        <f>IFERROR(__xludf.DUMMYFUNCTION("""COMPUTED_VALUE"""),"CS3551")</f>
        <v>CS3551</v>
      </c>
      <c r="E156" s="26" t="str">
        <f>IFERROR(__xludf.DUMMYFUNCTION("""COMPUTED_VALUE"""),"19AI551")</f>
        <v>19AI551</v>
      </c>
      <c r="F156" s="27" t="str">
        <f>IFERROR(__xludf.DUMMYFUNCTION("""COMPUTED_VALUE"""),"Drone Design and Control")</f>
        <v>Drone Design and Control</v>
      </c>
      <c r="G156" s="26" t="str">
        <f>IFERROR(__xludf.DUMMYFUNCTION("""COMPUTED_VALUE"""),"-")</f>
        <v>-</v>
      </c>
      <c r="H156" s="26">
        <f>IFERROR(__xludf.DUMMYFUNCTION("""COMPUTED_VALUE"""),2)</f>
        <v>2</v>
      </c>
      <c r="I156" s="26">
        <f>IFERROR(__xludf.DUMMYFUNCTION("""COMPUTED_VALUE"""),1)</f>
        <v>1</v>
      </c>
      <c r="J156" s="26">
        <f>IFERROR(__xludf.DUMMYFUNCTION("""COMPUTED_VALUE"""),3)</f>
        <v>3</v>
      </c>
      <c r="K156" s="26" t="str">
        <f>IFERROR(__xludf.DUMMYFUNCTION("""COMPUTED_VALUE"""),"CGPA")</f>
        <v>CGPA</v>
      </c>
      <c r="L156" s="26" t="str">
        <f>IFERROR(__xludf.DUMMYFUNCTION("""COMPUTED_VALUE"""),"TIP (6 Expts)")</f>
        <v>TIP (6 Expts)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IFERROR(__xludf.DUMMYFUNCTION("""COMPUTED_VALUE"""),155)</f>
        <v>155</v>
      </c>
      <c r="B157" s="26"/>
      <c r="C157" s="26" t="str">
        <f>IFERROR(__xludf.DUMMYFUNCTION("""COMPUTED_VALUE"""),"PE")</f>
        <v>PE</v>
      </c>
      <c r="D157" s="26" t="str">
        <f>IFERROR(__xludf.DUMMYFUNCTION("""COMPUTED_VALUE"""),"CS3552")</f>
        <v>CS3552</v>
      </c>
      <c r="E157" s="26" t="str">
        <f>IFERROR(__xludf.DUMMYFUNCTION("""COMPUTED_VALUE"""),"19AI552")</f>
        <v>19AI552</v>
      </c>
      <c r="F157" s="27" t="str">
        <f>IFERROR(__xludf.DUMMYFUNCTION("""COMPUTED_VALUE"""),"Web Application User Interface Development")</f>
        <v>Web Application User Interface Development</v>
      </c>
      <c r="G157" s="26" t="str">
        <f>IFERROR(__xludf.DUMMYFUNCTION("""COMPUTED_VALUE"""),"-")</f>
        <v>-</v>
      </c>
      <c r="H157" s="26">
        <f>IFERROR(__xludf.DUMMYFUNCTION("""COMPUTED_VALUE"""),2)</f>
        <v>2</v>
      </c>
      <c r="I157" s="26">
        <f>IFERROR(__xludf.DUMMYFUNCTION("""COMPUTED_VALUE"""),1)</f>
        <v>1</v>
      </c>
      <c r="J157" s="26">
        <f>IFERROR(__xludf.DUMMYFUNCTION("""COMPUTED_VALUE"""),3)</f>
        <v>3</v>
      </c>
      <c r="K157" s="26" t="str">
        <f>IFERROR(__xludf.DUMMYFUNCTION("""COMPUTED_VALUE"""),"CGPA")</f>
        <v>CGPA</v>
      </c>
      <c r="L157" s="26" t="str">
        <f>IFERROR(__xludf.DUMMYFUNCTION("""COMPUTED_VALUE"""),"TIP (6 Expts)")</f>
        <v>TIP (6 Expts)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IFERROR(__xludf.DUMMYFUNCTION("""COMPUTED_VALUE"""),156)</f>
        <v>156</v>
      </c>
      <c r="B158" s="26"/>
      <c r="C158" s="26" t="str">
        <f>IFERROR(__xludf.DUMMYFUNCTION("""COMPUTED_VALUE"""),"PE")</f>
        <v>PE</v>
      </c>
      <c r="D158" s="26" t="str">
        <f>IFERROR(__xludf.DUMMYFUNCTION("""COMPUTED_VALUE"""),"CS3554")</f>
        <v>CS3554</v>
      </c>
      <c r="E158" s="26" t="str">
        <f>IFERROR(__xludf.DUMMYFUNCTION("""COMPUTED_VALUE"""),"19AI554")</f>
        <v>19AI554</v>
      </c>
      <c r="F158" s="27" t="str">
        <f>IFERROR(__xludf.DUMMYFUNCTION("""COMPUTED_VALUE"""),"Fundamentals of Large Language Models")</f>
        <v>Fundamentals of Large Language Models</v>
      </c>
      <c r="G158" s="26" t="str">
        <f>IFERROR(__xludf.DUMMYFUNCTION("""COMPUTED_VALUE"""),"-")</f>
        <v>-</v>
      </c>
      <c r="H158" s="26">
        <f>IFERROR(__xludf.DUMMYFUNCTION("""COMPUTED_VALUE"""),2)</f>
        <v>2</v>
      </c>
      <c r="I158" s="26">
        <f>IFERROR(__xludf.DUMMYFUNCTION("""COMPUTED_VALUE"""),1)</f>
        <v>1</v>
      </c>
      <c r="J158" s="26">
        <f>IFERROR(__xludf.DUMMYFUNCTION("""COMPUTED_VALUE"""),3)</f>
        <v>3</v>
      </c>
      <c r="K158" s="26" t="str">
        <f>IFERROR(__xludf.DUMMYFUNCTION("""COMPUTED_VALUE"""),"CGPA")</f>
        <v>CGPA</v>
      </c>
      <c r="L158" s="26" t="str">
        <f>IFERROR(__xludf.DUMMYFUNCTION("""COMPUTED_VALUE"""),"TIP (6 Expts)")</f>
        <v>TIP (6 Expts)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IFERROR(__xludf.DUMMYFUNCTION("""COMPUTED_VALUE"""),157)</f>
        <v>157</v>
      </c>
      <c r="B159" s="26"/>
      <c r="C159" s="26" t="str">
        <f>IFERROR(__xludf.DUMMYFUNCTION("""COMPUTED_VALUE"""),"PE")</f>
        <v>PE</v>
      </c>
      <c r="D159" s="26" t="str">
        <f>IFERROR(__xludf.DUMMYFUNCTION("""COMPUTED_VALUE"""),"CS3560")</f>
        <v>CS3560</v>
      </c>
      <c r="E159" s="26" t="str">
        <f>IFERROR(__xludf.DUMMYFUNCTION("""COMPUTED_VALUE"""),"19AI560")</f>
        <v>19AI560</v>
      </c>
      <c r="F159" s="26" t="str">
        <f>IFERROR(__xludf.DUMMYFUNCTION("""COMPUTED_VALUE"""),"Augmented Reality and ARCore")</f>
        <v>Augmented Reality and ARCore</v>
      </c>
      <c r="G159" s="26" t="str">
        <f>IFERROR(__xludf.DUMMYFUNCTION("""COMPUTED_VALUE"""),"-")</f>
        <v>-</v>
      </c>
      <c r="H159" s="26">
        <f>IFERROR(__xludf.DUMMYFUNCTION("""COMPUTED_VALUE"""),2)</f>
        <v>2</v>
      </c>
      <c r="I159" s="26">
        <f>IFERROR(__xludf.DUMMYFUNCTION("""COMPUTED_VALUE"""),1)</f>
        <v>1</v>
      </c>
      <c r="J159" s="26">
        <f>IFERROR(__xludf.DUMMYFUNCTION("""COMPUTED_VALUE"""),3)</f>
        <v>3</v>
      </c>
      <c r="K159" s="26" t="str">
        <f>IFERROR(__xludf.DUMMYFUNCTION("""COMPUTED_VALUE"""),"CGPA")</f>
        <v>CGPA</v>
      </c>
      <c r="L159" s="26" t="str">
        <f>IFERROR(__xludf.DUMMYFUNCTION("""COMPUTED_VALUE"""),"TIP (6 Expts)")</f>
        <v>TIP (6 Expts)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IFERROR(__xludf.DUMMYFUNCTION("""COMPUTED_VALUE"""),158)</f>
        <v>158</v>
      </c>
      <c r="B160" s="26"/>
      <c r="C160" s="26" t="str">
        <f>IFERROR(__xludf.DUMMYFUNCTION("""COMPUTED_VALUE"""),"PE")</f>
        <v>PE</v>
      </c>
      <c r="D160" s="26" t="str">
        <f>IFERROR(__xludf.DUMMYFUNCTION("""COMPUTED_VALUE"""),"CS3561")</f>
        <v>CS3561</v>
      </c>
      <c r="E160" s="26" t="str">
        <f>IFERROR(__xludf.DUMMYFUNCTION("""COMPUTED_VALUE"""),"19AI561")</f>
        <v>19AI561</v>
      </c>
      <c r="F160" s="26" t="str">
        <f>IFERROR(__xludf.DUMMYFUNCTION("""COMPUTED_VALUE"""),"Extended Reality")</f>
        <v>Extended Reality</v>
      </c>
      <c r="G160" s="26" t="str">
        <f>IFERROR(__xludf.DUMMYFUNCTION("""COMPUTED_VALUE"""),"CS3307")</f>
        <v>CS3307</v>
      </c>
      <c r="H160" s="26">
        <f>IFERROR(__xludf.DUMMYFUNCTION("""COMPUTED_VALUE"""),2)</f>
        <v>2</v>
      </c>
      <c r="I160" s="26">
        <f>IFERROR(__xludf.DUMMYFUNCTION("""COMPUTED_VALUE"""),1)</f>
        <v>1</v>
      </c>
      <c r="J160" s="26">
        <f>IFERROR(__xludf.DUMMYFUNCTION("""COMPUTED_VALUE"""),3)</f>
        <v>3</v>
      </c>
      <c r="K160" s="26" t="str">
        <f>IFERROR(__xludf.DUMMYFUNCTION("""COMPUTED_VALUE"""),"CGPA")</f>
        <v>CGPA</v>
      </c>
      <c r="L160" s="26" t="str">
        <f>IFERROR(__xludf.DUMMYFUNCTION("""COMPUTED_VALUE"""),"TIP (6 Expts)")</f>
        <v>TIP (6 Expts)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IFERROR(__xludf.DUMMYFUNCTION("""COMPUTED_VALUE"""),159)</f>
        <v>159</v>
      </c>
      <c r="B161" s="26"/>
      <c r="C161" s="26" t="str">
        <f>IFERROR(__xludf.DUMMYFUNCTION("""COMPUTED_VALUE"""),"PE")</f>
        <v>PE</v>
      </c>
      <c r="D161" s="26" t="str">
        <f>IFERROR(__xludf.DUMMYFUNCTION("""COMPUTED_VALUE"""),"CS3555")</f>
        <v>CS3555</v>
      </c>
      <c r="E161" s="26" t="str">
        <f>IFERROR(__xludf.DUMMYFUNCTION("""COMPUTED_VALUE"""),"19AI555")</f>
        <v>19AI555</v>
      </c>
      <c r="F161" s="27" t="str">
        <f>IFERROR(__xludf.DUMMYFUNCTION("""COMPUTED_VALUE"""),"Exploratory Data Analysis")</f>
        <v>Exploratory Data Analysis</v>
      </c>
      <c r="G161" s="26" t="str">
        <f>IFERROR(__xludf.DUMMYFUNCTION("""COMPUTED_VALUE"""),"-")</f>
        <v>-</v>
      </c>
      <c r="H161" s="26">
        <f>IFERROR(__xludf.DUMMYFUNCTION("""COMPUTED_VALUE"""),2)</f>
        <v>2</v>
      </c>
      <c r="I161" s="26">
        <f>IFERROR(__xludf.DUMMYFUNCTION("""COMPUTED_VALUE"""),1)</f>
        <v>1</v>
      </c>
      <c r="J161" s="26">
        <f>IFERROR(__xludf.DUMMYFUNCTION("""COMPUTED_VALUE"""),3)</f>
        <v>3</v>
      </c>
      <c r="K161" s="26" t="str">
        <f>IFERROR(__xludf.DUMMYFUNCTION("""COMPUTED_VALUE"""),"CGPA")</f>
        <v>CGPA</v>
      </c>
      <c r="L161" s="26" t="str">
        <f>IFERROR(__xludf.DUMMYFUNCTION("""COMPUTED_VALUE"""),"TIP (6 Expts)")</f>
        <v>TIP (6 Expts)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IFERROR(__xludf.DUMMYFUNCTION("""COMPUTED_VALUE"""),160)</f>
        <v>160</v>
      </c>
      <c r="B162" s="26"/>
      <c r="C162" s="26" t="str">
        <f>IFERROR(__xludf.DUMMYFUNCTION("""COMPUTED_VALUE"""),"PE")</f>
        <v>PE</v>
      </c>
      <c r="D162" s="26" t="str">
        <f>IFERROR(__xludf.DUMMYFUNCTION("""COMPUTED_VALUE"""),"CS3559")</f>
        <v>CS3559</v>
      </c>
      <c r="E162" s="26" t="str">
        <f>IFERROR(__xludf.DUMMYFUNCTION("""COMPUTED_VALUE"""),"19AI559")</f>
        <v>19AI559</v>
      </c>
      <c r="F162" s="27" t="str">
        <f>IFERROR(__xludf.DUMMYFUNCTION("""COMPUTED_VALUE"""),"Image and Video Analytics")</f>
        <v>Image and Video Analytics</v>
      </c>
      <c r="G162" s="26" t="str">
        <f>IFERROR(__xludf.DUMMYFUNCTION("""COMPUTED_VALUE"""),"-")</f>
        <v>-</v>
      </c>
      <c r="H162" s="26">
        <f>IFERROR(__xludf.DUMMYFUNCTION("""COMPUTED_VALUE"""),2)</f>
        <v>2</v>
      </c>
      <c r="I162" s="26">
        <f>IFERROR(__xludf.DUMMYFUNCTION("""COMPUTED_VALUE"""),1)</f>
        <v>1</v>
      </c>
      <c r="J162" s="26">
        <f>IFERROR(__xludf.DUMMYFUNCTION("""COMPUTED_VALUE"""),3)</f>
        <v>3</v>
      </c>
      <c r="K162" s="26" t="str">
        <f>IFERROR(__xludf.DUMMYFUNCTION("""COMPUTED_VALUE"""),"CGPA")</f>
        <v>CGPA</v>
      </c>
      <c r="L162" s="26" t="str">
        <f>IFERROR(__xludf.DUMMYFUNCTION("""COMPUTED_VALUE"""),"TIP (6 Expts)")</f>
        <v>TIP (6 Expts)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IFERROR(__xludf.DUMMYFUNCTION("""COMPUTED_VALUE"""),161)</f>
        <v>161</v>
      </c>
      <c r="B163" s="26"/>
      <c r="C163" s="26" t="str">
        <f>IFERROR(__xludf.DUMMYFUNCTION("""COMPUTED_VALUE"""),"PE")</f>
        <v>PE</v>
      </c>
      <c r="D163" s="26" t="str">
        <f>IFERROR(__xludf.DUMMYFUNCTION("""COMPUTED_VALUE"""),"CS3557")</f>
        <v>CS3557</v>
      </c>
      <c r="E163" s="26" t="str">
        <f>IFERROR(__xludf.DUMMYFUNCTION("""COMPUTED_VALUE"""),"19AI557")</f>
        <v>19AI557</v>
      </c>
      <c r="F163" s="27" t="str">
        <f>IFERROR(__xludf.DUMMYFUNCTION("""COMPUTED_VALUE"""),"Neural Networks and Deep Learning")</f>
        <v>Neural Networks and Deep Learning</v>
      </c>
      <c r="G163" s="26" t="str">
        <f>IFERROR(__xludf.DUMMYFUNCTION("""COMPUTED_VALUE"""),"-")</f>
        <v>-</v>
      </c>
      <c r="H163" s="26">
        <f>IFERROR(__xludf.DUMMYFUNCTION("""COMPUTED_VALUE"""),2)</f>
        <v>2</v>
      </c>
      <c r="I163" s="26">
        <f>IFERROR(__xludf.DUMMYFUNCTION("""COMPUTED_VALUE"""),1)</f>
        <v>1</v>
      </c>
      <c r="J163" s="26">
        <f>IFERROR(__xludf.DUMMYFUNCTION("""COMPUTED_VALUE"""),3)</f>
        <v>3</v>
      </c>
      <c r="K163" s="26" t="str">
        <f>IFERROR(__xludf.DUMMYFUNCTION("""COMPUTED_VALUE"""),"CGPA")</f>
        <v>CGPA</v>
      </c>
      <c r="L163" s="26" t="str">
        <f>IFERROR(__xludf.DUMMYFUNCTION("""COMPUTED_VALUE"""),"TIP (6 Expts)")</f>
        <v>TIP (6 Expts)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IFERROR(__xludf.DUMMYFUNCTION("""COMPUTED_VALUE"""),162)</f>
        <v>162</v>
      </c>
      <c r="B164" s="26"/>
      <c r="C164" s="26" t="str">
        <f>IFERROR(__xludf.DUMMYFUNCTION("""COMPUTED_VALUE"""),"PE")</f>
        <v>PE</v>
      </c>
      <c r="D164" s="26" t="str">
        <f>IFERROR(__xludf.DUMMYFUNCTION("""COMPUTED_VALUE"""),"CS3556")</f>
        <v>CS3556</v>
      </c>
      <c r="E164" s="26" t="str">
        <f>IFERROR(__xludf.DUMMYFUNCTION("""COMPUTED_VALUE"""),"19AI556")</f>
        <v>19AI556</v>
      </c>
      <c r="F164" s="27" t="str">
        <f>IFERROR(__xludf.DUMMYFUNCTION("""COMPUTED_VALUE"""),"Recommender Systems")</f>
        <v>Recommender Systems</v>
      </c>
      <c r="G164" s="26" t="str">
        <f>IFERROR(__xludf.DUMMYFUNCTION("""COMPUTED_VALUE"""),"-")</f>
        <v>-</v>
      </c>
      <c r="H164" s="26">
        <f>IFERROR(__xludf.DUMMYFUNCTION("""COMPUTED_VALUE"""),2)</f>
        <v>2</v>
      </c>
      <c r="I164" s="26">
        <f>IFERROR(__xludf.DUMMYFUNCTION("""COMPUTED_VALUE"""),1)</f>
        <v>1</v>
      </c>
      <c r="J164" s="26">
        <f>IFERROR(__xludf.DUMMYFUNCTION("""COMPUTED_VALUE"""),3)</f>
        <v>3</v>
      </c>
      <c r="K164" s="26" t="str">
        <f>IFERROR(__xludf.DUMMYFUNCTION("""COMPUTED_VALUE"""),"CGPA")</f>
        <v>CGPA</v>
      </c>
      <c r="L164" s="26" t="str">
        <f>IFERROR(__xludf.DUMMYFUNCTION("""COMPUTED_VALUE"""),"TIP (6 Expts)")</f>
        <v>TIP (6 Expts)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IFERROR(__xludf.DUMMYFUNCTION("""COMPUTED_VALUE"""),163)</f>
        <v>163</v>
      </c>
      <c r="B165" s="26"/>
      <c r="C165" s="26" t="str">
        <f>IFERROR(__xludf.DUMMYFUNCTION("""COMPUTED_VALUE"""),"PE")</f>
        <v>PE</v>
      </c>
      <c r="D165" s="26" t="str">
        <f>IFERROR(__xludf.DUMMYFUNCTION("""COMPUTED_VALUE"""),"CS3558")</f>
        <v>CS3558</v>
      </c>
      <c r="E165" s="26" t="str">
        <f>IFERROR(__xludf.DUMMYFUNCTION("""COMPUTED_VALUE"""),"19AI558")</f>
        <v>19AI558</v>
      </c>
      <c r="F165" s="27" t="str">
        <f>IFERROR(__xludf.DUMMYFUNCTION("""COMPUTED_VALUE"""),"Text and Speech Analysis")</f>
        <v>Text and Speech Analysis</v>
      </c>
      <c r="G165" s="26" t="str">
        <f>IFERROR(__xludf.DUMMYFUNCTION("""COMPUTED_VALUE"""),"-")</f>
        <v>-</v>
      </c>
      <c r="H165" s="26">
        <f>IFERROR(__xludf.DUMMYFUNCTION("""COMPUTED_VALUE"""),2)</f>
        <v>2</v>
      </c>
      <c r="I165" s="26">
        <f>IFERROR(__xludf.DUMMYFUNCTION("""COMPUTED_VALUE"""),1)</f>
        <v>1</v>
      </c>
      <c r="J165" s="26">
        <f>IFERROR(__xludf.DUMMYFUNCTION("""COMPUTED_VALUE"""),3)</f>
        <v>3</v>
      </c>
      <c r="K165" s="26" t="str">
        <f>IFERROR(__xludf.DUMMYFUNCTION("""COMPUTED_VALUE"""),"CGPA")</f>
        <v>CGPA</v>
      </c>
      <c r="L165" s="26" t="str">
        <f>IFERROR(__xludf.DUMMYFUNCTION("""COMPUTED_VALUE"""),"TIP (6 Expts)")</f>
        <v>TIP (6 Expts)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IFERROR(__xludf.DUMMYFUNCTION("""COMPUTED_VALUE"""),164)</f>
        <v>164</v>
      </c>
      <c r="B166" s="26"/>
      <c r="C166" s="26" t="str">
        <f>IFERROR(__xludf.DUMMYFUNCTION("""COMPUTED_VALUE"""),"OE")</f>
        <v>OE</v>
      </c>
      <c r="D166" s="26" t="str">
        <f>IFERROR(__xludf.DUMMYFUNCTION("""COMPUTED_VALUE"""),"XXXXXX")</f>
        <v>XXXXXX</v>
      </c>
      <c r="E166" s="26" t="str">
        <f>IFERROR(__xludf.DUMMYFUNCTION("""COMPUTED_VALUE"""),"19XXXXX")</f>
        <v>19XXXXX</v>
      </c>
      <c r="F166" s="26" t="str">
        <f>IFERROR(__xludf.DUMMYFUNCTION("""COMPUTED_VALUE"""),"Open Electives")</f>
        <v>Open Electives</v>
      </c>
      <c r="G166" s="26" t="str">
        <f>IFERROR(__xludf.DUMMYFUNCTION("""COMPUTED_VALUE"""),"-")</f>
        <v>-</v>
      </c>
      <c r="H166" s="26">
        <f>IFERROR(__xludf.DUMMYFUNCTION("""COMPUTED_VALUE"""),0)</f>
        <v>0</v>
      </c>
      <c r="I166" s="26">
        <f>IFERROR(__xludf.DUMMYFUNCTION("""COMPUTED_VALUE"""),0)</f>
        <v>0</v>
      </c>
      <c r="J166" s="26">
        <f>IFERROR(__xludf.DUMMYFUNCTION("""COMPUTED_VALUE"""),0)</f>
        <v>0</v>
      </c>
      <c r="K166" s="26" t="str">
        <f>IFERROR(__xludf.DUMMYFUNCTION("""COMPUTED_VALUE"""),"CGPA")</f>
        <v>CGPA</v>
      </c>
      <c r="L166" s="26" t="str">
        <f>IFERROR(__xludf.DUMMYFUNCTION("""COMPUTED_VALUE"""),"Theory")</f>
        <v>Theory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IFERROR(__xludf.DUMMYFUNCTION("""COMPUTED_VALUE"""),165)</f>
        <v>165</v>
      </c>
      <c r="B167" s="26"/>
      <c r="C167" s="26" t="str">
        <f>IFERROR(__xludf.DUMMYFUNCTION("""COMPUTED_VALUE"""),"OE")</f>
        <v>OE</v>
      </c>
      <c r="D167" s="26" t="str">
        <f>IFERROR(__xludf.DUMMYFUNCTION("""COMPUTED_VALUE"""),"XXXXXX")</f>
        <v>XXXXXX</v>
      </c>
      <c r="E167" s="26" t="str">
        <f>IFERROR(__xludf.DUMMYFUNCTION("""COMPUTED_VALUE"""),"19XXXXX")</f>
        <v>19XXXXX</v>
      </c>
      <c r="F167" s="26" t="str">
        <f>IFERROR(__xludf.DUMMYFUNCTION("""COMPUTED_VALUE"""),"Online Courses")</f>
        <v>Online Courses</v>
      </c>
      <c r="G167" s="26" t="str">
        <f>IFERROR(__xludf.DUMMYFUNCTION("""COMPUTED_VALUE"""),"-")</f>
        <v>-</v>
      </c>
      <c r="H167" s="26">
        <f>IFERROR(__xludf.DUMMYFUNCTION("""COMPUTED_VALUE"""),0)</f>
        <v>0</v>
      </c>
      <c r="I167" s="26">
        <f>IFERROR(__xludf.DUMMYFUNCTION("""COMPUTED_VALUE"""),0)</f>
        <v>0</v>
      </c>
      <c r="J167" s="26">
        <f>IFERROR(__xludf.DUMMYFUNCTION("""COMPUTED_VALUE"""),0)</f>
        <v>0</v>
      </c>
      <c r="K167" s="26" t="str">
        <f>IFERROR(__xludf.DUMMYFUNCTION("""COMPUTED_VALUE"""),"CGPA")</f>
        <v>CGPA</v>
      </c>
      <c r="L167" s="26" t="str">
        <f>IFERROR(__xludf.DUMMYFUNCTION("""COMPUTED_VALUE"""),"Experiential Learning")</f>
        <v>Experiential Learning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IFERROR(__xludf.DUMMYFUNCTION("""COMPUTED_VALUE"""),166)</f>
        <v>166</v>
      </c>
      <c r="B168" s="26"/>
      <c r="C168" s="26" t="str">
        <f>IFERROR(__xludf.DUMMYFUNCTION("""COMPUTED_VALUE"""),"EEC")</f>
        <v>EEC</v>
      </c>
      <c r="D168" s="26" t="str">
        <f>IFERROR(__xludf.DUMMYFUNCTION("""COMPUTED_VALUE"""),"CS3701")</f>
        <v>CS3701</v>
      </c>
      <c r="E168" s="26" t="str">
        <f>IFERROR(__xludf.DUMMYFUNCTION("""COMPUTED_VALUE"""),"19AI701")</f>
        <v>19AI701</v>
      </c>
      <c r="F168" s="27" t="str">
        <f>IFERROR(__xludf.DUMMYFUNCTION("""COMPUTED_VALUE"""),"Mini Project")</f>
        <v>Mini Project</v>
      </c>
      <c r="G168" s="26" t="str">
        <f>IFERROR(__xludf.DUMMYFUNCTION("""COMPUTED_VALUE"""),"-")</f>
        <v>-</v>
      </c>
      <c r="H168" s="26">
        <f>IFERROR(__xludf.DUMMYFUNCTION("""COMPUTED_VALUE"""),0)</f>
        <v>0</v>
      </c>
      <c r="I168" s="26">
        <f>IFERROR(__xludf.DUMMYFUNCTION("""COMPUTED_VALUE"""),2)</f>
        <v>2</v>
      </c>
      <c r="J168" s="26">
        <f>IFERROR(__xludf.DUMMYFUNCTION("""COMPUTED_VALUE"""),2)</f>
        <v>2</v>
      </c>
      <c r="K168" s="26" t="str">
        <f>IFERROR(__xludf.DUMMYFUNCTION("""COMPUTED_VALUE"""),"CGPA")</f>
        <v>CGPA</v>
      </c>
      <c r="L168" s="26" t="str">
        <f>IFERROR(__xludf.DUMMYFUNCTION("""COMPUTED_VALUE"""),"Project (Int Only)")</f>
        <v>Project (Int Only)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IFERROR(__xludf.DUMMYFUNCTION("""COMPUTED_VALUE"""),167)</f>
        <v>167</v>
      </c>
      <c r="B169" s="26"/>
      <c r="C169" s="26" t="str">
        <f>IFERROR(__xludf.DUMMYFUNCTION("""COMPUTED_VALUE"""),"EEC")</f>
        <v>EEC</v>
      </c>
      <c r="D169" s="26" t="str">
        <f>IFERROR(__xludf.DUMMYFUNCTION("""COMPUTED_VALUE"""),"CS3702")</f>
        <v>CS3702</v>
      </c>
      <c r="E169" s="26" t="str">
        <f>IFERROR(__xludf.DUMMYFUNCTION("""COMPUTED_VALUE"""),"19AI702")</f>
        <v>19AI702</v>
      </c>
      <c r="F169" s="27" t="str">
        <f>IFERROR(__xludf.DUMMYFUNCTION("""COMPUTED_VALUE"""),"Project Work I")</f>
        <v>Project Work I</v>
      </c>
      <c r="G169" s="26" t="str">
        <f>IFERROR(__xludf.DUMMYFUNCTION("""COMPUTED_VALUE"""),"-")</f>
        <v>-</v>
      </c>
      <c r="H169" s="26">
        <f>IFERROR(__xludf.DUMMYFUNCTION("""COMPUTED_VALUE"""),0)</f>
        <v>0</v>
      </c>
      <c r="I169" s="26">
        <f>IFERROR(__xludf.DUMMYFUNCTION("""COMPUTED_VALUE"""),2)</f>
        <v>2</v>
      </c>
      <c r="J169" s="26">
        <f>IFERROR(__xludf.DUMMYFUNCTION("""COMPUTED_VALUE"""),2)</f>
        <v>2</v>
      </c>
      <c r="K169" s="26" t="str">
        <f>IFERROR(__xludf.DUMMYFUNCTION("""COMPUTED_VALUE"""),"CGPA")</f>
        <v>CGPA</v>
      </c>
      <c r="L169" s="26" t="str">
        <f>IFERROR(__xludf.DUMMYFUNCTION("""COMPUTED_VALUE"""),"Practical (10 Expts)")</f>
        <v>Practical (10 Expts)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IFERROR(__xludf.DUMMYFUNCTION("""COMPUTED_VALUE"""),168)</f>
        <v>168</v>
      </c>
      <c r="B170" s="26"/>
      <c r="C170" s="26" t="str">
        <f>IFERROR(__xludf.DUMMYFUNCTION("""COMPUTED_VALUE"""),"EEC")</f>
        <v>EEC</v>
      </c>
      <c r="D170" s="26" t="str">
        <f>IFERROR(__xludf.DUMMYFUNCTION("""COMPUTED_VALUE"""),"CS3703")</f>
        <v>CS3703</v>
      </c>
      <c r="E170" s="26" t="str">
        <f>IFERROR(__xludf.DUMMYFUNCTION("""COMPUTED_VALUE"""),"19AI703")</f>
        <v>19AI703</v>
      </c>
      <c r="F170" s="27" t="str">
        <f>IFERROR(__xludf.DUMMYFUNCTION("""COMPUTED_VALUE"""),"Project Work II")</f>
        <v>Project Work II</v>
      </c>
      <c r="G170" s="26" t="str">
        <f>IFERROR(__xludf.DUMMYFUNCTION("""COMPUTED_VALUE"""),"19AI702")</f>
        <v>19AI702</v>
      </c>
      <c r="H170" s="26">
        <f>IFERROR(__xludf.DUMMYFUNCTION("""COMPUTED_VALUE"""),0)</f>
        <v>0</v>
      </c>
      <c r="I170" s="26">
        <f>IFERROR(__xludf.DUMMYFUNCTION("""COMPUTED_VALUE"""),6)</f>
        <v>6</v>
      </c>
      <c r="J170" s="26">
        <f>IFERROR(__xludf.DUMMYFUNCTION("""COMPUTED_VALUE"""),6)</f>
        <v>6</v>
      </c>
      <c r="K170" s="26" t="str">
        <f>IFERROR(__xludf.DUMMYFUNCTION("""COMPUTED_VALUE"""),"CGPA")</f>
        <v>CGPA</v>
      </c>
      <c r="L170" s="26" t="str">
        <f>IFERROR(__xludf.DUMMYFUNCTION("""COMPUTED_VALUE"""),"Project")</f>
        <v>Project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IFERROR(__xludf.DUMMYFUNCTION("""COMPUTED_VALUE"""),169)</f>
        <v>169</v>
      </c>
      <c r="B171" s="26" t="str">
        <f>IFERROR(__xludf.DUMMYFUNCTION("""COMPUTED_VALUE"""),"Any 1")</f>
        <v>Any 1</v>
      </c>
      <c r="C171" s="26" t="str">
        <f>IFERROR(__xludf.DUMMYFUNCTION("""COMPUTED_VALUE"""),"EEC")</f>
        <v>EEC</v>
      </c>
      <c r="D171" s="26" t="str">
        <f>IFERROR(__xludf.DUMMYFUNCTION("""COMPUTED_VALUE"""),"NA")</f>
        <v>NA</v>
      </c>
      <c r="E171" s="26" t="str">
        <f>IFERROR(__xludf.DUMMYFUNCTION("""COMPUTED_VALUE"""),"19EY701")</f>
        <v>19EY701</v>
      </c>
      <c r="F171" s="27" t="str">
        <f>IFERROR(__xludf.DUMMYFUNCTION("""COMPUTED_VALUE"""),"Softskills")</f>
        <v>Softskills</v>
      </c>
      <c r="G171" s="26" t="str">
        <f>IFERROR(__xludf.DUMMYFUNCTION("""COMPUTED_VALUE"""),"-")</f>
        <v>-</v>
      </c>
      <c r="H171" s="26">
        <f>IFERROR(__xludf.DUMMYFUNCTION("""COMPUTED_VALUE"""),0)</f>
        <v>0</v>
      </c>
      <c r="I171" s="26">
        <f>IFERROR(__xludf.DUMMYFUNCTION("""COMPUTED_VALUE"""),1)</f>
        <v>1</v>
      </c>
      <c r="J171" s="26">
        <f>IFERROR(__xludf.DUMMYFUNCTION("""COMPUTED_VALUE"""),1)</f>
        <v>1</v>
      </c>
      <c r="K171" s="26" t="str">
        <f>IFERROR(__xludf.DUMMYFUNCTION("""COMPUTED_VALUE"""),"CGPA")</f>
        <v>CGPA</v>
      </c>
      <c r="L171" s="26" t="str">
        <f>IFERROR(__xludf.DUMMYFUNCTION("""COMPUTED_VALUE"""),"Practical (6 Expts)")</f>
        <v>Practical (6 Expts)</v>
      </c>
      <c r="M171" s="26"/>
      <c r="N171" s="26"/>
      <c r="O171" s="26"/>
      <c r="P171" s="26"/>
      <c r="Q171" s="26"/>
      <c r="R171" s="26"/>
    </row>
    <row r="172" ht="13.2" spans="1:18">
      <c r="A172" s="26">
        <f>IFERROR(__xludf.DUMMYFUNCTION("""COMPUTED_VALUE"""),170)</f>
        <v>170</v>
      </c>
      <c r="B172" s="26" t="str">
        <f>IFERROR(__xludf.DUMMYFUNCTION("""COMPUTED_VALUE"""),"Any 1")</f>
        <v>Any 1</v>
      </c>
      <c r="C172" s="26" t="str">
        <f>IFERROR(__xludf.DUMMYFUNCTION("""COMPUTED_VALUE"""),"EEC")</f>
        <v>EEC</v>
      </c>
      <c r="D172" s="26" t="str">
        <f>IFERROR(__xludf.DUMMYFUNCTION("""COMPUTED_VALUE"""),"SH6708")</f>
        <v>SH6708</v>
      </c>
      <c r="E172" s="26" t="str">
        <f>IFERROR(__xludf.DUMMYFUNCTION("""COMPUTED_VALUE"""),"19EY708")</f>
        <v>19EY708</v>
      </c>
      <c r="F172" s="27" t="str">
        <f>IFERROR(__xludf.DUMMYFUNCTION("""COMPUTED_VALUE"""),"Career Development Skills")</f>
        <v>Career Development Skills</v>
      </c>
      <c r="G172" s="26" t="str">
        <f>IFERROR(__xludf.DUMMYFUNCTION("""COMPUTED_VALUE"""),"NIL")</f>
        <v>NIL</v>
      </c>
      <c r="H172" s="26">
        <f>IFERROR(__xludf.DUMMYFUNCTION("""COMPUTED_VALUE"""),1)</f>
        <v>1</v>
      </c>
      <c r="I172" s="26">
        <f>IFERROR(__xludf.DUMMYFUNCTION("""COMPUTED_VALUE"""),0)</f>
        <v>0</v>
      </c>
      <c r="J172" s="26">
        <f>IFERROR(__xludf.DUMMYFUNCTION("""COMPUTED_VALUE"""),1)</f>
        <v>1</v>
      </c>
      <c r="K172" s="26" t="str">
        <f>IFERROR(__xludf.DUMMYFUNCTION("""COMPUTED_VALUE"""),"CGPA")</f>
        <v>CGPA</v>
      </c>
      <c r="L172" s="26" t="str">
        <f>IFERROR(__xludf.DUMMYFUNCTION("""COMPUTED_VALUE"""),"Theory (Int Only)")</f>
        <v>Theory (Int Only)</v>
      </c>
      <c r="M172" s="26"/>
      <c r="N172" s="26"/>
      <c r="O172" s="26"/>
      <c r="P172" s="26"/>
      <c r="Q172" s="26"/>
      <c r="R172" s="26"/>
    </row>
    <row r="173" ht="13.2" spans="1:18">
      <c r="A173" s="26">
        <f>IFERROR(__xludf.DUMMYFUNCTION("""COMPUTED_VALUE"""),171)</f>
        <v>171</v>
      </c>
      <c r="B173" s="26" t="str">
        <f>IFERROR(__xludf.DUMMYFUNCTION("""COMPUTED_VALUE"""),"Any 1")</f>
        <v>Any 1</v>
      </c>
      <c r="C173" s="26" t="str">
        <f>IFERROR(__xludf.DUMMYFUNCTION("""COMPUTED_VALUE"""),"EEC")</f>
        <v>EEC</v>
      </c>
      <c r="D173" s="26" t="str">
        <f>IFERROR(__xludf.DUMMYFUNCTION("""COMPUTED_VALUE"""),"NA")</f>
        <v>NA</v>
      </c>
      <c r="E173" s="26" t="str">
        <f>IFERROR(__xludf.DUMMYFUNCTION("""COMPUTED_VALUE"""),"19EY702")</f>
        <v>19EY702</v>
      </c>
      <c r="F173" s="27" t="str">
        <f>IFERROR(__xludf.DUMMYFUNCTION("""COMPUTED_VALUE"""),"Creative Skills for Communication")</f>
        <v>Creative Skills for Communication</v>
      </c>
      <c r="G173" s="26" t="str">
        <f>IFERROR(__xludf.DUMMYFUNCTION("""COMPUTED_VALUE"""),"-")</f>
        <v>-</v>
      </c>
      <c r="H173" s="26">
        <f>IFERROR(__xludf.DUMMYFUNCTION("""COMPUTED_VALUE"""),0)</f>
        <v>0</v>
      </c>
      <c r="I173" s="26">
        <f>IFERROR(__xludf.DUMMYFUNCTION("""COMPUTED_VALUE"""),1)</f>
        <v>1</v>
      </c>
      <c r="J173" s="26">
        <f>IFERROR(__xludf.DUMMYFUNCTION("""COMPUTED_VALUE"""),1)</f>
        <v>1</v>
      </c>
      <c r="K173" s="26" t="str">
        <f>IFERROR(__xludf.DUMMYFUNCTION("""COMPUTED_VALUE"""),"CGPA")</f>
        <v>CGPA</v>
      </c>
      <c r="L173" s="26" t="str">
        <f>IFERROR(__xludf.DUMMYFUNCTION("""COMPUTED_VALUE"""),"Practical (6 Expts)")</f>
        <v>Practical (6 Expts)</v>
      </c>
      <c r="M173" s="26"/>
      <c r="N173" s="26"/>
      <c r="O173" s="26"/>
      <c r="P173" s="26"/>
      <c r="Q173" s="26"/>
      <c r="R173" s="26"/>
    </row>
    <row r="174" ht="13.2" spans="1:18">
      <c r="A174" s="26">
        <f>IFERROR(__xludf.DUMMYFUNCTION("""COMPUTED_VALUE"""),172)</f>
        <v>172</v>
      </c>
      <c r="B174" s="26" t="str">
        <f>IFERROR(__xludf.DUMMYFUNCTION("""COMPUTED_VALUE"""),"Any 1")</f>
        <v>Any 1</v>
      </c>
      <c r="C174" s="26" t="str">
        <f>IFERROR(__xludf.DUMMYFUNCTION("""COMPUTED_VALUE"""),"EEC")</f>
        <v>EEC</v>
      </c>
      <c r="D174" s="26" t="str">
        <f>IFERROR(__xludf.DUMMYFUNCTION("""COMPUTED_VALUE"""),"SH6709")</f>
        <v>SH6709</v>
      </c>
      <c r="E174" s="26" t="str">
        <f>IFERROR(__xludf.DUMMYFUNCTION("""COMPUTED_VALUE"""),"19EY709")</f>
        <v>19EY709</v>
      </c>
      <c r="F174" s="27" t="str">
        <f>IFERROR(__xludf.DUMMYFUNCTION("""COMPUTED_VALUE"""),"Reasoning Ability")</f>
        <v>Reasoning Ability</v>
      </c>
      <c r="G174" s="26" t="str">
        <f>IFERROR(__xludf.DUMMYFUNCTION("""COMPUTED_VALUE"""),"NIL")</f>
        <v>NIL</v>
      </c>
      <c r="H174" s="26">
        <f>IFERROR(__xludf.DUMMYFUNCTION("""COMPUTED_VALUE"""),1)</f>
        <v>1</v>
      </c>
      <c r="I174" s="26">
        <f>IFERROR(__xludf.DUMMYFUNCTION("""COMPUTED_VALUE"""),0)</f>
        <v>0</v>
      </c>
      <c r="J174" s="26">
        <f>IFERROR(__xludf.DUMMYFUNCTION("""COMPUTED_VALUE"""),1)</f>
        <v>1</v>
      </c>
      <c r="K174" s="26" t="str">
        <f>IFERROR(__xludf.DUMMYFUNCTION("""COMPUTED_VALUE"""),"CGPA")</f>
        <v>CGPA</v>
      </c>
      <c r="L174" s="26" t="str">
        <f>IFERROR(__xludf.DUMMYFUNCTION("""COMPUTED_VALUE"""),"Theory (Int Only)")</f>
        <v>Theory (Int Only)</v>
      </c>
      <c r="M174" s="26"/>
      <c r="N174" s="26"/>
      <c r="O174" s="26"/>
      <c r="P174" s="26"/>
      <c r="Q174" s="26"/>
      <c r="R174" s="26"/>
    </row>
    <row r="175" ht="13.2" spans="1:18">
      <c r="A175" s="26">
        <f>IFERROR(__xludf.DUMMYFUNCTION("""COMPUTED_VALUE"""),173)</f>
        <v>173</v>
      </c>
      <c r="B175" s="26" t="str">
        <f>IFERROR(__xludf.DUMMYFUNCTION("""COMPUTED_VALUE"""),"Option 1")</f>
        <v>Option 1</v>
      </c>
      <c r="C175" s="26" t="str">
        <f>IFERROR(__xludf.DUMMYFUNCTION("""COMPUTED_VALUE"""),"EEC")</f>
        <v>EEC</v>
      </c>
      <c r="D175" s="26" t="str">
        <f>IFERROR(__xludf.DUMMYFUNCTION("""COMPUTED_VALUE"""),"NA")</f>
        <v>NA</v>
      </c>
      <c r="E175" s="26" t="str">
        <f>IFERROR(__xludf.DUMMYFUNCTION("""COMPUTED_VALUE"""),"19EY703")</f>
        <v>19EY703</v>
      </c>
      <c r="F175" s="27" t="str">
        <f>IFERROR(__xludf.DUMMYFUNCTION("""COMPUTED_VALUE"""),"System of Numerical and Logical Terminologies")</f>
        <v>System of Numerical and Logical Terminologies</v>
      </c>
      <c r="G175" s="26" t="str">
        <f>IFERROR(__xludf.DUMMYFUNCTION("""COMPUTED_VALUE"""),"-")</f>
        <v>-</v>
      </c>
      <c r="H175" s="26">
        <f>IFERROR(__xludf.DUMMYFUNCTION("""COMPUTED_VALUE"""),0)</f>
        <v>0</v>
      </c>
      <c r="I175" s="26">
        <f>IFERROR(__xludf.DUMMYFUNCTION("""COMPUTED_VALUE"""),1)</f>
        <v>1</v>
      </c>
      <c r="J175" s="26">
        <f>IFERROR(__xludf.DUMMYFUNCTION("""COMPUTED_VALUE"""),1)</f>
        <v>1</v>
      </c>
      <c r="K175" s="26" t="str">
        <f>IFERROR(__xludf.DUMMYFUNCTION("""COMPUTED_VALUE"""),"CGPA")</f>
        <v>CGPA</v>
      </c>
      <c r="L175" s="26" t="str">
        <f>IFERROR(__xludf.DUMMYFUNCTION("""COMPUTED_VALUE"""),"Practical (6 Expts)")</f>
        <v>Practical (6 Expts)</v>
      </c>
      <c r="M175" s="26"/>
      <c r="N175" s="26"/>
      <c r="O175" s="26"/>
      <c r="P175" s="26"/>
      <c r="Q175" s="26"/>
      <c r="R175" s="26"/>
    </row>
    <row r="176" ht="13.2" spans="1:18">
      <c r="A176" s="26">
        <f>IFERROR(__xludf.DUMMYFUNCTION("""COMPUTED_VALUE"""),174)</f>
        <v>174</v>
      </c>
      <c r="B176" s="26" t="str">
        <f>IFERROR(__xludf.DUMMYFUNCTION("""COMPUTED_VALUE"""),"Option 1")</f>
        <v>Option 1</v>
      </c>
      <c r="C176" s="26" t="str">
        <f>IFERROR(__xludf.DUMMYFUNCTION("""COMPUTED_VALUE"""),"EEC")</f>
        <v>EEC</v>
      </c>
      <c r="D176" s="26" t="str">
        <f>IFERROR(__xludf.DUMMYFUNCTION("""COMPUTED_VALUE"""),"NA")</f>
        <v>NA</v>
      </c>
      <c r="E176" s="26" t="str">
        <f>IFERROR(__xludf.DUMMYFUNCTION("""COMPUTED_VALUE"""),"19EY704")</f>
        <v>19EY704</v>
      </c>
      <c r="F176" s="27" t="str">
        <f>IFERROR(__xludf.DUMMYFUNCTION("""COMPUTED_VALUE"""),"Advanced Quantitative and Logical Reasoning")</f>
        <v>Advanced Quantitative and Logical Reasoning</v>
      </c>
      <c r="G176" s="26" t="str">
        <f>IFERROR(__xludf.DUMMYFUNCTION("""COMPUTED_VALUE"""),"-")</f>
        <v>-</v>
      </c>
      <c r="H176" s="26">
        <f>IFERROR(__xludf.DUMMYFUNCTION("""COMPUTED_VALUE"""),0)</f>
        <v>0</v>
      </c>
      <c r="I176" s="26">
        <f>IFERROR(__xludf.DUMMYFUNCTION("""COMPUTED_VALUE"""),1)</f>
        <v>1</v>
      </c>
      <c r="J176" s="26">
        <f>IFERROR(__xludf.DUMMYFUNCTION("""COMPUTED_VALUE"""),1)</f>
        <v>1</v>
      </c>
      <c r="K176" s="26" t="str">
        <f>IFERROR(__xludf.DUMMYFUNCTION("""COMPUTED_VALUE"""),"CGPA")</f>
        <v>CGPA</v>
      </c>
      <c r="L176" s="26" t="str">
        <f>IFERROR(__xludf.DUMMYFUNCTION("""COMPUTED_VALUE"""),"Practical (6 Expts)")</f>
        <v>Practical (6 Expts)</v>
      </c>
      <c r="M176" s="26"/>
      <c r="N176" s="26"/>
      <c r="O176" s="26"/>
      <c r="P176" s="26"/>
      <c r="Q176" s="26"/>
      <c r="R176" s="26"/>
    </row>
    <row r="177" ht="13.2" spans="1:18">
      <c r="A177" s="26">
        <f>IFERROR(__xludf.DUMMYFUNCTION("""COMPUTED_VALUE"""),175)</f>
        <v>175</v>
      </c>
      <c r="B177" s="26" t="str">
        <f>IFERROR(__xludf.DUMMYFUNCTION("""COMPUTED_VALUE"""),"Option 2")</f>
        <v>Option 2</v>
      </c>
      <c r="C177" s="26" t="str">
        <f>IFERROR(__xludf.DUMMYFUNCTION("""COMPUTED_VALUE"""),"EEC")</f>
        <v>EEC</v>
      </c>
      <c r="D177" s="26" t="str">
        <f>IFERROR(__xludf.DUMMYFUNCTION("""COMPUTED_VALUE"""),"SH6710")</f>
        <v>SH6710</v>
      </c>
      <c r="E177" s="26" t="str">
        <f>IFERROR(__xludf.DUMMYFUNCTION("""COMPUTED_VALUE"""),"19EY710")</f>
        <v>19EY710</v>
      </c>
      <c r="F177" s="27" t="str">
        <f>IFERROR(__xludf.DUMMYFUNCTION("""COMPUTED_VALUE"""),"Quantitative Ability I")</f>
        <v>Quantitative Ability I</v>
      </c>
      <c r="G177" s="26" t="str">
        <f>IFERROR(__xludf.DUMMYFUNCTION("""COMPUTED_VALUE"""),"NIL")</f>
        <v>NIL</v>
      </c>
      <c r="H177" s="26">
        <f>IFERROR(__xludf.DUMMYFUNCTION("""COMPUTED_VALUE"""),1)</f>
        <v>1</v>
      </c>
      <c r="I177" s="26">
        <f>IFERROR(__xludf.DUMMYFUNCTION("""COMPUTED_VALUE"""),0)</f>
        <v>0</v>
      </c>
      <c r="J177" s="26">
        <f>IFERROR(__xludf.DUMMYFUNCTION("""COMPUTED_VALUE"""),1)</f>
        <v>1</v>
      </c>
      <c r="K177" s="26" t="str">
        <f>IFERROR(__xludf.DUMMYFUNCTION("""COMPUTED_VALUE"""),"CGPA")</f>
        <v>CGPA</v>
      </c>
      <c r="L177" s="26" t="str">
        <f>IFERROR(__xludf.DUMMYFUNCTION("""COMPUTED_VALUE"""),"Theory (Int Only)")</f>
        <v>Theory (Int Only)</v>
      </c>
      <c r="M177" s="26"/>
      <c r="N177" s="26"/>
      <c r="O177" s="26"/>
      <c r="P177" s="26"/>
      <c r="Q177" s="26"/>
      <c r="R177" s="26"/>
    </row>
    <row r="178" ht="13.2" spans="1:18">
      <c r="A178" s="26">
        <f>IFERROR(__xludf.DUMMYFUNCTION("""COMPUTED_VALUE"""),176)</f>
        <v>176</v>
      </c>
      <c r="B178" s="26" t="str">
        <f>IFERROR(__xludf.DUMMYFUNCTION("""COMPUTED_VALUE"""),"Option 2")</f>
        <v>Option 2</v>
      </c>
      <c r="C178" s="26" t="str">
        <f>IFERROR(__xludf.DUMMYFUNCTION("""COMPUTED_VALUE"""),"EEC")</f>
        <v>EEC</v>
      </c>
      <c r="D178" s="26" t="str">
        <f>IFERROR(__xludf.DUMMYFUNCTION("""COMPUTED_VALUE"""),"SH6711")</f>
        <v>SH6711</v>
      </c>
      <c r="E178" s="26" t="str">
        <f>IFERROR(__xludf.DUMMYFUNCTION("""COMPUTED_VALUE"""),"19EY711")</f>
        <v>19EY711</v>
      </c>
      <c r="F178" s="27" t="str">
        <f>IFERROR(__xludf.DUMMYFUNCTION("""COMPUTED_VALUE"""),"Quantitative Ability II")</f>
        <v>Quantitative Ability II</v>
      </c>
      <c r="G178" s="26" t="str">
        <f>IFERROR(__xludf.DUMMYFUNCTION("""COMPUTED_VALUE"""),"SH6710 /19EY710")</f>
        <v>SH6710 /19EY710</v>
      </c>
      <c r="H178" s="26">
        <f>IFERROR(__xludf.DUMMYFUNCTION("""COMPUTED_VALUE"""),1)</f>
        <v>1</v>
      </c>
      <c r="I178" s="26">
        <f>IFERROR(__xludf.DUMMYFUNCTION("""COMPUTED_VALUE"""),0)</f>
        <v>0</v>
      </c>
      <c r="J178" s="26">
        <f>IFERROR(__xludf.DUMMYFUNCTION("""COMPUTED_VALUE"""),1)</f>
        <v>1</v>
      </c>
      <c r="K178" s="26" t="str">
        <f>IFERROR(__xludf.DUMMYFUNCTION("""COMPUTED_VALUE"""),"CGPA")</f>
        <v>CGPA</v>
      </c>
      <c r="L178" s="26" t="str">
        <f>IFERROR(__xludf.DUMMYFUNCTION("""COMPUTED_VALUE"""),"Theory (Int Only)")</f>
        <v>Theory (Int Only)</v>
      </c>
      <c r="M178" s="26"/>
      <c r="N178" s="26"/>
      <c r="O178" s="26"/>
      <c r="P178" s="26"/>
      <c r="Q178" s="26"/>
      <c r="R178" s="26"/>
    </row>
    <row r="179" ht="13.2" spans="1:18">
      <c r="A179" s="26">
        <f>IFERROR(__xludf.DUMMYFUNCTION("""COMPUTED_VALUE"""),177)</f>
        <v>177</v>
      </c>
      <c r="B179" s="26" t="str">
        <f>IFERROR(__xludf.DUMMYFUNCTION("""COMPUTED_VALUE"""),"Any 1")</f>
        <v>Any 1</v>
      </c>
      <c r="C179" s="26" t="str">
        <f>IFERROR(__xludf.DUMMYFUNCTION("""COMPUTED_VALUE"""),"EEC")</f>
        <v>EEC</v>
      </c>
      <c r="D179" s="26" t="str">
        <f>IFERROR(__xludf.DUMMYFUNCTION("""COMPUTED_VALUE"""),"NA")</f>
        <v>NA</v>
      </c>
      <c r="E179" s="26" t="str">
        <f>IFERROR(__xludf.DUMMYFUNCTION("""COMPUTED_VALUE"""),"19EY705")</f>
        <v>19EY705</v>
      </c>
      <c r="F179" s="27" t="str">
        <f>IFERROR(__xludf.DUMMYFUNCTION("""COMPUTED_VALUE"""),"Employment Enhancement Skills")</f>
        <v>Employment Enhancement Skills</v>
      </c>
      <c r="G179" s="26" t="str">
        <f>IFERROR(__xludf.DUMMYFUNCTION("""COMPUTED_VALUE"""),"-")</f>
        <v>-</v>
      </c>
      <c r="H179" s="26">
        <f>IFERROR(__xludf.DUMMYFUNCTION("""COMPUTED_VALUE"""),0)</f>
        <v>0</v>
      </c>
      <c r="I179" s="26">
        <f>IFERROR(__xludf.DUMMYFUNCTION("""COMPUTED_VALUE"""),1)</f>
        <v>1</v>
      </c>
      <c r="J179" s="26">
        <f>IFERROR(__xludf.DUMMYFUNCTION("""COMPUTED_VALUE"""),1)</f>
        <v>1</v>
      </c>
      <c r="K179" s="26" t="str">
        <f>IFERROR(__xludf.DUMMYFUNCTION("""COMPUTED_VALUE"""),"CGPA")</f>
        <v>CGPA</v>
      </c>
      <c r="L179" s="26" t="str">
        <f>IFERROR(__xludf.DUMMYFUNCTION("""COMPUTED_VALUE"""),"Practical (6 Expts)")</f>
        <v>Practical (6 Expts)</v>
      </c>
      <c r="M179" s="26"/>
      <c r="N179" s="26"/>
      <c r="O179" s="26"/>
      <c r="P179" s="26"/>
      <c r="Q179" s="26"/>
      <c r="R179" s="26"/>
    </row>
    <row r="180" ht="13.2" spans="1:18">
      <c r="A180" s="26">
        <f>IFERROR(__xludf.DUMMYFUNCTION("""COMPUTED_VALUE"""),178)</f>
        <v>178</v>
      </c>
      <c r="B180" s="26" t="str">
        <f>IFERROR(__xludf.DUMMYFUNCTION("""COMPUTED_VALUE"""),"Any 1")</f>
        <v>Any 1</v>
      </c>
      <c r="C180" s="26" t="str">
        <f>IFERROR(__xludf.DUMMYFUNCTION("""COMPUTED_VALUE"""),"EEC")</f>
        <v>EEC</v>
      </c>
      <c r="D180" s="26" t="str">
        <f>IFERROR(__xludf.DUMMYFUNCTION("""COMPUTED_VALUE"""),"SH6712")</f>
        <v>SH6712</v>
      </c>
      <c r="E180" s="26" t="str">
        <f>IFERROR(__xludf.DUMMYFUNCTION("""COMPUTED_VALUE"""),"19EY712")</f>
        <v>19EY712</v>
      </c>
      <c r="F180" s="27" t="str">
        <f>IFERROR(__xludf.DUMMYFUNCTION("""COMPUTED_VALUE"""),"Employment Enrichment Skills")</f>
        <v>Employment Enrichment Skills</v>
      </c>
      <c r="G180" s="26" t="str">
        <f>IFERROR(__xludf.DUMMYFUNCTION("""COMPUTED_VALUE"""),"19EY702 / 19EY709 / SH6709")</f>
        <v>19EY702 / 19EY709 / SH6709</v>
      </c>
      <c r="H180" s="26">
        <f>IFERROR(__xludf.DUMMYFUNCTION("""COMPUTED_VALUE"""),1)</f>
        <v>1</v>
      </c>
      <c r="I180" s="26">
        <f>IFERROR(__xludf.DUMMYFUNCTION("""COMPUTED_VALUE"""),0)</f>
        <v>0</v>
      </c>
      <c r="J180" s="26">
        <f>IFERROR(__xludf.DUMMYFUNCTION("""COMPUTED_VALUE"""),1)</f>
        <v>1</v>
      </c>
      <c r="K180" s="26" t="str">
        <f>IFERROR(__xludf.DUMMYFUNCTION("""COMPUTED_VALUE"""),"CGPA")</f>
        <v>CGPA</v>
      </c>
      <c r="L180" s="26" t="str">
        <f>IFERROR(__xludf.DUMMYFUNCTION("""COMPUTED_VALUE"""),"Theory (Int Only)")</f>
        <v>Theory (Int Only)</v>
      </c>
      <c r="M180" s="26"/>
      <c r="N180" s="26"/>
      <c r="O180" s="26"/>
      <c r="P180" s="26"/>
      <c r="Q180" s="26"/>
      <c r="R180" s="26"/>
    </row>
    <row r="181" ht="13.2" spans="1:18">
      <c r="A181" s="26">
        <f>IFERROR(__xludf.DUMMYFUNCTION("""COMPUTED_VALUE"""),179)</f>
        <v>179</v>
      </c>
      <c r="B181" s="26" t="str">
        <f>IFERROR(__xludf.DUMMYFUNCTION("""COMPUTED_VALUE"""),"Any 1")</f>
        <v>Any 1</v>
      </c>
      <c r="C181" s="26" t="str">
        <f>IFERROR(__xludf.DUMMYFUNCTION("""COMPUTED_VALUE"""),"EEC")</f>
        <v>EEC</v>
      </c>
      <c r="D181" s="26" t="str">
        <f>IFERROR(__xludf.DUMMYFUNCTION("""COMPUTED_VALUE"""),"NA")</f>
        <v>NA</v>
      </c>
      <c r="E181" s="26" t="str">
        <f>IFERROR(__xludf.DUMMYFUNCTION("""COMPUTED_VALUE"""),"19EY706")</f>
        <v>19EY706</v>
      </c>
      <c r="F181" s="27" t="str">
        <f>IFERROR(__xludf.DUMMYFUNCTION("""COMPUTED_VALUE"""),"Company Specific Assessments For Employability")</f>
        <v>Company Specific Assessments For Employability</v>
      </c>
      <c r="G181" s="26" t="str">
        <f>IFERROR(__xludf.DUMMYFUNCTION("""COMPUTED_VALUE"""),"-")</f>
        <v>-</v>
      </c>
      <c r="H181" s="26">
        <f>IFERROR(__xludf.DUMMYFUNCTION("""COMPUTED_VALUE"""),0)</f>
        <v>0</v>
      </c>
      <c r="I181" s="26">
        <f>IFERROR(__xludf.DUMMYFUNCTION("""COMPUTED_VALUE"""),1)</f>
        <v>1</v>
      </c>
      <c r="J181" s="26">
        <f>IFERROR(__xludf.DUMMYFUNCTION("""COMPUTED_VALUE"""),1)</f>
        <v>1</v>
      </c>
      <c r="K181" s="26" t="str">
        <f>IFERROR(__xludf.DUMMYFUNCTION("""COMPUTED_VALUE"""),"CGPA")</f>
        <v>CGPA</v>
      </c>
      <c r="L181" s="26" t="str">
        <f>IFERROR(__xludf.DUMMYFUNCTION("""COMPUTED_VALUE"""),"Practical (6 Expts)")</f>
        <v>Practical (6 Expts)</v>
      </c>
      <c r="M181" s="26"/>
      <c r="N181" s="26"/>
      <c r="O181" s="26"/>
      <c r="P181" s="26"/>
      <c r="Q181" s="26"/>
      <c r="R181" s="26"/>
    </row>
    <row r="182" ht="13.2" spans="1:18">
      <c r="A182" s="26">
        <f>IFERROR(__xludf.DUMMYFUNCTION("""COMPUTED_VALUE"""),180)</f>
        <v>180</v>
      </c>
      <c r="B182" s="26" t="str">
        <f>IFERROR(__xludf.DUMMYFUNCTION("""COMPUTED_VALUE"""),"Any 1")</f>
        <v>Any 1</v>
      </c>
      <c r="C182" s="26"/>
      <c r="D182" s="26" t="str">
        <f>IFERROR(__xludf.DUMMYFUNCTION("""COMPUTED_VALUE"""),"SH6713")</f>
        <v>SH6713</v>
      </c>
      <c r="E182" s="26" t="str">
        <f>IFERROR(__xludf.DUMMYFUNCTION("""COMPUTED_VALUE"""),"19EY713")</f>
        <v>19EY713</v>
      </c>
      <c r="F182" s="27" t="str">
        <f>IFERROR(__xludf.DUMMYFUNCTION("""COMPUTED_VALUE"""),"Placement Readiness Assessment")</f>
        <v>Placement Readiness Assessment</v>
      </c>
      <c r="G182" s="26" t="str">
        <f>IFERROR(__xludf.DUMMYFUNCTION("""COMPUTED_VALUE"""),"19EY704 / 19EY711/SH6711")</f>
        <v>19EY704 / 19EY711/SH6711</v>
      </c>
      <c r="H182" s="26">
        <f>IFERROR(__xludf.DUMMYFUNCTION("""COMPUTED_VALUE"""),1)</f>
        <v>1</v>
      </c>
      <c r="I182" s="26">
        <f>IFERROR(__xludf.DUMMYFUNCTION("""COMPUTED_VALUE"""),0)</f>
        <v>0</v>
      </c>
      <c r="J182" s="26">
        <f>IFERROR(__xludf.DUMMYFUNCTION("""COMPUTED_VALUE"""),1)</f>
        <v>1</v>
      </c>
      <c r="K182" s="26" t="str">
        <f>IFERROR(__xludf.DUMMYFUNCTION("""COMPUTED_VALUE"""),"CGPA")</f>
        <v>CGPA</v>
      </c>
      <c r="L182" s="26" t="str">
        <f>IFERROR(__xludf.DUMMYFUNCTION("""COMPUTED_VALUE"""),"Theory (Int Only)")</f>
        <v>Theory (Int Only)</v>
      </c>
      <c r="M182" s="26"/>
      <c r="N182" s="26"/>
      <c r="O182" s="26"/>
      <c r="P182" s="26"/>
      <c r="Q182" s="26"/>
      <c r="R182" s="26"/>
    </row>
    <row r="183" ht="13.2" spans="1:18">
      <c r="A183" s="26">
        <f>IFERROR(__xludf.DUMMYFUNCTION("""COMPUTED_VALUE"""),181)</f>
        <v>181</v>
      </c>
      <c r="B183" s="26"/>
      <c r="C183" s="26" t="str">
        <f>IFERROR(__xludf.DUMMYFUNCTION("""COMPUTED_VALUE"""),"EEC")</f>
        <v>EEC</v>
      </c>
      <c r="D183" s="26" t="str">
        <f>IFERROR(__xludf.DUMMYFUNCTION("""COMPUTED_VALUE"""),"SH6707")</f>
        <v>SH6707</v>
      </c>
      <c r="E183" s="26" t="str">
        <f>IFERROR(__xludf.DUMMYFUNCTION("""COMPUTED_VALUE"""),"19EY707")</f>
        <v>19EY707</v>
      </c>
      <c r="F183" s="27" t="str">
        <f>IFERROR(__xludf.DUMMYFUNCTION("""COMPUTED_VALUE"""),"Paper Publication")</f>
        <v>Paper Publication</v>
      </c>
      <c r="G183" s="26" t="str">
        <f>IFERROR(__xludf.DUMMYFUNCTION("""COMPUTED_VALUE"""),"-")</f>
        <v>-</v>
      </c>
      <c r="H183" s="26">
        <f>IFERROR(__xludf.DUMMYFUNCTION("""COMPUTED_VALUE"""),0)</f>
        <v>0</v>
      </c>
      <c r="I183" s="26">
        <f>IFERROR(__xludf.DUMMYFUNCTION("""COMPUTED_VALUE"""),0)</f>
        <v>0</v>
      </c>
      <c r="J183" s="26">
        <f>IFERROR(__xludf.DUMMYFUNCTION("""COMPUTED_VALUE"""),1)</f>
        <v>1</v>
      </c>
      <c r="K183" s="26" t="str">
        <f>IFERROR(__xludf.DUMMYFUNCTION("""COMPUTED_VALUE"""),"NON-CGPA")</f>
        <v>NON-CGPA</v>
      </c>
      <c r="L183" s="26" t="str">
        <f>IFERROR(__xludf.DUMMYFUNCTION("""COMPUTED_VALUE"""),"Experiential Learning (Int Only)")</f>
        <v>Experiential Learning (Int Only)</v>
      </c>
      <c r="M183" s="26"/>
      <c r="N183" s="26"/>
      <c r="O183" s="26"/>
      <c r="P183" s="26"/>
      <c r="Q183" s="26"/>
      <c r="R183" s="26"/>
    </row>
    <row r="184" ht="13.2" spans="1:18">
      <c r="A184" s="26">
        <f>IFERROR(__xludf.DUMMYFUNCTION("""COMPUTED_VALUE"""),182)</f>
        <v>182</v>
      </c>
      <c r="B184" s="26"/>
      <c r="C184" s="26" t="str">
        <f>IFERROR(__xludf.DUMMYFUNCTION("""COMPUTED_VALUE"""),"MC")</f>
        <v>MC</v>
      </c>
      <c r="D184" s="26" t="str">
        <f>IFERROR(__xludf.DUMMYFUNCTION("""COMPUTED_VALUE"""),"NA")</f>
        <v>NA</v>
      </c>
      <c r="E184" s="26" t="str">
        <f>IFERROR(__xludf.DUMMYFUNCTION("""COMPUTED_VALUE"""),"19MC801")</f>
        <v>19MC801</v>
      </c>
      <c r="F184" s="27" t="str">
        <f>IFERROR(__xludf.DUMMYFUNCTION("""COMPUTED_VALUE"""),"Professional Ethics")</f>
        <v>Professional Ethics</v>
      </c>
      <c r="G184" s="26" t="str">
        <f>IFERROR(__xludf.DUMMYFUNCTION("""COMPUTED_VALUE"""),"-")</f>
        <v>-</v>
      </c>
      <c r="H184" s="26">
        <f>IFERROR(__xludf.DUMMYFUNCTION("""COMPUTED_VALUE"""),0)</f>
        <v>0</v>
      </c>
      <c r="I184" s="26">
        <f>IFERROR(__xludf.DUMMYFUNCTION("""COMPUTED_VALUE"""),0)</f>
        <v>0</v>
      </c>
      <c r="J184" s="26">
        <f>IFERROR(__xludf.DUMMYFUNCTION("""COMPUTED_VALUE"""),0)</f>
        <v>0</v>
      </c>
      <c r="K184" s="26" t="str">
        <f>IFERROR(__xludf.DUMMYFUNCTION("""COMPUTED_VALUE"""),"NON - CGPA")</f>
        <v>NON - CGPA</v>
      </c>
      <c r="L184" s="26" t="str">
        <f>IFERROR(__xludf.DUMMYFUNCTION("""COMPUTED_VALUE"""),"Theory (Int Only)")</f>
        <v>Theory (Int Only)</v>
      </c>
      <c r="M184" s="26"/>
      <c r="N184" s="26"/>
      <c r="O184" s="26"/>
      <c r="P184" s="26"/>
      <c r="Q184" s="26"/>
      <c r="R184" s="26"/>
    </row>
    <row r="185" ht="13.2" spans="1:18">
      <c r="A185" s="26">
        <f>IFERROR(__xludf.DUMMYFUNCTION("""COMPUTED_VALUE"""),183)</f>
        <v>183</v>
      </c>
      <c r="B185" s="26"/>
      <c r="C185" s="26" t="str">
        <f>IFERROR(__xludf.DUMMYFUNCTION("""COMPUTED_VALUE"""),"MC")</f>
        <v>MC</v>
      </c>
      <c r="D185" s="26" t="str">
        <f>IFERROR(__xludf.DUMMYFUNCTION("""COMPUTED_VALUE"""),"NA")</f>
        <v>NA</v>
      </c>
      <c r="E185" s="26" t="str">
        <f>IFERROR(__xludf.DUMMYFUNCTION("""COMPUTED_VALUE"""),"19MC802")</f>
        <v>19MC802</v>
      </c>
      <c r="F185" s="27" t="str">
        <f>IFERROR(__xludf.DUMMYFUNCTION("""COMPUTED_VALUE"""),"Environmental Science")</f>
        <v>Environmental Science</v>
      </c>
      <c r="G185" s="26" t="str">
        <f>IFERROR(__xludf.DUMMYFUNCTION("""COMPUTED_VALUE"""),"-")</f>
        <v>-</v>
      </c>
      <c r="H185" s="26">
        <f>IFERROR(__xludf.DUMMYFUNCTION("""COMPUTED_VALUE"""),0)</f>
        <v>0</v>
      </c>
      <c r="I185" s="26">
        <f>IFERROR(__xludf.DUMMYFUNCTION("""COMPUTED_VALUE"""),0)</f>
        <v>0</v>
      </c>
      <c r="J185" s="26">
        <f>IFERROR(__xludf.DUMMYFUNCTION("""COMPUTED_VALUE"""),0)</f>
        <v>0</v>
      </c>
      <c r="K185" s="26" t="str">
        <f>IFERROR(__xludf.DUMMYFUNCTION("""COMPUTED_VALUE"""),"CGPA")</f>
        <v>CGPA</v>
      </c>
      <c r="L185" s="26" t="str">
        <f>IFERROR(__xludf.DUMMYFUNCTION("""COMPUTED_VALUE"""),"Theory (Int Only)")</f>
        <v>Theory (Int Only)</v>
      </c>
      <c r="M185" s="26"/>
      <c r="N185" s="26"/>
      <c r="O185" s="26"/>
      <c r="P185" s="26"/>
      <c r="Q185" s="26"/>
      <c r="R185" s="26"/>
    </row>
    <row r="186" ht="13.2" spans="1:18">
      <c r="A186" s="26">
        <f>IFERROR(__xludf.DUMMYFUNCTION("""COMPUTED_VALUE"""),184)</f>
        <v>184</v>
      </c>
      <c r="B186" s="26"/>
      <c r="C186" s="26" t="str">
        <f>IFERROR(__xludf.DUMMYFUNCTION("""COMPUTED_VALUE"""),"MC")</f>
        <v>MC</v>
      </c>
      <c r="D186" s="26" t="str">
        <f>IFERROR(__xludf.DUMMYFUNCTION("""COMPUTED_VALUE"""),"NA")</f>
        <v>NA</v>
      </c>
      <c r="E186" s="26" t="str">
        <f>IFERROR(__xludf.DUMMYFUNCTION("""COMPUTED_VALUE"""),"19MC803")</f>
        <v>19MC803</v>
      </c>
      <c r="F186" s="27" t="str">
        <f>IFERROR(__xludf.DUMMYFUNCTION("""COMPUTED_VALUE"""),"Constitution of India")</f>
        <v>Constitution of India</v>
      </c>
      <c r="G186" s="26" t="str">
        <f>IFERROR(__xludf.DUMMYFUNCTION("""COMPUTED_VALUE"""),"-")</f>
        <v>-</v>
      </c>
      <c r="H186" s="26">
        <f>IFERROR(__xludf.DUMMYFUNCTION("""COMPUTED_VALUE"""),0)</f>
        <v>0</v>
      </c>
      <c r="I186" s="26">
        <f>IFERROR(__xludf.DUMMYFUNCTION("""COMPUTED_VALUE"""),0)</f>
        <v>0</v>
      </c>
      <c r="J186" s="26">
        <f>IFERROR(__xludf.DUMMYFUNCTION("""COMPUTED_VALUE"""),0)</f>
        <v>0</v>
      </c>
      <c r="K186" s="26" t="str">
        <f>IFERROR(__xludf.DUMMYFUNCTION("""COMPUTED_VALUE"""),"CGPA")</f>
        <v>CGPA</v>
      </c>
      <c r="L186" s="26" t="str">
        <f>IFERROR(__xludf.DUMMYFUNCTION("""COMPUTED_VALUE"""),"Theory (Int Only)")</f>
        <v>Theory (Int Only)</v>
      </c>
      <c r="M186" s="26"/>
      <c r="N186" s="26"/>
      <c r="O186" s="26"/>
      <c r="P186" s="26"/>
      <c r="Q186" s="26"/>
      <c r="R186" s="26"/>
    </row>
    <row r="187" ht="13.2" spans="1:18">
      <c r="A187" s="26">
        <f>IFERROR(__xludf.DUMMYFUNCTION("""COMPUTED_VALUE"""),185)</f>
        <v>185</v>
      </c>
      <c r="B187" s="26"/>
      <c r="C187" s="26" t="str">
        <f>IFERROR(__xludf.DUMMYFUNCTION("""COMPUTED_VALUE"""),"MC")</f>
        <v>MC</v>
      </c>
      <c r="D187" s="26" t="str">
        <f>IFERROR(__xludf.DUMMYFUNCTION("""COMPUTED_VALUE"""),"NA")</f>
        <v>NA</v>
      </c>
      <c r="E187" s="26" t="str">
        <f>IFERROR(__xludf.DUMMYFUNCTION("""COMPUTED_VALUE"""),"19MC804")</f>
        <v>19MC804</v>
      </c>
      <c r="F187" s="26" t="str">
        <f>IFERROR(__xludf.DUMMYFUNCTION("""COMPUTED_VALUE"""),"Internship/Entrepreneurship/Consultancy")</f>
        <v>Internship/Entrepreneurship/Consultancy</v>
      </c>
      <c r="G187" s="26" t="str">
        <f>IFERROR(__xludf.DUMMYFUNCTION("""COMPUTED_VALUE"""),"-")</f>
        <v>-</v>
      </c>
      <c r="H187" s="26">
        <f>IFERROR(__xludf.DUMMYFUNCTION("""COMPUTED_VALUE"""),0)</f>
        <v>0</v>
      </c>
      <c r="I187" s="26">
        <f>IFERROR(__xludf.DUMMYFUNCTION("""COMPUTED_VALUE"""),0)</f>
        <v>0</v>
      </c>
      <c r="J187" s="26">
        <f>IFERROR(__xludf.DUMMYFUNCTION("""COMPUTED_VALUE"""),2)</f>
        <v>2</v>
      </c>
      <c r="K187" s="26" t="str">
        <f>IFERROR(__xludf.DUMMYFUNCTION("""COMPUTED_VALUE"""),"NON-CGPA")</f>
        <v>NON-CGPA</v>
      </c>
      <c r="L187" s="26" t="str">
        <f>IFERROR(__xludf.DUMMYFUNCTION("""COMPUTED_VALUE"""),"Experiential Learning (Int Only)")</f>
        <v>Experiential Learning (Int Only)</v>
      </c>
      <c r="M187" s="26"/>
      <c r="N187" s="26"/>
      <c r="O187" s="26"/>
      <c r="P187" s="26"/>
      <c r="Q187" s="26"/>
      <c r="R187" s="26"/>
    </row>
    <row r="188" ht="13.2" spans="1:18">
      <c r="A188" s="26">
        <f>IFERROR(__xludf.DUMMYFUNCTION("""COMPUTED_VALUE"""),186)</f>
        <v>186</v>
      </c>
      <c r="B188" s="26"/>
      <c r="C188" s="26" t="str">
        <f>IFERROR(__xludf.DUMMYFUNCTION("""COMPUTED_VALUE"""),"MC")</f>
        <v>MC</v>
      </c>
      <c r="D188" s="26" t="str">
        <f>IFERROR(__xludf.DUMMYFUNCTION("""COMPUTED_VALUE"""),"NA")</f>
        <v>NA</v>
      </c>
      <c r="E188" s="26" t="str">
        <f>IFERROR(__xludf.DUMMYFUNCTION("""COMPUTED_VALUE"""),"19MC805")</f>
        <v>19MC805</v>
      </c>
      <c r="F188" s="27" t="str">
        <f>IFERROR(__xludf.DUMMYFUNCTION("""COMPUTED_VALUE"""),"Inplant Training")</f>
        <v>Inplant Training</v>
      </c>
      <c r="G188" s="26" t="str">
        <f>IFERROR(__xludf.DUMMYFUNCTION("""COMPUTED_VALUE"""),"-")</f>
        <v>-</v>
      </c>
      <c r="H188" s="26">
        <f>IFERROR(__xludf.DUMMYFUNCTION("""COMPUTED_VALUE"""),0)</f>
        <v>0</v>
      </c>
      <c r="I188" s="26">
        <f>IFERROR(__xludf.DUMMYFUNCTION("""COMPUTED_VALUE"""),0)</f>
        <v>0</v>
      </c>
      <c r="J188" s="26">
        <f>IFERROR(__xludf.DUMMYFUNCTION("""COMPUTED_VALUE"""),1)</f>
        <v>1</v>
      </c>
      <c r="K188" s="26" t="str">
        <f>IFERROR(__xludf.DUMMYFUNCTION("""COMPUTED_VALUE"""),"Non - CGPA")</f>
        <v>Non - CGPA</v>
      </c>
      <c r="L188" s="26" t="str">
        <f>IFERROR(__xludf.DUMMYFUNCTION("""COMPUTED_VALUE"""),"Experiential Learning (Int Only)")</f>
        <v>Experiential Learning (Int Only)</v>
      </c>
      <c r="M188" s="26"/>
      <c r="N188" s="26"/>
      <c r="O188" s="26"/>
      <c r="P188" s="26"/>
      <c r="Q188" s="26"/>
      <c r="R188" s="26"/>
    </row>
    <row r="189" ht="13.2" spans="1:18">
      <c r="A189" s="26">
        <f>IFERROR(__xludf.DUMMYFUNCTION("""COMPUTED_VALUE"""),187)</f>
        <v>187</v>
      </c>
      <c r="B189" s="26" t="str">
        <f>IFERROR(__xludf.DUMMYFUNCTION("""COMPUTED_VALUE"""),"Any 1")</f>
        <v>Any 1</v>
      </c>
      <c r="C189" s="26" t="str">
        <f>IFERROR(__xludf.DUMMYFUNCTION("""COMPUTED_VALUE"""),"MC")</f>
        <v>MC</v>
      </c>
      <c r="D189" s="26" t="str">
        <f>IFERROR(__xludf.DUMMYFUNCTION("""COMPUTED_VALUE"""),"SH6803")</f>
        <v>SH6803</v>
      </c>
      <c r="E189" s="26" t="str">
        <f>IFERROR(__xludf.DUMMYFUNCTION("""COMPUTED_VALUE"""),"19MC807")</f>
        <v>19MC807</v>
      </c>
      <c r="F189" s="26" t="str">
        <f>IFERROR(__xludf.DUMMYFUNCTION("""COMPUTED_VALUE"""),"National Service Scheme")</f>
        <v>National Service Scheme</v>
      </c>
      <c r="G189" s="26" t="str">
        <f>IFERROR(__xludf.DUMMYFUNCTION("""COMPUTED_VALUE"""),"-")</f>
        <v>-</v>
      </c>
      <c r="H189" s="26">
        <f>IFERROR(__xludf.DUMMYFUNCTION("""COMPUTED_VALUE"""),0)</f>
        <v>0</v>
      </c>
      <c r="I189" s="26">
        <f>IFERROR(__xludf.DUMMYFUNCTION("""COMPUTED_VALUE"""),0)</f>
        <v>0</v>
      </c>
      <c r="J189" s="26">
        <f>IFERROR(__xludf.DUMMYFUNCTION("""COMPUTED_VALUE"""),0)</f>
        <v>0</v>
      </c>
      <c r="K189" s="26" t="str">
        <f>IFERROR(__xludf.DUMMYFUNCTION("""COMPUTED_VALUE"""),"NON-CGPA")</f>
        <v>NON-CGPA</v>
      </c>
      <c r="L189" s="26" t="str">
        <f>IFERROR(__xludf.DUMMYFUNCTION("""COMPUTED_VALUE"""),"Experiential Learning (Int Only)")</f>
        <v>Experiential Learning (Int Only)</v>
      </c>
      <c r="M189" s="26"/>
      <c r="N189" s="26"/>
      <c r="O189" s="26"/>
      <c r="P189" s="26"/>
      <c r="Q189" s="26"/>
      <c r="R189" s="26"/>
    </row>
    <row r="190" ht="13.2" spans="1:18">
      <c r="A190" s="26">
        <f>IFERROR(__xludf.DUMMYFUNCTION("""COMPUTED_VALUE"""),188)</f>
        <v>188</v>
      </c>
      <c r="B190" s="26" t="str">
        <f>IFERROR(__xludf.DUMMYFUNCTION("""COMPUTED_VALUE"""),"Any 1")</f>
        <v>Any 1</v>
      </c>
      <c r="C190" s="26" t="str">
        <f>IFERROR(__xludf.DUMMYFUNCTION("""COMPUTED_VALUE"""),"MC")</f>
        <v>MC</v>
      </c>
      <c r="D190" s="26" t="str">
        <f>IFERROR(__xludf.DUMMYFUNCTION("""COMPUTED_VALUE"""),"SH8807")</f>
        <v>SH8807</v>
      </c>
      <c r="E190" s="26" t="str">
        <f>IFERROR(__xludf.DUMMYFUNCTION("""COMPUTED_VALUE"""),"19MC808")</f>
        <v>19MC808</v>
      </c>
      <c r="F190" s="26" t="str">
        <f>IFERROR(__xludf.DUMMYFUNCTION("""COMPUTED_VALUE"""),"National Sports Organization ")</f>
        <v>National Sports Organization </v>
      </c>
      <c r="G190" s="26" t="str">
        <f>IFERROR(__xludf.DUMMYFUNCTION("""COMPUTED_VALUE"""),"-")</f>
        <v>-</v>
      </c>
      <c r="H190" s="26">
        <f>IFERROR(__xludf.DUMMYFUNCTION("""COMPUTED_VALUE"""),0)</f>
        <v>0</v>
      </c>
      <c r="I190" s="26">
        <f>IFERROR(__xludf.DUMMYFUNCTION("""COMPUTED_VALUE"""),0)</f>
        <v>0</v>
      </c>
      <c r="J190" s="26">
        <f>IFERROR(__xludf.DUMMYFUNCTION("""COMPUTED_VALUE"""),0)</f>
        <v>0</v>
      </c>
      <c r="K190" s="26" t="str">
        <f>IFERROR(__xludf.DUMMYFUNCTION("""COMPUTED_VALUE"""),"NON-CGPA")</f>
        <v>NON-CGPA</v>
      </c>
      <c r="L190" s="26" t="str">
        <f>IFERROR(__xludf.DUMMYFUNCTION("""COMPUTED_VALUE"""),"Experiential Learning (Int Only)")</f>
        <v>Experiential Learning (Int Only)</v>
      </c>
      <c r="M190" s="26"/>
      <c r="N190" s="26"/>
      <c r="O190" s="26"/>
      <c r="P190" s="26"/>
      <c r="Q190" s="26"/>
      <c r="R190" s="26"/>
    </row>
    <row r="191" ht="13.2" spans="1:18">
      <c r="A191" s="26">
        <f>IFERROR(__xludf.DUMMYFUNCTION("""COMPUTED_VALUE"""),189)</f>
        <v>189</v>
      </c>
      <c r="B191" s="26" t="str">
        <f>IFERROR(__xludf.DUMMYFUNCTION("""COMPUTED_VALUE"""),"Any 1")</f>
        <v>Any 1</v>
      </c>
      <c r="C191" s="26" t="str">
        <f>IFERROR(__xludf.DUMMYFUNCTION("""COMPUTED_VALUE"""),"MC")</f>
        <v>MC</v>
      </c>
      <c r="D191" s="26" t="str">
        <f>IFERROR(__xludf.DUMMYFUNCTION("""COMPUTED_VALUE"""),"SH8808")</f>
        <v>SH8808</v>
      </c>
      <c r="E191" s="26" t="str">
        <f>IFERROR(__xludf.DUMMYFUNCTION("""COMPUTED_VALUE"""),"19MC809")</f>
        <v>19MC809</v>
      </c>
      <c r="F191" s="26" t="str">
        <f>IFERROR(__xludf.DUMMYFUNCTION("""COMPUTED_VALUE"""),"Youth Red Cross")</f>
        <v>Youth Red Cross</v>
      </c>
      <c r="G191" s="26" t="str">
        <f>IFERROR(__xludf.DUMMYFUNCTION("""COMPUTED_VALUE"""),"-")</f>
        <v>-</v>
      </c>
      <c r="H191" s="26">
        <f>IFERROR(__xludf.DUMMYFUNCTION("""COMPUTED_VALUE"""),0)</f>
        <v>0</v>
      </c>
      <c r="I191" s="26">
        <f>IFERROR(__xludf.DUMMYFUNCTION("""COMPUTED_VALUE"""),0)</f>
        <v>0</v>
      </c>
      <c r="J191" s="26">
        <f>IFERROR(__xludf.DUMMYFUNCTION("""COMPUTED_VALUE"""),0)</f>
        <v>0</v>
      </c>
      <c r="K191" s="26" t="str">
        <f>IFERROR(__xludf.DUMMYFUNCTION("""COMPUTED_VALUE"""),"NON-CGPA")</f>
        <v>NON-CGPA</v>
      </c>
      <c r="L191" s="26" t="str">
        <f>IFERROR(__xludf.DUMMYFUNCTION("""COMPUTED_VALUE"""),"Experiential Learning (Int Only)")</f>
        <v>Experiential Learning (Int Only)</v>
      </c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  <row r="832" ht="13.2" spans="1:18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</row>
    <row r="833" ht="13.2" spans="1:18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</row>
    <row r="834" ht="13.2" spans="1:18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</row>
    <row r="835" ht="13.2" spans="1:18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</row>
    <row r="836" ht="13.2" spans="1:18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</row>
    <row r="837" ht="13.2" spans="1:18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</row>
    <row r="838" ht="13.2" spans="1:1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</row>
    <row r="839" ht="13.2" spans="1:18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</row>
    <row r="840" ht="13.2" spans="1:18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</row>
    <row r="841" ht="13.2" spans="1:18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</row>
    <row r="842" ht="13.2" spans="1:18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</row>
    <row r="843" ht="13.2" spans="1:18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</row>
    <row r="844" ht="13.2" spans="1:18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</row>
    <row r="845" ht="13.2" spans="1:18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</row>
    <row r="846" ht="13.2" spans="1:18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</row>
    <row r="847" ht="13.2" spans="1:18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</row>
    <row r="848" ht="13.2" spans="1:1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</row>
    <row r="849" ht="13.2" spans="1:18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</row>
    <row r="850" ht="13.2" spans="1:18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</row>
    <row r="851" ht="13.2" spans="1:18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</row>
    <row r="852" ht="13.2" spans="1:18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</row>
    <row r="853" ht="13.2" spans="1:18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</row>
    <row r="854" ht="13.2" spans="1:18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</row>
    <row r="855" ht="13.2" spans="1:18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</row>
    <row r="856" ht="13.2" spans="1:18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ht="13.2" spans="1:18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ht="13.2" spans="1:1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ht="13.2" spans="1:18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ht="13.2" spans="1:18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ht="13.2" spans="1:18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ht="13.2" spans="1:18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</row>
    <row r="863" ht="13.2" spans="1:18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</row>
    <row r="864" ht="13.2" spans="1:18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</row>
    <row r="865" ht="13.2" spans="1:18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</row>
    <row r="866" ht="13.2" spans="1:18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</row>
    <row r="867" ht="13.2" spans="1:18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</row>
    <row r="868" ht="13.2" spans="1:1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</row>
    <row r="869" ht="13.2" spans="1:18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ht="13.2" spans="1:18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</row>
    <row r="871" ht="13.2" spans="1:18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</row>
    <row r="872" ht="13.2" spans="1:18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</row>
    <row r="873" ht="13.2" spans="1:18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</row>
    <row r="874" ht="13.2" spans="1:18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</row>
    <row r="875" ht="13.2" spans="1:18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</row>
    <row r="876" ht="13.2" spans="1:18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</row>
    <row r="877" ht="13.2" spans="1:18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</row>
    <row r="878" ht="13.2" spans="1:1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ht="13.2" spans="1:18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</row>
    <row r="880" ht="13.2" spans="1:18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</row>
    <row r="881" ht="13.2" spans="1:18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</row>
    <row r="882" ht="13.2" spans="1:18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</row>
    <row r="883" ht="13.2" spans="1:18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</row>
    <row r="884" ht="13.2" spans="1:18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</row>
    <row r="885" ht="13.2" spans="1:18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</row>
    <row r="886" ht="13.2" spans="1:18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</row>
    <row r="887" ht="13.2" spans="1:18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</row>
    <row r="888" ht="13.2" spans="1:1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</row>
    <row r="889" ht="13.2" spans="1:18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</row>
    <row r="890" ht="13.2" spans="1:18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</row>
    <row r="891" ht="13.2" spans="1:18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</row>
    <row r="892" ht="13.2" spans="1:18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</row>
    <row r="893" ht="13.2" spans="1:18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</row>
    <row r="894" ht="13.2" spans="1:18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</row>
    <row r="895" ht="13.2" spans="1:18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</row>
    <row r="896" ht="13.2" spans="1:18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ht="13.2" spans="1:18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</row>
    <row r="898" ht="13.2" spans="1:1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</row>
    <row r="899" ht="13.2" spans="1:18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</row>
    <row r="900" ht="13.2" spans="1:18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</row>
    <row r="901" ht="13.2" spans="1:18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</row>
    <row r="902" ht="13.2" spans="1:18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</row>
    <row r="903" ht="13.2" spans="1:18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</row>
    <row r="904" ht="13.2" spans="1:18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</row>
    <row r="905" ht="13.2" spans="1:18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</row>
    <row r="906" ht="13.2" spans="1:18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</row>
    <row r="907" ht="13.2" spans="1:18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</row>
    <row r="908" ht="13.2" spans="1:1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Probability and Queueing Models&quot;)"/>
    <hyperlink ref="F12" r:id="rId11" display="=IFERROR(@__xludf.DUMMYFUNCTION(&quot;&quot;&quot;COMPUTED_VALUE&quot;&quot;&quot;),&quot;Algebra and Number Theory&quot;)"/>
    <hyperlink ref="F13" r:id="rId12" display="=IFERROR(@__xludf.DUMMYFUNCTION(&quot;&quot;&quot;COMPUTED_VALUE&quot;&quot;&quot;),&quot;Mathematics for Artificial Intelligence&quot;)"/>
    <hyperlink ref="F14" r:id="rId13" display="=IFERROR(@__xludf.DUMMYFUNCTION(&quot;&quot;&quot;COMPUTED_VALUE&quot;&quot;&quot;),&quot;Linear Algebra Laboratory&quot;)"/>
    <hyperlink ref="F15" r:id="rId14" display="=IFERROR(@__xludf.DUMMYFUNCTION(&quot;&quot;&quot;COMPUTED_VALUE&quot;&quot;&quot;),&quot;Statistics and Numerical Methods&quot;)"/>
    <hyperlink ref="F16" r:id="rId15" display="=IFERROR(@__xludf.DUMMYFUNCTION(&quot;&quot;&quot;COMPUTED_VALUE&quot;&quot;&quot;),&quot;Principles of Chemistry in Engineering&quot;)"/>
    <hyperlink ref="F17" r:id="rId16" display="=IFERROR(@__xludf.DUMMYFUNCTION(&quot;&quot;&quot;COMPUTED_VALUE&quot;&quot;&quot;),&quot;Physics for Quantum Computing&quot;)"/>
    <hyperlink ref="F18" r:id="rId17" display="=IFERROR(@__xludf.DUMMYFUNCTION(&quot;&quot;&quot;COMPUTED_VALUE&quot;&quot;&quot;),&quot;Python Programming&quot;)"/>
    <hyperlink ref="F19" r:id="rId18" display="=IFERROR(@__xludf.DUMMYFUNCTION(&quot;&quot;&quot;COMPUTED_VALUE&quot;&quot;&quot;),&quot;Engineering Design and Modelling&quot;)"/>
    <hyperlink ref="F20" r:id="rId19" display="=IFERROR(@__xludf.DUMMYFUNCTION(&quot;&quot;&quot;COMPUTED_VALUE&quot;&quot;&quot;),&quot;Engineering Mechanics and Product Development&quot;)"/>
    <hyperlink ref="F21" r:id="rId20" display="=IFERROR(@__xludf.DUMMYFUNCTION(&quot;&quot;&quot;COMPUTED_VALUE&quot;&quot;&quot;),&quot;Object Oriented Programming using C++&quot;)"/>
    <hyperlink ref="F22" r:id="rId21" display="=IFERROR(@__xludf.DUMMYFUNCTION(&quot;&quot;&quot;COMPUTED_VALUE&quot;&quot;&quot;),&quot;Object Oriented Programming using Java&quot;)"/>
    <hyperlink ref="F23" r:id="rId22" display="=IFERROR(@__xludf.DUMMYFUNCTION(&quot;&quot;&quot;COMPUTED_VALUE&quot;&quot;&quot;),&quot;Object Oriented Programming using C#&quot;)"/>
    <hyperlink ref="F24" r:id="rId23" display="=IFERROR(@__xludf.DUMMYFUNCTION(&quot;&quot;&quot;COMPUTED_VALUE&quot;&quot;&quot;),&quot;Digital Electronics&quot;)"/>
    <hyperlink ref="F25" r:id="rId24" display="=IFERROR(@__xludf.DUMMYFUNCTION(&quot;&quot;&quot;COMPUTED_VALUE&quot;&quot;&quot;),&quot;Basic Electrical, Electronics and Measurement Engineering&quot;)"/>
    <hyperlink ref="F26" r:id="rId25" display="=IFERROR(@__xludf.DUMMYFUNCTION(&quot;&quot;&quot;COMPUTED_VALUE&quot;&quot;&quot;),&quot;Programming Microcontrollers&quot;)"/>
    <hyperlink ref="F27" r:id="rId26" display="=IFERROR(@__xludf.DUMMYFUNCTION(&quot;&quot;&quot;COMPUTED_VALUE&quot;&quot;&quot;),&quot;Fundamentals of C Programming&quot;)"/>
    <hyperlink ref="F28" r:id="rId27" display="=IFERROR(@__xludf.DUMMYFUNCTION(&quot;&quot;&quot;COMPUTED_VALUE&quot;&quot;&quot;),&quot;Advanced C Programming&quot;)"/>
    <hyperlink ref="F29" r:id="rId28" display="=IFERROR(@__xludf.DUMMYFUNCTION(&quot;&quot;&quot;COMPUTED_VALUE&quot;&quot;&quot;),&quot;Fundamentals of Web Application Development&quot;)"/>
    <hyperlink ref="F30" r:id="rId29" display="=IFERROR(@__xludf.DUMMYFUNCTION(&quot;&quot;&quot;COMPUTED_VALUE&quot;&quot;&quot;),&quot;Operating System&quot;)"/>
    <hyperlink ref="F31" r:id="rId30" display="=IFERROR(@__xludf.DUMMYFUNCTION(&quot;&quot;&quot;COMPUTED_VALUE&quot;&quot;&quot;),&quot;Computer Networks&quot;)"/>
    <hyperlink ref="F33" r:id="rId31" display="=IFERROR(@__xludf.DUMMYFUNCTION(&quot;&quot;&quot;COMPUTED_VALUE&quot;&quot;&quot;),&quot;Data Structures&quot;)"/>
    <hyperlink ref="F34" r:id="rId32" display="=IFERROR(@__xludf.DUMMYFUNCTION(&quot;&quot;&quot;COMPUTED_VALUE&quot;&quot;&quot;),&quot;Analysis of Algorithms&quot;)"/>
    <hyperlink ref="F35" r:id="rId33" display="=IFERROR(@__xludf.DUMMYFUNCTION(&quot;&quot;&quot;COMPUTED_VALUE&quot;&quot;&quot;),&quot;Theory of Computation&quot;)"/>
    <hyperlink ref="F36" r:id="rId34" display="=IFERROR(@__xludf.DUMMYFUNCTION(&quot;&quot;&quot;COMPUTED_VALUE&quot;&quot;&quot;),&quot;Software Engineering&quot;)"/>
    <hyperlink ref="F37" r:id="rId35" display="=IFERROR(@__xludf.DUMMYFUNCTION(&quot;&quot;&quot;COMPUTED_VALUE&quot;&quot;&quot;),&quot;Fundamentals of Artificial Intelligence&quot;)"/>
    <hyperlink ref="F38" r:id="rId36" display="=IFERROR(@__xludf.DUMMYFUNCTION(&quot;&quot;&quot;COMPUTED_VALUE&quot;&quot;&quot;),&quot;Cloud Computing&quot;)"/>
    <hyperlink ref="F39" r:id="rId37" display="=IFERROR(@__xludf.DUMMYFUNCTION(&quot;&quot;&quot;COMPUTED_VALUE&quot;&quot;&quot;),&quot;Cryptography&quot;)"/>
    <hyperlink ref="F40" r:id="rId38" display="=IFERROR(@__xludf.DUMMYFUNCTION(&quot;&quot;&quot;COMPUTED_VALUE&quot;&quot;&quot;),&quot;Blockchain for Business&quot;)"/>
    <hyperlink ref="F41" r:id="rId39" display="=IFERROR(@__xludf.DUMMYFUNCTION(&quot;&quot;&quot;COMPUTED_VALUE&quot;&quot;&quot;),&quot;Cloud Security&quot;)"/>
    <hyperlink ref="F42" r:id="rId40" display="=IFERROR(@__xludf.DUMMYFUNCTION(&quot;&quot;&quot;COMPUTED_VALUE&quot;&quot;&quot;),&quot;Ethical Hacking Techniques&quot;)"/>
    <hyperlink ref="F43" r:id="rId41" display="=IFERROR(@__xludf.DUMMYFUNCTION(&quot;&quot;&quot;COMPUTED_VALUE&quot;&quot;&quot;),&quot;Cyber Law and Compliance&quot;)"/>
    <hyperlink ref="F44" r:id="rId37" display="=IFERROR(@__xludf.DUMMYFUNCTION(&quot;&quot;&quot;COMPUTED_VALUE&quot;&quot;&quot;),&quot;Digital Forensics and Digital Investigations&quot;)"/>
    <hyperlink ref="F45" r:id="rId42" display="=IFERROR(@__xludf.DUMMYFUNCTION(&quot;&quot;&quot;COMPUTED_VALUE&quot;&quot;&quot;),&quot;Computer Architecture&quot;)"/>
    <hyperlink ref="F46" r:id="rId43" display="=IFERROR(@__xludf.DUMMYFUNCTION(&quot;&quot;&quot;COMPUTED_VALUE&quot;&quot;&quot;),&quot;Fundamentals of Cryptocurrency&quot;)"/>
    <hyperlink ref="F47" r:id="rId44" display="=IFERROR(@__xludf.DUMMYFUNCTION(&quot;&quot;&quot;COMPUTED_VALUE&quot;&quot;&quot;),&quot;Information Security Intelligence and Analytics using Big Data&quot;)"/>
    <hyperlink ref="F48" r:id="rId45" display="=IFERROR(@__xludf.DUMMYFUNCTION(&quot;&quot;&quot;COMPUTED_VALUE&quot;&quot;&quot;),&quot;Prevention Methodology for Cybersecurity&quot;)"/>
    <hyperlink ref="F49" r:id="rId46" display="=IFERROR(@__xludf.DUMMYFUNCTION(&quot;&quot;&quot;COMPUTED_VALUE&quot;&quot;&quot;),&quot;Trusted Network Systems&quot;)"/>
    <hyperlink ref="F50" r:id="rId47" display="=IFERROR(@__xludf.DUMMYFUNCTION(&quot;&quot;&quot;COMPUTED_VALUE&quot;&quot;&quot;),&quot;Information Security and Access Control&quot;)"/>
    <hyperlink ref="F51" r:id="rId48" display="=IFERROR(@__xludf.DUMMYFUNCTION(&quot;&quot;&quot;COMPUTED_VALUE&quot;&quot;&quot;),&quot;Firewalls and Intrusion Detection System&quot;)"/>
    <hyperlink ref="F52" r:id="rId49" display="=IFERROR(@__xludf.DUMMYFUNCTION(&quot;&quot;&quot;COMPUTED_VALUE&quot;&quot;&quot;),&quot;Security Assessment and Risk Analysis&quot;)"/>
    <hyperlink ref="F53" r:id="rId50" display="=IFERROR(@__xludf.DUMMYFUNCTION(&quot;&quot;&quot;COMPUTED_VALUE&quot;&quot;&quot;),&quot;Steganography and Digital Watermarking&quot;)"/>
    <hyperlink ref="F54" r:id="rId51" display="=IFERROR(@__xludf.DUMMYFUNCTION(&quot;&quot;&quot;COMPUTED_VALUE&quot;&quot;&quot;),&quot;Secure Software Engineering&quot;)"/>
    <hyperlink ref="F55" r:id="rId52" display="=IFERROR(@__xludf.DUMMYFUNCTION(&quot;&quot;&quot;COMPUTED_VALUE&quot;&quot;&quot;),&quot;System Security&quot;)"/>
    <hyperlink ref="F56" r:id="rId53" display="=IFERROR(@__xludf.DUMMYFUNCTION(&quot;&quot;&quot;COMPUTED_VALUE&quot;&quot;&quot;),&quot;Hardware Security&quot;)"/>
    <hyperlink ref="F57" r:id="rId54" display="=IFERROR(@__xludf.DUMMYFUNCTION(&quot;&quot;&quot;COMPUTED_VALUE&quot;&quot;&quot;),&quot;Applied Artificial Intelligence&quot;)"/>
    <hyperlink ref="F59" r:id="rId55" display="=IFERROR(@__xludf.DUMMYFUNCTION(&quot;&quot;&quot;COMPUTED_VALUE&quot;&quot;&quot;),&quot;Special Topics in Artificial Intelligence&quot;)"/>
    <hyperlink ref="F60" r:id="rId56" display="=IFERROR(@__xludf.DUMMYFUNCTION(&quot;&quot;&quot;COMPUTED_VALUE&quot;&quot;&quot;),&quot;Computer Vision&quot;)"/>
    <hyperlink ref="F61" r:id="rId57" display="=IFERROR(@__xludf.DUMMYFUNCTION(&quot;&quot;&quot;COMPUTED_VALUE&quot;&quot;&quot;),&quot;Self Driving Car&quot;)"/>
    <hyperlink ref="F62" r:id="rId58" display="=IFERROR(@__xludf.DUMMYFUNCTION(&quot;&quot;&quot;COMPUTED_VALUE&quot;&quot;&quot;),&quot;Knowledge Engineering&quot;)"/>
    <hyperlink ref="F63" r:id="rId59" display="=IFERROR(@__xludf.DUMMYFUNCTION(&quot;&quot;&quot;COMPUTED_VALUE&quot;&quot;&quot;),&quot;Applied Natural Language Processing&quot;)"/>
    <hyperlink ref="F64" r:id="rId60" display="=IFERROR(@__xludf.DUMMYFUNCTION(&quot;&quot;&quot;COMPUTED_VALUE&quot;&quot;&quot;),&quot;Introduction to Machine Learning&quot;)"/>
    <hyperlink ref="F65" r:id="rId61" display="=IFERROR(@__xludf.DUMMYFUNCTION(&quot;&quot;&quot;COMPUTED_VALUE&quot;&quot;&quot;),&quot;Neural Networks&quot;)"/>
    <hyperlink ref="F67" r:id="rId62" display="=IFERROR(@__xludf.DUMMYFUNCTION(&quot;&quot;&quot;COMPUTED_VALUE&quot;&quot;&quot;),&quot;Deep Learning and its Applications&quot;)"/>
    <hyperlink ref="F68" r:id="rId63" display="=IFERROR(@__xludf.DUMMYFUNCTION(&quot;&quot;&quot;COMPUTED_VALUE&quot;&quot;&quot;),&quot;Expert Systems&quot;)"/>
    <hyperlink ref="F71" r:id="rId64" display="=IFERROR(@__xludf.DUMMYFUNCTION(&quot;&quot;&quot;COMPUTED_VALUE&quot;&quot;&quot;),&quot;Genetic Algorithms&quot;)"/>
    <hyperlink ref="F72" r:id="rId65" display="=IFERROR(@__xludf.DUMMYFUNCTION(&quot;&quot;&quot;COMPUTED_VALUE&quot;&quot;&quot;),&quot;Statistical Learning Theory&quot;)"/>
    <hyperlink ref="F73" r:id="rId66" display="=IFERROR(@__xludf.DUMMYFUNCTION(&quot;&quot;&quot;COMPUTED_VALUE&quot;&quot;&quot;),&quot;Introduction to Robotics&quot;)"/>
    <hyperlink ref="F74" r:id="rId67" display="=IFERROR(@__xludf.DUMMYFUNCTION(&quot;&quot;&quot;COMPUTED_VALUE&quot;&quot;&quot;),&quot;Kinematics and Dynamics of Robots&quot;)"/>
    <hyperlink ref="F75" r:id="rId68" display="=IFERROR(@__xludf.DUMMYFUNCTION(&quot;&quot;&quot;COMPUTED_VALUE&quot;&quot;&quot;),&quot;Robotic Sensors&quot;)"/>
    <hyperlink ref="F76" r:id="rId69" display="=IFERROR(@__xludf.DUMMYFUNCTION(&quot;&quot;&quot;COMPUTED_VALUE&quot;&quot;&quot;),&quot;Control of Robotic Systems&quot;)"/>
    <hyperlink ref="F77" r:id="rId70" display="=IFERROR(@__xludf.DUMMYFUNCTION(&quot;&quot;&quot;COMPUTED_VALUE&quot;&quot;&quot;),&quot;Concepts of Virtual And Augmented Reality&quot;)"/>
    <hyperlink ref="F78" r:id="rId71" display="=IFERROR(@__xludf.DUMMYFUNCTION(&quot;&quot;&quot;COMPUTED_VALUE&quot;&quot;&quot;),&quot;Mobile VR And AI In Unity&quot;)"/>
    <hyperlink ref="F79" r:id="rId72" display="=IFERROR(@__xludf.DUMMYFUNCTION(&quot;&quot;&quot;COMPUTED_VALUE&quot;&quot;&quot;),&quot;Game Programming&quot;)"/>
    <hyperlink ref="F80" r:id="rId73" display="=IFERROR(@__xludf.DUMMYFUNCTION(&quot;&quot;&quot;COMPUTED_VALUE&quot;&quot;&quot;),&quot;Computer Graphics for Virtual Reality&quot;)"/>
    <hyperlink ref="F81" r:id="rId74" display="=IFERROR(@__xludf.DUMMYFUNCTION(&quot;&quot;&quot;COMPUTED_VALUE&quot;&quot;&quot;),&quot;Motion Planning Techniques&quot;)"/>
    <hyperlink ref="F82" r:id="rId75" display="=IFERROR(@__xludf.DUMMYFUNCTION(&quot;&quot;&quot;COMPUTED_VALUE&quot;&quot;&quot;),&quot;Robot Programming&quot;)"/>
    <hyperlink ref="F83" r:id="rId76" display="=IFERROR(@__xludf.DUMMYFUNCTION(&quot;&quot;&quot;COMPUTED_VALUE&quot;&quot;&quot;),&quot;Drone Assembly and Applications&quot;)"/>
    <hyperlink ref="F84" r:id="rId77" display="=IFERROR(@__xludf.DUMMYFUNCTION(&quot;&quot;&quot;COMPUTED_VALUE&quot;&quot;&quot;),&quot;Artificial Intelligence for Games&quot;)"/>
    <hyperlink ref="F85" r:id="rId78" display="=IFERROR(@__xludf.DUMMYFUNCTION(&quot;&quot;&quot;COMPUTED_VALUE&quot;&quot;&quot;),&quot;Drone Design and Control&quot;)"/>
    <hyperlink ref="F86" r:id="rId79" display="=IFERROR(@__xludf.DUMMYFUNCTION(&quot;&quot;&quot;COMPUTED_VALUE&quot;&quot;&quot;),&quot;Mobile User Interface Development&quot;)"/>
    <hyperlink ref="F87" r:id="rId80" display="=IFERROR(@__xludf.DUMMYFUNCTION(&quot;&quot;&quot;COMPUTED_VALUE&quot;&quot;&quot;),&quot;Programming Mobile Devices&quot;)"/>
    <hyperlink ref="F88" r:id="rId81" display="=IFERROR(@__xludf.DUMMYFUNCTION(&quot;&quot;&quot;COMPUTED_VALUE&quot;&quot;&quot;),&quot;Modern Web Application Development&quot;)"/>
    <hyperlink ref="F89" r:id="rId82" display="=IFERROR(@__xludf.DUMMYFUNCTION(&quot;&quot;&quot;COMPUTED_VALUE&quot;&quot;&quot;),&quot;Web Server Programming&quot;)"/>
    <hyperlink ref="F90" r:id="rId83" display="=IFERROR(@__xludf.DUMMYFUNCTION(&quot;&quot;&quot;COMPUTED_VALUE&quot;&quot;&quot;),&quot;Web Application User Interface Development&quot;)"/>
    <hyperlink ref="F91" r:id="rId84" display="=IFERROR(@__xludf.DUMMYFUNCTION(&quot;&quot;&quot;COMPUTED_VALUE&quot;&quot;&quot;),&quot;Advanced Java Web Applications&quot;)"/>
    <hyperlink ref="F92" r:id="rId85" display="=IFERROR(@__xludf.DUMMYFUNCTION(&quot;&quot;&quot;COMPUTED_VALUE&quot;&quot;&quot;),&quot;Introduction to Data Science&quot;)"/>
    <hyperlink ref="F93" r:id="rId86" display="=IFERROR(@__xludf.DUMMYFUNCTION(&quot;&quot;&quot;COMPUTED_VALUE&quot;&quot;&quot;),&quot;Scientific and Engineering Data Visualization&quot;)"/>
    <hyperlink ref="F94" r:id="rId87" display="=IFERROR(@__xludf.DUMMYFUNCTION(&quot;&quot;&quot;COMPUTED_VALUE&quot;&quot;&quot;),&quot;Big Data Mining and Analysis&quot;)"/>
    <hyperlink ref="F95" r:id="rId88" display="=IFERROR(@__xludf.DUMMYFUNCTION(&quot;&quot;&quot;COMPUTED_VALUE&quot;&quot;&quot;),&quot;Business Analytics&quot;)"/>
    <hyperlink ref="F97" r:id="rId89" display="=IFERROR(@__xludf.DUMMYFUNCTION(&quot;&quot;&quot;COMPUTED_VALUE&quot;&quot;&quot;),&quot;Introduction to IoT&quot;)"/>
    <hyperlink ref="F98" r:id="rId90" display="=IFERROR(@__xludf.DUMMYFUNCTION(&quot;&quot;&quot;COMPUTED_VALUE&quot;&quot;&quot;),&quot;Prototyping of IoT Systems&quot;)"/>
    <hyperlink ref="F99" r:id="rId91" display="=IFERROR(@__xludf.DUMMYFUNCTION(&quot;&quot;&quot;COMPUTED_VALUE&quot;&quot;&quot;),&quot;Edge Computing&quot;)"/>
    <hyperlink ref="F100" r:id="rId92" display="=IFERROR(@__xludf.DUMMYFUNCTION(&quot;&quot;&quot;COMPUTED_VALUE&quot;&quot;&quot;),&quot;Industrial Internet of Things&quot;)"/>
    <hyperlink ref="F101" r:id="rId93" display="=IFERROR(@__xludf.DUMMYFUNCTION(&quot;&quot;&quot;COMPUTED_VALUE&quot;&quot;&quot;),&quot;Security for IoT Systems&quot;)"/>
    <hyperlink ref="F102" r:id="rId94" display="=IFERROR(@__xludf.DUMMYFUNCTION(&quot;&quot;&quot;COMPUTED_VALUE&quot;&quot;&quot;),&quot;Ad Hoc and Wireless Sensor Networks&quot;)"/>
    <hyperlink ref="F103" r:id="rId95" display="=IFERROR(@__xludf.DUMMYFUNCTION(&quot;&quot;&quot;COMPUTED_VALUE&quot;&quot;&quot;),&quot;Fog Computing&quot;)"/>
    <hyperlink ref="F104" r:id="rId96" display="=IFERROR(@__xludf.DUMMYFUNCTION(&quot;&quot;&quot;COMPUTED_VALUE&quot;&quot;&quot;),&quot;Sensors and Actuators for IoT&quot;)"/>
    <hyperlink ref="F105" r:id="rId97" display="=IFERROR(@__xludf.DUMMYFUNCTION(&quot;&quot;&quot;COMPUTED_VALUE&quot;&quot;&quot;),&quot;Embedded Board Design&quot;)"/>
    <hyperlink ref="F106" r:id="rId45" display="=IFERROR(@__xludf.DUMMYFUNCTION(&quot;&quot;&quot;COMPUTED_VALUE&quot;&quot;&quot;),&quot;Embedded Board Manufacturing&quot;)"/>
    <hyperlink ref="F107" r:id="rId98" display="=IFERROR(@__xludf.DUMMYFUNCTION(&quot;&quot;&quot;COMPUTED_VALUE&quot;&quot;&quot;),&quot;Realtime Operating System&quot;)"/>
    <hyperlink ref="F108" r:id="rId99" display="=IFERROR(@__xludf.DUMMYFUNCTION(&quot;&quot;&quot;COMPUTED_VALUE&quot;&quot;&quot;),&quot;Open Source Operating System&quot;)"/>
    <hyperlink ref="F109" r:id="rId100" display="=IFERROR(@__xludf.DUMMYFUNCTION(&quot;&quot;&quot;COMPUTED_VALUE&quot;&quot;&quot;),&quot;Kernel Programming&quot;)"/>
    <hyperlink ref="F110" r:id="rId101" display="=IFERROR(@__xludf.DUMMYFUNCTION(&quot;&quot;&quot;COMPUTED_VALUE&quot;&quot;&quot;),&quot;Mathematical Modelling and Computer Aided Engineering&quot;)"/>
    <hyperlink ref="F111" r:id="rId102" display="=IFERROR(@__xludf.DUMMYFUNCTION(&quot;&quot;&quot;COMPUTED_VALUE&quot;&quot;&quot;),&quot;Agile Software Development&quot;)"/>
    <hyperlink ref="F112" r:id="rId103" display="=IFERROR(@__xludf.DUMMYFUNCTION(&quot;&quot;&quot;COMPUTED_VALUE&quot;&quot;&quot;),&quot;Software Testing&quot;)"/>
    <hyperlink ref="F113" r:id="rId104" display="=IFERROR(@__xludf.DUMMYFUNCTION(&quot;&quot;&quot;COMPUTED_VALUE&quot;&quot;&quot;),&quot;Virtualization and Containerization&quot;)"/>
    <hyperlink ref="F114" r:id="rId105" display="=IFERROR(@__xludf.DUMMYFUNCTION(&quot;&quot;&quot;COMPUTED_VALUE&quot;&quot;&quot;),&quot;Advanced Graph Theory and Applications&quot;)"/>
    <hyperlink ref="F115" r:id="rId106" display="=IFERROR(@__xludf.DUMMYFUNCTION(&quot;&quot;&quot;COMPUTED_VALUE&quot;&quot;&quot;),&quot;Advanced Data Structures&quot;)"/>
    <hyperlink ref="F117" r:id="rId107" display="=IFERROR(@__xludf.DUMMYFUNCTION(&quot;&quot;&quot;COMPUTED_VALUE&quot;&quot;&quot;),&quot;Smart Manufacturing Technology&quot;)"/>
    <hyperlink ref="F118" r:id="rId108" display="=IFERROR(@__xludf.DUMMYFUNCTION(&quot;&quot;&quot;COMPUTED_VALUE&quot;&quot;&quot;),&quot;Information Retrieval&quot;)"/>
    <hyperlink ref="F119" r:id="rId109" display="=IFERROR(@__xludf.DUMMYFUNCTION(&quot;&quot;&quot;COMPUTED_VALUE&quot;&quot;&quot;),&quot;NoSQL Database Design&quot;)"/>
    <hyperlink ref="F120" r:id="rId110" display="=IFERROR(@__xludf.DUMMYFUNCTION(&quot;&quot;&quot;COMPUTED_VALUE&quot;&quot;&quot;),&quot;Cognitive Systems&quot;)"/>
    <hyperlink ref="F121" r:id="rId111" display="=IFERROR(@__xludf.DUMMYFUNCTION(&quot;&quot;&quot;COMPUTED_VALUE&quot;&quot;&quot;),&quot;Distributed Database&quot;)"/>
    <hyperlink ref="F122" r:id="rId112" display="=IFERROR(@__xludf.DUMMYFUNCTION(&quot;&quot;&quot;COMPUTED_VALUE&quot;&quot;&quot;),&quot;Data Mining and Warehousing&quot;)"/>
    <hyperlink ref="F123" r:id="rId113" display="=IFERROR(@__xludf.DUMMYFUNCTION(&quot;&quot;&quot;COMPUTED_VALUE&quot;&quot;&quot;),&quot;Mobile Database&quot;)"/>
    <hyperlink ref="F124" r:id="rId114" display="=IFERROR(@__xludf.DUMMYFUNCTION(&quot;&quot;&quot;COMPUTED_VALUE&quot;&quot;&quot;),&quot;Multimedia Database&quot;)"/>
    <hyperlink ref="F125" r:id="rId115" display="=IFERROR(@__xludf.DUMMYFUNCTION(&quot;&quot;&quot;COMPUTED_VALUE&quot;&quot;&quot;),&quot;Video Processing&quot;)"/>
    <hyperlink ref="F126" r:id="rId116" display="=IFERROR(@__xludf.DUMMYFUNCTION(&quot;&quot;&quot;COMPUTED_VALUE&quot;&quot;&quot;),&quot;Digital Image Processing Techniques&quot;)"/>
    <hyperlink ref="F127" r:id="rId117" display="=IFERROR(@__xludf.DUMMYFUNCTION(&quot;&quot;&quot;COMPUTED_VALUE&quot;&quot;&quot;),&quot;Parallel Computing Architecture&quot;)"/>
    <hyperlink ref="F128" r:id="rId118" display="=IFERROR(@__xludf.DUMMYFUNCTION(&quot;&quot;&quot;COMPUTED_VALUE&quot;&quot;&quot;),&quot;Web Data Mining&quot;)"/>
    <hyperlink ref="F129" r:id="rId119" display="=IFERROR(@__xludf.DUMMYFUNCTION(&quot;&quot;&quot;COMPUTED_VALUE&quot;&quot;&quot;),&quot;Cloud Native App Development&quot;)"/>
    <hyperlink ref="F131" r:id="rId120" display="=IFERROR(@__xludf.DUMMYFUNCTION(&quot;&quot;&quot;COMPUTED_VALUE&quot;&quot;&quot;),&quot;Core Computing Concepts&quot;)"/>
    <hyperlink ref="F132" r:id="rId121" display="=IFERROR(@__xludf.DUMMYFUNCTION(&quot;&quot;&quot;COMPUTED_VALUE&quot;&quot;&quot;),&quot;Distributed Computing&quot;)"/>
    <hyperlink ref="F133" r:id="rId122" display="=IFERROR(@__xludf.DUMMYFUNCTION(&quot;&quot;&quot;COMPUTED_VALUE&quot;&quot;&quot;),&quot;Information Theory and Coding Techniques&quot;)"/>
    <hyperlink ref="F134" r:id="rId123" display="=IFERROR(@__xludf.DUMMYFUNCTION(&quot;&quot;&quot;COMPUTED_VALUE&quot;&quot;&quot;),&quot;Enterprise Resource Planning&quot;)"/>
    <hyperlink ref="F135" r:id="rId124" display="=IFERROR(@__xludf.DUMMYFUNCTION(&quot;&quot;&quot;COMPUTED_VALUE&quot;&quot;&quot;),&quot;User Interface Design&quot;)"/>
    <hyperlink ref="F136" r:id="rId125" display="=IFERROR(@__xludf.DUMMYFUNCTION(&quot;&quot;&quot;COMPUTED_VALUE&quot;&quot;&quot;),&quot;Information Storage Management&quot;)"/>
    <hyperlink ref="F137" r:id="rId126" display="=IFERROR(@__xludf.DUMMYFUNCTION(&quot;&quot;&quot;COMPUTED_VALUE&quot;&quot;&quot;),&quot;Software Design Patterns&quot;)"/>
    <hyperlink ref="F138" r:id="rId127" display="=IFERROR(@__xludf.DUMMYFUNCTION(&quot;&quot;&quot;COMPUTED_VALUE&quot;&quot;&quot;),&quot;E-Learning Techniques&quot;)"/>
    <hyperlink ref="F139" r:id="rId128" display="=IFERROR(@__xludf.DUMMYFUNCTION(&quot;&quot;&quot;COMPUTED_VALUE&quot;&quot;&quot;),&quot;TCP/IP Design and Implementation&quot;)"/>
    <hyperlink ref="F140" r:id="rId129" display="=IFERROR(@__xludf.DUMMYFUNCTION(&quot;&quot;&quot;COMPUTED_VALUE&quot;&quot;&quot;),&quot;Advanced Algorithms&quot;)"/>
    <hyperlink ref="F141" r:id="rId130" display="=IFERROR(@__xludf.DUMMYFUNCTION(&quot;&quot;&quot;COMPUTED_VALUE&quot;&quot;&quot;),&quot;Ethical Hacking&quot;)"/>
    <hyperlink ref="F142" r:id="rId131" display="=IFERROR(@__xludf.DUMMYFUNCTION(&quot;&quot;&quot;COMPUTED_VALUE&quot;&quot;&quot;),&quot;DHTML and XML&quot;)"/>
    <hyperlink ref="F143" r:id="rId132" display="=IFERROR(@__xludf.DUMMYFUNCTION(&quot;&quot;&quot;COMPUTED_VALUE&quot;&quot;&quot;),&quot;E-Commerce&quot;)"/>
    <hyperlink ref="F144" r:id="rId133" display="=IFERROR(@__xludf.DUMMYFUNCTION(&quot;&quot;&quot;COMPUTED_VALUE&quot;&quot;&quot;),&quot;Free Open Source Software&quot;)"/>
    <hyperlink ref="F145" r:id="rId134" display="=IFERROR(@__xludf.DUMMYFUNCTION(&quot;&quot;&quot;COMPUTED_VALUE&quot;&quot;&quot;),&quot;Real Time Operating Systems&quot;)"/>
    <hyperlink ref="F146" r:id="rId135" display="=IFERROR(@__xludf.DUMMYFUNCTION(&quot;&quot;&quot;COMPUTED_VALUE&quot;&quot;&quot;),&quot;Software Agents&quot;)"/>
    <hyperlink ref="F147" r:id="rId118" display="=IFERROR(@__xludf.DUMMYFUNCTION(&quot;&quot;&quot;COMPUTED_VALUE&quot;&quot;&quot;),&quot;Web Data Mining&quot;)"/>
    <hyperlink ref="F149" r:id="rId120" display="=IFERROR(@__xludf.DUMMYFUNCTION(&quot;&quot;&quot;COMPUTED_VALUE&quot;&quot;&quot;),&quot;Core Computing Concepts&quot;)"/>
    <hyperlink ref="F150" r:id="rId136" display="=IFERROR(@__xludf.DUMMYFUNCTION(&quot;&quot;&quot;COMPUTED_VALUE&quot;&quot;&quot;),&quot;Business Intelligence and Analytics&quot;)"/>
    <hyperlink ref="F151" r:id="rId43" display="=IFERROR(@__xludf.DUMMYFUNCTION(&quot;&quot;&quot;COMPUTED_VALUE&quot;&quot;&quot;),&quot;Fundamentals of Cryptocurrency&quot;)"/>
    <hyperlink ref="F154" r:id="rId75" display="=IFERROR(@__xludf.DUMMYFUNCTION(&quot;&quot;&quot;COMPUTED_VALUE&quot;&quot;&quot;),&quot;Robot Programming&quot;)"/>
    <hyperlink ref="F155" r:id="rId76" display="=IFERROR(@__xludf.DUMMYFUNCTION(&quot;&quot;&quot;COMPUTED_VALUE&quot;&quot;&quot;),&quot;Drone Assembly and Applications&quot;)"/>
    <hyperlink ref="F156" r:id="rId78" display="=IFERROR(@__xludf.DUMMYFUNCTION(&quot;&quot;&quot;COMPUTED_VALUE&quot;&quot;&quot;),&quot;Drone Design and Control&quot;)"/>
    <hyperlink ref="F157" r:id="rId83" display="=IFERROR(@__xludf.DUMMYFUNCTION(&quot;&quot;&quot;COMPUTED_VALUE&quot;&quot;&quot;),&quot;Web Application User Interface Development&quot;)"/>
    <hyperlink ref="F158" r:id="rId137" display="=IFERROR(@__xludf.DUMMYFUNCTION(&quot;&quot;&quot;COMPUTED_VALUE&quot;&quot;&quot;),&quot;Fundamentals of Large Language Models&quot;)"/>
    <hyperlink ref="F161" r:id="rId138" display="=IFERROR(@__xludf.DUMMYFUNCTION(&quot;&quot;&quot;COMPUTED_VALUE&quot;&quot;&quot;),&quot;Exploratory Data Analysis&quot;)"/>
    <hyperlink ref="F162" r:id="rId139" display="=IFERROR(@__xludf.DUMMYFUNCTION(&quot;&quot;&quot;COMPUTED_VALUE&quot;&quot;&quot;),&quot;Image and Video Analytics&quot;)"/>
    <hyperlink ref="F163" r:id="rId140" display="=IFERROR(@__xludf.DUMMYFUNCTION(&quot;&quot;&quot;COMPUTED_VALUE&quot;&quot;&quot;),&quot;Neural Networks and Deep Learning&quot;)"/>
    <hyperlink ref="F164" r:id="rId141" display="=IFERROR(@__xludf.DUMMYFUNCTION(&quot;&quot;&quot;COMPUTED_VALUE&quot;&quot;&quot;),&quot;Recommender Systems&quot;)"/>
    <hyperlink ref="F165" r:id="rId142" display="=IFERROR(@__xludf.DUMMYFUNCTION(&quot;&quot;&quot;COMPUTED_VALUE&quot;&quot;&quot;),&quot;Text and Speech Analysis&quot;)"/>
    <hyperlink ref="F168" r:id="rId143" display="=IFERROR(@__xludf.DUMMYFUNCTION(&quot;&quot;&quot;COMPUTED_VALUE&quot;&quot;&quot;),&quot;Mini Project&quot;)"/>
    <hyperlink ref="F169" r:id="rId144" display="=IFERROR(@__xludf.DUMMYFUNCTION(&quot;&quot;&quot;COMPUTED_VALUE&quot;&quot;&quot;),&quot;Project Work I&quot;)"/>
    <hyperlink ref="F170" r:id="rId145" display="=IFERROR(@__xludf.DUMMYFUNCTION(&quot;&quot;&quot;COMPUTED_VALUE&quot;&quot;&quot;),&quot;Project Work II&quot;)"/>
    <hyperlink ref="F171" r:id="rId146" display="=IFERROR(@__xludf.DUMMYFUNCTION(&quot;&quot;&quot;COMPUTED_VALUE&quot;&quot;&quot;),&quot;Softskills&quot;)"/>
    <hyperlink ref="F172" r:id="rId147" display="=IFERROR(@__xludf.DUMMYFUNCTION(&quot;&quot;&quot;COMPUTED_VALUE&quot;&quot;&quot;),&quot;Career Development Skills&quot;)"/>
    <hyperlink ref="F173" r:id="rId148" display="=IFERROR(@__xludf.DUMMYFUNCTION(&quot;&quot;&quot;COMPUTED_VALUE&quot;&quot;&quot;),&quot;Creative Skills for Communication&quot;)"/>
    <hyperlink ref="F174" r:id="rId149" display="=IFERROR(@__xludf.DUMMYFUNCTION(&quot;&quot;&quot;COMPUTED_VALUE&quot;&quot;&quot;),&quot;Reasoning Ability&quot;)"/>
    <hyperlink ref="F175" r:id="rId150" display="=IFERROR(@__xludf.DUMMYFUNCTION(&quot;&quot;&quot;COMPUTED_VALUE&quot;&quot;&quot;),&quot;System of Numerical and Logical Terminologies&quot;)"/>
    <hyperlink ref="F176" r:id="rId151" display="=IFERROR(@__xludf.DUMMYFUNCTION(&quot;&quot;&quot;COMPUTED_VALUE&quot;&quot;&quot;),&quot;Advanced Quantitative and Logical Reasoning&quot;)"/>
    <hyperlink ref="F177" r:id="rId152" display="=IFERROR(@__xludf.DUMMYFUNCTION(&quot;&quot;&quot;COMPUTED_VALUE&quot;&quot;&quot;),&quot;Quantitative Ability I&quot;)"/>
    <hyperlink ref="F178" r:id="rId153" display="=IFERROR(@__xludf.DUMMYFUNCTION(&quot;&quot;&quot;COMPUTED_VALUE&quot;&quot;&quot;),&quot;Quantitative Ability II&quot;)"/>
    <hyperlink ref="F179" r:id="rId154" display="=IFERROR(@__xludf.DUMMYFUNCTION(&quot;&quot;&quot;COMPUTED_VALUE&quot;&quot;&quot;),&quot;Employment Enhancement Skills&quot;)"/>
    <hyperlink ref="F180" r:id="rId155" display="=IFERROR(@__xludf.DUMMYFUNCTION(&quot;&quot;&quot;COMPUTED_VALUE&quot;&quot;&quot;),&quot;Employment Enrichment Skills&quot;)"/>
    <hyperlink ref="F181" r:id="rId156" display="=IFERROR(@__xludf.DUMMYFUNCTION(&quot;&quot;&quot;COMPUTED_VALUE&quot;&quot;&quot;),&quot;Company Specific Assessments For Employability&quot;)"/>
    <hyperlink ref="F182" r:id="rId157" display="=IFERROR(@__xludf.DUMMYFUNCTION(&quot;&quot;&quot;COMPUTED_VALUE&quot;&quot;&quot;),&quot;Placement Readiness Assessment&quot;)"/>
    <hyperlink ref="F183" r:id="rId158" display="=IFERROR(@__xludf.DUMMYFUNCTION(&quot;&quot;&quot;COMPUTED_VALUE&quot;&quot;&quot;),&quot;Paper Publication&quot;)"/>
    <hyperlink ref="F184" r:id="rId159" display="=IFERROR(@__xludf.DUMMYFUNCTION(&quot;&quot;&quot;COMPUTED_VALUE&quot;&quot;&quot;),&quot;Professional Ethics&quot;)"/>
    <hyperlink ref="F185" r:id="rId160" display="=IFERROR(@__xludf.DUMMYFUNCTION(&quot;&quot;&quot;COMPUTED_VALUE&quot;&quot;&quot;),&quot;Environmental Science&quot;)"/>
    <hyperlink ref="F186" r:id="rId161" display="=IFERROR(@__xludf.DUMMYFUNCTION(&quot;&quot;&quot;COMPUTED_VALUE&quot;&quot;&quot;),&quot;Constitution of India&quot;)"/>
    <hyperlink ref="F188" r:id="rId162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880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IMPORTRANGE(""https://docs.google.com/spreadsheets/d/1UvPg-G_Bj-UNhLC2uL8tntfYsnld_PABqE3impzOchM/edCSE(CS)"", ""R2024-CSE(CS)!A:A""),
IMPORTRANGE(""https://docs.google.com/spreadsheets/d/1UvPg-G_Bj-UNhLC2uL8tntfYsnld_PABqE3impzOchM/edCSE(C"&amp;"S)"", ""R2024-CSE(CS)!D:D""),
IMPORTRANGE(""https://docs.google.com/spreadsheets/d/1UvPg-G_Bj-UNhLC2uL8tntfYsnld_PABqE3impzOchM/edCSE(CS)"", ""R2024-CSE(CS)!E:E""),
IMPORTRANGE(""https://docs.google.com/spreadsheets/d/1UvPg-G_Bj-UNhLC2uL8tntfYsnld_PABqE3i"&amp;"mpzOchM/edCSE(CS)"", ""R2024-CSE(CS)!F:F""),
IMPORTRANGE(""https://docs.google.com/spreadsheets/d/1UvPg-G_Bj-UNhLC2uL8tntfYsnld_PABqE3impzOchM/edCSE(CS)"", ""R2024-CSE(CS)!G:G""),
IMPORTRANGE(""https://docs.google.com/spreadsheets/d/1UvPg-G_Bj-UNhLC2uL8tn"&amp;"tfYsnld_PABqE3impzOchM/edCSE(CS)"", ""R2024-CSE(CS)!I:I""),
IMPORTRANGE(""https://docs.google.com/spreadsheets/d/1UvPg-G_Bj-UNhLC2uL8tntfYsnld_PABqE3impzOchM/edCSE(CS)"", ""R2024-CSE(CS)!N:N""),
IMPORTRANGE(""https://docs.google.com/spreadsheets/d/1UvPg-G"&amp;"_Bj-UNhLC2uL8tntfYsnld_PABqE3impzOchM/edCSE(CS)"", ""R2024-CSE(CS)!O:O""),
IMPORTRANGE(""https://docs.google.com/spreadsheets/d/1UvPg-G_Bj-UNhLC2uL8tntfYsnld_PABqE3impzOchM/edCSE(CS)"", ""R2024-CSE(CS)!P:P""),
IMPORTRANGE(""https://docs.google.com/spreads"&amp;"heets/d/1UvPg-G_Bj-UNhLC2uL8tntfYsnld_PABqE3impzOchM/edCSE(CS)"", ""R2024-CSE(CS)!Q:Q""),
IMPORTRANGE(""https://docs.google.com/spreadsheets/d/1UvPg-G_Bj-UNhLC2uL8tntfYsnld_PABqE3impzOchM/edCSE(CS)"", ""R2024-CSE(CS)!R:R""),
IMPORTRANGE(""https://docs.goo"&amp;"gle.com/spreadsheets/d/1UvPg-G_Bj-UNhLC2uL8tntfYsnld_PABqE3impzOchM/edCSE(CS)"", ""R2024-CSE(CS)!S:S""),
IMPORTRANGE(""https://docs.google.com/spreadsheets/d/1UvPg-G_Bj-UNhLC2uL8tntfYsnld_PABqE3impzOchM/edCSE(CS)"", ""R2024-CSE(CS)!V:V""),
IMPORTRANGE(""h"&amp;"ttps://docs.google.com/spreadsheets/d/1UvPg-G_Bj-UNhLC2uL8tntfYsnld_PABqE3impzOchM/edCSE(CS)"", ""R2024-CSE(CS)!X:X""),
IMPORTRANGE(""https://docs.google.com/spreadsheets/d/1UvPg-G_Bj-UNhLC2uL8tntfYsnld_PABqE3impzOchM/edCSE(CS)"", ""R2024-CSE(CS)!Y:Y"")
}"&amp;")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IFERROR(__xludf.DUMMYFUNCTION("""COMPUTED_VALUE"""),14)</f>
        <v>14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IFERROR(__xludf.DUMMYFUNCTION("""COMPUTED_VALUE"""),18)</f>
        <v>18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IFERROR(__xludf.DUMMYFUNCTION("""COMPUTED_VALUE"""),28)</f>
        <v>28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IFERROR(__xludf.DUMMYFUNCTION("""COMPUTED_VALUE"""),47)</f>
        <v>47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IFERROR(__xludf.DUMMYFUNCTION("""COMPUTED_VALUE"""),16)</f>
        <v>16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IFERROR(__xludf.DUMMYFUNCTION("""COMPUTED_VALUE"""),4)</f>
        <v>4</v>
      </c>
      <c r="O10" s="20">
        <f>IFERROR(__xludf.DUMMYFUNCTION("""COMPUTED_VALUE"""),4)</f>
        <v>4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IFERROR(__xludf.DUMMYFUNCTION("""COMPUTED_VALUE"""),"SH7801")</f>
        <v>SH7801</v>
      </c>
      <c r="E11" s="2" t="str">
        <f>IFERROR(__xludf.DUMMYFUNCTION("""COMPUTED_VALUE"""),"NA")</f>
        <v>NA</v>
      </c>
      <c r="F11" s="7" t="str">
        <f>IFERROR(__xludf.DUMMYFUNCTION("""COMPUTED_VALUE"""),"Human Values and Professional Ethics")</f>
        <v>Human Values and Professional Ethics</v>
      </c>
      <c r="G11" s="2" t="str">
        <f>IFERROR(__xludf.DUMMYFUNCTION("""COMPUTED_VALUE"""),"-")</f>
        <v>-</v>
      </c>
      <c r="H11" s="2">
        <f>IFERROR(__xludf.DUMMYFUNCTION("""COMPUTED_VALUE"""),2)</f>
        <v>2</v>
      </c>
      <c r="I11" s="2">
        <f>IFERROR(__xludf.DUMMYFUNCTION("""COMPUTED_VALUE"""),0)</f>
        <v>0</v>
      </c>
      <c r="J11" s="2">
        <f>IFERROR(__xludf.DUMMYFUNCTION("""COMPUTED_VALUE"""),2)</f>
        <v>2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IFERROR(__xludf.DUMMYFUNCTION("""COMPUTED_VALUE"""),171)</f>
        <v>171</v>
      </c>
      <c r="O11" s="23">
        <f>IFERROR(__xludf.DUMMYFUNCTION("""COMPUTED_VALUE"""),128)</f>
        <v>128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IFERROR(__xludf.DUMMYFUNCTION("""COMPUTED_VALUE"""),"SH2222")</f>
        <v>SH2222</v>
      </c>
      <c r="E12" s="2" t="str">
        <f>IFERROR(__xludf.DUMMYFUNCTION("""COMPUTED_VALUE"""),"19MA222")</f>
        <v>19MA222</v>
      </c>
      <c r="F12" s="7" t="str">
        <f>IFERROR(__xludf.DUMMYFUNCTION("""COMPUTED_VALUE"""),"Probability and Queueing Models")</f>
        <v>Probability and Queueing Models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IFERROR(__xludf.DUMMYFUNCTION("""COMPUTED_VALUE"""),"SH2212")</f>
        <v>SH2212</v>
      </c>
      <c r="E13" s="2" t="str">
        <f>IFERROR(__xludf.DUMMYFUNCTION("""COMPUTED_VALUE"""),"19MA212")</f>
        <v>19MA212</v>
      </c>
      <c r="F13" s="7" t="str">
        <f>IFERROR(__xludf.DUMMYFUNCTION("""COMPUTED_VALUE"""),"Algebra and Number Theory")</f>
        <v>Algebra and Number Theory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IFERROR(__xludf.DUMMYFUNCTION("""COMPUTED_VALUE"""),"SH2220")</f>
        <v>SH2220</v>
      </c>
      <c r="E14" s="2" t="str">
        <f>IFERROR(__xludf.DUMMYFUNCTION("""COMPUTED_VALUE"""),"19MA220")</f>
        <v>19MA220</v>
      </c>
      <c r="F14" s="7" t="str">
        <f>IFERROR(__xludf.DUMMYFUNCTION("""COMPUTED_VALUE"""),"Mathematics for Artificial Intelligence")</f>
        <v>Mathematics for Artificial Intelligence</v>
      </c>
      <c r="G14" s="2" t="str">
        <f>IFERROR(__xludf.DUMMYFUNCTION("""COMPUTED_VALUE"""),"-")</f>
        <v>-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IFERROR(__xludf.DUMMYFUNCTION("""COMPUTED_VALUE"""),"SH2221")</f>
        <v>SH2221</v>
      </c>
      <c r="E15" s="2" t="str">
        <f>IFERROR(__xludf.DUMMYFUNCTION("""COMPUTED_VALUE"""),"19MA221")</f>
        <v>19MA221</v>
      </c>
      <c r="F15" s="7" t="str">
        <f>IFERROR(__xludf.DUMMYFUNCTION("""COMPUTED_VALUE"""),"Linear Algebra Laboratory")</f>
        <v>Linear Algebra Laboratory</v>
      </c>
      <c r="G15" s="2" t="str">
        <f>IFERROR(__xludf.DUMMYFUNCTION("""COMPUTED_VALUE"""),"-")</f>
        <v>-</v>
      </c>
      <c r="H15" s="2">
        <f>IFERROR(__xludf.DUMMYFUNCTION("""COMPUTED_VALUE"""),0)</f>
        <v>0</v>
      </c>
      <c r="I15" s="2">
        <f>IFERROR(__xludf.DUMMYFUNCTION("""COMPUTED_VALUE"""),2)</f>
        <v>2</v>
      </c>
      <c r="J15" s="2">
        <f>IFERROR(__xludf.DUMMYFUNCTION("""COMPUTED_VALUE"""),2)</f>
        <v>2</v>
      </c>
      <c r="K15" s="2" t="str">
        <f>IFERROR(__xludf.DUMMYFUNCTION("""COMPUTED_VALUE"""),"CGPA")</f>
        <v>CGPA</v>
      </c>
      <c r="L15" s="2" t="str">
        <f>IFERROR(__xludf.DUMMYFUNCTION("""COMPUTED_VALUE"""),"Practical (10 Expts)")</f>
        <v>Practical (10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IFERROR(__xludf.DUMMYFUNCTION("""COMPUTED_VALUE"""),"BS")</f>
        <v>BS</v>
      </c>
      <c r="D16" s="2" t="str">
        <f>IFERROR(__xludf.DUMMYFUNCTION("""COMPUTED_VALUE"""),"SH2211")</f>
        <v>SH2211</v>
      </c>
      <c r="E16" s="2" t="str">
        <f>IFERROR(__xludf.DUMMYFUNCTION("""COMPUTED_VALUE"""),"19MA211")</f>
        <v>19MA211</v>
      </c>
      <c r="F16" s="7" t="str">
        <f>IFERROR(__xludf.DUMMYFUNCTION("""COMPUTED_VALUE"""),"Statistics and Numerical Methods")</f>
        <v>Statistics and Numerical Methods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IFERROR(__xludf.DUMMYFUNCTION("""COMPUTED_VALUE"""),"SH4205")</f>
        <v>SH4205</v>
      </c>
      <c r="E17" s="2" t="str">
        <f>IFERROR(__xludf.DUMMYFUNCTION("""COMPUTED_VALUE"""),"19CY205")</f>
        <v>19CY205</v>
      </c>
      <c r="F17" s="7" t="str">
        <f>IFERROR(__xludf.DUMMYFUNCTION("""COMPUTED_VALUE"""),"Principles of Chemistry in Engineering")</f>
        <v>Principles of Chemistry in Engineering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IFERROR(__xludf.DUMMYFUNCTION("""COMPUTED_VALUE"""),"SH4801")</f>
        <v>SH4801</v>
      </c>
      <c r="E18" s="2" t="str">
        <f>IFERROR(__xludf.DUMMYFUNCTION("""COMPUTED_VALUE"""),"NA")</f>
        <v>NA</v>
      </c>
      <c r="F18" s="7" t="str">
        <f>IFERROR(__xludf.DUMMYFUNCTION("""COMPUTED_VALUE"""),"Environmental Sciences and Sustainability")</f>
        <v>Environmental Sciences and Sustainability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IFERROR(__xludf.DUMMYFUNCTION("""COMPUTED_VALUE"""),0)</f>
        <v>0</v>
      </c>
      <c r="J18" s="2">
        <f>IFERROR(__xludf.DUMMYFUNCTION("""COMPUTED_VALUE"""),2)</f>
        <v>2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IFERROR(__xludf.DUMMYFUNCTION("""COMPUTED_VALUE"""),"SH3214")</f>
        <v>SH3214</v>
      </c>
      <c r="E19" s="2" t="str">
        <f>IFERROR(__xludf.DUMMYFUNCTION("""COMPUTED_VALUE"""),"NA")</f>
        <v>NA</v>
      </c>
      <c r="F19" s="7" t="str">
        <f>IFERROR(__xludf.DUMMYFUNCTION("""COMPUTED_VALUE"""),"Physics for Quantum Computing")</f>
        <v>Physics for Quantum Computing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IFERROR(__xludf.DUMMYFUNCTION("""COMPUTED_VALUE"""),"CS3301")</f>
        <v>CS3301</v>
      </c>
      <c r="E20" s="2" t="str">
        <f>IFERROR(__xludf.DUMMYFUNCTION("""COMPUTED_VALUE"""),"19AI301")</f>
        <v>19AI301</v>
      </c>
      <c r="F20" s="7" t="str">
        <f>IFERROR(__xludf.DUMMYFUNCTION("""COMPUTED_VALUE"""),"Python Programming")</f>
        <v>Python Programming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IFERROR(__xludf.DUMMYFUNCTION("""COMPUTED_VALUE"""),"CS3302")</f>
        <v>CS3302</v>
      </c>
      <c r="E21" s="2" t="str">
        <f>IFERROR(__xludf.DUMMYFUNCTION("""COMPUTED_VALUE"""),"19AI302")</f>
        <v>19AI302</v>
      </c>
      <c r="F21" s="7" t="str">
        <f>IFERROR(__xludf.DUMMYFUNCTION("""COMPUTED_VALUE"""),"Engineering Design and Modelling")</f>
        <v>Engineering Design and Modelling</v>
      </c>
      <c r="G21" s="2" t="str">
        <f>IFERROR(__xludf.DUMMYFUNCTION("""COMPUTED_VALUE"""),"-")</f>
        <v>-</v>
      </c>
      <c r="H21" s="2">
        <f>IFERROR(__xludf.DUMMYFUNCTION("""COMPUTED_VALUE"""),0)</f>
        <v>0</v>
      </c>
      <c r="I21" s="2">
        <f>IFERROR(__xludf.DUMMYFUNCTION("""COMPUTED_VALUE"""),3)</f>
        <v>3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IFERROR(__xludf.DUMMYFUNCTION("""COMPUTED_VALUE"""),"Practical (10 Expts)")</f>
        <v>Practical (10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IFERROR(__xludf.DUMMYFUNCTION("""COMPUTED_VALUE"""),"CS3303")</f>
        <v>CS3303</v>
      </c>
      <c r="E22" s="2" t="str">
        <f>IFERROR(__xludf.DUMMYFUNCTION("""COMPUTED_VALUE"""),"19AI303")</f>
        <v>19AI303</v>
      </c>
      <c r="F22" s="7" t="str">
        <f>IFERROR(__xludf.DUMMYFUNCTION("""COMPUTED_VALUE"""),"Engineering Mechanics and Product Development")</f>
        <v>Engineering Mechanics and Product Development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IFERROR(__xludf.DUMMYFUNCTION("""COMPUTED_VALUE"""),"CS3306")</f>
        <v>CS3306</v>
      </c>
      <c r="E23" s="2" t="str">
        <f>IFERROR(__xludf.DUMMYFUNCTION("""COMPUTED_VALUE"""),"19AI306")</f>
        <v>19AI306</v>
      </c>
      <c r="F23" s="7" t="str">
        <f>IFERROR(__xludf.DUMMYFUNCTION("""COMPUTED_VALUE"""),"Object Oriented Programming using C++")</f>
        <v>Object Oriented Programming using C++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IFERROR(__xludf.DUMMYFUNCTION("""COMPUTED_VALUE"""),"CS3307")</f>
        <v>CS3307</v>
      </c>
      <c r="E24" s="2" t="str">
        <f>IFERROR(__xludf.DUMMYFUNCTION("""COMPUTED_VALUE"""),"19AI307")</f>
        <v>19AI307</v>
      </c>
      <c r="F24" s="7" t="str">
        <f>IFERROR(__xludf.DUMMYFUNCTION("""COMPUTED_VALUE"""),"Object Oriented Programming using Java")</f>
        <v>Object Oriented Programming using Java</v>
      </c>
      <c r="G24" s="2" t="str">
        <f>IFERROR(__xludf.DUMMYFUNCTION("""COMPUTED_VALUE"""),"19AI304")</f>
        <v>19AI304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IFERROR(__xludf.DUMMYFUNCTION("""COMPUTED_VALUE"""),"CS3308")</f>
        <v>CS3308</v>
      </c>
      <c r="E25" s="2" t="str">
        <f>IFERROR(__xludf.DUMMYFUNCTION("""COMPUTED_VALUE"""),"19AI308")</f>
        <v>19AI308</v>
      </c>
      <c r="F25" s="7" t="str">
        <f>IFERROR(__xludf.DUMMYFUNCTION("""COMPUTED_VALUE"""),"Object Oriented Programming using C#")</f>
        <v>Object Oriented Programming using C#</v>
      </c>
      <c r="G25" s="2" t="str">
        <f>IFERROR(__xludf.DUMMYFUNCTION("""COMPUTED_VALUE"""),"-")</f>
        <v>-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 t="str">
        <f>IFERROR(__xludf.DUMMYFUNCTION("""COMPUTED_VALUE"""),"Exempted for LE")</f>
        <v>Exempted for LE</v>
      </c>
      <c r="C26" s="2" t="str">
        <f>IFERROR(__xludf.DUMMYFUNCTION("""COMPUTED_VALUE"""),"ES")</f>
        <v>ES</v>
      </c>
      <c r="D26" s="2" t="str">
        <f>IFERROR(__xludf.DUMMYFUNCTION("""COMPUTED_VALUE"""),"EC2404")</f>
        <v>EC2404</v>
      </c>
      <c r="E26" s="2" t="str">
        <f>IFERROR(__xludf.DUMMYFUNCTION("""COMPUTED_VALUE"""),"19EE404")</f>
        <v>19EE404</v>
      </c>
      <c r="F26" s="7" t="str">
        <f>IFERROR(__xludf.DUMMYFUNCTION("""COMPUTED_VALUE"""),"Digital Electronics")</f>
        <v>Digital Electronics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IFERROR(__xludf.DUMMYFUNCTION("""COMPUTED_VALUE"""),"EC2305")</f>
        <v>EC2305</v>
      </c>
      <c r="E27" s="2" t="str">
        <f>IFERROR(__xludf.DUMMYFUNCTION("""COMPUTED_VALUE"""),"19EE305")</f>
        <v>19EE305</v>
      </c>
      <c r="F27" s="7" t="str">
        <f>IFERROR(__xludf.DUMMYFUNCTION("""COMPUTED_VALUE"""),"Basic Electrical, Electronics and Measurement Engineering")</f>
        <v>Basic Electrical, Electronics and Measurement Engineering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 t="str">
        <f>IFERROR(__xludf.DUMMYFUNCTION("""COMPUTED_VALUE"""),"Exempted for LE")</f>
        <v>Exempted for LE</v>
      </c>
      <c r="C28" s="2" t="str">
        <f>IFERROR(__xludf.DUMMYFUNCTION("""COMPUTED_VALUE"""),"ES")</f>
        <v>ES</v>
      </c>
      <c r="D28" s="2" t="str">
        <f>IFERROR(__xludf.DUMMYFUNCTION("""COMPUTED_VALUE"""),"EC2309")</f>
        <v>EC2309</v>
      </c>
      <c r="E28" s="2" t="str">
        <f>IFERROR(__xludf.DUMMYFUNCTION("""COMPUTED_VALUE"""),"19EE309")</f>
        <v>19EE309</v>
      </c>
      <c r="F28" s="7" t="str">
        <f>IFERROR(__xludf.DUMMYFUNCTION("""COMPUTED_VALUE"""),"Programming Microcontrollers")</f>
        <v>Programming Microcontrollers</v>
      </c>
      <c r="G28" s="2" t="str">
        <f>IFERROR(__xludf.DUMMYFUNCTION("""COMPUTED_VALUE"""),"-")</f>
        <v>-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IFERROR(__xludf.DUMMYFUNCTION("""COMPUTED_VALUE"""),"CS3304")</f>
        <v>CS3304</v>
      </c>
      <c r="E29" s="2" t="str">
        <f>IFERROR(__xludf.DUMMYFUNCTION("""COMPUTED_VALUE"""),"19AI304")</f>
        <v>19AI304</v>
      </c>
      <c r="F29" s="7" t="str">
        <f>IFERROR(__xludf.DUMMYFUNCTION("""COMPUTED_VALUE"""),"Fundamentals of C Programming")</f>
        <v>Fundamentals of C Programming</v>
      </c>
      <c r="G29" s="2" t="str">
        <f>IFERROR(__xludf.DUMMYFUNCTION("""COMPUTED_VALUE"""),"-")</f>
        <v>-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IFERROR(__xludf.DUMMYFUNCTION("""COMPUTED_VALUE"""),"CS3305")</f>
        <v>CS3305</v>
      </c>
      <c r="E30" s="2" t="str">
        <f>IFERROR(__xludf.DUMMYFUNCTION("""COMPUTED_VALUE"""),"19AI305")</f>
        <v>19AI305</v>
      </c>
      <c r="F30" s="7" t="str">
        <f>IFERROR(__xludf.DUMMYFUNCTION("""COMPUTED_VALUE"""),"Advanced C Programming")</f>
        <v>Advanced C Programming</v>
      </c>
      <c r="G30" s="2" t="str">
        <f>IFERROR(__xludf.DUMMYFUNCTION("""COMPUTED_VALUE"""),"19AI304 / CS3304")</f>
        <v>19AI304 / CS3304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IFERROR(__xludf.DUMMYFUNCTION("""COMPUTED_VALUE"""),"CS3414")</f>
        <v>CS3414</v>
      </c>
      <c r="E31" s="2" t="str">
        <f>IFERROR(__xludf.DUMMYFUNCTION("""COMPUTED_VALUE"""),"19AI414")</f>
        <v>19AI414</v>
      </c>
      <c r="F31" s="7" t="str">
        <f>IFERROR(__xludf.DUMMYFUNCTION("""COMPUTED_VALUE"""),"Fundamentals of Web Application Development")</f>
        <v>Fundamentals of Web Application Development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IFERROR(__xludf.DUMMYFUNCTION("""COMPUTED_VALUE"""),2)</f>
        <v>2</v>
      </c>
      <c r="J31" s="2">
        <f>IFERROR(__xludf.DUMMYFUNCTION("""COMPUTED_VALUE"""),5)</f>
        <v>5</v>
      </c>
      <c r="K31" s="2" t="str">
        <f>IFERROR(__xludf.DUMMYFUNCTION("""COMPUTED_VALUE"""),"CGPA")</f>
        <v>CGPA</v>
      </c>
      <c r="L31" s="2" t="str">
        <f>IFERROR(__xludf.DUMMYFUNCTION("""COMPUTED_VALUE"""),"TIP (10 Expts)")</f>
        <v>TIP (10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 t="str">
        <f>IFERROR(__xludf.DUMMYFUNCTION("""COMPUTED_VALUE"""),"Exempted for LE")</f>
        <v>Exempted for LE</v>
      </c>
      <c r="C32" s="2" t="str">
        <f>IFERROR(__xludf.DUMMYFUNCTION("""COMPUTED_VALUE"""),"PC")</f>
        <v>PC</v>
      </c>
      <c r="D32" s="2" t="str">
        <f>IFERROR(__xludf.DUMMYFUNCTION("""COMPUTED_VALUE"""),"CS1405")</f>
        <v>CS1405</v>
      </c>
      <c r="E32" s="2" t="str">
        <f>IFERROR(__xludf.DUMMYFUNCTION("""COMPUTED_VALUE"""),"19CS405")</f>
        <v>19CS405</v>
      </c>
      <c r="F32" s="7" t="str">
        <f>IFERROR(__xludf.DUMMYFUNCTION("""COMPUTED_VALUE"""),"Operating System")</f>
        <v>Operating System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IFERROR(__xludf.DUMMYFUNCTION("""COMPUTED_VALUE"""),"Exempted for LE")</f>
        <v>Exempted for LE</v>
      </c>
      <c r="C33" s="2" t="str">
        <f>IFERROR(__xludf.DUMMYFUNCTION("""COMPUTED_VALUE"""),"PC")</f>
        <v>PC</v>
      </c>
      <c r="D33" s="2" t="str">
        <f>IFERROR(__xludf.DUMMYFUNCTION("""COMPUTED_VALUE"""),"CS1406")</f>
        <v>CS1406</v>
      </c>
      <c r="E33" s="2" t="str">
        <f>IFERROR(__xludf.DUMMYFUNCTION("""COMPUTED_VALUE"""),"19CS406")</f>
        <v>19CS406</v>
      </c>
      <c r="F33" s="7" t="str">
        <f>IFERROR(__xludf.DUMMYFUNCTION("""COMPUTED_VALUE"""),"Computer Networks")</f>
        <v>Computer Networks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IFERROR(__xludf.DUMMYFUNCTION("""COMPUTED_VALUE"""),"CS1404")</f>
        <v>CS1404</v>
      </c>
      <c r="E34" s="2" t="str">
        <f>IFERROR(__xludf.DUMMYFUNCTION("""COMPUTED_VALUE"""),"19CS404")</f>
        <v>19CS404</v>
      </c>
      <c r="F34" s="3" t="str">
        <f>IFERROR(__xludf.DUMMYFUNCTION("""COMPUTED_VALUE"""),"Database Management System and its Applications")</f>
        <v>Database Management System and its Applications</v>
      </c>
      <c r="G34" s="2" t="str">
        <f>IFERROR(__xludf.DUMMYFUNCTION("""COMPUTED_VALUE"""),"19AI301/19AI304/19CS301/19CS302/19CS303")</f>
        <v>19AI301/19AI304/19CS301/19CS302/19CS303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IFERROR(__xludf.DUMMYFUNCTION("""COMPUTED_VALUE"""),"CS3408")</f>
        <v>CS3408</v>
      </c>
      <c r="E35" s="2" t="str">
        <f>IFERROR(__xludf.DUMMYFUNCTION("""COMPUTED_VALUE"""),"19AI408")</f>
        <v>19AI408</v>
      </c>
      <c r="F35" s="7" t="str">
        <f>IFERROR(__xludf.DUMMYFUNCTION("""COMPUTED_VALUE"""),"Data Structures")</f>
        <v>Data Structures</v>
      </c>
      <c r="G35" s="2" t="str">
        <f>IFERROR(__xludf.DUMMYFUNCTION("""COMPUTED_VALUE"""),"19AI304 / CS3304")</f>
        <v>19AI304 / CS3304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IFERROR(__xludf.DUMMYFUNCTION("""COMPUTED_VALUE"""),"CS3404")</f>
        <v>CS3404</v>
      </c>
      <c r="E36" s="2" t="str">
        <f>IFERROR(__xludf.DUMMYFUNCTION("""COMPUTED_VALUE"""),"19AI404")</f>
        <v>19AI404</v>
      </c>
      <c r="F36" s="7" t="str">
        <f>IFERROR(__xludf.DUMMYFUNCTION("""COMPUTED_VALUE"""),"Analysis of Algorithms")</f>
        <v>Analysis of Algorithms</v>
      </c>
      <c r="G36" s="2" t="str">
        <f>IFERROR(__xludf.DUMMYFUNCTION("""COMPUTED_VALUE"""),"19AI301")</f>
        <v>19AI301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IFERROR(__xludf.DUMMYFUNCTION("""COMPUTED_VALUE"""),"CS1407")</f>
        <v>CS1407</v>
      </c>
      <c r="E37" s="2" t="str">
        <f>IFERROR(__xludf.DUMMYFUNCTION("""COMPUTED_VALUE"""),"19CS407")</f>
        <v>19CS407</v>
      </c>
      <c r="F37" s="7" t="str">
        <f>IFERROR(__xludf.DUMMYFUNCTION("""COMPUTED_VALUE"""),"Theory of Computation")</f>
        <v>Theory of Computation</v>
      </c>
      <c r="G37" s="2" t="str">
        <f>IFERROR(__xludf.DUMMYFUNCTION("""COMPUTED_VALUE"""),"19MA206")</f>
        <v>19MA206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IFERROR(__xludf.DUMMYFUNCTION("""COMPUTED_VALUE"""),"CS1408")</f>
        <v>CS1408</v>
      </c>
      <c r="E38" s="2" t="str">
        <f>IFERROR(__xludf.DUMMYFUNCTION("""COMPUTED_VALUE"""),"19CS408")</f>
        <v>19CS408</v>
      </c>
      <c r="F38" s="7" t="str">
        <f>IFERROR(__xludf.DUMMYFUNCTION("""COMPUTED_VALUE"""),"Software Engineering")</f>
        <v>Software Engineering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IFERROR(__xludf.DUMMYFUNCTION("""COMPUTED_VALUE"""),"CS3405")</f>
        <v>CS3405</v>
      </c>
      <c r="E39" s="2" t="str">
        <f>IFERROR(__xludf.DUMMYFUNCTION("""COMPUTED_VALUE"""),"19AI405")</f>
        <v>19AI405</v>
      </c>
      <c r="F39" s="7" t="str">
        <f>IFERROR(__xludf.DUMMYFUNCTION("""COMPUTED_VALUE"""),"Fundamentals of Artificial Intelligence")</f>
        <v>Fundamentals of Artificial Intelligence</v>
      </c>
      <c r="G39" s="2" t="str">
        <f>IFERROR(__xludf.DUMMYFUNCTION("""COMPUTED_VALUE"""),"19CS301")</f>
        <v>19CS301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IFERROR(__xludf.DUMMYFUNCTION("""COMPUTED_VALUE"""),"CS3541")</f>
        <v>CS3541</v>
      </c>
      <c r="E40" s="2" t="str">
        <f>IFERROR(__xludf.DUMMYFUNCTION("""COMPUTED_VALUE"""),"19AI541")</f>
        <v>19AI541</v>
      </c>
      <c r="F40" s="7" t="str">
        <f>IFERROR(__xludf.DUMMYFUNCTION("""COMPUTED_VALUE"""),"Cloud Computing")</f>
        <v>Cloud Computing</v>
      </c>
      <c r="G40" s="2" t="str">
        <f>IFERROR(__xludf.DUMMYFUNCTION("""COMPUTED_VALUE"""),"19CS406")</f>
        <v>19CS406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IFERROR(__xludf.DUMMYFUNCTION("""COMPUTED_VALUE"""),"CS1415")</f>
        <v>CS1415</v>
      </c>
      <c r="E41" s="2" t="str">
        <f>IFERROR(__xludf.DUMMYFUNCTION("""COMPUTED_VALUE"""),"19CS415")</f>
        <v>19CS415</v>
      </c>
      <c r="F41" s="7" t="str">
        <f>IFERROR(__xludf.DUMMYFUNCTION("""COMPUTED_VALUE"""),"Cryptography")</f>
        <v>Cryptography</v>
      </c>
      <c r="G41" s="2" t="str">
        <f>IFERROR(__xludf.DUMMYFUNCTION("""COMPUTED_VALUE"""),"-")</f>
        <v>-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IFERROR(__xludf.DUMMYFUNCTION("""COMPUTED_VALUE"""),"CS3547")</f>
        <v>CS3547</v>
      </c>
      <c r="E42" s="2" t="str">
        <f>IFERROR(__xludf.DUMMYFUNCTION("""COMPUTED_VALUE"""),"19AI547")</f>
        <v>19AI547</v>
      </c>
      <c r="F42" s="7" t="str">
        <f>IFERROR(__xludf.DUMMYFUNCTION("""COMPUTED_VALUE"""),"Blockchain for Business")</f>
        <v>Blockchain for Business</v>
      </c>
      <c r="G42" s="2" t="str">
        <f>IFERROR(__xludf.DUMMYFUNCTION("""COMPUTED_VALUE"""),"19CS301")</f>
        <v>19CS301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IFERROR(__xludf.DUMMYFUNCTION("""COMPUTED_VALUE"""),"CS1416")</f>
        <v>CS1416</v>
      </c>
      <c r="E43" s="2" t="str">
        <f>IFERROR(__xludf.DUMMYFUNCTION("""COMPUTED_VALUE"""),"19CS416")</f>
        <v>19CS416</v>
      </c>
      <c r="F43" s="7" t="str">
        <f>IFERROR(__xludf.DUMMYFUNCTION("""COMPUTED_VALUE"""),"Cloud Security")</f>
        <v>Cloud Security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IFERROR(__xludf.DUMMYFUNCTION("""COMPUTED_VALUE"""),"CS1417")</f>
        <v>CS1417</v>
      </c>
      <c r="E44" s="2" t="str">
        <f>IFERROR(__xludf.DUMMYFUNCTION("""COMPUTED_VALUE"""),"19CS417")</f>
        <v>19CS417</v>
      </c>
      <c r="F44" s="7" t="str">
        <f>IFERROR(__xludf.DUMMYFUNCTION("""COMPUTED_VALUE"""),"Ethical Hacking Techniques")</f>
        <v>Ethical Hacking Techniques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IFERROR(__xludf.DUMMYFUNCTION("""COMPUTED_VALUE"""),"CS1418")</f>
        <v>CS1418</v>
      </c>
      <c r="E45" s="2" t="str">
        <f>IFERROR(__xludf.DUMMYFUNCTION("""COMPUTED_VALUE"""),"19CS418")</f>
        <v>19CS418</v>
      </c>
      <c r="F45" s="7" t="str">
        <f>IFERROR(__xludf.DUMMYFUNCTION("""COMPUTED_VALUE"""),"Cyber Law and Compliance")</f>
        <v>Cyber Law and Compliance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IFERROR(__xludf.DUMMYFUNCTION("""COMPUTED_VALUE"""),"PC")</f>
        <v>PC</v>
      </c>
      <c r="D46" s="2" t="str">
        <f>IFERROR(__xludf.DUMMYFUNCTION("""COMPUTED_VALUE"""),"CS1419")</f>
        <v>CS1419</v>
      </c>
      <c r="E46" s="2" t="str">
        <f>IFERROR(__xludf.DUMMYFUNCTION("""COMPUTED_VALUE"""),"19CS419")</f>
        <v>19CS419</v>
      </c>
      <c r="F46" s="7" t="str">
        <f>IFERROR(__xludf.DUMMYFUNCTION("""COMPUTED_VALUE"""),"Digital Forensics and Digital Investigations")</f>
        <v>Digital Forensics and Digital Investigations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 
")</f>
        <v>PE 
</v>
      </c>
      <c r="D47" s="2" t="str">
        <f>IFERROR(__xludf.DUMMYFUNCTION("""COMPUTED_VALUE"""),"CS1565")</f>
        <v>CS1565</v>
      </c>
      <c r="E47" s="2" t="str">
        <f>IFERROR(__xludf.DUMMYFUNCTION("""COMPUTED_VALUE"""),"19CS565")</f>
        <v>19CS565</v>
      </c>
      <c r="F47" s="7" t="str">
        <f>IFERROR(__xludf.DUMMYFUNCTION("""COMPUTED_VALUE"""),"Robotic Process Automation")</f>
        <v>Robotic Process Automation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 
")</f>
        <v>PE 
</v>
      </c>
      <c r="D48" s="2" t="str">
        <f>IFERROR(__xludf.DUMMYFUNCTION("""COMPUTED_VALUE"""),"CS1566")</f>
        <v>CS1566</v>
      </c>
      <c r="E48" s="2" t="str">
        <f>IFERROR(__xludf.DUMMYFUNCTION("""COMPUTED_VALUE"""),"19CS566")</f>
        <v>19CS566</v>
      </c>
      <c r="F48" s="7" t="str">
        <f>IFERROR(__xludf.DUMMYFUNCTION("""COMPUTED_VALUE"""),"Software Project Management and Version Control")</f>
        <v>Software Project Management and Version Control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 
")</f>
        <v>PE 
</v>
      </c>
      <c r="D49" s="2" t="str">
        <f>IFERROR(__xludf.DUMMYFUNCTION("""COMPUTED_VALUE"""),"CS1579")</f>
        <v>CS1579</v>
      </c>
      <c r="E49" s="2" t="str">
        <f>IFERROR(__xludf.DUMMYFUNCTION("""COMPUTED_VALUE"""),"19CS579")</f>
        <v>19CS579</v>
      </c>
      <c r="F49" s="7" t="str">
        <f>IFERROR(__xludf.DUMMYFUNCTION("""COMPUTED_VALUE"""),"Generative AI Application Development")</f>
        <v>Generative AI Application Development</v>
      </c>
      <c r="G49" s="2" t="str">
        <f>IFERROR(__xludf.DUMMYFUNCTION("""COMPUTED_VALUE"""),"-")</f>
        <v>-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 
")</f>
        <v>PE 
</v>
      </c>
      <c r="D50" s="2" t="str">
        <f>IFERROR(__xludf.DUMMYFUNCTION("""COMPUTED_VALUE"""),"CS1568")</f>
        <v>CS1568</v>
      </c>
      <c r="E50" s="2" t="str">
        <f>IFERROR(__xludf.DUMMYFUNCTION("""COMPUTED_VALUE"""),"19CS568")</f>
        <v>19CS568</v>
      </c>
      <c r="F50" s="7" t="str">
        <f>IFERROR(__xludf.DUMMYFUNCTION("""COMPUTED_VALUE"""),"Fine Tuning Large Language Models")</f>
        <v>Fine Tuning Large Language Models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 
")</f>
        <v>PE 
</v>
      </c>
      <c r="D51" s="2" t="str">
        <f>IFERROR(__xludf.DUMMYFUNCTION("""COMPUTED_VALUE"""),"CS1569")</f>
        <v>CS1569</v>
      </c>
      <c r="E51" s="2" t="str">
        <f>IFERROR(__xludf.DUMMYFUNCTION("""COMPUTED_VALUE"""),"19CS569")</f>
        <v>19CS569</v>
      </c>
      <c r="F51" s="7" t="str">
        <f>IFERROR(__xludf.DUMMYFUNCTION("""COMPUTED_VALUE"""),"Applied Data Science")</f>
        <v>Applied Data Science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 
")</f>
        <v>PE 
</v>
      </c>
      <c r="D52" s="2" t="str">
        <f>IFERROR(__xludf.DUMMYFUNCTION("""COMPUTED_VALUE"""),"CS1570")</f>
        <v>CS1570</v>
      </c>
      <c r="E52" s="2" t="str">
        <f>IFERROR(__xludf.DUMMYFUNCTION("""COMPUTED_VALUE"""),"19CS570")</f>
        <v>19CS570</v>
      </c>
      <c r="F52" s="7" t="str">
        <f>IFERROR(__xludf.DUMMYFUNCTION("""COMPUTED_VALUE"""),"Entrepreneurship and Small Business Development")</f>
        <v>Entrepreneurship and Small Business Development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 
")</f>
        <v>PE 
</v>
      </c>
      <c r="D53" s="2" t="str">
        <f>IFERROR(__xludf.DUMMYFUNCTION("""COMPUTED_VALUE"""),"CS1571")</f>
        <v>CS1571</v>
      </c>
      <c r="E53" s="2" t="str">
        <f>IFERROR(__xludf.DUMMYFUNCTION("""COMPUTED_VALUE"""),"19CS571")</f>
        <v>19CS571</v>
      </c>
      <c r="F53" s="7" t="str">
        <f>IFERROR(__xludf.DUMMYFUNCTION("""COMPUTED_VALUE"""),"Software Development and Operations")</f>
        <v>Software Development and Operations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 
")</f>
        <v>PE 
</v>
      </c>
      <c r="D54" s="2" t="str">
        <f>IFERROR(__xludf.DUMMYFUNCTION("""COMPUTED_VALUE"""),"CS1572")</f>
        <v>CS1572</v>
      </c>
      <c r="E54" s="2" t="str">
        <f>IFERROR(__xludf.DUMMYFUNCTION("""COMPUTED_VALUE"""),"19CS572")</f>
        <v>19CS572</v>
      </c>
      <c r="F54" s="7" t="str">
        <f>IFERROR(__xludf.DUMMYFUNCTION("""COMPUTED_VALUE"""),"Serverless App Development")</f>
        <v>Serverless App Development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 
")</f>
        <v>PE 
</v>
      </c>
      <c r="D55" s="2" t="str">
        <f>IFERROR(__xludf.DUMMYFUNCTION("""COMPUTED_VALUE"""),"CS1573")</f>
        <v>CS1573</v>
      </c>
      <c r="E55" s="2" t="str">
        <f>IFERROR(__xludf.DUMMYFUNCTION("""COMPUTED_VALUE"""),"19CS573")</f>
        <v>19CS573</v>
      </c>
      <c r="F55" s="7" t="str">
        <f>IFERROR(__xludf.DUMMYFUNCTION("""COMPUTED_VALUE"""),"Enterprise Cloud Architecture")</f>
        <v>Enterprise Cloud Architecture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 
")</f>
        <v>PE 
</v>
      </c>
      <c r="D56" s="2" t="str">
        <f>IFERROR(__xludf.DUMMYFUNCTION("""COMPUTED_VALUE"""),"CS1574")</f>
        <v>CS1574</v>
      </c>
      <c r="E56" s="2" t="str">
        <f>IFERROR(__xludf.DUMMYFUNCTION("""COMPUTED_VALUE"""),"19CS574")</f>
        <v>19CS574</v>
      </c>
      <c r="F56" s="7" t="str">
        <f>IFERROR(__xludf.DUMMYFUNCTION("""COMPUTED_VALUE"""),"Advanced Class Design and Object-Oriented Techniques")</f>
        <v>Advanced Class Design and Object-Oriented Techniques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 
")</f>
        <v>PE 
</v>
      </c>
      <c r="D57" s="2" t="str">
        <f>IFERROR(__xludf.DUMMYFUNCTION("""COMPUTED_VALUE"""),"CS1575")</f>
        <v>CS1575</v>
      </c>
      <c r="E57" s="2" t="str">
        <f>IFERROR(__xludf.DUMMYFUNCTION("""COMPUTED_VALUE"""),"19CS575")</f>
        <v>19CS575</v>
      </c>
      <c r="F57" s="7" t="str">
        <f>IFERROR(__xludf.DUMMYFUNCTION("""COMPUTED_VALUE"""),"Low-Code App Development")</f>
        <v>Low-Code App Development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 
")</f>
        <v>PE 
</v>
      </c>
      <c r="D58" s="2" t="str">
        <f>IFERROR(__xludf.DUMMYFUNCTION("""COMPUTED_VALUE"""),"CS1577")</f>
        <v>CS1577</v>
      </c>
      <c r="E58" s="2" t="str">
        <f>IFERROR(__xludf.DUMMYFUNCTION("""COMPUTED_VALUE"""),"19CS577")</f>
        <v>19CS577</v>
      </c>
      <c r="F58" s="7" t="str">
        <f>IFERROR(__xludf.DUMMYFUNCTION("""COMPUTED_VALUE"""),"Cloud System Administration")</f>
        <v>Cloud System Administration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 
")</f>
        <v>PE 
</v>
      </c>
      <c r="D59" s="2" t="str">
        <f>IFERROR(__xludf.DUMMYFUNCTION("""COMPUTED_VALUE"""),"CS1578")</f>
        <v>CS1578</v>
      </c>
      <c r="E59" s="2" t="str">
        <f>IFERROR(__xludf.DUMMYFUNCTION("""COMPUTED_VALUE"""),"19CS578")</f>
        <v>19CS578</v>
      </c>
      <c r="F59" s="7" t="str">
        <f>IFERROR(__xludf.DUMMYFUNCTION("""COMPUTED_VALUE"""),"Machine Learning Operations")</f>
        <v>Machine Learning Operations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 
")</f>
        <v>PE 
</v>
      </c>
      <c r="D60" s="2" t="str">
        <f>IFERROR(__xludf.DUMMYFUNCTION("""COMPUTED_VALUE"""),"CS1547")</f>
        <v>CS1547</v>
      </c>
      <c r="E60" s="2" t="str">
        <f>IFERROR(__xludf.DUMMYFUNCTION("""COMPUTED_VALUE"""),"19CS547")</f>
        <v>19CS547</v>
      </c>
      <c r="F60" s="7" t="str">
        <f>IFERROR(__xludf.DUMMYFUNCTION("""COMPUTED_VALUE"""),"Fundamentals of Cryptocurrency")</f>
        <v>Fundamentals of Cryptocurrency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 
")</f>
        <v>PE 
</v>
      </c>
      <c r="D61" s="2" t="str">
        <f>IFERROR(__xludf.DUMMYFUNCTION("""COMPUTED_VALUE"""),"CS1305")</f>
        <v>CS1305</v>
      </c>
      <c r="E61" s="2" t="str">
        <f>IFERROR(__xludf.DUMMYFUNCTION("""COMPUTED_VALUE"""),"19CS305")</f>
        <v>19CS305</v>
      </c>
      <c r="F61" s="7" t="str">
        <f>IFERROR(__xludf.DUMMYFUNCTION("""COMPUTED_VALUE"""),"Computer Architecture")</f>
        <v>Computer Architecture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 
")</f>
        <v>PE 
</v>
      </c>
      <c r="D62" s="2" t="str">
        <f>IFERROR(__xludf.DUMMYFUNCTION("""COMPUTED_VALUE"""),"CS1533")</f>
        <v>CS1533</v>
      </c>
      <c r="E62" s="2" t="str">
        <f>IFERROR(__xludf.DUMMYFUNCTION("""COMPUTED_VALUE"""),"19CS533")</f>
        <v>19CS533</v>
      </c>
      <c r="F62" s="7" t="str">
        <f>IFERROR(__xludf.DUMMYFUNCTION("""COMPUTED_VALUE"""),"Information Security Intelligence and Analytics using Big Data")</f>
        <v>Information Security Intelligence and Analytics using Big Data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 
")</f>
        <v>PE 
</v>
      </c>
      <c r="D63" s="2" t="str">
        <f>IFERROR(__xludf.DUMMYFUNCTION("""COMPUTED_VALUE"""),"CS1534")</f>
        <v>CS1534</v>
      </c>
      <c r="E63" s="2" t="str">
        <f>IFERROR(__xludf.DUMMYFUNCTION("""COMPUTED_VALUE"""),"19CS534")</f>
        <v>19CS534</v>
      </c>
      <c r="F63" s="7" t="str">
        <f>IFERROR(__xludf.DUMMYFUNCTION("""COMPUTED_VALUE"""),"Prevention Methodology for Cybersecurity")</f>
        <v>Prevention Methodology for Cybersecurity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 
")</f>
        <v>PE 
</v>
      </c>
      <c r="D64" s="2" t="str">
        <f>IFERROR(__xludf.DUMMYFUNCTION("""COMPUTED_VALUE"""),"CS1535")</f>
        <v>CS1535</v>
      </c>
      <c r="E64" s="2" t="str">
        <f>IFERROR(__xludf.DUMMYFUNCTION("""COMPUTED_VALUE"""),"19CS535")</f>
        <v>19CS535</v>
      </c>
      <c r="F64" s="7" t="str">
        <f>IFERROR(__xludf.DUMMYFUNCTION("""COMPUTED_VALUE"""),"Trusted Network Systems")</f>
        <v>Trusted Network Systems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 
")</f>
        <v>PE 
</v>
      </c>
      <c r="D65" s="2" t="str">
        <f>IFERROR(__xludf.DUMMYFUNCTION("""COMPUTED_VALUE"""),"CS3526")</f>
        <v>CS3526</v>
      </c>
      <c r="E65" s="2" t="str">
        <f>IFERROR(__xludf.DUMMYFUNCTION("""COMPUTED_VALUE"""),"19AI526")</f>
        <v>19AI526</v>
      </c>
      <c r="F65" s="7" t="str">
        <f>IFERROR(__xludf.DUMMYFUNCTION("""COMPUTED_VALUE"""),"Information Security and Access Control")</f>
        <v>Information Security and Access Control</v>
      </c>
      <c r="G65" s="2" t="str">
        <f>IFERROR(__xludf.DUMMYFUNCTION("""COMPUTED_VALUE"""),"19AI527")</f>
        <v>19AI527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 
")</f>
        <v>PE 
</v>
      </c>
      <c r="D66" s="2" t="str">
        <f>IFERROR(__xludf.DUMMYFUNCTION("""COMPUTED_VALUE"""),"CS1536")</f>
        <v>CS1536</v>
      </c>
      <c r="E66" s="2" t="str">
        <f>IFERROR(__xludf.DUMMYFUNCTION("""COMPUTED_VALUE"""),"19CS536")</f>
        <v>19CS536</v>
      </c>
      <c r="F66" s="7" t="str">
        <f>IFERROR(__xludf.DUMMYFUNCTION("""COMPUTED_VALUE"""),"Firewalls and Intrusion Detection System")</f>
        <v>Firewalls and Intrusion Detection System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 
")</f>
        <v>PE 
</v>
      </c>
      <c r="D67" s="2" t="str">
        <f>IFERROR(__xludf.DUMMYFUNCTION("""COMPUTED_VALUE"""),"CS3527")</f>
        <v>CS3527</v>
      </c>
      <c r="E67" s="2" t="str">
        <f>IFERROR(__xludf.DUMMYFUNCTION("""COMPUTED_VALUE"""),"19AI527")</f>
        <v>19AI527</v>
      </c>
      <c r="F67" s="7" t="str">
        <f>IFERROR(__xludf.DUMMYFUNCTION("""COMPUTED_VALUE"""),"Security Assessment and Risk Analysis")</f>
        <v>Security Assessment and Risk Analysis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IFERROR(__xludf.DUMMYFUNCTION("""COMPUTED_VALUE"""),1)</f>
        <v>1</v>
      </c>
      <c r="J67" s="2">
        <f>IFERROR(__xludf.DUMMYFUNCTION("""COMPUTED_VALUE"""),4)</f>
        <v>4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 
")</f>
        <v>PE 
</v>
      </c>
      <c r="D68" s="2" t="str">
        <f>IFERROR(__xludf.DUMMYFUNCTION("""COMPUTED_VALUE"""),"CS3536")</f>
        <v>CS3536</v>
      </c>
      <c r="E68" s="2" t="str">
        <f>IFERROR(__xludf.DUMMYFUNCTION("""COMPUTED_VALUE"""),"19AI536")</f>
        <v>19AI536</v>
      </c>
      <c r="F68" s="7" t="str">
        <f>IFERROR(__xludf.DUMMYFUNCTION("""COMPUTED_VALUE"""),"Steganography and Digital Watermarking")</f>
        <v>Steganography and Digital Watermarking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 
")</f>
        <v>PE 
</v>
      </c>
      <c r="D69" s="2" t="str">
        <f>IFERROR(__xludf.DUMMYFUNCTION("""COMPUTED_VALUE"""),"CS1537")</f>
        <v>CS1537</v>
      </c>
      <c r="E69" s="2" t="str">
        <f>IFERROR(__xludf.DUMMYFUNCTION("""COMPUTED_VALUE"""),"19CS537")</f>
        <v>19CS537</v>
      </c>
      <c r="F69" s="7" t="str">
        <f>IFERROR(__xludf.DUMMYFUNCTION("""COMPUTED_VALUE"""),"Secure Software Engineering")</f>
        <v>Secure Software Engineering</v>
      </c>
      <c r="G69" s="2" t="str">
        <f>IFERROR(__xludf.DUMMYFUNCTION("""COMPUTED_VALUE"""),"-")</f>
        <v>-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 
")</f>
        <v>PE 
</v>
      </c>
      <c r="D70" s="2" t="str">
        <f>IFERROR(__xludf.DUMMYFUNCTION("""COMPUTED_VALUE"""),"CS1538")</f>
        <v>CS1538</v>
      </c>
      <c r="E70" s="2" t="str">
        <f>IFERROR(__xludf.DUMMYFUNCTION("""COMPUTED_VALUE"""),"19CS538")</f>
        <v>19CS538</v>
      </c>
      <c r="F70" s="7" t="str">
        <f>IFERROR(__xludf.DUMMYFUNCTION("""COMPUTED_VALUE"""),"System Security")</f>
        <v>System Security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 
")</f>
        <v>PE 
</v>
      </c>
      <c r="D71" s="2" t="str">
        <f>IFERROR(__xludf.DUMMYFUNCTION("""COMPUTED_VALUE"""),"CS1539")</f>
        <v>CS1539</v>
      </c>
      <c r="E71" s="2" t="str">
        <f>IFERROR(__xludf.DUMMYFUNCTION("""COMPUTED_VALUE"""),"19CS539")</f>
        <v>19CS539</v>
      </c>
      <c r="F71" s="7" t="str">
        <f>IFERROR(__xludf.DUMMYFUNCTION("""COMPUTED_VALUE"""),"Hardware Security")</f>
        <v>Hardware Security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 
")</f>
        <v>PE 
</v>
      </c>
      <c r="D72" s="2" t="str">
        <f>IFERROR(__xludf.DUMMYFUNCTION("""COMPUTED_VALUE"""),"CS3409")</f>
        <v>CS3409</v>
      </c>
      <c r="E72" s="2" t="str">
        <f>IFERROR(__xludf.DUMMYFUNCTION("""COMPUTED_VALUE"""),"19AI409")</f>
        <v>19AI409</v>
      </c>
      <c r="F72" s="7" t="str">
        <f>IFERROR(__xludf.DUMMYFUNCTION("""COMPUTED_VALUE"""),"Applied Artificial Intelligence")</f>
        <v>Applied Artificial Intelligence</v>
      </c>
      <c r="G72" s="2" t="str">
        <f>IFERROR(__xludf.DUMMYFUNCTION("""COMPUTED_VALUE"""),"19AI405/19CS301")</f>
        <v>19AI405/19CS301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 
")</f>
        <v>PE 
</v>
      </c>
      <c r="D73" s="2" t="str">
        <f>IFERROR(__xludf.DUMMYFUNCTION("""COMPUTED_VALUE"""),"CS3501")</f>
        <v>CS3501</v>
      </c>
      <c r="E73" s="2" t="str">
        <f>IFERROR(__xludf.DUMMYFUNCTION("""COMPUTED_VALUE"""),"19AI501")</f>
        <v>19AI501</v>
      </c>
      <c r="F73" s="3" t="str">
        <f>IFERROR(__xludf.DUMMYFUNCTION("""COMPUTED_VALUE"""),"Applications of Artificial Intelligence")</f>
        <v>Applications of Artificial Intelligence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 
")</f>
        <v>PE 
</v>
      </c>
      <c r="D74" s="2" t="str">
        <f>IFERROR(__xludf.DUMMYFUNCTION("""COMPUTED_VALUE"""),"CS3507")</f>
        <v>CS3507</v>
      </c>
      <c r="E74" s="2" t="str">
        <f>IFERROR(__xludf.DUMMYFUNCTION("""COMPUTED_VALUE"""),"19AI507")</f>
        <v>19AI507</v>
      </c>
      <c r="F74" s="7" t="str">
        <f>IFERROR(__xludf.DUMMYFUNCTION("""COMPUTED_VALUE"""),"Special Topics in Artificial Intelligence")</f>
        <v>Special Topics in Artificial Intelligence</v>
      </c>
      <c r="G74" s="2" t="str">
        <f>IFERROR(__xludf.DUMMYFUNCTION("""COMPUTED_VALUE"""),"-")</f>
        <v>-</v>
      </c>
      <c r="H74" s="2">
        <f>IFERROR(__xludf.DUMMYFUNCTION("""COMPUTED_VALUE"""),2)</f>
        <v>2</v>
      </c>
      <c r="I74" s="2">
        <f>IFERROR(__xludf.DUMMYFUNCTION("""COMPUTED_VALUE"""),1)</f>
        <v>1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 
")</f>
        <v>PE 
</v>
      </c>
      <c r="D75" s="2" t="str">
        <f>IFERROR(__xludf.DUMMYFUNCTION("""COMPUTED_VALUE"""),"CS3503")</f>
        <v>CS3503</v>
      </c>
      <c r="E75" s="2" t="str">
        <f>IFERROR(__xludf.DUMMYFUNCTION("""COMPUTED_VALUE"""),"19AI503")</f>
        <v>19AI503</v>
      </c>
      <c r="F75" s="7" t="str">
        <f>IFERROR(__xludf.DUMMYFUNCTION("""COMPUTED_VALUE"""),"Computer Vision")</f>
        <v>Computer Vision</v>
      </c>
      <c r="G75" s="2" t="str">
        <f>IFERROR(__xludf.DUMMYFUNCTION("""COMPUTED_VALUE"""),"19CS301")</f>
        <v>19CS301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 
")</f>
        <v>PE 
</v>
      </c>
      <c r="D76" s="2" t="str">
        <f>IFERROR(__xludf.DUMMYFUNCTION("""COMPUTED_VALUE"""),"CS3514")</f>
        <v>CS3514</v>
      </c>
      <c r="E76" s="2" t="str">
        <f>IFERROR(__xludf.DUMMYFUNCTION("""COMPUTED_VALUE"""),"19AI514")</f>
        <v>19AI514</v>
      </c>
      <c r="F76" s="7" t="str">
        <f>IFERROR(__xludf.DUMMYFUNCTION("""COMPUTED_VALUE"""),"Self Driving Car")</f>
        <v>Self Driving Car</v>
      </c>
      <c r="G76" s="2" t="str">
        <f>IFERROR(__xludf.DUMMYFUNCTION("""COMPUTED_VALUE"""),"19CS301/19AI410")</f>
        <v>19CS301/19AI410</v>
      </c>
      <c r="H76" s="2">
        <f>IFERROR(__xludf.DUMMYFUNCTION("""COMPUTED_VALUE"""),2)</f>
        <v>2</v>
      </c>
      <c r="I76" s="2">
        <f>IFERROR(__xludf.DUMMYFUNCTION("""COMPUTED_VALUE"""),2)</f>
        <v>2</v>
      </c>
      <c r="J76" s="2">
        <f>IFERROR(__xludf.DUMMYFUNCTION("""COMPUTED_VALUE"""),4)</f>
        <v>4</v>
      </c>
      <c r="K76" s="2" t="str">
        <f>IFERROR(__xludf.DUMMYFUNCTION("""COMPUTED_VALUE"""),"CGPA")</f>
        <v>CGPA</v>
      </c>
      <c r="L76" s="2" t="str">
        <f>IFERROR(__xludf.DUMMYFUNCTION("""COMPUTED_VALUE"""),"TIP (10 Expts)")</f>
        <v>TIP (10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 
")</f>
        <v>PE 
</v>
      </c>
      <c r="D77" s="2" t="str">
        <f>IFERROR(__xludf.DUMMYFUNCTION("""COMPUTED_VALUE"""),"CS3522")</f>
        <v>CS3522</v>
      </c>
      <c r="E77" s="2" t="str">
        <f>IFERROR(__xludf.DUMMYFUNCTION("""COMPUTED_VALUE"""),"19AI522")</f>
        <v>19AI522</v>
      </c>
      <c r="F77" s="7" t="str">
        <f>IFERROR(__xludf.DUMMYFUNCTION("""COMPUTED_VALUE"""),"Knowledge Engineering")</f>
        <v>Knowledge Engineering</v>
      </c>
      <c r="G77" s="2" t="str">
        <f>IFERROR(__xludf.DUMMYFUNCTION("""COMPUTED_VALUE"""),"19CS410")</f>
        <v>19CS410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 
")</f>
        <v>PE 
</v>
      </c>
      <c r="D78" s="2" t="str">
        <f>IFERROR(__xludf.DUMMYFUNCTION("""COMPUTED_VALUE"""),"CS3502")</f>
        <v>CS3502</v>
      </c>
      <c r="E78" s="2" t="str">
        <f>IFERROR(__xludf.DUMMYFUNCTION("""COMPUTED_VALUE"""),"19AI502")</f>
        <v>19AI502</v>
      </c>
      <c r="F78" s="7" t="str">
        <f>IFERROR(__xludf.DUMMYFUNCTION("""COMPUTED_VALUE"""),"Applied Natural Language Processing")</f>
        <v>Applied Natural Language Processing</v>
      </c>
      <c r="G78" s="2" t="str">
        <f>IFERROR(__xludf.DUMMYFUNCTION("""COMPUTED_VALUE"""),"-")</f>
        <v>-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 
")</f>
        <v>PE 
</v>
      </c>
      <c r="D79" s="2" t="str">
        <f>IFERROR(__xludf.DUMMYFUNCTION("""COMPUTED_VALUE"""),"CS3410")</f>
        <v>CS3410</v>
      </c>
      <c r="E79" s="2" t="str">
        <f>IFERROR(__xludf.DUMMYFUNCTION("""COMPUTED_VALUE"""),"19AI410")</f>
        <v>19AI410</v>
      </c>
      <c r="F79" s="7" t="str">
        <f>IFERROR(__xludf.DUMMYFUNCTION("""COMPUTED_VALUE"""),"Introduction to Machine Learning")</f>
        <v>Introduction to Machine Learning</v>
      </c>
      <c r="G79" s="2" t="str">
        <f>IFERROR(__xludf.DUMMYFUNCTION("""COMPUTED_VALUE"""),"-")</f>
        <v>-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 
")</f>
        <v>PE 
</v>
      </c>
      <c r="D80" s="2" t="str">
        <f>IFERROR(__xludf.DUMMYFUNCTION("""COMPUTED_VALUE"""),"CS3411")</f>
        <v>CS3411</v>
      </c>
      <c r="E80" s="2" t="str">
        <f>IFERROR(__xludf.DUMMYFUNCTION("""COMPUTED_VALUE"""),"19AI411")</f>
        <v>19AI411</v>
      </c>
      <c r="F80" s="7" t="str">
        <f>IFERROR(__xludf.DUMMYFUNCTION("""COMPUTED_VALUE"""),"Neural Networks")</f>
        <v>Neural Networks</v>
      </c>
      <c r="G80" s="2" t="str">
        <f>IFERROR(__xludf.DUMMYFUNCTION("""COMPUTED_VALUE"""),"-")</f>
        <v>-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 
")</f>
        <v>PE 
</v>
      </c>
      <c r="D81" s="2" t="str">
        <f>IFERROR(__xludf.DUMMYFUNCTION("""COMPUTED_VALUE"""),"CS3506")</f>
        <v>CS3506</v>
      </c>
      <c r="E81" s="2" t="str">
        <f>IFERROR(__xludf.DUMMYFUNCTION("""COMPUTED_VALUE"""),"19AI506")</f>
        <v>19AI506</v>
      </c>
      <c r="F81" s="3" t="str">
        <f>IFERROR(__xludf.DUMMYFUNCTION("""COMPUTED_VALUE"""),"Speech Analysis and Processing")</f>
        <v>Speech Analysis and Processing</v>
      </c>
      <c r="G81" s="2" t="str">
        <f>IFERROR(__xludf.DUMMYFUNCTION("""COMPUTED_VALUE"""),"-")</f>
        <v>-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 
")</f>
        <v>PE 
</v>
      </c>
      <c r="D82" s="2" t="str">
        <f>IFERROR(__xludf.DUMMYFUNCTION("""COMPUTED_VALUE"""),"CS3413")</f>
        <v>CS3413</v>
      </c>
      <c r="E82" s="2" t="str">
        <f>IFERROR(__xludf.DUMMYFUNCTION("""COMPUTED_VALUE"""),"19AI413")</f>
        <v>19AI413</v>
      </c>
      <c r="F82" s="7" t="str">
        <f>IFERROR(__xludf.DUMMYFUNCTION("""COMPUTED_VALUE"""),"Deep Learning and its Applications")</f>
        <v>Deep Learning and its Applications</v>
      </c>
      <c r="G82" s="2" t="str">
        <f>IFERROR(__xludf.DUMMYFUNCTION("""COMPUTED_VALUE"""),"-")</f>
        <v>-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 
")</f>
        <v>PE 
</v>
      </c>
      <c r="D83" s="2" t="str">
        <f>IFERROR(__xludf.DUMMYFUNCTION("""COMPUTED_VALUE"""),"CS3521")</f>
        <v>CS3521</v>
      </c>
      <c r="E83" s="2" t="str">
        <f>IFERROR(__xludf.DUMMYFUNCTION("""COMPUTED_VALUE"""),"19AI521")</f>
        <v>19AI521</v>
      </c>
      <c r="F83" s="7" t="str">
        <f>IFERROR(__xludf.DUMMYFUNCTION("""COMPUTED_VALUE"""),"Expert Systems")</f>
        <v>Expert Systems</v>
      </c>
      <c r="G83" s="2" t="str">
        <f>IFERROR(__xludf.DUMMYFUNCTION("""COMPUTED_VALUE"""),"-")</f>
        <v>-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 
")</f>
        <v>PE 
</v>
      </c>
      <c r="D84" s="2" t="str">
        <f>IFERROR(__xludf.DUMMYFUNCTION("""COMPUTED_VALUE"""),"CS3505")</f>
        <v>CS3505</v>
      </c>
      <c r="E84" s="2" t="str">
        <f>IFERROR(__xludf.DUMMYFUNCTION("""COMPUTED_VALUE"""),"19AI505")</f>
        <v>19AI505</v>
      </c>
      <c r="F84" s="3" t="str">
        <f>IFERROR(__xludf.DUMMYFUNCTION("""COMPUTED_VALUE"""),"Reinforcement Learning")</f>
        <v>Reinforcement Learning</v>
      </c>
      <c r="G84" s="2" t="str">
        <f>IFERROR(__xludf.DUMMYFUNCTION("""COMPUTED_VALUE"""),"19CS301")</f>
        <v>19CS301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 
")</f>
        <v>PE 
</v>
      </c>
      <c r="D85" s="2" t="str">
        <f>IFERROR(__xludf.DUMMYFUNCTION("""COMPUTED_VALUE"""),"CS4501")</f>
        <v>CS4501</v>
      </c>
      <c r="E85" s="2" t="str">
        <f>IFERROR(__xludf.DUMMYFUNCTION("""COMPUTED_VALUE"""),"19AM501")</f>
        <v>19AM501</v>
      </c>
      <c r="F85" s="3" t="str">
        <f>IFERROR(__xludf.DUMMYFUNCTION("""COMPUTED_VALUE"""),"Machine Learning for Bioinformatics")</f>
        <v>Machine Learning for Bioinformatics</v>
      </c>
      <c r="G85" s="2" t="str">
        <f>IFERROR(__xludf.DUMMYFUNCTION("""COMPUTED_VALUE"""),"-")</f>
        <v>-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 
")</f>
        <v>PE 
</v>
      </c>
      <c r="D86" s="2" t="str">
        <f>IFERROR(__xludf.DUMMYFUNCTION("""COMPUTED_VALUE"""),"CS4502")</f>
        <v>CS4502</v>
      </c>
      <c r="E86" s="2" t="str">
        <f>IFERROR(__xludf.DUMMYFUNCTION("""COMPUTED_VALUE"""),"19AM502")</f>
        <v>19AM502</v>
      </c>
      <c r="F86" s="7" t="str">
        <f>IFERROR(__xludf.DUMMYFUNCTION("""COMPUTED_VALUE"""),"Genetic Algorithms")</f>
        <v>Genetic Algorithms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 
")</f>
        <v>PE 
</v>
      </c>
      <c r="D87" s="2" t="str">
        <f>IFERROR(__xludf.DUMMYFUNCTION("""COMPUTED_VALUE"""),"CS4505")</f>
        <v>CS4505</v>
      </c>
      <c r="E87" s="2" t="str">
        <f>IFERROR(__xludf.DUMMYFUNCTION("""COMPUTED_VALUE"""),"19AM505")</f>
        <v>19AM505</v>
      </c>
      <c r="F87" s="7" t="str">
        <f>IFERROR(__xludf.DUMMYFUNCTION("""COMPUTED_VALUE"""),"Statistical Learning Theory")</f>
        <v>Statistical Learning Theory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 
")</f>
        <v>PE 
</v>
      </c>
      <c r="D88" s="2" t="str">
        <f>IFERROR(__xludf.DUMMYFUNCTION("""COMPUTED_VALUE"""),"CS3533")</f>
        <v>CS3533</v>
      </c>
      <c r="E88" s="2" t="str">
        <f>IFERROR(__xludf.DUMMYFUNCTION("""COMPUTED_VALUE"""),"19AI533")</f>
        <v>19AI533</v>
      </c>
      <c r="F88" s="7" t="str">
        <f>IFERROR(__xludf.DUMMYFUNCTION("""COMPUTED_VALUE"""),"Introduction to Robotics")</f>
        <v>Introduction to Robotics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 
")</f>
        <v>PE 
</v>
      </c>
      <c r="D89" s="2" t="str">
        <f>IFERROR(__xludf.DUMMYFUNCTION("""COMPUTED_VALUE"""),"CS3534")</f>
        <v>CS3534</v>
      </c>
      <c r="E89" s="2" t="str">
        <f>IFERROR(__xludf.DUMMYFUNCTION("""COMPUTED_VALUE"""),"19AI534")</f>
        <v>19AI534</v>
      </c>
      <c r="F89" s="7" t="str">
        <f>IFERROR(__xludf.DUMMYFUNCTION("""COMPUTED_VALUE"""),"Kinematics and Dynamics of Robots")</f>
        <v>Kinematics and Dynamics of Robots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 
")</f>
        <v>PE 
</v>
      </c>
      <c r="D90" s="2" t="str">
        <f>IFERROR(__xludf.DUMMYFUNCTION("""COMPUTED_VALUE"""),"CS3535")</f>
        <v>CS3535</v>
      </c>
      <c r="E90" s="2" t="str">
        <f>IFERROR(__xludf.DUMMYFUNCTION("""COMPUTED_VALUE"""),"19AI535")</f>
        <v>19AI535</v>
      </c>
      <c r="F90" s="7" t="str">
        <f>IFERROR(__xludf.DUMMYFUNCTION("""COMPUTED_VALUE"""),"Robotic Sensors")</f>
        <v>Robotic Sensors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 
")</f>
        <v>PE 
</v>
      </c>
      <c r="D91" s="2" t="str">
        <f>IFERROR(__xludf.DUMMYFUNCTION("""COMPUTED_VALUE"""),"CS3530")</f>
        <v>CS3530</v>
      </c>
      <c r="E91" s="2" t="str">
        <f>IFERROR(__xludf.DUMMYFUNCTION("""COMPUTED_VALUE"""),"19AI530")</f>
        <v>19AI530</v>
      </c>
      <c r="F91" s="7" t="str">
        <f>IFERROR(__xludf.DUMMYFUNCTION("""COMPUTED_VALUE"""),"Control of Robotic Systems")</f>
        <v>Control of Robotic Systems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 
")</f>
        <v>PE 
</v>
      </c>
      <c r="D92" s="2" t="str">
        <f>IFERROR(__xludf.DUMMYFUNCTION("""COMPUTED_VALUE"""),"CS3509")</f>
        <v>CS3509</v>
      </c>
      <c r="E92" s="2" t="str">
        <f>IFERROR(__xludf.DUMMYFUNCTION("""COMPUTED_VALUE"""),"19AI509")</f>
        <v>19AI509</v>
      </c>
      <c r="F92" s="7" t="str">
        <f>IFERROR(__xludf.DUMMYFUNCTION("""COMPUTED_VALUE"""),"Concepts of Virtual And Augmented Reality")</f>
        <v>Concepts of Virtual And Augmented Reality</v>
      </c>
      <c r="G92" s="2" t="str">
        <f>IFERROR(__xludf.DUMMYFUNCTION("""COMPUTED_VALUE"""),"-")</f>
        <v>-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 
")</f>
        <v>PE 
</v>
      </c>
      <c r="D93" s="2" t="str">
        <f>IFERROR(__xludf.DUMMYFUNCTION("""COMPUTED_VALUE"""),"CS3510")</f>
        <v>CS3510</v>
      </c>
      <c r="E93" s="2" t="str">
        <f>IFERROR(__xludf.DUMMYFUNCTION("""COMPUTED_VALUE"""),"19AI510")</f>
        <v>19AI510</v>
      </c>
      <c r="F93" s="7" t="str">
        <f>IFERROR(__xludf.DUMMYFUNCTION("""COMPUTED_VALUE"""),"Mobile VR And AI In Unity")</f>
        <v>Mobile VR And AI In Unity</v>
      </c>
      <c r="G93" s="2" t="str">
        <f>IFERROR(__xludf.DUMMYFUNCTION("""COMPUTED_VALUE"""),"19AI410/19CS302")</f>
        <v>19AI410/19CS302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 
")</f>
        <v>PE 
</v>
      </c>
      <c r="D94" s="2" t="str">
        <f>IFERROR(__xludf.DUMMYFUNCTION("""COMPUTED_VALUE"""),"CS3513")</f>
        <v>CS3513</v>
      </c>
      <c r="E94" s="2" t="str">
        <f>IFERROR(__xludf.DUMMYFUNCTION("""COMPUTED_VALUE"""),"19AI513")</f>
        <v>19AI513</v>
      </c>
      <c r="F94" s="7" t="str">
        <f>IFERROR(__xludf.DUMMYFUNCTION("""COMPUTED_VALUE"""),"Game Programming")</f>
        <v>Game Programming</v>
      </c>
      <c r="G94" s="2" t="str">
        <f>IFERROR(__xludf.DUMMYFUNCTION("""COMPUTED_VALUE"""),"19CS401")</f>
        <v>19CS401</v>
      </c>
      <c r="H94" s="2">
        <f>IFERROR(__xludf.DUMMYFUNCTION("""COMPUTED_VALUE"""),2)</f>
        <v>2</v>
      </c>
      <c r="I94" s="2">
        <f>IFERROR(__xludf.DUMMYFUNCTION("""COMPUTED_VALUE"""),2)</f>
        <v>2</v>
      </c>
      <c r="J94" s="2">
        <f>IFERROR(__xludf.DUMMYFUNCTION("""COMPUTED_VALUE"""),4)</f>
        <v>4</v>
      </c>
      <c r="K94" s="2" t="str">
        <f>IFERROR(__xludf.DUMMYFUNCTION("""COMPUTED_VALUE"""),"CGPA")</f>
        <v>CGPA</v>
      </c>
      <c r="L94" s="2" t="str">
        <f>IFERROR(__xludf.DUMMYFUNCTION("""COMPUTED_VALUE"""),"TIP (10 Expts)")</f>
        <v>TIP (10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 
")</f>
        <v>PE 
</v>
      </c>
      <c r="D95" s="2" t="str">
        <f>IFERROR(__xludf.DUMMYFUNCTION("""COMPUTED_VALUE"""),"CS3537")</f>
        <v>CS3537</v>
      </c>
      <c r="E95" s="2" t="str">
        <f>IFERROR(__xludf.DUMMYFUNCTION("""COMPUTED_VALUE"""),"19AI537")</f>
        <v>19AI537</v>
      </c>
      <c r="F95" s="7" t="str">
        <f>IFERROR(__xludf.DUMMYFUNCTION("""COMPUTED_VALUE"""),"Computer Graphics for Virtual Reality")</f>
        <v>Computer Graphics for Virtual Reality</v>
      </c>
      <c r="G95" s="2" t="str">
        <f>IFERROR(__xludf.DUMMYFUNCTION("""COMPUTED_VALUE"""),"-")</f>
        <v>-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 
")</f>
        <v>PE 
</v>
      </c>
      <c r="D96" s="2" t="str">
        <f>IFERROR(__xludf.DUMMYFUNCTION("""COMPUTED_VALUE"""),"CS4514")</f>
        <v>CS4514</v>
      </c>
      <c r="E96" s="2" t="str">
        <f>IFERROR(__xludf.DUMMYFUNCTION("""COMPUTED_VALUE"""),"19AM514")</f>
        <v>19AM514</v>
      </c>
      <c r="F96" s="7" t="str">
        <f>IFERROR(__xludf.DUMMYFUNCTION("""COMPUTED_VALUE"""),"Motion Planning Techniques")</f>
        <v>Motion Planning Techniques</v>
      </c>
      <c r="G96" s="2" t="str">
        <f>IFERROR(__xludf.DUMMYFUNCTION("""COMPUTED_VALUE"""),"-")</f>
        <v>-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 
")</f>
        <v>PE 
</v>
      </c>
      <c r="D97" s="2" t="str">
        <f>IFERROR(__xludf.DUMMYFUNCTION("""COMPUTED_VALUE"""),"CS3548")</f>
        <v>CS3548</v>
      </c>
      <c r="E97" s="2" t="str">
        <f>IFERROR(__xludf.DUMMYFUNCTION("""COMPUTED_VALUE"""),"19AI548")</f>
        <v>19AI548</v>
      </c>
      <c r="F97" s="7" t="str">
        <f>IFERROR(__xludf.DUMMYFUNCTION("""COMPUTED_VALUE"""),"Robot Programming")</f>
        <v>Robot Programming</v>
      </c>
      <c r="G97" s="2" t="str">
        <f>IFERROR(__xludf.DUMMYFUNCTION("""COMPUTED_VALUE"""),"-")</f>
        <v>-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 
")</f>
        <v>PE 
</v>
      </c>
      <c r="D98" s="2" t="str">
        <f>IFERROR(__xludf.DUMMYFUNCTION("""COMPUTED_VALUE"""),"CS3549")</f>
        <v>CS3549</v>
      </c>
      <c r="E98" s="2" t="str">
        <f>IFERROR(__xludf.DUMMYFUNCTION("""COMPUTED_VALUE"""),"19AI549")</f>
        <v>19AI549</v>
      </c>
      <c r="F98" s="7" t="str">
        <f>IFERROR(__xludf.DUMMYFUNCTION("""COMPUTED_VALUE"""),"Drone Assembly and Applications")</f>
        <v>Drone Assembly and Applications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 
")</f>
        <v>PE 
</v>
      </c>
      <c r="D99" s="2" t="str">
        <f>IFERROR(__xludf.DUMMYFUNCTION("""COMPUTED_VALUE"""),"CS3550")</f>
        <v>CS3550</v>
      </c>
      <c r="E99" s="2" t="str">
        <f>IFERROR(__xludf.DUMMYFUNCTION("""COMPUTED_VALUE"""),"19AI550")</f>
        <v>19AI550</v>
      </c>
      <c r="F99" s="7" t="str">
        <f>IFERROR(__xludf.DUMMYFUNCTION("""COMPUTED_VALUE"""),"Artificial Intelligence for Games")</f>
        <v>Artificial Intelligence for Games</v>
      </c>
      <c r="G99" s="2" t="str">
        <f>IFERROR(__xludf.DUMMYFUNCTION("""COMPUTED_VALUE"""),"-")</f>
        <v>-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 
")</f>
        <v>PE 
</v>
      </c>
      <c r="D100" s="2" t="str">
        <f>IFERROR(__xludf.DUMMYFUNCTION("""COMPUTED_VALUE"""),"CS3551")</f>
        <v>CS3551</v>
      </c>
      <c r="E100" s="2" t="str">
        <f>IFERROR(__xludf.DUMMYFUNCTION("""COMPUTED_VALUE"""),"19AI551")</f>
        <v>19AI551</v>
      </c>
      <c r="F100" s="7" t="str">
        <f>IFERROR(__xludf.DUMMYFUNCTION("""COMPUTED_VALUE"""),"Drone Design and Control")</f>
        <v>Drone Design and Control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 
")</f>
        <v>PE 
</v>
      </c>
      <c r="D101" s="2" t="str">
        <f>IFERROR(__xludf.DUMMYFUNCTION("""COMPUTED_VALUE"""),"CS3539")</f>
        <v>CS3539</v>
      </c>
      <c r="E101" s="2" t="str">
        <f>IFERROR(__xludf.DUMMYFUNCTION("""COMPUTED_VALUE"""),"19AI539")</f>
        <v>19AI539</v>
      </c>
      <c r="F101" s="7" t="str">
        <f>IFERROR(__xludf.DUMMYFUNCTION("""COMPUTED_VALUE"""),"Mobile User Interface Development")</f>
        <v>Mobile User Interface Development</v>
      </c>
      <c r="G101" s="2" t="str">
        <f>IFERROR(__xludf.DUMMYFUNCTION("""COMPUTED_VALUE"""),"19CS401")</f>
        <v>19CS401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 
")</f>
        <v>PE 
</v>
      </c>
      <c r="D102" s="2" t="str">
        <f>IFERROR(__xludf.DUMMYFUNCTION("""COMPUTED_VALUE"""),"CS3540")</f>
        <v>CS3540</v>
      </c>
      <c r="E102" s="2" t="str">
        <f>IFERROR(__xludf.DUMMYFUNCTION("""COMPUTED_VALUE"""),"19AI540")</f>
        <v>19AI540</v>
      </c>
      <c r="F102" s="7" t="str">
        <f>IFERROR(__xludf.DUMMYFUNCTION("""COMPUTED_VALUE"""),"Programming Mobile Devices")</f>
        <v>Programming Mobile Devices</v>
      </c>
      <c r="G102" s="2" t="str">
        <f>IFERROR(__xludf.DUMMYFUNCTION("""COMPUTED_VALUE"""),"19CS401")</f>
        <v>19CS401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 
")</f>
        <v>PE 
</v>
      </c>
      <c r="D103" s="2" t="str">
        <f>IFERROR(__xludf.DUMMYFUNCTION("""COMPUTED_VALUE"""),"CS3545")</f>
        <v>CS3545</v>
      </c>
      <c r="E103" s="2" t="str">
        <f>IFERROR(__xludf.DUMMYFUNCTION("""COMPUTED_VALUE"""),"19AI545")</f>
        <v>19AI545</v>
      </c>
      <c r="F103" s="7" t="str">
        <f>IFERROR(__xludf.DUMMYFUNCTION("""COMPUTED_VALUE"""),"Modern Web Application Development")</f>
        <v>Modern Web Application Development</v>
      </c>
      <c r="G103" s="2" t="str">
        <f>IFERROR(__xludf.DUMMYFUNCTION("""COMPUTED_VALUE"""),"19CS410")</f>
        <v>19CS410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 
")</f>
        <v>PE 
</v>
      </c>
      <c r="D104" s="2" t="str">
        <f>IFERROR(__xludf.DUMMYFUNCTION("""COMPUTED_VALUE"""),"CS3546")</f>
        <v>CS3546</v>
      </c>
      <c r="E104" s="2" t="str">
        <f>IFERROR(__xludf.DUMMYFUNCTION("""COMPUTED_VALUE"""),"19AI546")</f>
        <v>19AI546</v>
      </c>
      <c r="F104" s="7" t="str">
        <f>IFERROR(__xludf.DUMMYFUNCTION("""COMPUTED_VALUE"""),"Web Server Programming")</f>
        <v>Web Server Programming</v>
      </c>
      <c r="G104" s="2" t="str">
        <f>IFERROR(__xludf.DUMMYFUNCTION("""COMPUTED_VALUE"""),"19CS401")</f>
        <v>19CS401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 
")</f>
        <v>PE 
</v>
      </c>
      <c r="D105" s="2" t="str">
        <f>IFERROR(__xludf.DUMMYFUNCTION("""COMPUTED_VALUE"""),"CS3552")</f>
        <v>CS3552</v>
      </c>
      <c r="E105" s="2" t="str">
        <f>IFERROR(__xludf.DUMMYFUNCTION("""COMPUTED_VALUE"""),"19AI552")</f>
        <v>19AI552</v>
      </c>
      <c r="F105" s="7" t="str">
        <f>IFERROR(__xludf.DUMMYFUNCTION("""COMPUTED_VALUE"""),"Web Application User Interface Development")</f>
        <v>Web Application User Interface Development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 
")</f>
        <v>PE 
</v>
      </c>
      <c r="D106" s="2" t="str">
        <f>IFERROR(__xludf.DUMMYFUNCTION("""COMPUTED_VALUE"""),"CS3553")</f>
        <v>CS3553</v>
      </c>
      <c r="E106" s="2" t="str">
        <f>IFERROR(__xludf.DUMMYFUNCTION("""COMPUTED_VALUE"""),"19AI553")</f>
        <v>19AI553</v>
      </c>
      <c r="F106" s="7" t="str">
        <f>IFERROR(__xludf.DUMMYFUNCTION("""COMPUTED_VALUE"""),"Advanced Java Web Applications")</f>
        <v>Advanced Java Web Applications</v>
      </c>
      <c r="G106" s="2" t="str">
        <f>IFERROR(__xludf.DUMMYFUNCTION("""COMPUTED_VALUE"""),"19AI307")</f>
        <v>19AI307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 
")</f>
        <v>PE 
</v>
      </c>
      <c r="D107" s="2" t="str">
        <f>IFERROR(__xludf.DUMMYFUNCTION("""COMPUTED_VALUE"""),"CS3403")</f>
        <v>CS3403</v>
      </c>
      <c r="E107" s="2" t="str">
        <f>IFERROR(__xludf.DUMMYFUNCTION("""COMPUTED_VALUE"""),"19AI403")</f>
        <v>19AI403</v>
      </c>
      <c r="F107" s="7" t="str">
        <f>IFERROR(__xludf.DUMMYFUNCTION("""COMPUTED_VALUE"""),"Introduction to Data Science")</f>
        <v>Introduction to Data Science</v>
      </c>
      <c r="G107" s="2" t="str">
        <f>IFERROR(__xludf.DUMMYFUNCTION("""COMPUTED_VALUE"""),"19CS301")</f>
        <v>19CS301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 
")</f>
        <v>PE 
</v>
      </c>
      <c r="D108" s="2" t="str">
        <f>IFERROR(__xludf.DUMMYFUNCTION("""COMPUTED_VALUE"""),"CS3511")</f>
        <v>CS3511</v>
      </c>
      <c r="E108" s="2" t="str">
        <f>IFERROR(__xludf.DUMMYFUNCTION("""COMPUTED_VALUE"""),"19AI511")</f>
        <v>19AI511</v>
      </c>
      <c r="F108" s="7" t="str">
        <f>IFERROR(__xludf.DUMMYFUNCTION("""COMPUTED_VALUE"""),"Scientific and Engineering Data Visualization")</f>
        <v>Scientific and Engineering Data Visualization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 
")</f>
        <v>PE 
</v>
      </c>
      <c r="D109" s="2" t="str">
        <f>IFERROR(__xludf.DUMMYFUNCTION("""COMPUTED_VALUE"""),"CS3516")</f>
        <v>CS3516</v>
      </c>
      <c r="E109" s="2" t="str">
        <f>IFERROR(__xludf.DUMMYFUNCTION("""COMPUTED_VALUE"""),"19AI516")</f>
        <v>19AI516</v>
      </c>
      <c r="F109" s="7" t="str">
        <f>IFERROR(__xludf.DUMMYFUNCTION("""COMPUTED_VALUE"""),"Big Data Mining and Analysis")</f>
        <v>Big Data Mining and Analysis</v>
      </c>
      <c r="G109" s="2" t="str">
        <f>IFERROR(__xludf.DUMMYFUNCTION("""COMPUTED_VALUE"""),"19AI408/ 19CS410/19IT405")</f>
        <v>19AI408/ 19CS410/19IT405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 
")</f>
        <v>PE 
</v>
      </c>
      <c r="D110" s="2" t="str">
        <f>IFERROR(__xludf.DUMMYFUNCTION("""COMPUTED_VALUE"""),"CS3517")</f>
        <v>CS3517</v>
      </c>
      <c r="E110" s="2" t="str">
        <f>IFERROR(__xludf.DUMMYFUNCTION("""COMPUTED_VALUE"""),"19AI517")</f>
        <v>19AI517</v>
      </c>
      <c r="F110" s="7" t="str">
        <f>IFERROR(__xludf.DUMMYFUNCTION("""COMPUTED_VALUE"""),"Business Analytics")</f>
        <v>Business Analytics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 
")</f>
        <v>PE 
</v>
      </c>
      <c r="D111" s="2" t="str">
        <f>IFERROR(__xludf.DUMMYFUNCTION("""COMPUTED_VALUE"""),"CS4503")</f>
        <v>CS4503</v>
      </c>
      <c r="E111" s="2" t="str">
        <f>IFERROR(__xludf.DUMMYFUNCTION("""COMPUTED_VALUE"""),"19AM503")</f>
        <v>19AM503</v>
      </c>
      <c r="F111" s="3" t="str">
        <f>IFERROR(__xludf.DUMMYFUNCTION("""COMPUTED_VALUE"""),"Data Modeling")</f>
        <v>Data Modeling</v>
      </c>
      <c r="G111" s="2" t="str">
        <f>IFERROR(__xludf.DUMMYFUNCTION("""COMPUTED_VALUE"""),"-")</f>
        <v>-</v>
      </c>
      <c r="H111" s="2">
        <f>IFERROR(__xludf.DUMMYFUNCTION("""COMPUTED_VALUE"""),3)</f>
        <v>3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IFERROR(__xludf.DUMMYFUNCTION("""COMPUTED_VALUE"""),"Theory")</f>
        <v>Theory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 
")</f>
        <v>PE 
</v>
      </c>
      <c r="D112" s="2" t="str">
        <f>IFERROR(__xludf.DUMMYFUNCTION("""COMPUTED_VALUE"""),"CS4508")</f>
        <v>CS4508</v>
      </c>
      <c r="E112" s="2" t="str">
        <f>IFERROR(__xludf.DUMMYFUNCTION("""COMPUTED_VALUE"""),"19AM508")</f>
        <v>19AM508</v>
      </c>
      <c r="F112" s="7" t="str">
        <f>IFERROR(__xludf.DUMMYFUNCTION("""COMPUTED_VALUE"""),"Introduction to IoT")</f>
        <v>Introduction to IoT</v>
      </c>
      <c r="G112" s="2" t="str">
        <f>IFERROR(__xludf.DUMMYFUNCTION("""COMPUTED_VALUE"""),"-")</f>
        <v>-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 
")</f>
        <v>PE 
</v>
      </c>
      <c r="D113" s="2" t="str">
        <f>IFERROR(__xludf.DUMMYFUNCTION("""COMPUTED_VALUE"""),"CS1420")</f>
        <v>CS1420</v>
      </c>
      <c r="E113" s="2" t="str">
        <f>IFERROR(__xludf.DUMMYFUNCTION("""COMPUTED_VALUE"""),"19CS420")</f>
        <v>19CS420</v>
      </c>
      <c r="F113" s="7" t="str">
        <f>IFERROR(__xludf.DUMMYFUNCTION("""COMPUTED_VALUE"""),"Prototyping of IoT Systems")</f>
        <v>Prototyping of IoT Systems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 
")</f>
        <v>PE 
</v>
      </c>
      <c r="D114" s="2" t="str">
        <f>IFERROR(__xludf.DUMMYFUNCTION("""COMPUTED_VALUE"""),"CS1421")</f>
        <v>CS1421</v>
      </c>
      <c r="E114" s="2" t="str">
        <f>IFERROR(__xludf.DUMMYFUNCTION("""COMPUTED_VALUE"""),"19CS421")</f>
        <v>19CS421</v>
      </c>
      <c r="F114" s="7" t="str">
        <f>IFERROR(__xludf.DUMMYFUNCTION("""COMPUTED_VALUE"""),"Edge Computing")</f>
        <v>Edge Computing</v>
      </c>
      <c r="G114" s="2" t="str">
        <f>IFERROR(__xludf.DUMMYFUNCTION("""COMPUTED_VALUE"""),"-")</f>
        <v>-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 
")</f>
        <v>PE 
</v>
      </c>
      <c r="D115" s="2" t="str">
        <f>IFERROR(__xludf.DUMMYFUNCTION("""COMPUTED_VALUE"""),"CS4509")</f>
        <v>CS4509</v>
      </c>
      <c r="E115" s="2" t="str">
        <f>IFERROR(__xludf.DUMMYFUNCTION("""COMPUTED_VALUE"""),"19AM509")</f>
        <v>19AM509</v>
      </c>
      <c r="F115" s="7" t="str">
        <f>IFERROR(__xludf.DUMMYFUNCTION("""COMPUTED_VALUE"""),"Industrial Internet of Things")</f>
        <v>Industrial Internet of Things</v>
      </c>
      <c r="G115" s="2" t="str">
        <f>IFERROR(__xludf.DUMMYFUNCTION("""COMPUTED_VALUE"""),"-")</f>
        <v>-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 
")</f>
        <v>PE 
</v>
      </c>
      <c r="D116" s="2" t="str">
        <f>IFERROR(__xludf.DUMMYFUNCTION("""COMPUTED_VALUE"""),"CS1422")</f>
        <v>CS1422</v>
      </c>
      <c r="E116" s="2" t="str">
        <f>IFERROR(__xludf.DUMMYFUNCTION("""COMPUTED_VALUE"""),"19CS422")</f>
        <v>19CS422</v>
      </c>
      <c r="F116" s="7" t="str">
        <f>IFERROR(__xludf.DUMMYFUNCTION("""COMPUTED_VALUE"""),"Security for IoT Systems")</f>
        <v>Security for IoT Systems</v>
      </c>
      <c r="G116" s="2" t="str">
        <f>IFERROR(__xludf.DUMMYFUNCTION("""COMPUTED_VALUE"""),"-")</f>
        <v>-</v>
      </c>
      <c r="H116" s="2">
        <f>IFERROR(__xludf.DUMMYFUNCTION("""COMPUTED_VALUE"""),3)</f>
        <v>3</v>
      </c>
      <c r="I116" s="2">
        <f>IFERROR(__xludf.DUMMYFUNCTION("""COMPUTED_VALUE"""),0)</f>
        <v>0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IFERROR(__xludf.DUMMYFUNCTION("""COMPUTED_VALUE"""),"NA")</f>
        <v>NA</v>
      </c>
      <c r="E117" s="2" t="str">
        <f>IFERROR(__xludf.DUMMYFUNCTION("""COMPUTED_VALUE"""),"19EC508")</f>
        <v>19EC508</v>
      </c>
      <c r="F117" s="7" t="str">
        <f>IFERROR(__xludf.DUMMYFUNCTION("""COMPUTED_VALUE"""),"Ad Hoc and Wireless Sensor Networks")</f>
        <v>Ad Hoc and Wireless Sensor Networks</v>
      </c>
      <c r="G117" s="2" t="str">
        <f>IFERROR(__xludf.DUMMYFUNCTION("""COMPUTED_VALUE"""),"19EC412")</f>
        <v>19EC412</v>
      </c>
      <c r="H117" s="2">
        <f>IFERROR(__xludf.DUMMYFUNCTION("""COMPUTED_VALUE"""),3)</f>
        <v>3</v>
      </c>
      <c r="I117" s="2">
        <f>IFERROR(__xludf.DUMMYFUNCTION("""COMPUTED_VALUE"""),0)</f>
        <v>0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IFERROR(__xludf.DUMMYFUNCTION("""COMPUTED_VALUE"""),"Theory")</f>
        <v>Theory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 
")</f>
        <v>PE 
</v>
      </c>
      <c r="D118" s="2" t="str">
        <f>IFERROR(__xludf.DUMMYFUNCTION("""COMPUTED_VALUE"""),"CS1540")</f>
        <v>CS1540</v>
      </c>
      <c r="E118" s="2" t="str">
        <f>IFERROR(__xludf.DUMMYFUNCTION("""COMPUTED_VALUE"""),"19CS540")</f>
        <v>19CS540</v>
      </c>
      <c r="F118" s="7" t="str">
        <f>IFERROR(__xludf.DUMMYFUNCTION("""COMPUTED_VALUE"""),"Fog Computing")</f>
        <v>Fog Computing</v>
      </c>
      <c r="G118" s="2" t="str">
        <f>IFERROR(__xludf.DUMMYFUNCTION("""COMPUTED_VALUE"""),"-")</f>
        <v>-</v>
      </c>
      <c r="H118" s="2">
        <f>IFERROR(__xludf.DUMMYFUNCTION("""COMPUTED_VALUE"""),3)</f>
        <v>3</v>
      </c>
      <c r="I118" s="2">
        <f>IFERROR(__xludf.DUMMYFUNCTION("""COMPUTED_VALUE"""),0)</f>
        <v>0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IFERROR(__xludf.DUMMYFUNCTION("""COMPUTED_VALUE"""),"Theory")</f>
        <v>Theory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 
")</f>
        <v>PE 
</v>
      </c>
      <c r="D119" s="2" t="str">
        <f>IFERROR(__xludf.DUMMYFUNCTION("""COMPUTED_VALUE"""),"CS4506")</f>
        <v>CS4506</v>
      </c>
      <c r="E119" s="2" t="str">
        <f>IFERROR(__xludf.DUMMYFUNCTION("""COMPUTED_VALUE"""),"19AM506")</f>
        <v>19AM506</v>
      </c>
      <c r="F119" s="7" t="str">
        <f>IFERROR(__xludf.DUMMYFUNCTION("""COMPUTED_VALUE"""),"Sensors and Actuators for IoT")</f>
        <v>Sensors and Actuators for IoT</v>
      </c>
      <c r="G119" s="2" t="str">
        <f>IFERROR(__xludf.DUMMYFUNCTION("""COMPUTED_VALUE"""),"-")</f>
        <v>-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IFERROR(__xludf.DUMMYFUNCTION("""COMPUTED_VALUE"""),"CS1542")</f>
        <v>CS1542</v>
      </c>
      <c r="E120" s="2" t="str">
        <f>IFERROR(__xludf.DUMMYFUNCTION("""COMPUTED_VALUE"""),"19CS542")</f>
        <v>19CS542</v>
      </c>
      <c r="F120" s="7" t="str">
        <f>IFERROR(__xludf.DUMMYFUNCTION("""COMPUTED_VALUE"""),"Embedded Board Design")</f>
        <v>Embedded Board Design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IFERROR(__xludf.DUMMYFUNCTION("""COMPUTED_VALUE"""),"CS1543")</f>
        <v>CS1543</v>
      </c>
      <c r="E121" s="2" t="str">
        <f>IFERROR(__xludf.DUMMYFUNCTION("""COMPUTED_VALUE"""),"19CS543")</f>
        <v>19CS543</v>
      </c>
      <c r="F121" s="7" t="str">
        <f>IFERROR(__xludf.DUMMYFUNCTION("""COMPUTED_VALUE"""),"Embedded Board Manufacturing")</f>
        <v>Embedded Board Manufacturing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IFERROR(__xludf.DUMMYFUNCTION("""COMPUTED_VALUE"""),"CS1544")</f>
        <v>CS1544</v>
      </c>
      <c r="E122" s="2" t="str">
        <f>IFERROR(__xludf.DUMMYFUNCTION("""COMPUTED_VALUE"""),"19CS544")</f>
        <v>19CS544</v>
      </c>
      <c r="F122" s="7" t="str">
        <f>IFERROR(__xludf.DUMMYFUNCTION("""COMPUTED_VALUE"""),"Realtime Operating System")</f>
        <v>Realtime Operating System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5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IFERROR(__xludf.DUMMYFUNCTION("""COMPUTED_VALUE"""),"CS1545")</f>
        <v>CS1545</v>
      </c>
      <c r="E123" s="26" t="str">
        <f>IFERROR(__xludf.DUMMYFUNCTION("""COMPUTED_VALUE"""),"19CS545")</f>
        <v>19CS545</v>
      </c>
      <c r="F123" s="27" t="str">
        <f>IFERROR(__xludf.DUMMYFUNCTION("""COMPUTED_VALUE"""),"Open Source Operating System")</f>
        <v>Open Source Operating System</v>
      </c>
      <c r="G123" s="26" t="str">
        <f>IFERROR(__xludf.DUMMYFUNCTION("""COMPUTED_VALUE"""),"-")</f>
        <v>-</v>
      </c>
      <c r="H123" s="26">
        <f>IFERROR(__xludf.DUMMYFUNCTION("""COMPUTED_VALUE"""),2)</f>
        <v>2</v>
      </c>
      <c r="I123" s="26">
        <f>IFERROR(__xludf.DUMMYFUNCTION("""COMPUTED_VALUE"""),1)</f>
        <v>1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</row>
    <row r="124" ht="13.2" spans="1:15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IFERROR(__xludf.DUMMYFUNCTION("""COMPUTED_VALUE"""),"CS1546")</f>
        <v>CS1546</v>
      </c>
      <c r="E124" s="26" t="str">
        <f>IFERROR(__xludf.DUMMYFUNCTION("""COMPUTED_VALUE"""),"19CS546")</f>
        <v>19CS546</v>
      </c>
      <c r="F124" s="27" t="str">
        <f>IFERROR(__xludf.DUMMYFUNCTION("""COMPUTED_VALUE"""),"Kernel Programming")</f>
        <v>Kernel Programming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</row>
    <row r="125" ht="13.2" spans="1:15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IFERROR(__xludf.DUMMYFUNCTION("""COMPUTED_VALUE"""),"CS3538")</f>
        <v>CS3538</v>
      </c>
      <c r="E125" s="26" t="str">
        <f>IFERROR(__xludf.DUMMYFUNCTION("""COMPUTED_VALUE"""),"19AI538")</f>
        <v>19AI538</v>
      </c>
      <c r="F125" s="27" t="str">
        <f>IFERROR(__xludf.DUMMYFUNCTION("""COMPUTED_VALUE"""),"Mathematical Modelling and Computer Aided Engineering")</f>
        <v>Mathematical Modelling and Computer Aided Engineering</v>
      </c>
      <c r="G125" s="26" t="str">
        <f>IFERROR(__xludf.DUMMYFUNCTION("""COMPUTED_VALUE"""),"-")</f>
        <v>-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</row>
    <row r="126" ht="13.2" spans="1:15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IFERROR(__xludf.DUMMYFUNCTION("""COMPUTED_VALUE"""),"CS3542")</f>
        <v>CS3542</v>
      </c>
      <c r="E126" s="26" t="str">
        <f>IFERROR(__xludf.DUMMYFUNCTION("""COMPUTED_VALUE"""),"19AI542")</f>
        <v>19AI542</v>
      </c>
      <c r="F126" s="27" t="str">
        <f>IFERROR(__xludf.DUMMYFUNCTION("""COMPUTED_VALUE"""),"Agile Software Development")</f>
        <v>Agile Software Development</v>
      </c>
      <c r="G126" s="26" t="str">
        <f>IFERROR(__xludf.DUMMYFUNCTION("""COMPUTED_VALUE"""),"19CS301")</f>
        <v>19CS301</v>
      </c>
      <c r="H126" s="26">
        <f>IFERROR(__xludf.DUMMYFUNCTION("""COMPUTED_VALUE"""),3)</f>
        <v>3</v>
      </c>
      <c r="I126" s="26">
        <f>IFERROR(__xludf.DUMMYFUNCTION("""COMPUTED_VALUE"""),1)</f>
        <v>1</v>
      </c>
      <c r="J126" s="26">
        <f>IFERROR(__xludf.DUMMYFUNCTION("""COMPUTED_VALUE"""),4)</f>
        <v>4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</row>
    <row r="127" ht="13.2" spans="1:15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IFERROR(__xludf.DUMMYFUNCTION("""COMPUTED_VALUE"""),"CS3543")</f>
        <v>CS3543</v>
      </c>
      <c r="E127" s="26" t="str">
        <f>IFERROR(__xludf.DUMMYFUNCTION("""COMPUTED_VALUE"""),"19AI543")</f>
        <v>19AI543</v>
      </c>
      <c r="F127" s="27" t="str">
        <f>IFERROR(__xludf.DUMMYFUNCTION("""COMPUTED_VALUE"""),"Software Testing")</f>
        <v>Software Testing</v>
      </c>
      <c r="G127" s="26" t="str">
        <f>IFERROR(__xludf.DUMMYFUNCTION("""COMPUTED_VALUE"""),"19CS301")</f>
        <v>19CS301</v>
      </c>
      <c r="H127" s="26">
        <f>IFERROR(__xludf.DUMMYFUNCTION("""COMPUTED_VALUE"""),2)</f>
        <v>2</v>
      </c>
      <c r="I127" s="26">
        <f>IFERROR(__xludf.DUMMYFUNCTION("""COMPUTED_VALUE"""),1)</f>
        <v>1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</row>
    <row r="128" ht="13.2" spans="1:15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IFERROR(__xludf.DUMMYFUNCTION("""COMPUTED_VALUE"""),"CS3544")</f>
        <v>CS3544</v>
      </c>
      <c r="E128" s="26" t="str">
        <f>IFERROR(__xludf.DUMMYFUNCTION("""COMPUTED_VALUE"""),"19AI544")</f>
        <v>19AI544</v>
      </c>
      <c r="F128" s="27" t="str">
        <f>IFERROR(__xludf.DUMMYFUNCTION("""COMPUTED_VALUE"""),"Virtualization and Containerization")</f>
        <v>Virtualization and Containerization</v>
      </c>
      <c r="G128" s="26" t="str">
        <f>IFERROR(__xludf.DUMMYFUNCTION("""COMPUTED_VALUE"""),"19CS405/19CS406")</f>
        <v>19CS405/19CS406</v>
      </c>
      <c r="H128" s="26">
        <f>IFERROR(__xludf.DUMMYFUNCTION("""COMPUTED_VALUE"""),2)</f>
        <v>2</v>
      </c>
      <c r="I128" s="26">
        <f>IFERROR(__xludf.DUMMYFUNCTION("""COMPUTED_VALUE"""),1)</f>
        <v>1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</row>
    <row r="129" ht="13.2" spans="1:15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IFERROR(__xludf.DUMMYFUNCTION("""COMPUTED_VALUE"""),"CS3528")</f>
        <v>CS3528</v>
      </c>
      <c r="E129" s="26" t="str">
        <f>IFERROR(__xludf.DUMMYFUNCTION("""COMPUTED_VALUE"""),"19AI528")</f>
        <v>19AI528</v>
      </c>
      <c r="F129" s="27" t="str">
        <f>IFERROR(__xludf.DUMMYFUNCTION("""COMPUTED_VALUE"""),"Advanced Graph Theory and Applications")</f>
        <v>Advanced Graph Theory and Applications</v>
      </c>
      <c r="G129" s="26" t="str">
        <f>IFERROR(__xludf.DUMMYFUNCTION("""COMPUTED_VALUE"""),"19CS402")</f>
        <v>19CS402</v>
      </c>
      <c r="H129" s="26">
        <f>IFERROR(__xludf.DUMMYFUNCTION("""COMPUTED_VALUE"""),2)</f>
        <v>2</v>
      </c>
      <c r="I129" s="26">
        <f>IFERROR(__xludf.DUMMYFUNCTION("""COMPUTED_VALUE"""),1)</f>
        <v>1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</row>
    <row r="130" ht="13.2" spans="1:15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IFERROR(__xludf.DUMMYFUNCTION("""COMPUTED_VALUE"""),"CS3529")</f>
        <v>CS3529</v>
      </c>
      <c r="E130" s="26" t="str">
        <f>IFERROR(__xludf.DUMMYFUNCTION("""COMPUTED_VALUE"""),"19AI529")</f>
        <v>19AI529</v>
      </c>
      <c r="F130" s="27" t="str">
        <f>IFERROR(__xludf.DUMMYFUNCTION("""COMPUTED_VALUE"""),"Advanced Data Structures")</f>
        <v>Advanced Data Structures</v>
      </c>
      <c r="G130" s="26" t="str">
        <f>IFERROR(__xludf.DUMMYFUNCTION("""COMPUTED_VALUE"""),"19CS401")</f>
        <v>19CS401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</row>
    <row r="131" ht="13.2" spans="1:15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IFERROR(__xludf.DUMMYFUNCTION("""COMPUTED_VALUE"""),"CS3508")</f>
        <v>CS3508</v>
      </c>
      <c r="E131" s="26" t="str">
        <f>IFERROR(__xludf.DUMMYFUNCTION("""COMPUTED_VALUE"""),"19AI508")</f>
        <v>19AI508</v>
      </c>
      <c r="F131" s="26" t="str">
        <f>IFERROR(__xludf.DUMMYFUNCTION("""COMPUTED_VALUE"""),"Soft Computing Techniques")</f>
        <v>Soft Computing Techniques</v>
      </c>
      <c r="G131" s="26" t="str">
        <f>IFERROR(__xludf.DUMMYFUNCTION("""COMPUTED_VALUE"""),"-")</f>
        <v>-</v>
      </c>
      <c r="H131" s="26">
        <f>IFERROR(__xludf.DUMMYFUNCTION("""COMPUTED_VALUE"""),2)</f>
        <v>2</v>
      </c>
      <c r="I131" s="26">
        <f>IFERROR(__xludf.DUMMYFUNCTION("""COMPUTED_VALUE"""),1)</f>
        <v>1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IFERROR(__xludf.DUMMYFUNCTION("""COMPUTED_VALUE"""),"TIP (6 Expts)")</f>
        <v>TIP (6 Expts)</v>
      </c>
      <c r="M131" s="26"/>
      <c r="N131" s="26"/>
      <c r="O131" s="26"/>
    </row>
    <row r="132" ht="13.2" spans="1:15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IFERROR(__xludf.DUMMYFUNCTION("""COMPUTED_VALUE"""),"CS3515")</f>
        <v>CS3515</v>
      </c>
      <c r="E132" s="26" t="str">
        <f>IFERROR(__xludf.DUMMYFUNCTION("""COMPUTED_VALUE"""),"19AI515")</f>
        <v>19AI515</v>
      </c>
      <c r="F132" s="27" t="str">
        <f>IFERROR(__xludf.DUMMYFUNCTION("""COMPUTED_VALUE"""),"Smart Manufacturing Technology")</f>
        <v>Smart Manufacturing Technology</v>
      </c>
      <c r="G132" s="26" t="str">
        <f>IFERROR(__xludf.DUMMYFUNCTION("""COMPUTED_VALUE"""),"-")</f>
        <v>-</v>
      </c>
      <c r="H132" s="26">
        <f>IFERROR(__xludf.DUMMYFUNCTION("""COMPUTED_VALUE"""),2)</f>
        <v>2</v>
      </c>
      <c r="I132" s="26">
        <f>IFERROR(__xludf.DUMMYFUNCTION("""COMPUTED_VALUE"""),1)</f>
        <v>1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IFERROR(__xludf.DUMMYFUNCTION("""COMPUTED_VALUE"""),"TIP (6 Expts)")</f>
        <v>TIP (6 Expts)</v>
      </c>
      <c r="M132" s="26"/>
      <c r="N132" s="26"/>
      <c r="O132" s="26"/>
    </row>
    <row r="133" ht="13.2" spans="1:15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IFERROR(__xludf.DUMMYFUNCTION("""COMPUTED_VALUE"""),"CS1523")</f>
        <v>CS1523</v>
      </c>
      <c r="E133" s="26" t="str">
        <f>IFERROR(__xludf.DUMMYFUNCTION("""COMPUTED_VALUE"""),"19CS523")</f>
        <v>19CS523</v>
      </c>
      <c r="F133" s="27" t="str">
        <f>IFERROR(__xludf.DUMMYFUNCTION("""COMPUTED_VALUE"""),"Information Retrieval")</f>
        <v>Information Retrieval</v>
      </c>
      <c r="G133" s="26" t="str">
        <f>IFERROR(__xludf.DUMMYFUNCTION("""COMPUTED_VALUE"""),"19AI410/ 19CS501/19CS413")</f>
        <v>19AI410/ 19CS501/19CS413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</row>
    <row r="134" ht="13.2" spans="1:15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IFERROR(__xludf.DUMMYFUNCTION("""COMPUTED_VALUE"""),"CS3512")</f>
        <v>CS3512</v>
      </c>
      <c r="E134" s="26" t="str">
        <f>IFERROR(__xludf.DUMMYFUNCTION("""COMPUTED_VALUE"""),"19AI512")</f>
        <v>19AI512</v>
      </c>
      <c r="F134" s="27" t="str">
        <f>IFERROR(__xludf.DUMMYFUNCTION("""COMPUTED_VALUE"""),"NoSQL Database Design")</f>
        <v>NoSQL Database Design</v>
      </c>
      <c r="G134" s="26" t="str">
        <f>IFERROR(__xludf.DUMMYFUNCTION("""COMPUTED_VALUE"""),"19CS301")</f>
        <v>19CS301</v>
      </c>
      <c r="H134" s="26">
        <f>IFERROR(__xludf.DUMMYFUNCTION("""COMPUTED_VALUE"""),2)</f>
        <v>2</v>
      </c>
      <c r="I134" s="26">
        <f>IFERROR(__xludf.DUMMYFUNCTION("""COMPUTED_VALUE"""),1)</f>
        <v>1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</row>
    <row r="135" ht="13.2" spans="1:15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IFERROR(__xludf.DUMMYFUNCTION("""COMPUTED_VALUE"""),"CS3518")</f>
        <v>CS3518</v>
      </c>
      <c r="E135" s="26" t="str">
        <f>IFERROR(__xludf.DUMMYFUNCTION("""COMPUTED_VALUE"""),"19AI518")</f>
        <v>19AI518</v>
      </c>
      <c r="F135" s="27" t="str">
        <f>IFERROR(__xludf.DUMMYFUNCTION("""COMPUTED_VALUE"""),"Cognitive Systems")</f>
        <v>Cognitive Systems</v>
      </c>
      <c r="G135" s="26" t="str">
        <f>IFERROR(__xludf.DUMMYFUNCTION("""COMPUTED_VALUE"""),"-")</f>
        <v>-</v>
      </c>
      <c r="H135" s="26">
        <f>IFERROR(__xludf.DUMMYFUNCTION("""COMPUTED_VALUE"""),3)</f>
        <v>3</v>
      </c>
      <c r="I135" s="26">
        <f>IFERROR(__xludf.DUMMYFUNCTION("""COMPUTED_VALUE"""),0)</f>
        <v>0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IFERROR(__xludf.DUMMYFUNCTION("""COMPUTED_VALUE"""),"Theory")</f>
        <v>Theory</v>
      </c>
      <c r="M135" s="26"/>
      <c r="N135" s="26"/>
      <c r="O135" s="26"/>
    </row>
    <row r="136" ht="13.2" spans="1:15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IFERROR(__xludf.DUMMYFUNCTION("""COMPUTED_VALUE"""),"CS3519")</f>
        <v>CS3519</v>
      </c>
      <c r="E136" s="26" t="str">
        <f>IFERROR(__xludf.DUMMYFUNCTION("""COMPUTED_VALUE"""),"19AI519")</f>
        <v>19AI519</v>
      </c>
      <c r="F136" s="27" t="str">
        <f>IFERROR(__xludf.DUMMYFUNCTION("""COMPUTED_VALUE"""),"Distributed Database")</f>
        <v>Distributed Database</v>
      </c>
      <c r="G136" s="26" t="str">
        <f>IFERROR(__xludf.DUMMYFUNCTION("""COMPUTED_VALUE"""),"19CS404")</f>
        <v>19CS404</v>
      </c>
      <c r="H136" s="26">
        <f>IFERROR(__xludf.DUMMYFUNCTION("""COMPUTED_VALUE"""),3)</f>
        <v>3</v>
      </c>
      <c r="I136" s="26">
        <f>IFERROR(__xludf.DUMMYFUNCTION("""COMPUTED_VALUE"""),0)</f>
        <v>0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IFERROR(__xludf.DUMMYFUNCTION("""COMPUTED_VALUE"""),"Theory")</f>
        <v>Theory</v>
      </c>
      <c r="M136" s="26"/>
      <c r="N136" s="26"/>
      <c r="O136" s="26"/>
    </row>
    <row r="137" ht="13.2" spans="1:15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IFERROR(__xludf.DUMMYFUNCTION("""COMPUTED_VALUE"""),"CS3520")</f>
        <v>CS3520</v>
      </c>
      <c r="E137" s="26" t="str">
        <f>IFERROR(__xludf.DUMMYFUNCTION("""COMPUTED_VALUE"""),"19AI520")</f>
        <v>19AI520</v>
      </c>
      <c r="F137" s="27" t="str">
        <f>IFERROR(__xludf.DUMMYFUNCTION("""COMPUTED_VALUE"""),"Data Mining and Warehousing")</f>
        <v>Data Mining and Warehousing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</row>
    <row r="138" ht="13.2" spans="1:15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IFERROR(__xludf.DUMMYFUNCTION("""COMPUTED_VALUE"""),"CS3523")</f>
        <v>CS3523</v>
      </c>
      <c r="E138" s="26" t="str">
        <f>IFERROR(__xludf.DUMMYFUNCTION("""COMPUTED_VALUE"""),"19AI523")</f>
        <v>19AI523</v>
      </c>
      <c r="F138" s="27" t="str">
        <f>IFERROR(__xludf.DUMMYFUNCTION("""COMPUTED_VALUE"""),"Mobile Database")</f>
        <v>Mobile Database</v>
      </c>
      <c r="G138" s="26" t="str">
        <f>IFERROR(__xludf.DUMMYFUNCTION("""COMPUTED_VALUE"""),"-")</f>
        <v>-</v>
      </c>
      <c r="H138" s="26">
        <f>IFERROR(__xludf.DUMMYFUNCTION("""COMPUTED_VALUE"""),3)</f>
        <v>3</v>
      </c>
      <c r="I138" s="26">
        <f>IFERROR(__xludf.DUMMYFUNCTION("""COMPUTED_VALUE"""),0)</f>
        <v>0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IFERROR(__xludf.DUMMYFUNCTION("""COMPUTED_VALUE"""),"Theory")</f>
        <v>Theory</v>
      </c>
      <c r="M138" s="26"/>
      <c r="N138" s="26"/>
      <c r="O138" s="26"/>
    </row>
    <row r="139" ht="13.2" spans="1:15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IFERROR(__xludf.DUMMYFUNCTION("""COMPUTED_VALUE"""),"CS3524")</f>
        <v>CS3524</v>
      </c>
      <c r="E139" s="26" t="str">
        <f>IFERROR(__xludf.DUMMYFUNCTION("""COMPUTED_VALUE"""),"19AI524")</f>
        <v>19AI524</v>
      </c>
      <c r="F139" s="27" t="str">
        <f>IFERROR(__xludf.DUMMYFUNCTION("""COMPUTED_VALUE"""),"Multimedia Database")</f>
        <v>Multimedia Database</v>
      </c>
      <c r="G139" s="26" t="str">
        <f>IFERROR(__xludf.DUMMYFUNCTION("""COMPUTED_VALUE"""),"19CS410")</f>
        <v>19CS410</v>
      </c>
      <c r="H139" s="26">
        <f>IFERROR(__xludf.DUMMYFUNCTION("""COMPUTED_VALUE"""),3)</f>
        <v>3</v>
      </c>
      <c r="I139" s="26">
        <f>IFERROR(__xludf.DUMMYFUNCTION("""COMPUTED_VALUE"""),0)</f>
        <v>0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IFERROR(__xludf.DUMMYFUNCTION("""COMPUTED_VALUE"""),"Theory")</f>
        <v>Theory</v>
      </c>
      <c r="M139" s="26"/>
      <c r="N139" s="26"/>
      <c r="O139" s="26"/>
    </row>
    <row r="140" ht="13.2" spans="1:15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IFERROR(__xludf.DUMMYFUNCTION("""COMPUTED_VALUE"""),"CS3525")</f>
        <v>CS3525</v>
      </c>
      <c r="E140" s="26" t="str">
        <f>IFERROR(__xludf.DUMMYFUNCTION("""COMPUTED_VALUE"""),"19AI525")</f>
        <v>19AI525</v>
      </c>
      <c r="F140" s="27" t="str">
        <f>IFERROR(__xludf.DUMMYFUNCTION("""COMPUTED_VALUE"""),"Video Processing")</f>
        <v>Video Processing</v>
      </c>
      <c r="G140" s="26" t="str">
        <f>IFERROR(__xludf.DUMMYFUNCTION("""COMPUTED_VALUE"""),"19CS301")</f>
        <v>19CS301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</row>
    <row r="141" ht="13.2" spans="1:15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IFERROR(__xludf.DUMMYFUNCTION("""COMPUTED_VALUE"""),"CS3406")</f>
        <v>CS3406</v>
      </c>
      <c r="E141" s="26" t="str">
        <f>IFERROR(__xludf.DUMMYFUNCTION("""COMPUTED_VALUE"""),"19AI406")</f>
        <v>19AI406</v>
      </c>
      <c r="F141" s="27" t="str">
        <f>IFERROR(__xludf.DUMMYFUNCTION("""COMPUTED_VALUE"""),"Digital Image Processing Techniques")</f>
        <v>Digital Image Processing Techniques</v>
      </c>
      <c r="G141" s="26" t="str">
        <f>IFERROR(__xludf.DUMMYFUNCTION("""COMPUTED_VALUE"""),"-")</f>
        <v>-</v>
      </c>
      <c r="H141" s="26">
        <f>IFERROR(__xludf.DUMMYFUNCTION("""COMPUTED_VALUE"""),2)</f>
        <v>2</v>
      </c>
      <c r="I141" s="26">
        <f>IFERROR(__xludf.DUMMYFUNCTION("""COMPUTED_VALUE"""),1)</f>
        <v>1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</row>
    <row r="142" ht="13.2" spans="1:15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IFERROR(__xludf.DUMMYFUNCTION("""COMPUTED_VALUE"""),"CS3407")</f>
        <v>CS3407</v>
      </c>
      <c r="E142" s="26" t="str">
        <f>IFERROR(__xludf.DUMMYFUNCTION("""COMPUTED_VALUE"""),"19AI407")</f>
        <v>19AI407</v>
      </c>
      <c r="F142" s="27" t="str">
        <f>IFERROR(__xludf.DUMMYFUNCTION("""COMPUTED_VALUE"""),"Parallel Computing Architecture")</f>
        <v>Parallel Computing Architecture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IFERROR(__xludf.DUMMYFUNCTION("""COMPUTED_VALUE"""),1)</f>
        <v>1</v>
      </c>
      <c r="J142" s="26">
        <f>IFERROR(__xludf.DUMMYFUNCTION("""COMPUTED_VALUE"""),4)</f>
        <v>4</v>
      </c>
      <c r="K142" s="26" t="str">
        <f>IFERROR(__xludf.DUMMYFUNCTION("""COMPUTED_VALUE"""),"CGPA")</f>
        <v>CGPA</v>
      </c>
      <c r="L142" s="26" t="str">
        <f>IFERROR(__xludf.DUMMYFUNCTION("""COMPUTED_VALUE"""),"TIP (6 Expts)")</f>
        <v>TIP (6 Expts)</v>
      </c>
      <c r="M142" s="26"/>
      <c r="N142" s="26"/>
      <c r="O142" s="26"/>
    </row>
    <row r="143" ht="13.2" spans="1:15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IFERROR(__xludf.DUMMYFUNCTION("""COMPUTED_VALUE"""),"CS3412")</f>
        <v>CS3412</v>
      </c>
      <c r="E143" s="26" t="str">
        <f>IFERROR(__xludf.DUMMYFUNCTION("""COMPUTED_VALUE"""),"19AI412")</f>
        <v>19AI412</v>
      </c>
      <c r="F143" s="27" t="str">
        <f>IFERROR(__xludf.DUMMYFUNCTION("""COMPUTED_VALUE"""),"Web Data Mining")</f>
        <v>Web Data Mining</v>
      </c>
      <c r="G143" s="26" t="str">
        <f>IFERROR(__xludf.DUMMYFUNCTION("""COMPUTED_VALUE"""),"-")</f>
        <v>-</v>
      </c>
      <c r="H143" s="26">
        <f>IFERROR(__xludf.DUMMYFUNCTION("""COMPUTED_VALUE"""),3)</f>
        <v>3</v>
      </c>
      <c r="I143" s="26">
        <f>IFERROR(__xludf.DUMMYFUNCTION("""COMPUTED_VALUE"""),1)</f>
        <v>1</v>
      </c>
      <c r="J143" s="26">
        <f>IFERROR(__xludf.DUMMYFUNCTION("""COMPUTED_VALUE"""),4)</f>
        <v>4</v>
      </c>
      <c r="K143" s="26" t="str">
        <f>IFERROR(__xludf.DUMMYFUNCTION("""COMPUTED_VALUE"""),"CGPA")</f>
        <v>CGPA</v>
      </c>
      <c r="L143" s="26" t="str">
        <f>IFERROR(__xludf.DUMMYFUNCTION("""COMPUTED_VALUE"""),"TIP (6 Expts)")</f>
        <v>TIP (6 Expts)</v>
      </c>
      <c r="M143" s="26"/>
      <c r="N143" s="26"/>
      <c r="O143" s="26"/>
    </row>
    <row r="144" ht="13.2" spans="1:15">
      <c r="A144" s="26">
        <f>IFERROR(__xludf.DUMMYFUNCTION("""COMPUTED_VALUE"""),142)</f>
        <v>142</v>
      </c>
      <c r="B144" s="26"/>
      <c r="C144" s="26" t="str">
        <f>IFERROR(__xludf.DUMMYFUNCTION("""COMPUTED_VALUE"""),"OE")</f>
        <v>OE</v>
      </c>
      <c r="D144" s="26" t="str">
        <f>IFERROR(__xludf.DUMMYFUNCTION("""COMPUTED_VALUE"""),"XXXXXX")</f>
        <v>XXXXXX</v>
      </c>
      <c r="E144" s="26" t="str">
        <f>IFERROR(__xludf.DUMMYFUNCTION("""COMPUTED_VALUE"""),"19XXXXX")</f>
        <v>19XXXXX</v>
      </c>
      <c r="F144" s="26" t="str">
        <f>IFERROR(__xludf.DUMMYFUNCTION("""COMPUTED_VALUE"""),"Open Electives")</f>
        <v>Open Electives</v>
      </c>
      <c r="G144" s="26" t="str">
        <f>IFERROR(__xludf.DUMMYFUNCTION("""COMPUTED_VALUE"""),"-")</f>
        <v>-</v>
      </c>
      <c r="H144" s="26">
        <f>IFERROR(__xludf.DUMMYFUNCTION("""COMPUTED_VALUE"""),0)</f>
        <v>0</v>
      </c>
      <c r="I144" s="26">
        <f>IFERROR(__xludf.DUMMYFUNCTION("""COMPUTED_VALUE"""),0)</f>
        <v>0</v>
      </c>
      <c r="J144" s="26">
        <f>IFERROR(__xludf.DUMMYFUNCTION("""COMPUTED_VALUE"""),0)</f>
        <v>0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</row>
    <row r="145" ht="13.2" spans="1:15">
      <c r="A145" s="26">
        <f>IFERROR(__xludf.DUMMYFUNCTION("""COMPUTED_VALUE"""),143)</f>
        <v>143</v>
      </c>
      <c r="B145" s="26"/>
      <c r="C145" s="26" t="str">
        <f>IFERROR(__xludf.DUMMYFUNCTION("""COMPUTED_VALUE"""),"OE")</f>
        <v>OE</v>
      </c>
      <c r="D145" s="26" t="str">
        <f>IFERROR(__xludf.DUMMYFUNCTION("""COMPUTED_VALUE"""),"XXXXXX")</f>
        <v>XXXXXX</v>
      </c>
      <c r="E145" s="26" t="str">
        <f>IFERROR(__xludf.DUMMYFUNCTION("""COMPUTED_VALUE"""),"19XXXXX")</f>
        <v>19XXXXX</v>
      </c>
      <c r="F145" s="26" t="str">
        <f>IFERROR(__xludf.DUMMYFUNCTION("""COMPUTED_VALUE"""),"Online Courses")</f>
        <v>Online Courses</v>
      </c>
      <c r="G145" s="26" t="str">
        <f>IFERROR(__xludf.DUMMYFUNCTION("""COMPUTED_VALUE"""),"-")</f>
        <v>-</v>
      </c>
      <c r="H145" s="26">
        <f>IFERROR(__xludf.DUMMYFUNCTION("""COMPUTED_VALUE"""),0)</f>
        <v>0</v>
      </c>
      <c r="I145" s="26">
        <f>IFERROR(__xludf.DUMMYFUNCTION("""COMPUTED_VALUE"""),0)</f>
        <v>0</v>
      </c>
      <c r="J145" s="26">
        <f>IFERROR(__xludf.DUMMYFUNCTION("""COMPUTED_VALUE"""),0)</f>
        <v>0</v>
      </c>
      <c r="K145" s="26" t="str">
        <f>IFERROR(__xludf.DUMMYFUNCTION("""COMPUTED_VALUE"""),"CGPA")</f>
        <v>CGPA</v>
      </c>
      <c r="L145" s="26" t="str">
        <f>IFERROR(__xludf.DUMMYFUNCTION("""COMPUTED_VALUE"""),"Experiential Learning")</f>
        <v>Experiential Learning</v>
      </c>
      <c r="M145" s="26"/>
      <c r="N145" s="26"/>
      <c r="O145" s="26"/>
    </row>
    <row r="146" ht="13.2" spans="1:15">
      <c r="A146" s="26">
        <f>IFERROR(__xludf.DUMMYFUNCTION("""COMPUTED_VALUE"""),144)</f>
        <v>144</v>
      </c>
      <c r="B146" s="26"/>
      <c r="C146" s="26" t="str">
        <f>IFERROR(__xludf.DUMMYFUNCTION("""COMPUTED_VALUE"""),"EEC")</f>
        <v>EEC</v>
      </c>
      <c r="D146" s="26" t="str">
        <f>IFERROR(__xludf.DUMMYFUNCTION("""COMPUTED_VALUE"""),"CS3701")</f>
        <v>CS3701</v>
      </c>
      <c r="E146" s="26" t="str">
        <f>IFERROR(__xludf.DUMMYFUNCTION("""COMPUTED_VALUE"""),"19AI701")</f>
        <v>19AI701</v>
      </c>
      <c r="F146" s="27" t="str">
        <f>IFERROR(__xludf.DUMMYFUNCTION("""COMPUTED_VALUE"""),"Mini Project")</f>
        <v>Mini Project</v>
      </c>
      <c r="G146" s="26" t="str">
        <f>IFERROR(__xludf.DUMMYFUNCTION("""COMPUTED_VALUE"""),"-")</f>
        <v>-</v>
      </c>
      <c r="H146" s="26">
        <f>IFERROR(__xludf.DUMMYFUNCTION("""COMPUTED_VALUE"""),0)</f>
        <v>0</v>
      </c>
      <c r="I146" s="26">
        <f>IFERROR(__xludf.DUMMYFUNCTION("""COMPUTED_VALUE"""),2)</f>
        <v>2</v>
      </c>
      <c r="J146" s="26">
        <f>IFERROR(__xludf.DUMMYFUNCTION("""COMPUTED_VALUE"""),2)</f>
        <v>2</v>
      </c>
      <c r="K146" s="26" t="str">
        <f>IFERROR(__xludf.DUMMYFUNCTION("""COMPUTED_VALUE"""),"CGPA")</f>
        <v>CGPA</v>
      </c>
      <c r="L146" s="26" t="str">
        <f>IFERROR(__xludf.DUMMYFUNCTION("""COMPUTED_VALUE"""),"Project (Int Only)")</f>
        <v>Project (Int Only)</v>
      </c>
      <c r="M146" s="26"/>
      <c r="N146" s="26"/>
      <c r="O146" s="26"/>
    </row>
    <row r="147" ht="13.2" spans="1:15">
      <c r="A147" s="26">
        <f>IFERROR(__xludf.DUMMYFUNCTION("""COMPUTED_VALUE"""),145)</f>
        <v>145</v>
      </c>
      <c r="B147" s="26" t="str">
        <f>IFERROR(__xludf.DUMMYFUNCTION("""COMPUTED_VALUE"""),"Option 1")</f>
        <v>Option 1</v>
      </c>
      <c r="C147" s="26" t="str">
        <f>IFERROR(__xludf.DUMMYFUNCTION("""COMPUTED_VALUE"""),"EEC")</f>
        <v>EEC</v>
      </c>
      <c r="D147" s="26" t="str">
        <f>IFERROR(__xludf.DUMMYFUNCTION("""COMPUTED_VALUE"""),"CS3702")</f>
        <v>CS3702</v>
      </c>
      <c r="E147" s="26" t="str">
        <f>IFERROR(__xludf.DUMMYFUNCTION("""COMPUTED_VALUE"""),"19AI702")</f>
        <v>19AI702</v>
      </c>
      <c r="F147" s="27" t="str">
        <f>IFERROR(__xludf.DUMMYFUNCTION("""COMPUTED_VALUE"""),"Project Work I")</f>
        <v>Project Work I</v>
      </c>
      <c r="G147" s="26" t="str">
        <f>IFERROR(__xludf.DUMMYFUNCTION("""COMPUTED_VALUE"""),"-")</f>
        <v>-</v>
      </c>
      <c r="H147" s="26">
        <f>IFERROR(__xludf.DUMMYFUNCTION("""COMPUTED_VALUE"""),0)</f>
        <v>0</v>
      </c>
      <c r="I147" s="26">
        <f>IFERROR(__xludf.DUMMYFUNCTION("""COMPUTED_VALUE"""),2)</f>
        <v>2</v>
      </c>
      <c r="J147" s="26">
        <f>IFERROR(__xludf.DUMMYFUNCTION("""COMPUTED_VALUE"""),2)</f>
        <v>2</v>
      </c>
      <c r="K147" s="26" t="str">
        <f>IFERROR(__xludf.DUMMYFUNCTION("""COMPUTED_VALUE"""),"CGPA")</f>
        <v>CGPA</v>
      </c>
      <c r="L147" s="26" t="str">
        <f>IFERROR(__xludf.DUMMYFUNCTION("""COMPUTED_VALUE"""),"Practical (10 Expts)")</f>
        <v>Practical (10 Expts)</v>
      </c>
      <c r="M147" s="26"/>
      <c r="N147" s="26"/>
      <c r="O147" s="26"/>
    </row>
    <row r="148" ht="13.2" spans="1:15">
      <c r="A148" s="26">
        <f>IFERROR(__xludf.DUMMYFUNCTION("""COMPUTED_VALUE"""),146)</f>
        <v>146</v>
      </c>
      <c r="B148" s="26" t="str">
        <f>IFERROR(__xludf.DUMMYFUNCTION("""COMPUTED_VALUE"""),"Option 1")</f>
        <v>Option 1</v>
      </c>
      <c r="C148" s="26" t="str">
        <f>IFERROR(__xludf.DUMMYFUNCTION("""COMPUTED_VALUE"""),"EEC")</f>
        <v>EEC</v>
      </c>
      <c r="D148" s="26" t="str">
        <f>IFERROR(__xludf.DUMMYFUNCTION("""COMPUTED_VALUE"""),"CS3703")</f>
        <v>CS3703</v>
      </c>
      <c r="E148" s="26" t="str">
        <f>IFERROR(__xludf.DUMMYFUNCTION("""COMPUTED_VALUE"""),"19AI703")</f>
        <v>19AI703</v>
      </c>
      <c r="F148" s="27" t="str">
        <f>IFERROR(__xludf.DUMMYFUNCTION("""COMPUTED_VALUE"""),"Project Work II")</f>
        <v>Project Work II</v>
      </c>
      <c r="G148" s="26" t="str">
        <f>IFERROR(__xludf.DUMMYFUNCTION("""COMPUTED_VALUE"""),"19AI702")</f>
        <v>19AI702</v>
      </c>
      <c r="H148" s="26">
        <f>IFERROR(__xludf.DUMMYFUNCTION("""COMPUTED_VALUE"""),0)</f>
        <v>0</v>
      </c>
      <c r="I148" s="26">
        <f>IFERROR(__xludf.DUMMYFUNCTION("""COMPUTED_VALUE"""),6)</f>
        <v>6</v>
      </c>
      <c r="J148" s="26">
        <f>IFERROR(__xludf.DUMMYFUNCTION("""COMPUTED_VALUE"""),6)</f>
        <v>6</v>
      </c>
      <c r="K148" s="26" t="str">
        <f>IFERROR(__xludf.DUMMYFUNCTION("""COMPUTED_VALUE"""),"CGPA")</f>
        <v>CGPA</v>
      </c>
      <c r="L148" s="26" t="str">
        <f>IFERROR(__xludf.DUMMYFUNCTION("""COMPUTED_VALUE"""),"Project")</f>
        <v>Project</v>
      </c>
      <c r="M148" s="26"/>
      <c r="N148" s="26"/>
      <c r="O148" s="26"/>
    </row>
    <row r="149" ht="13.2" spans="1:15">
      <c r="A149" s="26">
        <f>IFERROR(__xludf.DUMMYFUNCTION("""COMPUTED_VALUE"""),147)</f>
        <v>147</v>
      </c>
      <c r="B149" s="26" t="str">
        <f>IFERROR(__xludf.DUMMYFUNCTION("""COMPUTED_VALUE"""),"Option 2")</f>
        <v>Option 2</v>
      </c>
      <c r="C149" s="26" t="str">
        <f>IFERROR(__xludf.DUMMYFUNCTION("""COMPUTED_VALUE"""),"EEC")</f>
        <v>EEC</v>
      </c>
      <c r="D149" s="26" t="str">
        <f>IFERROR(__xludf.DUMMYFUNCTION("""COMPUTED_VALUE"""),"SH6802")</f>
        <v>SH6802</v>
      </c>
      <c r="E149" s="26" t="str">
        <f>IFERROR(__xludf.DUMMYFUNCTION("""COMPUTED_VALUE"""),"NA")</f>
        <v>NA</v>
      </c>
      <c r="F149" s="26" t="str">
        <f>IFERROR(__xludf.DUMMYFUNCTION("""COMPUTED_VALUE"""),"Start Up")</f>
        <v>Start Up</v>
      </c>
      <c r="G149" s="26" t="str">
        <f>IFERROR(__xludf.DUMMYFUNCTION("""COMPUTED_VALUE"""),"-")</f>
        <v>-</v>
      </c>
      <c r="H149" s="26">
        <f>IFERROR(__xludf.DUMMYFUNCTION("""COMPUTED_VALUE"""),0)</f>
        <v>0</v>
      </c>
      <c r="I149" s="26">
        <f>IFERROR(__xludf.DUMMYFUNCTION("""COMPUTED_VALUE"""),8)</f>
        <v>8</v>
      </c>
      <c r="J149" s="26">
        <f>IFERROR(__xludf.DUMMYFUNCTION("""COMPUTED_VALUE"""),8)</f>
        <v>8</v>
      </c>
      <c r="K149" s="26" t="str">
        <f>IFERROR(__xludf.DUMMYFUNCTION("""COMPUTED_VALUE"""),"CGPA")</f>
        <v>CGPA</v>
      </c>
      <c r="L149" s="26" t="str">
        <f>IFERROR(__xludf.DUMMYFUNCTION("""COMPUTED_VALUE"""),"Project")</f>
        <v>Project</v>
      </c>
      <c r="M149" s="26"/>
      <c r="N149" s="26"/>
      <c r="O149" s="26"/>
    </row>
    <row r="150" ht="13.2" spans="1:15">
      <c r="A150" s="26">
        <f>IFERROR(__xludf.DUMMYFUNCTION("""COMPUTED_VALUE"""),148)</f>
        <v>148</v>
      </c>
      <c r="B150" s="26"/>
      <c r="C150" s="26" t="str">
        <f>IFERROR(__xludf.DUMMYFUNCTION("""COMPUTED_VALUE"""),"EEC")</f>
        <v>EEC</v>
      </c>
      <c r="D150" s="26" t="str">
        <f>IFERROR(__xludf.DUMMYFUNCTION("""COMPUTED_VALUE"""),"SH6708")</f>
        <v>SH6708</v>
      </c>
      <c r="E150" s="26" t="str">
        <f>IFERROR(__xludf.DUMMYFUNCTION("""COMPUTED_VALUE"""),"19EY708")</f>
        <v>19EY708</v>
      </c>
      <c r="F150" s="27" t="str">
        <f>IFERROR(__xludf.DUMMYFUNCTION("""COMPUTED_VALUE"""),"Career Development Skills")</f>
        <v>Career Development Skills</v>
      </c>
      <c r="G150" s="26" t="str">
        <f>IFERROR(__xludf.DUMMYFUNCTION("""COMPUTED_VALUE"""),"NIL")</f>
        <v>NIL</v>
      </c>
      <c r="H150" s="26">
        <f>IFERROR(__xludf.DUMMYFUNCTION("""COMPUTED_VALUE"""),1)</f>
        <v>1</v>
      </c>
      <c r="I150" s="26">
        <f>IFERROR(__xludf.DUMMYFUNCTION("""COMPUTED_VALUE"""),0)</f>
        <v>0</v>
      </c>
      <c r="J150" s="26">
        <f>IFERROR(__xludf.DUMMYFUNCTION("""COMPUTED_VALUE"""),1)</f>
        <v>1</v>
      </c>
      <c r="K150" s="26" t="str">
        <f>IFERROR(__xludf.DUMMYFUNCTION("""COMPUTED_VALUE"""),"CGPA")</f>
        <v>CGPA</v>
      </c>
      <c r="L150" s="26" t="str">
        <f>IFERROR(__xludf.DUMMYFUNCTION("""COMPUTED_VALUE"""),"Theory (Int Only)")</f>
        <v>Theory (Int Only)</v>
      </c>
      <c r="M150" s="26"/>
      <c r="N150" s="26"/>
      <c r="O150" s="26"/>
    </row>
    <row r="151" ht="13.2" spans="1:15">
      <c r="A151" s="26">
        <f>IFERROR(__xludf.DUMMYFUNCTION("""COMPUTED_VALUE"""),149)</f>
        <v>149</v>
      </c>
      <c r="B151" s="26"/>
      <c r="C151" s="26" t="str">
        <f>IFERROR(__xludf.DUMMYFUNCTION("""COMPUTED_VALUE"""),"EEC")</f>
        <v>EEC</v>
      </c>
      <c r="D151" s="26" t="str">
        <f>IFERROR(__xludf.DUMMYFUNCTION("""COMPUTED_VALUE"""),"SH6709")</f>
        <v>SH6709</v>
      </c>
      <c r="E151" s="26" t="str">
        <f>IFERROR(__xludf.DUMMYFUNCTION("""COMPUTED_VALUE"""),"19EY709")</f>
        <v>19EY709</v>
      </c>
      <c r="F151" s="27" t="str">
        <f>IFERROR(__xludf.DUMMYFUNCTION("""COMPUTED_VALUE"""),"Reasoning Ability")</f>
        <v>Reasoning Ability</v>
      </c>
      <c r="G151" s="26" t="str">
        <f>IFERROR(__xludf.DUMMYFUNCTION("""COMPUTED_VALUE"""),"NIL")</f>
        <v>NIL</v>
      </c>
      <c r="H151" s="26">
        <f>IFERROR(__xludf.DUMMYFUNCTION("""COMPUTED_VALUE"""),1)</f>
        <v>1</v>
      </c>
      <c r="I151" s="26">
        <f>IFERROR(__xludf.DUMMYFUNCTION("""COMPUTED_VALUE"""),0)</f>
        <v>0</v>
      </c>
      <c r="J151" s="26">
        <f>IFERROR(__xludf.DUMMYFUNCTION("""COMPUTED_VALUE"""),1)</f>
        <v>1</v>
      </c>
      <c r="K151" s="26" t="str">
        <f>IFERROR(__xludf.DUMMYFUNCTION("""COMPUTED_VALUE"""),"CGPA")</f>
        <v>CGPA</v>
      </c>
      <c r="L151" s="26" t="str">
        <f>IFERROR(__xludf.DUMMYFUNCTION("""COMPUTED_VALUE"""),"Theory (Int Only)")</f>
        <v>Theory (Int Only)</v>
      </c>
      <c r="M151" s="26"/>
      <c r="N151" s="26"/>
      <c r="O151" s="26"/>
    </row>
    <row r="152" ht="13.2" spans="1:15">
      <c r="A152" s="26">
        <f>IFERROR(__xludf.DUMMYFUNCTION("""COMPUTED_VALUE"""),150)</f>
        <v>150</v>
      </c>
      <c r="B152" s="26"/>
      <c r="C152" s="26" t="str">
        <f>IFERROR(__xludf.DUMMYFUNCTION("""COMPUTED_VALUE"""),"EEC")</f>
        <v>EEC</v>
      </c>
      <c r="D152" s="26" t="str">
        <f>IFERROR(__xludf.DUMMYFUNCTION("""COMPUTED_VALUE"""),"SH6710")</f>
        <v>SH6710</v>
      </c>
      <c r="E152" s="26" t="str">
        <f>IFERROR(__xludf.DUMMYFUNCTION("""COMPUTED_VALUE"""),"19EY710")</f>
        <v>19EY710</v>
      </c>
      <c r="F152" s="27" t="str">
        <f>IFERROR(__xludf.DUMMYFUNCTION("""COMPUTED_VALUE"""),"Quantitative Ability I")</f>
        <v>Quantitative Ability I</v>
      </c>
      <c r="G152" s="26" t="str">
        <f>IFERROR(__xludf.DUMMYFUNCTION("""COMPUTED_VALUE"""),"NIL")</f>
        <v>NIL</v>
      </c>
      <c r="H152" s="26">
        <f>IFERROR(__xludf.DUMMYFUNCTION("""COMPUTED_VALUE"""),1)</f>
        <v>1</v>
      </c>
      <c r="I152" s="26">
        <f>IFERROR(__xludf.DUMMYFUNCTION("""COMPUTED_VALUE"""),0)</f>
        <v>0</v>
      </c>
      <c r="J152" s="26">
        <f>IFERROR(__xludf.DUMMYFUNCTION("""COMPUTED_VALUE"""),1)</f>
        <v>1</v>
      </c>
      <c r="K152" s="26" t="str">
        <f>IFERROR(__xludf.DUMMYFUNCTION("""COMPUTED_VALUE"""),"CGPA")</f>
        <v>CGPA</v>
      </c>
      <c r="L152" s="26" t="str">
        <f>IFERROR(__xludf.DUMMYFUNCTION("""COMPUTED_VALUE"""),"Theory (Int Only)")</f>
        <v>Theory (Int Only)</v>
      </c>
      <c r="M152" s="26"/>
      <c r="N152" s="26"/>
      <c r="O152" s="26"/>
    </row>
    <row r="153" ht="13.2" spans="1:15">
      <c r="A153" s="26">
        <f>IFERROR(__xludf.DUMMYFUNCTION("""COMPUTED_VALUE"""),151)</f>
        <v>151</v>
      </c>
      <c r="B153" s="26"/>
      <c r="C153" s="26" t="str">
        <f>IFERROR(__xludf.DUMMYFUNCTION("""COMPUTED_VALUE"""),"EEC")</f>
        <v>EEC</v>
      </c>
      <c r="D153" s="26" t="str">
        <f>IFERROR(__xludf.DUMMYFUNCTION("""COMPUTED_VALUE"""),"SH6711")</f>
        <v>SH6711</v>
      </c>
      <c r="E153" s="26" t="str">
        <f>IFERROR(__xludf.DUMMYFUNCTION("""COMPUTED_VALUE"""),"19EY711")</f>
        <v>19EY711</v>
      </c>
      <c r="F153" s="27" t="str">
        <f>IFERROR(__xludf.DUMMYFUNCTION("""COMPUTED_VALUE"""),"Quantitative Ability II")</f>
        <v>Quantitative Ability II</v>
      </c>
      <c r="G153" s="26" t="str">
        <f>IFERROR(__xludf.DUMMYFUNCTION("""COMPUTED_VALUE"""),"SH6710 /19EY710")</f>
        <v>SH6710 /19EY710</v>
      </c>
      <c r="H153" s="26">
        <f>IFERROR(__xludf.DUMMYFUNCTION("""COMPUTED_VALUE"""),1)</f>
        <v>1</v>
      </c>
      <c r="I153" s="26">
        <f>IFERROR(__xludf.DUMMYFUNCTION("""COMPUTED_VALUE"""),0)</f>
        <v>0</v>
      </c>
      <c r="J153" s="26">
        <f>IFERROR(__xludf.DUMMYFUNCTION("""COMPUTED_VALUE"""),1)</f>
        <v>1</v>
      </c>
      <c r="K153" s="26" t="str">
        <f>IFERROR(__xludf.DUMMYFUNCTION("""COMPUTED_VALUE"""),"CGPA")</f>
        <v>CGPA</v>
      </c>
      <c r="L153" s="26" t="str">
        <f>IFERROR(__xludf.DUMMYFUNCTION("""COMPUTED_VALUE"""),"Theory (Int Only)")</f>
        <v>Theory (Int Only)</v>
      </c>
      <c r="M153" s="26"/>
      <c r="N153" s="26"/>
      <c r="O153" s="26"/>
    </row>
    <row r="154" ht="13.2" spans="1:15">
      <c r="A154" s="26">
        <f>IFERROR(__xludf.DUMMYFUNCTION("""COMPUTED_VALUE"""),152)</f>
        <v>152</v>
      </c>
      <c r="B154" s="26"/>
      <c r="C154" s="26" t="str">
        <f>IFERROR(__xludf.DUMMYFUNCTION("""COMPUTED_VALUE"""),"EEC")</f>
        <v>EEC</v>
      </c>
      <c r="D154" s="26" t="str">
        <f>IFERROR(__xludf.DUMMYFUNCTION("""COMPUTED_VALUE"""),"SH6712")</f>
        <v>SH6712</v>
      </c>
      <c r="E154" s="26" t="str">
        <f>IFERROR(__xludf.DUMMYFUNCTION("""COMPUTED_VALUE"""),"19EY712")</f>
        <v>19EY712</v>
      </c>
      <c r="F154" s="27" t="str">
        <f>IFERROR(__xludf.DUMMYFUNCTION("""COMPUTED_VALUE"""),"Employment Enrichment Skills")</f>
        <v>Employment Enrichment Skills</v>
      </c>
      <c r="G154" s="26" t="str">
        <f>IFERROR(__xludf.DUMMYFUNCTION("""COMPUTED_VALUE"""),"19EY702 / 19EY709 / SH6709")</f>
        <v>19EY702 / 19EY709 / SH6709</v>
      </c>
      <c r="H154" s="26">
        <f>IFERROR(__xludf.DUMMYFUNCTION("""COMPUTED_VALUE"""),1)</f>
        <v>1</v>
      </c>
      <c r="I154" s="26">
        <f>IFERROR(__xludf.DUMMYFUNCTION("""COMPUTED_VALUE"""),0)</f>
        <v>0</v>
      </c>
      <c r="J154" s="26">
        <f>IFERROR(__xludf.DUMMYFUNCTION("""COMPUTED_VALUE"""),1)</f>
        <v>1</v>
      </c>
      <c r="K154" s="26" t="str">
        <f>IFERROR(__xludf.DUMMYFUNCTION("""COMPUTED_VALUE"""),"CGPA")</f>
        <v>CGPA</v>
      </c>
      <c r="L154" s="26" t="str">
        <f>IFERROR(__xludf.DUMMYFUNCTION("""COMPUTED_VALUE"""),"Theory (Int Only)")</f>
        <v>Theory (Int Only)</v>
      </c>
      <c r="M154" s="26"/>
      <c r="N154" s="26"/>
      <c r="O154" s="26"/>
    </row>
    <row r="155" ht="13.2" spans="1:15">
      <c r="A155" s="26">
        <f>IFERROR(__xludf.DUMMYFUNCTION("""COMPUTED_VALUE"""),153)</f>
        <v>153</v>
      </c>
      <c r="B155" s="26" t="str">
        <f>IFERROR(__xludf.DUMMYFUNCTION("""COMPUTED_VALUE"""),"Any 1")</f>
        <v>Any 1</v>
      </c>
      <c r="C155" s="26" t="str">
        <f>IFERROR(__xludf.DUMMYFUNCTION("""COMPUTED_VALUE"""),"EEC")</f>
        <v>EEC</v>
      </c>
      <c r="D155" s="26" t="str">
        <f>IFERROR(__xludf.DUMMYFUNCTION("""COMPUTED_VALUE"""),"NA")</f>
        <v>NA</v>
      </c>
      <c r="E155" s="26" t="str">
        <f>IFERROR(__xludf.DUMMYFUNCTION("""COMPUTED_VALUE"""),"19EY706")</f>
        <v>19EY706</v>
      </c>
      <c r="F155" s="27" t="str">
        <f>IFERROR(__xludf.DUMMYFUNCTION("""COMPUTED_VALUE"""),"Company Specific Assessments For Employability")</f>
        <v>Company Specific Assessments For Employability</v>
      </c>
      <c r="G155" s="26" t="str">
        <f>IFERROR(__xludf.DUMMYFUNCTION("""COMPUTED_VALUE"""),"-")</f>
        <v>-</v>
      </c>
      <c r="H155" s="26">
        <f>IFERROR(__xludf.DUMMYFUNCTION("""COMPUTED_VALUE"""),0)</f>
        <v>0</v>
      </c>
      <c r="I155" s="26">
        <f>IFERROR(__xludf.DUMMYFUNCTION("""COMPUTED_VALUE"""),1)</f>
        <v>1</v>
      </c>
      <c r="J155" s="26">
        <f>IFERROR(__xludf.DUMMYFUNCTION("""COMPUTED_VALUE"""),1)</f>
        <v>1</v>
      </c>
      <c r="K155" s="26" t="str">
        <f>IFERROR(__xludf.DUMMYFUNCTION("""COMPUTED_VALUE"""),"CGPA")</f>
        <v>CGPA</v>
      </c>
      <c r="L155" s="26" t="str">
        <f>IFERROR(__xludf.DUMMYFUNCTION("""COMPUTED_VALUE"""),"Practical (6 Expts)")</f>
        <v>Practical (6 Expts)</v>
      </c>
      <c r="M155" s="26"/>
      <c r="N155" s="26"/>
      <c r="O155" s="26"/>
    </row>
    <row r="156" ht="13.2" spans="1:15">
      <c r="A156" s="26">
        <f>IFERROR(__xludf.DUMMYFUNCTION("""COMPUTED_VALUE"""),154)</f>
        <v>154</v>
      </c>
      <c r="B156" s="26" t="str">
        <f>IFERROR(__xludf.DUMMYFUNCTION("""COMPUTED_VALUE"""),"Any 1")</f>
        <v>Any 1</v>
      </c>
      <c r="C156" s="26" t="str">
        <f>IFERROR(__xludf.DUMMYFUNCTION("""COMPUTED_VALUE"""),"EEC")</f>
        <v>EEC</v>
      </c>
      <c r="D156" s="26" t="str">
        <f>IFERROR(__xludf.DUMMYFUNCTION("""COMPUTED_VALUE"""),"SH6713")</f>
        <v>SH6713</v>
      </c>
      <c r="E156" s="26" t="str">
        <f>IFERROR(__xludf.DUMMYFUNCTION("""COMPUTED_VALUE"""),"19EY713")</f>
        <v>19EY713</v>
      </c>
      <c r="F156" s="27" t="str">
        <f>IFERROR(__xludf.DUMMYFUNCTION("""COMPUTED_VALUE"""),"Placement Readiness Assessment")</f>
        <v>Placement Readiness Assessment</v>
      </c>
      <c r="G156" s="26" t="str">
        <f>IFERROR(__xludf.DUMMYFUNCTION("""COMPUTED_VALUE"""),"19EY704 / 19EY711/SH6711")</f>
        <v>19EY704 / 19EY711/SH6711</v>
      </c>
      <c r="H156" s="26">
        <f>IFERROR(__xludf.DUMMYFUNCTION("""COMPUTED_VALUE"""),1)</f>
        <v>1</v>
      </c>
      <c r="I156" s="26">
        <f>IFERROR(__xludf.DUMMYFUNCTION("""COMPUTED_VALUE"""),0)</f>
        <v>0</v>
      </c>
      <c r="J156" s="26">
        <f>IFERROR(__xludf.DUMMYFUNCTION("""COMPUTED_VALUE"""),1)</f>
        <v>1</v>
      </c>
      <c r="K156" s="26" t="str">
        <f>IFERROR(__xludf.DUMMYFUNCTION("""COMPUTED_VALUE"""),"CGPA")</f>
        <v>CGPA</v>
      </c>
      <c r="L156" s="26" t="str">
        <f>IFERROR(__xludf.DUMMYFUNCTION("""COMPUTED_VALUE"""),"Theory (Int Only)")</f>
        <v>Theory (Int Only)</v>
      </c>
      <c r="M156" s="26"/>
      <c r="N156" s="26"/>
      <c r="O156" s="26"/>
    </row>
    <row r="157" ht="13.2" spans="1:15">
      <c r="A157" s="26">
        <f>IFERROR(__xludf.DUMMYFUNCTION("""COMPUTED_VALUE"""),155)</f>
        <v>155</v>
      </c>
      <c r="B157" s="26"/>
      <c r="C157" s="26" t="str">
        <f>IFERROR(__xludf.DUMMYFUNCTION("""COMPUTED_VALUE"""),"EEC")</f>
        <v>EEC</v>
      </c>
      <c r="D157" s="26" t="str">
        <f>IFERROR(__xludf.DUMMYFUNCTION("""COMPUTED_VALUE"""),"SH6707")</f>
        <v>SH6707</v>
      </c>
      <c r="E157" s="26" t="str">
        <f>IFERROR(__xludf.DUMMYFUNCTION("""COMPUTED_VALUE"""),"19EY707")</f>
        <v>19EY707</v>
      </c>
      <c r="F157" s="27" t="str">
        <f>IFERROR(__xludf.DUMMYFUNCTION("""COMPUTED_VALUE"""),"Paper Publication")</f>
        <v>Paper Publication</v>
      </c>
      <c r="G157" s="26" t="str">
        <f>IFERROR(__xludf.DUMMYFUNCTION("""COMPUTED_VALUE"""),"-")</f>
        <v>-</v>
      </c>
      <c r="H157" s="26">
        <f>IFERROR(__xludf.DUMMYFUNCTION("""COMPUTED_VALUE"""),0)</f>
        <v>0</v>
      </c>
      <c r="I157" s="26">
        <f>IFERROR(__xludf.DUMMYFUNCTION("""COMPUTED_VALUE"""),0)</f>
        <v>0</v>
      </c>
      <c r="J157" s="26">
        <f>IFERROR(__xludf.DUMMYFUNCTION("""COMPUTED_VALUE"""),1)</f>
        <v>1</v>
      </c>
      <c r="K157" s="26" t="str">
        <f>IFERROR(__xludf.DUMMYFUNCTION("""COMPUTED_VALUE"""),"NON-CGPA")</f>
        <v>NON-CGPA</v>
      </c>
      <c r="L157" s="26" t="str">
        <f>IFERROR(__xludf.DUMMYFUNCTION("""COMPUTED_VALUE"""),"Experiential Learning (Int Only)")</f>
        <v>Experiential Learning (Int Only)</v>
      </c>
      <c r="M157" s="26"/>
      <c r="N157" s="26"/>
      <c r="O157" s="26"/>
    </row>
    <row r="158" ht="13.2" spans="1:15">
      <c r="A158" s="26">
        <f>IFERROR(__xludf.DUMMYFUNCTION("""COMPUTED_VALUE"""),156)</f>
        <v>156</v>
      </c>
      <c r="B158" s="26"/>
      <c r="C158" s="26" t="str">
        <f>IFERROR(__xludf.DUMMYFUNCTION("""COMPUTED_VALUE"""),"MC")</f>
        <v>MC</v>
      </c>
      <c r="D158" s="26" t="str">
        <f>IFERROR(__xludf.DUMMYFUNCTION("""COMPUTED_VALUE"""),"SH8801")</f>
        <v>SH8801</v>
      </c>
      <c r="E158" s="26" t="str">
        <f>IFERROR(__xludf.DUMMYFUNCTION("""COMPUTED_VALUE"""),"NA")</f>
        <v>NA</v>
      </c>
      <c r="F158" s="27" t="str">
        <f>IFERROR(__xludf.DUMMYFUNCTION("""COMPUTED_VALUE"""),"Constitutionalism and Artificial Intelligence Policies in India")</f>
        <v>Constitutionalism and Artificial Intelligence Policies in India</v>
      </c>
      <c r="G158" s="26" t="str">
        <f>IFERROR(__xludf.DUMMYFUNCTION("""COMPUTED_VALUE"""),"-")</f>
        <v>-</v>
      </c>
      <c r="H158" s="26">
        <f>IFERROR(__xludf.DUMMYFUNCTION("""COMPUTED_VALUE"""),1)</f>
        <v>1</v>
      </c>
      <c r="I158" s="26">
        <f>IFERROR(__xludf.DUMMYFUNCTION("""COMPUTED_VALUE"""),0)</f>
        <v>0</v>
      </c>
      <c r="J158" s="26">
        <f>IFERROR(__xludf.DUMMYFUNCTION("""COMPUTED_VALUE"""),1)</f>
        <v>1</v>
      </c>
      <c r="K158" s="26" t="str">
        <f>IFERROR(__xludf.DUMMYFUNCTION("""COMPUTED_VALUE"""),"NON-CGPA")</f>
        <v>NON-CGPA</v>
      </c>
      <c r="L158" s="26" t="str">
        <f>IFERROR(__xludf.DUMMYFUNCTION("""COMPUTED_VALUE"""),"Theory (Int Only)")</f>
        <v>Theory (Int Only)</v>
      </c>
      <c r="M158" s="26"/>
      <c r="N158" s="26"/>
      <c r="O158" s="26"/>
    </row>
    <row r="159" ht="13.2" spans="1:15">
      <c r="A159" s="26">
        <f>IFERROR(__xludf.DUMMYFUNCTION("""COMPUTED_VALUE"""),157)</f>
        <v>157</v>
      </c>
      <c r="B159" s="26" t="str">
        <f>IFERROR(__xludf.DUMMYFUNCTION("""COMPUTED_VALUE"""),"Any 1")</f>
        <v>Any 1</v>
      </c>
      <c r="C159" s="26" t="str">
        <f>IFERROR(__xludf.DUMMYFUNCTION("""COMPUTED_VALUE"""),"MC")</f>
        <v>MC</v>
      </c>
      <c r="D159" s="26" t="str">
        <f>IFERROR(__xludf.DUMMYFUNCTION("""COMPUTED_VALUE"""),"SH8802")</f>
        <v>SH8802</v>
      </c>
      <c r="E159" s="26" t="str">
        <f>IFERROR(__xludf.DUMMYFUNCTION("""COMPUTED_VALUE"""),"NA")</f>
        <v>NA</v>
      </c>
      <c r="F159" s="27" t="str">
        <f>IFERROR(__xludf.DUMMYFUNCTION("""COMPUTED_VALUE"""),"Internship")</f>
        <v>Internship</v>
      </c>
      <c r="G159" s="26" t="str">
        <f>IFERROR(__xludf.DUMMYFUNCTION("""COMPUTED_VALUE"""),"-")</f>
        <v>-</v>
      </c>
      <c r="H159" s="26">
        <f>IFERROR(__xludf.DUMMYFUNCTION("""COMPUTED_VALUE"""),0)</f>
        <v>0</v>
      </c>
      <c r="I159" s="26">
        <f>IFERROR(__xludf.DUMMYFUNCTION("""COMPUTED_VALUE"""),0)</f>
        <v>0</v>
      </c>
      <c r="J159" s="26">
        <f>IFERROR(__xludf.DUMMYFUNCTION("""COMPUTED_VALUE"""),2)</f>
        <v>2</v>
      </c>
      <c r="K159" s="26" t="str">
        <f>IFERROR(__xludf.DUMMYFUNCTION("""COMPUTED_VALUE"""),"NON-CGPA")</f>
        <v>NON-CGPA</v>
      </c>
      <c r="L159" s="26" t="str">
        <f>IFERROR(__xludf.DUMMYFUNCTION("""COMPUTED_VALUE"""),"Experiential Learning (Int Only)")</f>
        <v>Experiential Learning (Int Only)</v>
      </c>
      <c r="M159" s="26"/>
      <c r="N159" s="26"/>
      <c r="O159" s="26"/>
    </row>
    <row r="160" ht="13.2" spans="1:15">
      <c r="A160" s="26">
        <f>IFERROR(__xludf.DUMMYFUNCTION("""COMPUTED_VALUE"""),158)</f>
        <v>158</v>
      </c>
      <c r="B160" s="26" t="str">
        <f>IFERROR(__xludf.DUMMYFUNCTION("""COMPUTED_VALUE"""),"Any 1")</f>
        <v>Any 1</v>
      </c>
      <c r="C160" s="26" t="str">
        <f>IFERROR(__xludf.DUMMYFUNCTION("""COMPUTED_VALUE"""),"MC")</f>
        <v>MC</v>
      </c>
      <c r="D160" s="26" t="str">
        <f>IFERROR(__xludf.DUMMYFUNCTION("""COMPUTED_VALUE"""),"SH8803")</f>
        <v>SH8803</v>
      </c>
      <c r="E160" s="26" t="str">
        <f>IFERROR(__xludf.DUMMYFUNCTION("""COMPUTED_VALUE"""),"NA")</f>
        <v>NA</v>
      </c>
      <c r="F160" s="26" t="str">
        <f>IFERROR(__xludf.DUMMYFUNCTION("""COMPUTED_VALUE"""),"Entrepreneurship")</f>
        <v>Entrepreneurship</v>
      </c>
      <c r="G160" s="26" t="str">
        <f>IFERROR(__xludf.DUMMYFUNCTION("""COMPUTED_VALUE"""),"-")</f>
        <v>-</v>
      </c>
      <c r="H160" s="26">
        <f>IFERROR(__xludf.DUMMYFUNCTION("""COMPUTED_VALUE"""),0)</f>
        <v>0</v>
      </c>
      <c r="I160" s="26">
        <f>IFERROR(__xludf.DUMMYFUNCTION("""COMPUTED_VALUE"""),0)</f>
        <v>0</v>
      </c>
      <c r="J160" s="26">
        <f>IFERROR(__xludf.DUMMYFUNCTION("""COMPUTED_VALUE"""),2)</f>
        <v>2</v>
      </c>
      <c r="K160" s="26" t="str">
        <f>IFERROR(__xludf.DUMMYFUNCTION("""COMPUTED_VALUE"""),"NON-CGPA")</f>
        <v>NON-CGPA</v>
      </c>
      <c r="L160" s="26" t="str">
        <f>IFERROR(__xludf.DUMMYFUNCTION("""COMPUTED_VALUE"""),"Experiential Learning (Int Only)")</f>
        <v>Experiential Learning (Int Only)</v>
      </c>
      <c r="M160" s="26"/>
      <c r="N160" s="26"/>
      <c r="O160" s="26"/>
    </row>
    <row r="161" ht="13.2" spans="1:15">
      <c r="A161" s="26">
        <f>IFERROR(__xludf.DUMMYFUNCTION("""COMPUTED_VALUE"""),159)</f>
        <v>159</v>
      </c>
      <c r="B161" s="26" t="str">
        <f>IFERROR(__xludf.DUMMYFUNCTION("""COMPUTED_VALUE"""),"Any 1")</f>
        <v>Any 1</v>
      </c>
      <c r="C161" s="26" t="str">
        <f>IFERROR(__xludf.DUMMYFUNCTION("""COMPUTED_VALUE"""),"MC")</f>
        <v>MC</v>
      </c>
      <c r="D161" s="26" t="str">
        <f>IFERROR(__xludf.DUMMYFUNCTION("""COMPUTED_VALUE"""),"SH6803")</f>
        <v>SH6803</v>
      </c>
      <c r="E161" s="26" t="str">
        <f>IFERROR(__xludf.DUMMYFUNCTION("""COMPUTED_VALUE"""),"19MC807")</f>
        <v>19MC807</v>
      </c>
      <c r="F161" s="26" t="str">
        <f>IFERROR(__xludf.DUMMYFUNCTION("""COMPUTED_VALUE"""),"National Service Scheme")</f>
        <v>National Service Scheme</v>
      </c>
      <c r="G161" s="26" t="str">
        <f>IFERROR(__xludf.DUMMYFUNCTION("""COMPUTED_VALUE"""),"-")</f>
        <v>-</v>
      </c>
      <c r="H161" s="26">
        <f>IFERROR(__xludf.DUMMYFUNCTION("""COMPUTED_VALUE"""),0)</f>
        <v>0</v>
      </c>
      <c r="I161" s="26">
        <f>IFERROR(__xludf.DUMMYFUNCTION("""COMPUTED_VALUE"""),0)</f>
        <v>0</v>
      </c>
      <c r="J161" s="26">
        <f>IFERROR(__xludf.DUMMYFUNCTION("""COMPUTED_VALUE"""),0)</f>
        <v>0</v>
      </c>
      <c r="K161" s="26" t="str">
        <f>IFERROR(__xludf.DUMMYFUNCTION("""COMPUTED_VALUE"""),"NON-CGPA")</f>
        <v>NON-CGPA</v>
      </c>
      <c r="L161" s="26" t="str">
        <f>IFERROR(__xludf.DUMMYFUNCTION("""COMPUTED_VALUE"""),"Experiential Learning (Int Only)")</f>
        <v>Experiential Learning (Int Only)</v>
      </c>
      <c r="M161" s="26"/>
      <c r="N161" s="26"/>
      <c r="O161" s="26"/>
    </row>
    <row r="162" ht="13.2" spans="1:15">
      <c r="A162" s="26">
        <f>IFERROR(__xludf.DUMMYFUNCTION("""COMPUTED_VALUE"""),160)</f>
        <v>160</v>
      </c>
      <c r="B162" s="26" t="str">
        <f>IFERROR(__xludf.DUMMYFUNCTION("""COMPUTED_VALUE"""),"Any 1")</f>
        <v>Any 1</v>
      </c>
      <c r="C162" s="26" t="str">
        <f>IFERROR(__xludf.DUMMYFUNCTION("""COMPUTED_VALUE"""),"MC")</f>
        <v>MC</v>
      </c>
      <c r="D162" s="26" t="str">
        <f>IFERROR(__xludf.DUMMYFUNCTION("""COMPUTED_VALUE"""),"SH8807")</f>
        <v>SH8807</v>
      </c>
      <c r="E162" s="26" t="str">
        <f>IFERROR(__xludf.DUMMYFUNCTION("""COMPUTED_VALUE"""),"19MC808")</f>
        <v>19MC808</v>
      </c>
      <c r="F162" s="26" t="str">
        <f>IFERROR(__xludf.DUMMYFUNCTION("""COMPUTED_VALUE"""),"National Sports Organization ")</f>
        <v>National Sports Organization </v>
      </c>
      <c r="G162" s="26" t="str">
        <f>IFERROR(__xludf.DUMMYFUNCTION("""COMPUTED_VALUE"""),"-")</f>
        <v>-</v>
      </c>
      <c r="H162" s="26">
        <f>IFERROR(__xludf.DUMMYFUNCTION("""COMPUTED_VALUE"""),0)</f>
        <v>0</v>
      </c>
      <c r="I162" s="26">
        <f>IFERROR(__xludf.DUMMYFUNCTION("""COMPUTED_VALUE"""),0)</f>
        <v>0</v>
      </c>
      <c r="J162" s="26">
        <f>IFERROR(__xludf.DUMMYFUNCTION("""COMPUTED_VALUE"""),0)</f>
        <v>0</v>
      </c>
      <c r="K162" s="26" t="str">
        <f>IFERROR(__xludf.DUMMYFUNCTION("""COMPUTED_VALUE"""),"NON-CGPA")</f>
        <v>NON-CGPA</v>
      </c>
      <c r="L162" s="26" t="str">
        <f>IFERROR(__xludf.DUMMYFUNCTION("""COMPUTED_VALUE"""),"Experiential Learning (Int Only)")</f>
        <v>Experiential Learning (Int Only)</v>
      </c>
      <c r="M162" s="26"/>
      <c r="N162" s="26"/>
      <c r="O162" s="26"/>
    </row>
    <row r="163" ht="13.2" spans="1:15">
      <c r="A163" s="26">
        <f>IFERROR(__xludf.DUMMYFUNCTION("""COMPUTED_VALUE"""),161)</f>
        <v>161</v>
      </c>
      <c r="B163" s="26" t="str">
        <f>IFERROR(__xludf.DUMMYFUNCTION("""COMPUTED_VALUE"""),"Any 1")</f>
        <v>Any 1</v>
      </c>
      <c r="C163" s="26" t="str">
        <f>IFERROR(__xludf.DUMMYFUNCTION("""COMPUTED_VALUE"""),"MC")</f>
        <v>MC</v>
      </c>
      <c r="D163" s="26" t="str">
        <f>IFERROR(__xludf.DUMMYFUNCTION("""COMPUTED_VALUE"""),"SH8808")</f>
        <v>SH8808</v>
      </c>
      <c r="E163" s="26" t="str">
        <f>IFERROR(__xludf.DUMMYFUNCTION("""COMPUTED_VALUE"""),"19MC809")</f>
        <v>19MC809</v>
      </c>
      <c r="F163" s="26" t="str">
        <f>IFERROR(__xludf.DUMMYFUNCTION("""COMPUTED_VALUE"""),"Youth Red Cross")</f>
        <v>Youth Red Cross</v>
      </c>
      <c r="G163" s="26" t="str">
        <f>IFERROR(__xludf.DUMMYFUNCTION("""COMPUTED_VALUE"""),"-")</f>
        <v>-</v>
      </c>
      <c r="H163" s="26">
        <f>IFERROR(__xludf.DUMMYFUNCTION("""COMPUTED_VALUE"""),0)</f>
        <v>0</v>
      </c>
      <c r="I163" s="26">
        <f>IFERROR(__xludf.DUMMYFUNCTION("""COMPUTED_VALUE"""),0)</f>
        <v>0</v>
      </c>
      <c r="J163" s="26">
        <f>IFERROR(__xludf.DUMMYFUNCTION("""COMPUTED_VALUE"""),0)</f>
        <v>0</v>
      </c>
      <c r="K163" s="26" t="str">
        <f>IFERROR(__xludf.DUMMYFUNCTION("""COMPUTED_VALUE"""),"NON-CGPA")</f>
        <v>NON-CGPA</v>
      </c>
      <c r="L163" s="26" t="str">
        <f>IFERROR(__xludf.DUMMYFUNCTION("""COMPUTED_VALUE"""),"Experiential Learning (Int Only)")</f>
        <v>Experiential Learning (Int Only)</v>
      </c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  <row r="811" ht="13.2" spans="1: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</row>
    <row r="812" ht="13.2" spans="1: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</row>
    <row r="813" ht="13.2" spans="1: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</row>
    <row r="814" ht="13.2" spans="1: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</row>
    <row r="815" ht="13.2" spans="1: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</row>
    <row r="816" ht="13.2" spans="1: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</row>
    <row r="817" ht="13.2" spans="1: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</row>
    <row r="818" ht="13.2" spans="1: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</row>
    <row r="819" ht="13.2" spans="1: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</row>
    <row r="820" ht="13.2" spans="1: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</row>
    <row r="821" ht="13.2" spans="1: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</row>
    <row r="822" ht="13.2" spans="1: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</row>
    <row r="823" ht="13.2" spans="1: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</row>
    <row r="824" ht="13.2" spans="1: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</row>
    <row r="825" ht="13.2" spans="1: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</row>
    <row r="826" ht="13.2" spans="1: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</row>
    <row r="827" ht="13.2" spans="1: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</row>
    <row r="828" ht="13.2" spans="1: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</row>
    <row r="829" ht="13.2" spans="1: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</row>
    <row r="830" ht="13.2" spans="1: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</row>
    <row r="831" ht="13.2" spans="1: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</row>
    <row r="832" ht="13.2" spans="1: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</row>
    <row r="833" ht="13.2" spans="1: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</row>
    <row r="834" ht="13.2" spans="1: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</row>
    <row r="835" ht="13.2" spans="1: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</row>
    <row r="836" ht="13.2" spans="1: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</row>
    <row r="837" ht="13.2" spans="1: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</row>
    <row r="838" ht="13.2" spans="1: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</row>
    <row r="839" ht="13.2" spans="1: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</row>
    <row r="840" ht="13.2" spans="1: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</row>
    <row r="841" ht="13.2" spans="1: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</row>
    <row r="842" ht="13.2" spans="1: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</row>
    <row r="843" ht="13.2" spans="1: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</row>
    <row r="844" ht="13.2" spans="1: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</row>
    <row r="845" ht="13.2" spans="1: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</row>
    <row r="846" ht="13.2" spans="1: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</row>
    <row r="847" ht="13.2" spans="1: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</row>
    <row r="848" ht="13.2" spans="1: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</row>
    <row r="849" ht="13.2" spans="1: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</row>
    <row r="850" ht="13.2" spans="1: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</row>
    <row r="851" ht="13.2" spans="1: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</row>
    <row r="852" ht="13.2" spans="1: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</row>
    <row r="853" ht="13.2" spans="1: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</row>
    <row r="854" ht="13.2" spans="1: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</row>
    <row r="855" ht="13.2" spans="1: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</row>
    <row r="856" ht="13.2" spans="1: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</row>
    <row r="857" ht="13.2" spans="1: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</row>
    <row r="858" ht="13.2" spans="1: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</row>
    <row r="859" ht="13.2" spans="1: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</row>
    <row r="860" ht="13.2" spans="1: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</row>
    <row r="861" ht="13.2" spans="1: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</row>
    <row r="862" ht="13.2" spans="1: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</row>
    <row r="863" ht="13.2" spans="1: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</row>
    <row r="864" ht="13.2" spans="1: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</row>
    <row r="865" ht="13.2" spans="1: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</row>
    <row r="866" ht="13.2" spans="1: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</row>
    <row r="867" ht="13.2" spans="1: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</row>
    <row r="868" ht="13.2" spans="1: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</row>
    <row r="869" ht="13.2" spans="1: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</row>
    <row r="870" ht="13.2" spans="1: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</row>
    <row r="871" ht="13.2" spans="1: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</row>
    <row r="872" ht="13.2" spans="1: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</row>
    <row r="873" ht="13.2" spans="1: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</row>
    <row r="874" ht="13.2" spans="1: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</row>
    <row r="875" ht="13.2" spans="1: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</row>
    <row r="876" ht="13.2" spans="1: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</row>
    <row r="877" ht="13.2" spans="1: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</row>
    <row r="878" ht="13.2" spans="1: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</row>
    <row r="879" ht="13.2" spans="1: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</row>
    <row r="880" ht="13.2" spans="1: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Human Values and Professional Ethics&quot;)"/>
    <hyperlink ref="F12" r:id="rId11" display="=IFERROR(@__xludf.DUMMYFUNCTION(&quot;&quot;&quot;COMPUTED_VALUE&quot;&quot;&quot;),&quot;Probability and Queueing Models&quot;)"/>
    <hyperlink ref="F13" r:id="rId12" display="=IFERROR(@__xludf.DUMMYFUNCTION(&quot;&quot;&quot;COMPUTED_VALUE&quot;&quot;&quot;),&quot;Algebra and Number Theory&quot;)"/>
    <hyperlink ref="F14" r:id="rId13" display="=IFERROR(@__xludf.DUMMYFUNCTION(&quot;&quot;&quot;COMPUTED_VALUE&quot;&quot;&quot;),&quot;Mathematics for Artificial Intelligence&quot;)"/>
    <hyperlink ref="F15" r:id="rId14" display="=IFERROR(@__xludf.DUMMYFUNCTION(&quot;&quot;&quot;COMPUTED_VALUE&quot;&quot;&quot;),&quot;Linear Algebra Laboratory&quot;)"/>
    <hyperlink ref="F16" r:id="rId15" display="=IFERROR(@__xludf.DUMMYFUNCTION(&quot;&quot;&quot;COMPUTED_VALUE&quot;&quot;&quot;),&quot;Statistics and Numerical Methods&quot;)"/>
    <hyperlink ref="F17" r:id="rId16" display="=IFERROR(@__xludf.DUMMYFUNCTION(&quot;&quot;&quot;COMPUTED_VALUE&quot;&quot;&quot;),&quot;Principles of Chemistry in Engineering&quot;)"/>
    <hyperlink ref="F18" r:id="rId17" display="=IFERROR(@__xludf.DUMMYFUNCTION(&quot;&quot;&quot;COMPUTED_VALUE&quot;&quot;&quot;),&quot;Environmental Sciences and Sustainability&quot;)"/>
    <hyperlink ref="F19" r:id="rId18" display="=IFERROR(@__xludf.DUMMYFUNCTION(&quot;&quot;&quot;COMPUTED_VALUE&quot;&quot;&quot;),&quot;Physics for Quantum Computing&quot;)"/>
    <hyperlink ref="F20" r:id="rId19" display="=IFERROR(@__xludf.DUMMYFUNCTION(&quot;&quot;&quot;COMPUTED_VALUE&quot;&quot;&quot;),&quot;Python Programming&quot;)"/>
    <hyperlink ref="F21" r:id="rId20" display="=IFERROR(@__xludf.DUMMYFUNCTION(&quot;&quot;&quot;COMPUTED_VALUE&quot;&quot;&quot;),&quot;Engineering Design and Modelling&quot;)"/>
    <hyperlink ref="F22" r:id="rId21" display="=IFERROR(@__xludf.DUMMYFUNCTION(&quot;&quot;&quot;COMPUTED_VALUE&quot;&quot;&quot;),&quot;Engineering Mechanics and Product Development&quot;)"/>
    <hyperlink ref="F23" r:id="rId22" display="=IFERROR(@__xludf.DUMMYFUNCTION(&quot;&quot;&quot;COMPUTED_VALUE&quot;&quot;&quot;),&quot;Object Oriented Programming using C++&quot;)"/>
    <hyperlink ref="F24" r:id="rId23" display="=IFERROR(@__xludf.DUMMYFUNCTION(&quot;&quot;&quot;COMPUTED_VALUE&quot;&quot;&quot;),&quot;Object Oriented Programming using Java&quot;)"/>
    <hyperlink ref="F25" r:id="rId24" display="=IFERROR(@__xludf.DUMMYFUNCTION(&quot;&quot;&quot;COMPUTED_VALUE&quot;&quot;&quot;),&quot;Object Oriented Programming using C#&quot;)"/>
    <hyperlink ref="F26" r:id="rId25" display="=IFERROR(@__xludf.DUMMYFUNCTION(&quot;&quot;&quot;COMPUTED_VALUE&quot;&quot;&quot;),&quot;Digital Electronics&quot;)"/>
    <hyperlink ref="F27" r:id="rId26" display="=IFERROR(@__xludf.DUMMYFUNCTION(&quot;&quot;&quot;COMPUTED_VALUE&quot;&quot;&quot;),&quot;Basic Electrical, Electronics and Measurement Engineering&quot;)"/>
    <hyperlink ref="F28" r:id="rId27" display="=IFERROR(@__xludf.DUMMYFUNCTION(&quot;&quot;&quot;COMPUTED_VALUE&quot;&quot;&quot;),&quot;Programming Microcontrollers&quot;)"/>
    <hyperlink ref="F29" r:id="rId28" display="=IFERROR(@__xludf.DUMMYFUNCTION(&quot;&quot;&quot;COMPUTED_VALUE&quot;&quot;&quot;),&quot;Fundamentals of C Programming&quot;)"/>
    <hyperlink ref="F30" r:id="rId29" display="=IFERROR(@__xludf.DUMMYFUNCTION(&quot;&quot;&quot;COMPUTED_VALUE&quot;&quot;&quot;),&quot;Advanced C Programming&quot;)"/>
    <hyperlink ref="F31" r:id="rId30" display="=IFERROR(@__xludf.DUMMYFUNCTION(&quot;&quot;&quot;COMPUTED_VALUE&quot;&quot;&quot;),&quot;Fundamentals of Web Application Development&quot;)"/>
    <hyperlink ref="F32" r:id="rId31" display="=IFERROR(@__xludf.DUMMYFUNCTION(&quot;&quot;&quot;COMPUTED_VALUE&quot;&quot;&quot;),&quot;Operating System&quot;)"/>
    <hyperlink ref="F33" r:id="rId32" display="=IFERROR(@__xludf.DUMMYFUNCTION(&quot;&quot;&quot;COMPUTED_VALUE&quot;&quot;&quot;),&quot;Computer Networks&quot;)"/>
    <hyperlink ref="F35" r:id="rId33" display="=IFERROR(@__xludf.DUMMYFUNCTION(&quot;&quot;&quot;COMPUTED_VALUE&quot;&quot;&quot;),&quot;Data Structures&quot;)"/>
    <hyperlink ref="F36" r:id="rId34" display="=IFERROR(@__xludf.DUMMYFUNCTION(&quot;&quot;&quot;COMPUTED_VALUE&quot;&quot;&quot;),&quot;Analysis of Algorithms&quot;)"/>
    <hyperlink ref="F37" r:id="rId35" display="=IFERROR(@__xludf.DUMMYFUNCTION(&quot;&quot;&quot;COMPUTED_VALUE&quot;&quot;&quot;),&quot;Theory of Computation&quot;)"/>
    <hyperlink ref="F38" r:id="rId36" display="=IFERROR(@__xludf.DUMMYFUNCTION(&quot;&quot;&quot;COMPUTED_VALUE&quot;&quot;&quot;),&quot;Software Engineering&quot;)"/>
    <hyperlink ref="F39" r:id="rId37" display="=IFERROR(@__xludf.DUMMYFUNCTION(&quot;&quot;&quot;COMPUTED_VALUE&quot;&quot;&quot;),&quot;Fundamentals of Artificial Intelligence&quot;)"/>
    <hyperlink ref="F40" r:id="rId38" display="=IFERROR(@__xludf.DUMMYFUNCTION(&quot;&quot;&quot;COMPUTED_VALUE&quot;&quot;&quot;),&quot;Cloud Computing&quot;)"/>
    <hyperlink ref="F41" r:id="rId39" display="=IFERROR(@__xludf.DUMMYFUNCTION(&quot;&quot;&quot;COMPUTED_VALUE&quot;&quot;&quot;),&quot;Cryptography&quot;)"/>
    <hyperlink ref="F42" r:id="rId40" display="=IFERROR(@__xludf.DUMMYFUNCTION(&quot;&quot;&quot;COMPUTED_VALUE&quot;&quot;&quot;),&quot;Blockchain for Business&quot;)"/>
    <hyperlink ref="F43" r:id="rId41" display="=IFERROR(@__xludf.DUMMYFUNCTION(&quot;&quot;&quot;COMPUTED_VALUE&quot;&quot;&quot;),&quot;Cloud Security&quot;)"/>
    <hyperlink ref="F44" r:id="rId42" display="=IFERROR(@__xludf.DUMMYFUNCTION(&quot;&quot;&quot;COMPUTED_VALUE&quot;&quot;&quot;),&quot;Ethical Hacking Techniques&quot;)"/>
    <hyperlink ref="F45" r:id="rId43" display="=IFERROR(@__xludf.DUMMYFUNCTION(&quot;&quot;&quot;COMPUTED_VALUE&quot;&quot;&quot;),&quot;Cyber Law and Compliance&quot;)"/>
    <hyperlink ref="F46" r:id="rId39" display="=IFERROR(@__xludf.DUMMYFUNCTION(&quot;&quot;&quot;COMPUTED_VALUE&quot;&quot;&quot;),&quot;Digital Forensics and Digital Investigations&quot;)"/>
    <hyperlink ref="F47" r:id="rId44" display="=IFERROR(@__xludf.DUMMYFUNCTION(&quot;&quot;&quot;COMPUTED_VALUE&quot;&quot;&quot;),&quot;Robotic Process Automation&quot;)"/>
    <hyperlink ref="F48" r:id="rId45" display="=IFERROR(@__xludf.DUMMYFUNCTION(&quot;&quot;&quot;COMPUTED_VALUE&quot;&quot;&quot;),&quot;Software Project Management and Version Control&quot;)"/>
    <hyperlink ref="F49" r:id="rId46" display="=IFERROR(@__xludf.DUMMYFUNCTION(&quot;&quot;&quot;COMPUTED_VALUE&quot;&quot;&quot;),&quot;Generative AI Application Development&quot;)"/>
    <hyperlink ref="F50" r:id="rId47" display="=IFERROR(@__xludf.DUMMYFUNCTION(&quot;&quot;&quot;COMPUTED_VALUE&quot;&quot;&quot;),&quot;Fine Tuning Large Language Models&quot;)"/>
    <hyperlink ref="F51" r:id="rId48" display="=IFERROR(@__xludf.DUMMYFUNCTION(&quot;&quot;&quot;COMPUTED_VALUE&quot;&quot;&quot;),&quot;Applied Data Science&quot;)"/>
    <hyperlink ref="F52" r:id="rId49" display="=IFERROR(@__xludf.DUMMYFUNCTION(&quot;&quot;&quot;COMPUTED_VALUE&quot;&quot;&quot;),&quot;Entrepreneurship and Small Business Development&quot;)"/>
    <hyperlink ref="F53" r:id="rId50" display="=IFERROR(@__xludf.DUMMYFUNCTION(&quot;&quot;&quot;COMPUTED_VALUE&quot;&quot;&quot;),&quot;Software Development and Operations&quot;)"/>
    <hyperlink ref="F54" r:id="rId51" display="=IFERROR(@__xludf.DUMMYFUNCTION(&quot;&quot;&quot;COMPUTED_VALUE&quot;&quot;&quot;),&quot;Serverless App Development&quot;)"/>
    <hyperlink ref="F55" r:id="rId52" display="=IFERROR(@__xludf.DUMMYFUNCTION(&quot;&quot;&quot;COMPUTED_VALUE&quot;&quot;&quot;),&quot;Enterprise Cloud Architecture&quot;)"/>
    <hyperlink ref="F56" r:id="rId53" display="=IFERROR(@__xludf.DUMMYFUNCTION(&quot;&quot;&quot;COMPUTED_VALUE&quot;&quot;&quot;),&quot;Advanced Class Design and Object-Oriented Techniques&quot;)"/>
    <hyperlink ref="F57" r:id="rId54" display="=IFERROR(@__xludf.DUMMYFUNCTION(&quot;&quot;&quot;COMPUTED_VALUE&quot;&quot;&quot;),&quot;Low-Code App Development&quot;)"/>
    <hyperlink ref="F58" r:id="rId55" display="=IFERROR(@__xludf.DUMMYFUNCTION(&quot;&quot;&quot;COMPUTED_VALUE&quot;&quot;&quot;),&quot;Cloud System Administration&quot;)"/>
    <hyperlink ref="F59" r:id="rId56" display="=IFERROR(@__xludf.DUMMYFUNCTION(&quot;&quot;&quot;COMPUTED_VALUE&quot;&quot;&quot;),&quot;Machine Learning Operations&quot;)"/>
    <hyperlink ref="F60" r:id="rId57" display="=IFERROR(@__xludf.DUMMYFUNCTION(&quot;&quot;&quot;COMPUTED_VALUE&quot;&quot;&quot;),&quot;Fundamentals of Cryptocurrency&quot;)"/>
    <hyperlink ref="F61" r:id="rId58" display="=IFERROR(@__xludf.DUMMYFUNCTION(&quot;&quot;&quot;COMPUTED_VALUE&quot;&quot;&quot;),&quot;Computer Architecture&quot;)"/>
    <hyperlink ref="F62" r:id="rId59" display="=IFERROR(@__xludf.DUMMYFUNCTION(&quot;&quot;&quot;COMPUTED_VALUE&quot;&quot;&quot;),&quot;Information Security Intelligence and Analytics using Big Data&quot;)"/>
    <hyperlink ref="F63" r:id="rId60" display="=IFERROR(@__xludf.DUMMYFUNCTION(&quot;&quot;&quot;COMPUTED_VALUE&quot;&quot;&quot;),&quot;Prevention Methodology for Cybersecurity&quot;)"/>
    <hyperlink ref="F64" r:id="rId61" display="=IFERROR(@__xludf.DUMMYFUNCTION(&quot;&quot;&quot;COMPUTED_VALUE&quot;&quot;&quot;),&quot;Trusted Network Systems&quot;)"/>
    <hyperlink ref="F65" r:id="rId62" display="=IFERROR(@__xludf.DUMMYFUNCTION(&quot;&quot;&quot;COMPUTED_VALUE&quot;&quot;&quot;),&quot;Information Security and Access Control&quot;)"/>
    <hyperlink ref="F66" r:id="rId63" display="=IFERROR(@__xludf.DUMMYFUNCTION(&quot;&quot;&quot;COMPUTED_VALUE&quot;&quot;&quot;),&quot;Firewalls and Intrusion Detection System&quot;)"/>
    <hyperlink ref="F67" r:id="rId64" display="=IFERROR(@__xludf.DUMMYFUNCTION(&quot;&quot;&quot;COMPUTED_VALUE&quot;&quot;&quot;),&quot;Security Assessment and Risk Analysis&quot;)"/>
    <hyperlink ref="F68" r:id="rId65" display="=IFERROR(@__xludf.DUMMYFUNCTION(&quot;&quot;&quot;COMPUTED_VALUE&quot;&quot;&quot;),&quot;Steganography and Digital Watermarking&quot;)"/>
    <hyperlink ref="F69" r:id="rId66" display="=IFERROR(@__xludf.DUMMYFUNCTION(&quot;&quot;&quot;COMPUTED_VALUE&quot;&quot;&quot;),&quot;Secure Software Engineering&quot;)"/>
    <hyperlink ref="F70" r:id="rId67" display="=IFERROR(@__xludf.DUMMYFUNCTION(&quot;&quot;&quot;COMPUTED_VALUE&quot;&quot;&quot;),&quot;System Security&quot;)"/>
    <hyperlink ref="F71" r:id="rId68" display="=IFERROR(@__xludf.DUMMYFUNCTION(&quot;&quot;&quot;COMPUTED_VALUE&quot;&quot;&quot;),&quot;Hardware Security&quot;)"/>
    <hyperlink ref="F72" r:id="rId69" display="=IFERROR(@__xludf.DUMMYFUNCTION(&quot;&quot;&quot;COMPUTED_VALUE&quot;&quot;&quot;),&quot;Applied Artificial Intelligence&quot;)"/>
    <hyperlink ref="F74" r:id="rId70" display="=IFERROR(@__xludf.DUMMYFUNCTION(&quot;&quot;&quot;COMPUTED_VALUE&quot;&quot;&quot;),&quot;Special Topics in Artificial Intelligence&quot;)"/>
    <hyperlink ref="F75" r:id="rId71" display="=IFERROR(@__xludf.DUMMYFUNCTION(&quot;&quot;&quot;COMPUTED_VALUE&quot;&quot;&quot;),&quot;Computer Vision&quot;)"/>
    <hyperlink ref="F76" r:id="rId72" display="=IFERROR(@__xludf.DUMMYFUNCTION(&quot;&quot;&quot;COMPUTED_VALUE&quot;&quot;&quot;),&quot;Self Driving Car&quot;)"/>
    <hyperlink ref="F77" r:id="rId73" display="=IFERROR(@__xludf.DUMMYFUNCTION(&quot;&quot;&quot;COMPUTED_VALUE&quot;&quot;&quot;),&quot;Knowledge Engineering&quot;)"/>
    <hyperlink ref="F78" r:id="rId74" display="=IFERROR(@__xludf.DUMMYFUNCTION(&quot;&quot;&quot;COMPUTED_VALUE&quot;&quot;&quot;),&quot;Applied Natural Language Processing&quot;)"/>
    <hyperlink ref="F79" r:id="rId75" display="=IFERROR(@__xludf.DUMMYFUNCTION(&quot;&quot;&quot;COMPUTED_VALUE&quot;&quot;&quot;),&quot;Introduction to Machine Learning&quot;)"/>
    <hyperlink ref="F80" r:id="rId76" display="=IFERROR(@__xludf.DUMMYFUNCTION(&quot;&quot;&quot;COMPUTED_VALUE&quot;&quot;&quot;),&quot;Neural Networks&quot;)"/>
    <hyperlink ref="F82" r:id="rId77" display="=IFERROR(@__xludf.DUMMYFUNCTION(&quot;&quot;&quot;COMPUTED_VALUE&quot;&quot;&quot;),&quot;Deep Learning and its Applications&quot;)"/>
    <hyperlink ref="F83" r:id="rId78" display="=IFERROR(@__xludf.DUMMYFUNCTION(&quot;&quot;&quot;COMPUTED_VALUE&quot;&quot;&quot;),&quot;Expert Systems&quot;)"/>
    <hyperlink ref="F86" r:id="rId79" display="=IFERROR(@__xludf.DUMMYFUNCTION(&quot;&quot;&quot;COMPUTED_VALUE&quot;&quot;&quot;),&quot;Genetic Algorithms&quot;)"/>
    <hyperlink ref="F87" r:id="rId80" display="=IFERROR(@__xludf.DUMMYFUNCTION(&quot;&quot;&quot;COMPUTED_VALUE&quot;&quot;&quot;),&quot;Statistical Learning Theory&quot;)"/>
    <hyperlink ref="F88" r:id="rId81" display="=IFERROR(@__xludf.DUMMYFUNCTION(&quot;&quot;&quot;COMPUTED_VALUE&quot;&quot;&quot;),&quot;Introduction to Robotics&quot;)"/>
    <hyperlink ref="F89" r:id="rId82" display="=IFERROR(@__xludf.DUMMYFUNCTION(&quot;&quot;&quot;COMPUTED_VALUE&quot;&quot;&quot;),&quot;Kinematics and Dynamics of Robots&quot;)"/>
    <hyperlink ref="F90" r:id="rId83" display="=IFERROR(@__xludf.DUMMYFUNCTION(&quot;&quot;&quot;COMPUTED_VALUE&quot;&quot;&quot;),&quot;Robotic Sensors&quot;)"/>
    <hyperlink ref="F91" r:id="rId84" display="=IFERROR(@__xludf.DUMMYFUNCTION(&quot;&quot;&quot;COMPUTED_VALUE&quot;&quot;&quot;),&quot;Control of Robotic Systems&quot;)"/>
    <hyperlink ref="F92" r:id="rId85" display="=IFERROR(@__xludf.DUMMYFUNCTION(&quot;&quot;&quot;COMPUTED_VALUE&quot;&quot;&quot;),&quot;Concepts of Virtual And Augmented Reality&quot;)"/>
    <hyperlink ref="F93" r:id="rId86" display="=IFERROR(@__xludf.DUMMYFUNCTION(&quot;&quot;&quot;COMPUTED_VALUE&quot;&quot;&quot;),&quot;Mobile VR And AI In Unity&quot;)"/>
    <hyperlink ref="F94" r:id="rId87" display="=IFERROR(@__xludf.DUMMYFUNCTION(&quot;&quot;&quot;COMPUTED_VALUE&quot;&quot;&quot;),&quot;Game Programming&quot;)"/>
    <hyperlink ref="F95" r:id="rId88" display="=IFERROR(@__xludf.DUMMYFUNCTION(&quot;&quot;&quot;COMPUTED_VALUE&quot;&quot;&quot;),&quot;Computer Graphics for Virtual Reality&quot;)"/>
    <hyperlink ref="F96" r:id="rId89" display="=IFERROR(@__xludf.DUMMYFUNCTION(&quot;&quot;&quot;COMPUTED_VALUE&quot;&quot;&quot;),&quot;Motion Planning Techniques&quot;)"/>
    <hyperlink ref="F97" r:id="rId90" display="=IFERROR(@__xludf.DUMMYFUNCTION(&quot;&quot;&quot;COMPUTED_VALUE&quot;&quot;&quot;),&quot;Robot Programming&quot;)"/>
    <hyperlink ref="F98" r:id="rId91" display="=IFERROR(@__xludf.DUMMYFUNCTION(&quot;&quot;&quot;COMPUTED_VALUE&quot;&quot;&quot;),&quot;Drone Assembly and Applications&quot;)"/>
    <hyperlink ref="F99" r:id="rId92" display="=IFERROR(@__xludf.DUMMYFUNCTION(&quot;&quot;&quot;COMPUTED_VALUE&quot;&quot;&quot;),&quot;Artificial Intelligence for Games&quot;)"/>
    <hyperlink ref="F100" r:id="rId93" display="=IFERROR(@__xludf.DUMMYFUNCTION(&quot;&quot;&quot;COMPUTED_VALUE&quot;&quot;&quot;),&quot;Drone Design and Control&quot;)"/>
    <hyperlink ref="F101" r:id="rId94" display="=IFERROR(@__xludf.DUMMYFUNCTION(&quot;&quot;&quot;COMPUTED_VALUE&quot;&quot;&quot;),&quot;Mobile User Interface Development&quot;)"/>
    <hyperlink ref="F102" r:id="rId95" display="=IFERROR(@__xludf.DUMMYFUNCTION(&quot;&quot;&quot;COMPUTED_VALUE&quot;&quot;&quot;),&quot;Programming Mobile Devices&quot;)"/>
    <hyperlink ref="F103" r:id="rId96" display="=IFERROR(@__xludf.DUMMYFUNCTION(&quot;&quot;&quot;COMPUTED_VALUE&quot;&quot;&quot;),&quot;Modern Web Application Development&quot;)"/>
    <hyperlink ref="F104" r:id="rId97" display="=IFERROR(@__xludf.DUMMYFUNCTION(&quot;&quot;&quot;COMPUTED_VALUE&quot;&quot;&quot;),&quot;Web Server Programming&quot;)"/>
    <hyperlink ref="F105" r:id="rId98" display="=IFERROR(@__xludf.DUMMYFUNCTION(&quot;&quot;&quot;COMPUTED_VALUE&quot;&quot;&quot;),&quot;Web Application User Interface Development&quot;)"/>
    <hyperlink ref="F106" r:id="rId99" display="=IFERROR(@__xludf.DUMMYFUNCTION(&quot;&quot;&quot;COMPUTED_VALUE&quot;&quot;&quot;),&quot;Advanced Java Web Applications&quot;)"/>
    <hyperlink ref="F107" r:id="rId100" display="=IFERROR(@__xludf.DUMMYFUNCTION(&quot;&quot;&quot;COMPUTED_VALUE&quot;&quot;&quot;),&quot;Introduction to Data Science&quot;)"/>
    <hyperlink ref="F108" r:id="rId101" display="=IFERROR(@__xludf.DUMMYFUNCTION(&quot;&quot;&quot;COMPUTED_VALUE&quot;&quot;&quot;),&quot;Scientific and Engineering Data Visualization&quot;)"/>
    <hyperlink ref="F109" r:id="rId102" display="=IFERROR(@__xludf.DUMMYFUNCTION(&quot;&quot;&quot;COMPUTED_VALUE&quot;&quot;&quot;),&quot;Big Data Mining and Analysis&quot;)"/>
    <hyperlink ref="F110" r:id="rId103" display="=IFERROR(@__xludf.DUMMYFUNCTION(&quot;&quot;&quot;COMPUTED_VALUE&quot;&quot;&quot;),&quot;Business Analytics&quot;)"/>
    <hyperlink ref="F112" r:id="rId104" display="=IFERROR(@__xludf.DUMMYFUNCTION(&quot;&quot;&quot;COMPUTED_VALUE&quot;&quot;&quot;),&quot;Introduction to IoT&quot;)"/>
    <hyperlink ref="F113" r:id="rId105" display="=IFERROR(@__xludf.DUMMYFUNCTION(&quot;&quot;&quot;COMPUTED_VALUE&quot;&quot;&quot;),&quot;Prototyping of IoT Systems&quot;)"/>
    <hyperlink ref="F114" r:id="rId106" display="=IFERROR(@__xludf.DUMMYFUNCTION(&quot;&quot;&quot;COMPUTED_VALUE&quot;&quot;&quot;),&quot;Edge Computing&quot;)"/>
    <hyperlink ref="F115" r:id="rId107" display="=IFERROR(@__xludf.DUMMYFUNCTION(&quot;&quot;&quot;COMPUTED_VALUE&quot;&quot;&quot;),&quot;Industrial Internet of Things&quot;)"/>
    <hyperlink ref="F116" r:id="rId108" display="=IFERROR(@__xludf.DUMMYFUNCTION(&quot;&quot;&quot;COMPUTED_VALUE&quot;&quot;&quot;),&quot;Security for IoT Systems&quot;)"/>
    <hyperlink ref="F117" r:id="rId109" display="=IFERROR(@__xludf.DUMMYFUNCTION(&quot;&quot;&quot;COMPUTED_VALUE&quot;&quot;&quot;),&quot;Ad Hoc and Wireless Sensor Networks&quot;)"/>
    <hyperlink ref="F118" r:id="rId110" display="=IFERROR(@__xludf.DUMMYFUNCTION(&quot;&quot;&quot;COMPUTED_VALUE&quot;&quot;&quot;),&quot;Fog Computing&quot;)"/>
    <hyperlink ref="F119" r:id="rId111" display="=IFERROR(@__xludf.DUMMYFUNCTION(&quot;&quot;&quot;COMPUTED_VALUE&quot;&quot;&quot;),&quot;Sensors and Actuators for IoT&quot;)"/>
    <hyperlink ref="F120" r:id="rId112" display="=IFERROR(@__xludf.DUMMYFUNCTION(&quot;&quot;&quot;COMPUTED_VALUE&quot;&quot;&quot;),&quot;Embedded Board Design&quot;)"/>
    <hyperlink ref="F121" r:id="rId60" display="=IFERROR(@__xludf.DUMMYFUNCTION(&quot;&quot;&quot;COMPUTED_VALUE&quot;&quot;&quot;),&quot;Embedded Board Manufacturing&quot;)"/>
    <hyperlink ref="F122" r:id="rId113" display="=IFERROR(@__xludf.DUMMYFUNCTION(&quot;&quot;&quot;COMPUTED_VALUE&quot;&quot;&quot;),&quot;Realtime Operating System&quot;)"/>
    <hyperlink ref="F123" r:id="rId114" display="=IFERROR(@__xludf.DUMMYFUNCTION(&quot;&quot;&quot;COMPUTED_VALUE&quot;&quot;&quot;),&quot;Open Source Operating System&quot;)"/>
    <hyperlink ref="F124" r:id="rId115" display="=IFERROR(@__xludf.DUMMYFUNCTION(&quot;&quot;&quot;COMPUTED_VALUE&quot;&quot;&quot;),&quot;Kernel Programming&quot;)"/>
    <hyperlink ref="F125" r:id="rId116" display="=IFERROR(@__xludf.DUMMYFUNCTION(&quot;&quot;&quot;COMPUTED_VALUE&quot;&quot;&quot;),&quot;Mathematical Modelling and Computer Aided Engineering&quot;)"/>
    <hyperlink ref="F126" r:id="rId117" display="=IFERROR(@__xludf.DUMMYFUNCTION(&quot;&quot;&quot;COMPUTED_VALUE&quot;&quot;&quot;),&quot;Agile Software Development&quot;)"/>
    <hyperlink ref="F127" r:id="rId118" display="=IFERROR(@__xludf.DUMMYFUNCTION(&quot;&quot;&quot;COMPUTED_VALUE&quot;&quot;&quot;),&quot;Software Testing&quot;)"/>
    <hyperlink ref="F128" r:id="rId119" display="=IFERROR(@__xludf.DUMMYFUNCTION(&quot;&quot;&quot;COMPUTED_VALUE&quot;&quot;&quot;),&quot;Virtualization and Containerization&quot;)"/>
    <hyperlink ref="F129" r:id="rId120" display="=IFERROR(@__xludf.DUMMYFUNCTION(&quot;&quot;&quot;COMPUTED_VALUE&quot;&quot;&quot;),&quot;Advanced Graph Theory and Applications&quot;)"/>
    <hyperlink ref="F130" r:id="rId121" display="=IFERROR(@__xludf.DUMMYFUNCTION(&quot;&quot;&quot;COMPUTED_VALUE&quot;&quot;&quot;),&quot;Advanced Data Structures&quot;)"/>
    <hyperlink ref="F132" r:id="rId122" display="=IFERROR(@__xludf.DUMMYFUNCTION(&quot;&quot;&quot;COMPUTED_VALUE&quot;&quot;&quot;),&quot;Smart Manufacturing Technology&quot;)"/>
    <hyperlink ref="F133" r:id="rId123" display="=IFERROR(@__xludf.DUMMYFUNCTION(&quot;&quot;&quot;COMPUTED_VALUE&quot;&quot;&quot;),&quot;Information Retrieval&quot;)"/>
    <hyperlink ref="F134" r:id="rId124" display="=IFERROR(@__xludf.DUMMYFUNCTION(&quot;&quot;&quot;COMPUTED_VALUE&quot;&quot;&quot;),&quot;NoSQL Database Design&quot;)"/>
    <hyperlink ref="F135" r:id="rId125" display="=IFERROR(@__xludf.DUMMYFUNCTION(&quot;&quot;&quot;COMPUTED_VALUE&quot;&quot;&quot;),&quot;Cognitive Systems&quot;)"/>
    <hyperlink ref="F136" r:id="rId126" display="=IFERROR(@__xludf.DUMMYFUNCTION(&quot;&quot;&quot;COMPUTED_VALUE&quot;&quot;&quot;),&quot;Distributed Database&quot;)"/>
    <hyperlink ref="F137" r:id="rId127" display="=IFERROR(@__xludf.DUMMYFUNCTION(&quot;&quot;&quot;COMPUTED_VALUE&quot;&quot;&quot;),&quot;Data Mining and Warehousing&quot;)"/>
    <hyperlink ref="F138" r:id="rId128" display="=IFERROR(@__xludf.DUMMYFUNCTION(&quot;&quot;&quot;COMPUTED_VALUE&quot;&quot;&quot;),&quot;Mobile Database&quot;)"/>
    <hyperlink ref="F139" r:id="rId129" display="=IFERROR(@__xludf.DUMMYFUNCTION(&quot;&quot;&quot;COMPUTED_VALUE&quot;&quot;&quot;),&quot;Multimedia Database&quot;)"/>
    <hyperlink ref="F140" r:id="rId130" display="=IFERROR(@__xludf.DUMMYFUNCTION(&quot;&quot;&quot;COMPUTED_VALUE&quot;&quot;&quot;),&quot;Video Processing&quot;)"/>
    <hyperlink ref="F141" r:id="rId131" display="=IFERROR(@__xludf.DUMMYFUNCTION(&quot;&quot;&quot;COMPUTED_VALUE&quot;&quot;&quot;),&quot;Digital Image Processing Techniques&quot;)"/>
    <hyperlink ref="F142" r:id="rId132" display="=IFERROR(@__xludf.DUMMYFUNCTION(&quot;&quot;&quot;COMPUTED_VALUE&quot;&quot;&quot;),&quot;Parallel Computing Architecture&quot;)"/>
    <hyperlink ref="F143" r:id="rId133" display="=IFERROR(@__xludf.DUMMYFUNCTION(&quot;&quot;&quot;COMPUTED_VALUE&quot;&quot;&quot;),&quot;Web Data Mining&quot;)"/>
    <hyperlink ref="F146" r:id="rId134" display="=IFERROR(@__xludf.DUMMYFUNCTION(&quot;&quot;&quot;COMPUTED_VALUE&quot;&quot;&quot;),&quot;Mini Project&quot;)"/>
    <hyperlink ref="F147" r:id="rId135" display="=IFERROR(@__xludf.DUMMYFUNCTION(&quot;&quot;&quot;COMPUTED_VALUE&quot;&quot;&quot;),&quot;Project Work I&quot;)"/>
    <hyperlink ref="F148" r:id="rId136" display="=IFERROR(@__xludf.DUMMYFUNCTION(&quot;&quot;&quot;COMPUTED_VALUE&quot;&quot;&quot;),&quot;Project Work II&quot;)"/>
    <hyperlink ref="F150" r:id="rId137" display="=IFERROR(@__xludf.DUMMYFUNCTION(&quot;&quot;&quot;COMPUTED_VALUE&quot;&quot;&quot;),&quot;Career Development Skills&quot;)"/>
    <hyperlink ref="F151" r:id="rId138" display="=IFERROR(@__xludf.DUMMYFUNCTION(&quot;&quot;&quot;COMPUTED_VALUE&quot;&quot;&quot;),&quot;Reasoning Ability&quot;)"/>
    <hyperlink ref="F152" r:id="rId139" display="=IFERROR(@__xludf.DUMMYFUNCTION(&quot;&quot;&quot;COMPUTED_VALUE&quot;&quot;&quot;),&quot;Quantitative Ability I&quot;)"/>
    <hyperlink ref="F153" r:id="rId140" display="=IFERROR(@__xludf.DUMMYFUNCTION(&quot;&quot;&quot;COMPUTED_VALUE&quot;&quot;&quot;),&quot;Quantitative Ability II&quot;)"/>
    <hyperlink ref="F154" r:id="rId141" display="=IFERROR(@__xludf.DUMMYFUNCTION(&quot;&quot;&quot;COMPUTED_VALUE&quot;&quot;&quot;),&quot;Employment Enrichment Skills&quot;)"/>
    <hyperlink ref="F155" r:id="rId142" display="=IFERROR(@__xludf.DUMMYFUNCTION(&quot;&quot;&quot;COMPUTED_VALUE&quot;&quot;&quot;),&quot;Company Specific Assessments For Employability&quot;)"/>
    <hyperlink ref="F156" r:id="rId143" display="=IFERROR(@__xludf.DUMMYFUNCTION(&quot;&quot;&quot;COMPUTED_VALUE&quot;&quot;&quot;),&quot;Placement Readiness Assessment&quot;)"/>
    <hyperlink ref="F157" r:id="rId144" display="=IFERROR(@__xludf.DUMMYFUNCTION(&quot;&quot;&quot;COMPUTED_VALUE&quot;&quot;&quot;),&quot;Paper Publication&quot;)"/>
    <hyperlink ref="F158" r:id="rId145" display="=IFERROR(@__xludf.DUMMYFUNCTION(&quot;&quot;&quot;COMPUTED_VALUE&quot;&quot;&quot;),&quot;Constitutionalism and Artificial Intelligence Policies in India&quot;)"/>
    <hyperlink ref="F159" r:id="rId146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909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IMPORTRANGE(""https://docs.google.com/spreadsheets/d/1UvPg-G_Bj-UNhLC2uL8tntfYsnld_PABqE3impzOchM/edCSE(IOT)"", ""2023-CSE(IOT)!A:A""),
IMPORTRANGE(""https://docs.google.com/spreadsheets/d/1UvPg-G_Bj-UNhLC2uL8tntfYsnld_PABqE3impzOchM/edCSE("&amp;"IOT)"", ""2023-CSE(IOT)!D:D""),
IMPORTRANGE(""https://docs.google.com/spreadsheets/d/1UvPg-G_Bj-UNhLC2uL8tntfYsnld_PABqE3impzOchM/edCSE(IOT)"", ""2023-CSE(IOT)!E:E""),
IMPORTRANGE(""https://docs.google.com/spreadsheets/d/1UvPg-G_Bj-UNhLC2uL8tntfYsnld_PABq"&amp;"E3impzOchM/edCSE(IOT)"", ""2023-CSE(IOT)!F:F""),
IMPORTRANGE(""https://docs.google.com/spreadsheets/d/1UvPg-G_Bj-UNhLC2uL8tntfYsnld_PABqE3impzOchM/edCSE(IOT)"", ""2023-CSE(IOT)!G:G""),
IMPORTRANGE(""https://docs.google.com/spreadsheets/d/1UvPg-G_Bj-UNhLC2"&amp;"uL8tntfYsnld_PABqE3impzOchM/edCSE(IOT)"", ""2023-CSE(IOT)!I:I""),
IMPORTRANGE(""https://docs.google.com/spreadsheets/d/1UvPg-G_Bj-UNhLC2uL8tntfYsnld_PABqE3impzOchM/edCSE(IOT)"", ""2023-CSE(IOT)!N:N""),
IMPORTRANGE(""https://docs.google.com/spreadsheets/d/"&amp;"1UvPg-G_Bj-UNhLC2uL8tntfYsnld_PABqE3impzOchM/edCSE(IOT)"", ""2023-CSE(IOT)!O:O""),
IMPORTRANGE(""https://docs.google.com/spreadsheets/d/1UvPg-G_Bj-UNhLC2uL8tntfYsnld_PABqE3impzOchM/edCSE(IOT)"", ""2023-CSE(IOT)!P:P""),
IMPORTRANGE(""https://docs.google.co"&amp;"m/spreadsheets/d/1UvPg-G_Bj-UNhLC2uL8tntfYsnld_PABqE3impzOchM/edCSE(IOT)"", ""2023-CSE(IOT)!Q:Q""),
IMPORTRANGE(""https://docs.google.com/spreadsheets/d/1UvPg-G_Bj-UNhLC2uL8tntfYsnld_PABqE3impzOchM/edCSE(IOT)"", ""2023-CSE(IOT)!R:R""),
IMPORTRANGE(""https"&amp;"://docs.google.com/spreadsheets/d/1UvPg-G_Bj-UNhLC2uL8tntfYsnld_PABqE3impzOchM/edCSE(IOT)"", ""2023-CSE(IOT)!S:S""),
IMPORTRANGE(""https://docs.google.com/spreadsheets/d/1UvPg-G_Bj-UNhLC2uL8tntfYsnld_PABqE3impzOchM/edCSE(IOT)"", ""2023-CSE(IOT)!V:V""),
IM"&amp;"PORTRANGE(""https://docs.google.com/spreadsheets/d/1UvPg-G_Bj-UNhLC2uL8tntfYsnld_PABqE3impzOchM/edCSE(IOT)"", ""2023-CSE(IOT)!X:X""),
IMPORTRANGE(""https://docs.google.com/spreadsheets/d/1UvPg-G_Bj-UNhLC2uL8tntfYsnld_PABqE3impzOchM/edCSE(IOT)"", ""2023-CS"&amp;"E(IOT)!Y:Y""),
IMPORTRANGE(""https://docs.google.com/spreadsheets/d/1UvPg-G_Bj-UNhLC2uL8tntfYsnld_PABqE3impzOchM/edCSE(IOT)"", ""2023-CSE(IOT)!AA:AA""),
IMPORTRANGE(""https://docs.google.com/spreadsheets/d/1UvPg-G_Bj-UNhLC2uL8tntfYsnld_PABqE3impzOchM/edCS"&amp;"E(IOT)"", ""2023-CSE(IOT)!AC:AC""),
IMPORTRANGE(""https://docs.google.com/spreadsheets/d/1UvPg-G_Bj-UNhLC2uL8tntfYsnld_PABqE3impzOchM/edCSE(IOT)"", ""2023-CSE(IOT)!AD:AD"")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/>
      <c r="N1" s="13"/>
      <c r="O1" s="14"/>
      <c r="P1" s="12"/>
      <c r="Q1" s="24"/>
      <c r="R1" s="25"/>
    </row>
    <row r="2" ht="60.75" customHeight="1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5"/>
      <c r="M2" s="16" t="str">
        <f>IFERROR(__xludf.DUMMYFUNCTION("""COMPUTED_VALUE"""),"BATCH: 2023-2027")</f>
        <v>BATCH: 2023-2027</v>
      </c>
      <c r="N2" s="1"/>
      <c r="O2" s="17"/>
      <c r="P2" s="16"/>
      <c r="Q2" s="1"/>
      <c r="R2" s="17"/>
    </row>
    <row r="3" ht="48" customHeight="1" spans="1:18">
      <c r="A3" s="28" t="str">
        <f>IFERROR(__xludf.DUMMYFUNCTION("""COMPUTED_VALUE"""),"S.No")</f>
        <v>S.No</v>
      </c>
      <c r="B3" s="2" t="str">
        <f>IFERROR(__xludf.DUMMYFUNCTION("""COMPUTED_VALUE"""),"Remarks ")</f>
        <v>Remarks </v>
      </c>
      <c r="C3" s="2" t="str">
        <f>IFERROR(__xludf.DUMMYFUNCTION("""COMPUTED_VALUE"""),"Category")</f>
        <v>Category</v>
      </c>
      <c r="D3" s="2" t="str">
        <f>IFERROR(__xludf.DUMMYFUNCTION("""COMPUTED_VALUE"""),"Course Code R2024")</f>
        <v>Course Code R2024</v>
      </c>
      <c r="E3" s="2" t="str">
        <f>IFERROR(__xludf.DUMMYFUNCTION("""COMPUTED_VALUE"""),"Course Code R2019")</f>
        <v>Course Code R2019</v>
      </c>
      <c r="F3" s="3" t="str">
        <f>IFERROR(__xludf.DUMMYFUNCTION("""COMPUTED_VALUE"""),"Course Title")</f>
        <v>Course Title</v>
      </c>
      <c r="G3" s="2" t="str">
        <f>IFERROR(__xludf.DUMMYFUNCTION("""COMPUTED_VALUE"""),"Prerequisite")</f>
        <v>Prerequisite</v>
      </c>
      <c r="H3" s="2" t="str">
        <f>IFERROR(__xludf.DUMMYFUNCTION("""COMPUTED_VALUE"""),"Theory Credits ")</f>
        <v>Theory Credits </v>
      </c>
      <c r="I3" s="2" t="str">
        <f>IFERROR(__xludf.DUMMYFUNCTION("""COMPUTED_VALUE"""),"Practical Credits")</f>
        <v>Practical Credits</v>
      </c>
      <c r="J3" s="2" t="str">
        <f>IFERROR(__xludf.DUMMYFUNCTION("""COMPUTED_VALUE"""),"Total Credits")</f>
        <v>Total Credits</v>
      </c>
      <c r="K3" s="2" t="str">
        <f>IFERROR(__xludf.DUMMYFUNCTION("""COMPUTED_VALUE"""),"CGPA /          Non - CGPA")</f>
        <v>CGPA /          Non - CGPA</v>
      </c>
      <c r="L3" s="18" t="str">
        <f>IFERROR(__xludf.DUMMYFUNCTION("""COMPUTED_VALUE"""),"Course Type
")</f>
        <v>Course Type
</v>
      </c>
      <c r="M3" s="19" t="str">
        <f>IFERROR(__xludf.DUMMYFUNCTION("""COMPUTED_VALUE"""),"Category")</f>
        <v>Category</v>
      </c>
      <c r="N3" s="2" t="str">
        <f>IFERROR(__xludf.DUMMYFUNCTION("""COMPUTED_VALUE"""),"Credits to be Earned (Regular)")</f>
        <v>Credits to be Earned (Regular)</v>
      </c>
      <c r="O3" s="20" t="str">
        <f>IFERROR(__xludf.DUMMYFUNCTION("""COMPUTED_VALUE"""),"Credits to be Earned (Lateral Entry)")</f>
        <v>Credits to be Earned (Lateral Entry)</v>
      </c>
      <c r="P3" s="19"/>
      <c r="Q3" s="2"/>
      <c r="R3" s="20"/>
    </row>
    <row r="4" ht="48" customHeight="1" spans="1:18">
      <c r="A4" s="2">
        <f>IFERROR(__xludf.DUMMYFUNCTION("""COMPUTED_VALUE"""),1)</f>
        <v>1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IFERROR(__xludf.DUMMYFUNCTION("""COMPUTED_VALUE"""),"SH1104")</f>
        <v>SH1104</v>
      </c>
      <c r="E4" s="2" t="str">
        <f>IFERROR(__xludf.DUMMYFUNCTION("""COMPUTED_VALUE"""),"19EN104")</f>
        <v>19EN104</v>
      </c>
      <c r="F4" s="7" t="str">
        <f>IFERROR(__xludf.DUMMYFUNCTION("""COMPUTED_VALUE"""),"Technical Writing")</f>
        <v>Technical Writing</v>
      </c>
      <c r="G4" s="2" t="str">
        <f>IFERROR(__xludf.DUMMYFUNCTION("""COMPUTED_VALUE"""),"-")</f>
        <v>-</v>
      </c>
      <c r="H4" s="2">
        <f>IFERROR(__xludf.DUMMYFUNCTION("""COMPUTED_VALUE"""),3)</f>
        <v>3</v>
      </c>
      <c r="I4" s="2">
        <f>IFERROR(__xludf.DUMMYFUNCTION("""COMPUTED_VALUE"""),0)</f>
        <v>0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IFERROR(__xludf.DUMMYFUNCTION("""COMPUTED_VALUE"""),"Theory")</f>
        <v>Theory</v>
      </c>
      <c r="M4" s="19" t="str">
        <f>IFERROR(__xludf.DUMMYFUNCTION("""COMPUTED_VALUE"""),"HS")</f>
        <v>HS</v>
      </c>
      <c r="N4" s="2">
        <f>IFERROR(__xludf.DUMMYFUNCTION("""COMPUTED_VALUE"""),14)</f>
        <v>14</v>
      </c>
      <c r="O4" s="20">
        <f>IFERROR(__xludf.DUMMYFUNCTION("""COMPUTED_VALUE"""),3)</f>
        <v>3</v>
      </c>
      <c r="P4" s="19"/>
      <c r="Q4" s="2"/>
      <c r="R4" s="20"/>
    </row>
    <row r="5" ht="48" customHeight="1" spans="1:18">
      <c r="A5" s="2">
        <f>IFERROR(__xludf.DUMMYFUNCTION("""COMPUTED_VALUE"""),2)</f>
        <v>2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IFERROR(__xludf.DUMMYFUNCTION("""COMPUTED_VALUE"""),"SH1105")</f>
        <v>SH1105</v>
      </c>
      <c r="E5" s="2" t="str">
        <f>IFERROR(__xludf.DUMMYFUNCTION("""COMPUTED_VALUE"""),"19EN105")</f>
        <v>19EN105</v>
      </c>
      <c r="F5" s="7" t="str">
        <f>IFERROR(__xludf.DUMMYFUNCTION("""COMPUTED_VALUE"""),"Public Speaking")</f>
        <v>Public Speaking</v>
      </c>
      <c r="G5" s="2" t="str">
        <f>IFERROR(__xludf.DUMMYFUNCTION("""COMPUTED_VALUE"""),"-")</f>
        <v>-</v>
      </c>
      <c r="H5" s="2">
        <f>IFERROR(__xludf.DUMMYFUNCTION("""COMPUTED_VALUE"""),0)</f>
        <v>0</v>
      </c>
      <c r="I5" s="2">
        <f>IFERROR(__xludf.DUMMYFUNCTION("""COMPUTED_VALUE"""),3)</f>
        <v>3</v>
      </c>
      <c r="J5" s="2">
        <f>IFERROR(__xludf.DUMMYFUNCTION("""COMPUTED_VALUE"""),3)</f>
        <v>3</v>
      </c>
      <c r="K5" s="2" t="str">
        <f>IFERROR(__xludf.DUMMYFUNCTION("""COMPUTED_VALUE"""),"CGPA")</f>
        <v>CGPA</v>
      </c>
      <c r="L5" s="18" t="str">
        <f>IFERROR(__xludf.DUMMYFUNCTION("""COMPUTED_VALUE"""),"Practical (10 Expts)")</f>
        <v>Practical (10 Expts)</v>
      </c>
      <c r="M5" s="19" t="str">
        <f>IFERROR(__xludf.DUMMYFUNCTION("""COMPUTED_VALUE"""),"BS")</f>
        <v>BS</v>
      </c>
      <c r="N5" s="2">
        <f>IFERROR(__xludf.DUMMYFUNCTION("""COMPUTED_VALUE"""),25)</f>
        <v>25</v>
      </c>
      <c r="O5" s="20">
        <f>IFERROR(__xludf.DUMMYFUNCTION("""COMPUTED_VALUE"""),18)</f>
        <v>18</v>
      </c>
      <c r="P5" s="19"/>
      <c r="Q5" s="2"/>
      <c r="R5" s="20"/>
    </row>
    <row r="6" ht="48" customHeight="1" spans="1:18">
      <c r="A6" s="2">
        <f>IFERROR(__xludf.DUMMYFUNCTION("""COMPUTED_VALUE"""),3)</f>
        <v>3</v>
      </c>
      <c r="B6" s="2" t="str">
        <f>IFERROR(__xludf.DUMMYFUNCTION("""COMPUTED_VALUE"""),"Any 1")</f>
        <v>Any 1</v>
      </c>
      <c r="C6" s="2" t="str">
        <f>IFERROR(__xludf.DUMMYFUNCTION("""COMPUTED_VALUE"""),"HS")</f>
        <v>HS</v>
      </c>
      <c r="D6" s="2" t="str">
        <f>IFERROR(__xludf.DUMMYFUNCTION("""COMPUTED_VALUE"""),"SH1101")</f>
        <v>SH1101</v>
      </c>
      <c r="E6" s="2" t="str">
        <f>IFERROR(__xludf.DUMMYFUNCTION("""COMPUTED_VALUE"""),"19EN101")</f>
        <v>19EN101</v>
      </c>
      <c r="F6" s="7" t="str">
        <f>IFERROR(__xludf.DUMMYFUNCTION("""COMPUTED_VALUE"""),"Communicative English")</f>
        <v>Communicative English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IFERROR(__xludf.DUMMYFUNCTION("""COMPUTED_VALUE"""),1)</f>
        <v>1</v>
      </c>
      <c r="J6" s="2">
        <f>IFERROR(__xludf.DUMMYFUNCTION("""COMPUTED_VALUE"""),4)</f>
        <v>4</v>
      </c>
      <c r="K6" s="2" t="str">
        <f>IFERROR(__xludf.DUMMYFUNCTION("""COMPUTED_VALUE"""),"CGPA")</f>
        <v>CGPA</v>
      </c>
      <c r="L6" s="18" t="str">
        <f>IFERROR(__xludf.DUMMYFUNCTION("""COMPUTED_VALUE"""),"TIP (6 Expts)")</f>
        <v>TIP (6 Expts)</v>
      </c>
      <c r="M6" s="19" t="str">
        <f>IFERROR(__xludf.DUMMYFUNCTION("""COMPUTED_VALUE"""),"ES")</f>
        <v>ES</v>
      </c>
      <c r="N6" s="2">
        <f>IFERROR(__xludf.DUMMYFUNCTION("""COMPUTED_VALUE"""),28)</f>
        <v>28</v>
      </c>
      <c r="O6" s="20">
        <f>IFERROR(__xludf.DUMMYFUNCTION("""COMPUTED_VALUE"""),12)</f>
        <v>12</v>
      </c>
      <c r="P6" s="19"/>
      <c r="Q6" s="2"/>
      <c r="R6" s="20"/>
    </row>
    <row r="7" ht="48" customHeight="1" spans="1:18">
      <c r="A7" s="2">
        <f>IFERROR(__xludf.DUMMYFUNCTION("""COMPUTED_VALUE"""),4)</f>
        <v>4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IFERROR(__xludf.DUMMYFUNCTION("""COMPUTED_VALUE"""),"SH9154")</f>
        <v>SH9154</v>
      </c>
      <c r="E7" s="2" t="str">
        <f>IFERROR(__xludf.DUMMYFUNCTION("""COMPUTED_VALUE"""),"19MS154")</f>
        <v>19MS154</v>
      </c>
      <c r="F7" s="7" t="str">
        <f>IFERROR(__xludf.DUMMYFUNCTION("""COMPUTED_VALUE"""),"Basic Financial Accounting")</f>
        <v>Basic Financial Accounting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IFERROR(__xludf.DUMMYFUNCTION("""COMPUTED_VALUE"""),"PC")</f>
        <v>PC</v>
      </c>
      <c r="N7" s="2">
        <f>IFERROR(__xludf.DUMMYFUNCTION("""COMPUTED_VALUE"""),56)</f>
        <v>56</v>
      </c>
      <c r="O7" s="20">
        <f>IFERROR(__xludf.DUMMYFUNCTION("""COMPUTED_VALUE"""),47)</f>
        <v>47</v>
      </c>
      <c r="P7" s="19"/>
      <c r="Q7" s="2"/>
      <c r="R7" s="20"/>
    </row>
    <row r="8" ht="48" customHeight="1" spans="1:18">
      <c r="A8" s="2">
        <f>IFERROR(__xludf.DUMMYFUNCTION("""COMPUTED_VALUE"""),5)</f>
        <v>5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IFERROR(__xludf.DUMMYFUNCTION("""COMPUTED_VALUE"""),"SH9156")</f>
        <v>SH9156</v>
      </c>
      <c r="E8" s="2" t="str">
        <f>IFERROR(__xludf.DUMMYFUNCTION("""COMPUTED_VALUE"""),"19MS156")</f>
        <v>19MS156</v>
      </c>
      <c r="F8" s="7" t="str">
        <f>IFERROR(__xludf.DUMMYFUNCTION("""COMPUTED_VALUE"""),"Human Resource Management and Team Building")</f>
        <v>Human Resource Management and Team Building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IFERROR(__xludf.DUMMYFUNCTION("""COMPUTED_VALUE"""),"PE")</f>
        <v>PE</v>
      </c>
      <c r="N8" s="2">
        <f>IFERROR(__xludf.DUMMYFUNCTION("""COMPUTED_VALUE"""),16)</f>
        <v>16</v>
      </c>
      <c r="O8" s="20">
        <f>IFERROR(__xludf.DUMMYFUNCTION("""COMPUTED_VALUE"""),16)</f>
        <v>16</v>
      </c>
      <c r="P8" s="19"/>
      <c r="Q8" s="2"/>
      <c r="R8" s="20"/>
    </row>
    <row r="9" ht="48" customHeight="1" spans="1:18">
      <c r="A9" s="2">
        <f>IFERROR(__xludf.DUMMYFUNCTION("""COMPUTED_VALUE"""),6)</f>
        <v>6</v>
      </c>
      <c r="B9" s="2" t="str">
        <f>IFERROR(__xludf.DUMMYFUNCTION("""COMPUTED_VALUE"""),"Exempted for LE , Any 2 for Regular")</f>
        <v>Exempted for LE , Any 2 for Regular</v>
      </c>
      <c r="C9" s="2" t="str">
        <f>IFERROR(__xludf.DUMMYFUNCTION("""COMPUTED_VALUE"""),"HS")</f>
        <v>HS</v>
      </c>
      <c r="D9" s="2" t="str">
        <f>IFERROR(__xludf.DUMMYFUNCTION("""COMPUTED_VALUE"""),"SH9155")</f>
        <v>SH9155</v>
      </c>
      <c r="E9" s="2" t="str">
        <f>IFERROR(__xludf.DUMMYFUNCTION("""COMPUTED_VALUE"""),"19MS155")</f>
        <v>19MS155</v>
      </c>
      <c r="F9" s="7" t="str">
        <f>IFERROR(__xludf.DUMMYFUNCTION("""COMPUTED_VALUE"""),"Stock Market and Company Operations")</f>
        <v>Stock Market and Company Operations</v>
      </c>
      <c r="G9" s="2" t="str">
        <f>IFERROR(__xludf.DUMMYFUNCTION("""COMPUTED_VALUE"""),"-")</f>
        <v>-</v>
      </c>
      <c r="H9" s="2">
        <f>IFERROR(__xludf.DUMMYFUNCTION("""COMPUTED_VALUE"""),3)</f>
        <v>3</v>
      </c>
      <c r="I9" s="2">
        <f>IFERROR(__xludf.DUMMYFUNCTION("""COMPUTED_VALUE"""),0)</f>
        <v>0</v>
      </c>
      <c r="J9" s="2">
        <f>IFERROR(__xludf.DUMMYFUNCTION("""COMPUTED_VALUE"""),3)</f>
        <v>3</v>
      </c>
      <c r="K9" s="2" t="str">
        <f>IFERROR(__xludf.DUMMYFUNCTION("""COMPUTED_VALUE"""),"CGPA")</f>
        <v>CGPA</v>
      </c>
      <c r="L9" s="18" t="str">
        <f>IFERROR(__xludf.DUMMYFUNCTION("""COMPUTED_VALUE"""),"Theory")</f>
        <v>Theory</v>
      </c>
      <c r="M9" s="19" t="str">
        <f>IFERROR(__xludf.DUMMYFUNCTION("""COMPUTED_VALUE"""),"OE")</f>
        <v>OE</v>
      </c>
      <c r="N9" s="2">
        <f>IFERROR(__xludf.DUMMYFUNCTION("""COMPUTED_VALUE"""),12)</f>
        <v>12</v>
      </c>
      <c r="O9" s="20">
        <f>IFERROR(__xludf.DUMMYFUNCTION("""COMPUTED_VALUE"""),12)</f>
        <v>12</v>
      </c>
      <c r="P9" s="19"/>
      <c r="Q9" s="2"/>
      <c r="R9" s="20"/>
    </row>
    <row r="10" ht="48" customHeight="1" spans="1:18">
      <c r="A10" s="2">
        <f>IFERROR(__xludf.DUMMYFUNCTION("""COMPUTED_VALUE"""),7)</f>
        <v>7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IFERROR(__xludf.DUMMYFUNCTION("""COMPUTED_VALUE"""),"SH7101")</f>
        <v>SH7101</v>
      </c>
      <c r="E10" s="2" t="str">
        <f>IFERROR(__xludf.DUMMYFUNCTION("""COMPUTED_VALUE"""),"22HS101")</f>
        <v>22HS101</v>
      </c>
      <c r="F10" s="7" t="str">
        <f>IFERROR(__xludf.DUMMYFUNCTION("""COMPUTED_VALUE"""),"தமிழர் மரபு/ Heritage of Tamils")</f>
        <v>தமிழர் மரபு/ Heritage of Tamils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IFERROR(__xludf.DUMMYFUNCTION("""COMPUTED_VALUE"""),"EEC")</f>
        <v>EEC</v>
      </c>
      <c r="N10" s="2">
        <f>IFERROR(__xludf.DUMMYFUNCTION("""COMPUTED_VALUE"""),16)</f>
        <v>16</v>
      </c>
      <c r="O10" s="20">
        <f>IFERROR(__xludf.DUMMYFUNCTION("""COMPUTED_VALUE"""),16)</f>
        <v>16</v>
      </c>
      <c r="P10" s="19"/>
      <c r="Q10" s="2"/>
      <c r="R10" s="20"/>
    </row>
    <row r="11" ht="48" customHeight="1" spans="1:18">
      <c r="A11" s="2">
        <f>IFERROR(__xludf.DUMMYFUNCTION("""COMPUTED_VALUE"""),8)</f>
        <v>8</v>
      </c>
      <c r="B11" s="2" t="str">
        <f>IFERROR(__xludf.DUMMYFUNCTION("""COMPUTED_VALUE"""),"Exempted for LE")</f>
        <v>Exempted for LE</v>
      </c>
      <c r="C11" s="2" t="str">
        <f>IFERROR(__xludf.DUMMYFUNCTION("""COMPUTED_VALUE"""),"HS")</f>
        <v>HS</v>
      </c>
      <c r="D11" s="2" t="str">
        <f>IFERROR(__xludf.DUMMYFUNCTION("""COMPUTED_VALUE"""),"SH7102")</f>
        <v>SH7102</v>
      </c>
      <c r="E11" s="2" t="str">
        <f>IFERROR(__xludf.DUMMYFUNCTION("""COMPUTED_VALUE"""),"22HS102")</f>
        <v>22HS102</v>
      </c>
      <c r="F11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1" s="2" t="str">
        <f>IFERROR(__xludf.DUMMYFUNCTION("""COMPUTED_VALUE"""),"-")</f>
        <v>-</v>
      </c>
      <c r="H11" s="2">
        <f>IFERROR(__xludf.DUMMYFUNCTION("""COMPUTED_VALUE"""),1)</f>
        <v>1</v>
      </c>
      <c r="I11" s="2">
        <f>IFERROR(__xludf.DUMMYFUNCTION("""COMPUTED_VALUE"""),0)</f>
        <v>0</v>
      </c>
      <c r="J11" s="2">
        <f>IFERROR(__xludf.DUMMYFUNCTION("""COMPUTED_VALUE"""),1)</f>
        <v>1</v>
      </c>
      <c r="K11" s="2" t="str">
        <f>IFERROR(__xludf.DUMMYFUNCTION("""COMPUTED_VALUE"""),"CGPA")</f>
        <v>CGPA</v>
      </c>
      <c r="L11" s="18" t="str">
        <f>IFERROR(__xludf.DUMMYFUNCTION("""COMPUTED_VALUE"""),"Theory (Int Only)")</f>
        <v>Theory (Int Only)</v>
      </c>
      <c r="M11" s="21" t="str">
        <f>IFERROR(__xludf.DUMMYFUNCTION("""COMPUTED_VALUE"""),"MC")</f>
        <v>MC</v>
      </c>
      <c r="N11" s="22">
        <f>IFERROR(__xludf.DUMMYFUNCTION("""COMPUTED_VALUE"""),3)</f>
        <v>3</v>
      </c>
      <c r="O11" s="23">
        <f>IFERROR(__xludf.DUMMYFUNCTION("""COMPUTED_VALUE"""),3)</f>
        <v>3</v>
      </c>
      <c r="P11" s="21"/>
      <c r="Q11" s="22"/>
      <c r="R11" s="23"/>
    </row>
    <row r="12" ht="48" customHeight="1" spans="1:18">
      <c r="A12" s="2">
        <f>IFERROR(__xludf.DUMMYFUNCTION("""COMPUTED_VALUE"""),9)</f>
        <v>9</v>
      </c>
      <c r="B12" s="2"/>
      <c r="C12" s="2" t="str">
        <f>IFERROR(__xludf.DUMMYFUNCTION("""COMPUTED_VALUE"""),"BS")</f>
        <v>BS</v>
      </c>
      <c r="D12" s="2" t="str">
        <f>IFERROR(__xludf.DUMMYFUNCTION("""COMPUTED_VALUE"""),"SH2222")</f>
        <v>SH2222</v>
      </c>
      <c r="E12" s="2" t="str">
        <f>IFERROR(__xludf.DUMMYFUNCTION("""COMPUTED_VALUE"""),"19MA222")</f>
        <v>19MA222</v>
      </c>
      <c r="F12" s="7" t="str">
        <f>IFERROR(__xludf.DUMMYFUNCTION("""COMPUTED_VALUE"""),"Probability and Queueing Models")</f>
        <v>Probability and Queueing Models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 t="str">
        <f>IFERROR(__xludf.DUMMYFUNCTION("""COMPUTED_VALUE"""),"TOTAL")</f>
        <v>TOTAL</v>
      </c>
      <c r="N12" s="9">
        <f>IFERROR(__xludf.DUMMYFUNCTION("""COMPUTED_VALUE"""),170)</f>
        <v>170</v>
      </c>
      <c r="O12" s="9">
        <f>IFERROR(__xludf.DUMMYFUNCTION("""COMPUTED_VALUE"""),127)</f>
        <v>127</v>
      </c>
      <c r="P12" s="9"/>
      <c r="Q12" s="9"/>
      <c r="R12" s="9"/>
    </row>
    <row r="13" ht="48" customHeight="1" spans="1:18">
      <c r="A13" s="2">
        <f>IFERROR(__xludf.DUMMYFUNCTION("""COMPUTED_VALUE"""),10)</f>
        <v>10</v>
      </c>
      <c r="B13" s="2"/>
      <c r="C13" s="2" t="str">
        <f>IFERROR(__xludf.DUMMYFUNCTION("""COMPUTED_VALUE"""),"BS")</f>
        <v>BS</v>
      </c>
      <c r="D13" s="2" t="str">
        <f>IFERROR(__xludf.DUMMYFUNCTION("""COMPUTED_VALUE"""),"SH2219")</f>
        <v>SH2219</v>
      </c>
      <c r="E13" s="2" t="str">
        <f>IFERROR(__xludf.DUMMYFUNCTION("""COMPUTED_VALUE"""),"19MA219")</f>
        <v>19MA219</v>
      </c>
      <c r="F13" s="7" t="str">
        <f>IFERROR(__xludf.DUMMYFUNCTION("""COMPUTED_VALUE"""),"Transforms and Its Applications")</f>
        <v>Transforms and Its Applications</v>
      </c>
      <c r="G13" s="2" t="str">
        <f>IFERROR(__xludf.DUMMYFUNCTION("""COMPUTED_VALUE"""),"-")</f>
        <v>-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IFERROR(__xludf.DUMMYFUNCTION("""COMPUTED_VALUE"""),11)</f>
        <v>11</v>
      </c>
      <c r="B14" s="2"/>
      <c r="C14" s="2" t="str">
        <f>IFERROR(__xludf.DUMMYFUNCTION("""COMPUTED_VALUE"""),"BS")</f>
        <v>BS</v>
      </c>
      <c r="D14" s="2" t="str">
        <f>IFERROR(__xludf.DUMMYFUNCTION("""COMPUTED_VALUE"""),"SH2220")</f>
        <v>SH2220</v>
      </c>
      <c r="E14" s="2" t="str">
        <f>IFERROR(__xludf.DUMMYFUNCTION("""COMPUTED_VALUE"""),"19MA220")</f>
        <v>19MA220</v>
      </c>
      <c r="F14" s="7" t="str">
        <f>IFERROR(__xludf.DUMMYFUNCTION("""COMPUTED_VALUE"""),"Mathematics for Artificial Intelligence")</f>
        <v>Mathematics for Artificial Intelligence</v>
      </c>
      <c r="G14" s="2" t="str">
        <f>IFERROR(__xludf.DUMMYFUNCTION("""COMPUTED_VALUE"""),"-")</f>
        <v>-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IFERROR(__xludf.DUMMYFUNCTION("""COMPUTED_VALUE"""),12)</f>
        <v>12</v>
      </c>
      <c r="B15" s="2"/>
      <c r="C15" s="2" t="str">
        <f>IFERROR(__xludf.DUMMYFUNCTION("""COMPUTED_VALUE"""),"BS")</f>
        <v>BS</v>
      </c>
      <c r="D15" s="2" t="str">
        <f>IFERROR(__xludf.DUMMYFUNCTION("""COMPUTED_VALUE"""),"SH2221")</f>
        <v>SH2221</v>
      </c>
      <c r="E15" s="2" t="str">
        <f>IFERROR(__xludf.DUMMYFUNCTION("""COMPUTED_VALUE"""),"19MA221")</f>
        <v>19MA221</v>
      </c>
      <c r="F15" s="7" t="str">
        <f>IFERROR(__xludf.DUMMYFUNCTION("""COMPUTED_VALUE"""),"Linear Algebra Laboratory")</f>
        <v>Linear Algebra Laboratory</v>
      </c>
      <c r="G15" s="2" t="str">
        <f>IFERROR(__xludf.DUMMYFUNCTION("""COMPUTED_VALUE"""),"-")</f>
        <v>-</v>
      </c>
      <c r="H15" s="2">
        <f>IFERROR(__xludf.DUMMYFUNCTION("""COMPUTED_VALUE"""),0)</f>
        <v>0</v>
      </c>
      <c r="I15" s="2">
        <f>IFERROR(__xludf.DUMMYFUNCTION("""COMPUTED_VALUE"""),2)</f>
        <v>2</v>
      </c>
      <c r="J15" s="2">
        <f>IFERROR(__xludf.DUMMYFUNCTION("""COMPUTED_VALUE"""),2)</f>
        <v>2</v>
      </c>
      <c r="K15" s="2" t="str">
        <f>IFERROR(__xludf.DUMMYFUNCTION("""COMPUTED_VALUE"""),"CGPA")</f>
        <v>CGPA</v>
      </c>
      <c r="L15" s="2" t="str">
        <f>IFERROR(__xludf.DUMMYFUNCTION("""COMPUTED_VALUE"""),"Practical (10 Expts)")</f>
        <v>Practical (10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IFERROR(__xludf.DUMMYFUNCTION("""COMPUTED_VALUE"""),13)</f>
        <v>13</v>
      </c>
      <c r="B16" s="2"/>
      <c r="C16" s="2" t="str">
        <f>IFERROR(__xludf.DUMMYFUNCTION("""COMPUTED_VALUE"""),"BS")</f>
        <v>BS</v>
      </c>
      <c r="D16" s="2" t="str">
        <f>IFERROR(__xludf.DUMMYFUNCTION("""COMPUTED_VALUE"""),"SH2211")</f>
        <v>SH2211</v>
      </c>
      <c r="E16" s="2" t="str">
        <f>IFERROR(__xludf.DUMMYFUNCTION("""COMPUTED_VALUE"""),"19MA211")</f>
        <v>19MA211</v>
      </c>
      <c r="F16" s="7" t="str">
        <f>IFERROR(__xludf.DUMMYFUNCTION("""COMPUTED_VALUE"""),"Statistics and Numerical Methods")</f>
        <v>Statistics and Numerical Methods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IFERROR(__xludf.DUMMYFUNCTION("""COMPUTED_VALUE"""),14)</f>
        <v>14</v>
      </c>
      <c r="B17" s="2"/>
      <c r="C17" s="2" t="str">
        <f>IFERROR(__xludf.DUMMYFUNCTION("""COMPUTED_VALUE"""),"BS")</f>
        <v>BS</v>
      </c>
      <c r="D17" s="2" t="str">
        <f>IFERROR(__xludf.DUMMYFUNCTION("""COMPUTED_VALUE"""),"SH4205")</f>
        <v>SH4205</v>
      </c>
      <c r="E17" s="2" t="str">
        <f>IFERROR(__xludf.DUMMYFUNCTION("""COMPUTED_VALUE"""),"19CY205")</f>
        <v>19CY205</v>
      </c>
      <c r="F17" s="7" t="str">
        <f>IFERROR(__xludf.DUMMYFUNCTION("""COMPUTED_VALUE"""),"Principles of Chemistry in Engineering")</f>
        <v>Principles of Chemistry in Engineering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IFERROR(__xludf.DUMMYFUNCTION("""COMPUTED_VALUE"""),15)</f>
        <v>15</v>
      </c>
      <c r="B18" s="2"/>
      <c r="C18" s="2" t="str">
        <f>IFERROR(__xludf.DUMMYFUNCTION("""COMPUTED_VALUE"""),"BS")</f>
        <v>BS</v>
      </c>
      <c r="D18" s="2" t="str">
        <f>IFERROR(__xludf.DUMMYFUNCTION("""COMPUTED_VALUE"""),"NA")</f>
        <v>NA</v>
      </c>
      <c r="E18" s="2" t="str">
        <f>IFERROR(__xludf.DUMMYFUNCTION("""COMPUTED_VALUE"""),"19PH214")</f>
        <v>19PH214</v>
      </c>
      <c r="F18" s="7" t="str">
        <f>IFERROR(__xludf.DUMMYFUNCTION("""COMPUTED_VALUE"""),"Physics for Quantum Computing")</f>
        <v>Physics for Quantum Computing</v>
      </c>
      <c r="G18" s="2" t="str">
        <f>IFERROR(__xludf.DUMMYFUNCTION("""COMPUTED_VALUE"""),"-")</f>
        <v>-</v>
      </c>
      <c r="H18" s="2">
        <f>IFERROR(__xludf.DUMMYFUNCTION("""COMPUTED_VALUE"""),3)</f>
        <v>3</v>
      </c>
      <c r="I18" s="2">
        <f>IFERROR(__xludf.DUMMYFUNCTION("""COMPUTED_VALUE"""),0)</f>
        <v>0</v>
      </c>
      <c r="J18" s="2">
        <f>IFERROR(__xludf.DUMMYFUNCTION("""COMPUTED_VALUE"""),3)</f>
        <v>3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IFERROR(__xludf.DUMMYFUNCTION("""COMPUTED_VALUE"""),16)</f>
        <v>16</v>
      </c>
      <c r="B19" s="2"/>
      <c r="C19" s="2" t="str">
        <f>IFERROR(__xludf.DUMMYFUNCTION("""COMPUTED_VALUE"""),"ES")</f>
        <v>ES</v>
      </c>
      <c r="D19" s="2" t="str">
        <f>IFERROR(__xludf.DUMMYFUNCTION("""COMPUTED_VALUE"""),"CS3301")</f>
        <v>CS3301</v>
      </c>
      <c r="E19" s="2" t="str">
        <f>IFERROR(__xludf.DUMMYFUNCTION("""COMPUTED_VALUE"""),"19AI301")</f>
        <v>19AI301</v>
      </c>
      <c r="F19" s="7" t="str">
        <f>IFERROR(__xludf.DUMMYFUNCTION("""COMPUTED_VALUE"""),"Python Programming")</f>
        <v>Python Programming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IFERROR(__xludf.DUMMYFUNCTION("""COMPUTED_VALUE"""),17)</f>
        <v>17</v>
      </c>
      <c r="B20" s="2"/>
      <c r="C20" s="2" t="str">
        <f>IFERROR(__xludf.DUMMYFUNCTION("""COMPUTED_VALUE"""),"ES")</f>
        <v>ES</v>
      </c>
      <c r="D20" s="2" t="str">
        <f>IFERROR(__xludf.DUMMYFUNCTION("""COMPUTED_VALUE"""),"CS3302")</f>
        <v>CS3302</v>
      </c>
      <c r="E20" s="2" t="str">
        <f>IFERROR(__xludf.DUMMYFUNCTION("""COMPUTED_VALUE"""),"19AI302")</f>
        <v>19AI302</v>
      </c>
      <c r="F20" s="7" t="str">
        <f>IFERROR(__xludf.DUMMYFUNCTION("""COMPUTED_VALUE"""),"Engineering Design and Modelling")</f>
        <v>Engineering Design and Modelling</v>
      </c>
      <c r="G20" s="2" t="str">
        <f>IFERROR(__xludf.DUMMYFUNCTION("""COMPUTED_VALUE"""),"-")</f>
        <v>-</v>
      </c>
      <c r="H20" s="2">
        <f>IFERROR(__xludf.DUMMYFUNCTION("""COMPUTED_VALUE"""),0)</f>
        <v>0</v>
      </c>
      <c r="I20" s="2">
        <f>IFERROR(__xludf.DUMMYFUNCTION("""COMPUTED_VALUE"""),3)</f>
        <v>3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IFERROR(__xludf.DUMMYFUNCTION("""COMPUTED_VALUE"""),"Practical (10 Expts)")</f>
        <v>Practical (10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IFERROR(__xludf.DUMMYFUNCTION("""COMPUTED_VALUE"""),18)</f>
        <v>18</v>
      </c>
      <c r="B21" s="2"/>
      <c r="C21" s="2" t="str">
        <f>IFERROR(__xludf.DUMMYFUNCTION("""COMPUTED_VALUE"""),"ES")</f>
        <v>ES</v>
      </c>
      <c r="D21" s="2" t="str">
        <f>IFERROR(__xludf.DUMMYFUNCTION("""COMPUTED_VALUE"""),"CS3303")</f>
        <v>CS3303</v>
      </c>
      <c r="E21" s="2" t="str">
        <f>IFERROR(__xludf.DUMMYFUNCTION("""COMPUTED_VALUE"""),"19AI303")</f>
        <v>19AI303</v>
      </c>
      <c r="F21" s="7" t="str">
        <f>IFERROR(__xludf.DUMMYFUNCTION("""COMPUTED_VALUE"""),"Engineering Mechanics and Product Development")</f>
        <v>Engineering Mechanics and Product Development</v>
      </c>
      <c r="G21" s="2" t="str">
        <f>IFERROR(__xludf.DUMMYFUNCTION("""COMPUTED_VALUE"""),"-")</f>
        <v>-</v>
      </c>
      <c r="H21" s="2">
        <f>IFERROR(__xludf.DUMMYFUNCTION("""COMPUTED_VALUE"""),2)</f>
        <v>2</v>
      </c>
      <c r="I21" s="2">
        <f>IFERROR(__xludf.DUMMYFUNCTION("""COMPUTED_VALUE"""),1)</f>
        <v>1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IFERROR(__xludf.DUMMYFUNCTION("""COMPUTED_VALUE"""),"TIP (6 Expts)")</f>
        <v>TIP (6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IFERROR(__xludf.DUMMYFUNCTION("""COMPUTED_VALUE"""),19)</f>
        <v>19</v>
      </c>
      <c r="B22" s="2"/>
      <c r="C22" s="2" t="str">
        <f>IFERROR(__xludf.DUMMYFUNCTION("""COMPUTED_VALUE"""),"ES")</f>
        <v>ES</v>
      </c>
      <c r="D22" s="2" t="str">
        <f>IFERROR(__xludf.DUMMYFUNCTION("""COMPUTED_VALUE"""),"CS3306")</f>
        <v>CS3306</v>
      </c>
      <c r="E22" s="2" t="str">
        <f>IFERROR(__xludf.DUMMYFUNCTION("""COMPUTED_VALUE"""),"19AI306")</f>
        <v>19AI306</v>
      </c>
      <c r="F22" s="7" t="str">
        <f>IFERROR(__xludf.DUMMYFUNCTION("""COMPUTED_VALUE"""),"Object Oriented Programming using C++")</f>
        <v>Object Oriented Programming using C++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IFERROR(__xludf.DUMMYFUNCTION("""COMPUTED_VALUE"""),20)</f>
        <v>20</v>
      </c>
      <c r="B23" s="2"/>
      <c r="C23" s="2" t="str">
        <f>IFERROR(__xludf.DUMMYFUNCTION("""COMPUTED_VALUE"""),"ES")</f>
        <v>ES</v>
      </c>
      <c r="D23" s="2" t="str">
        <f>IFERROR(__xludf.DUMMYFUNCTION("""COMPUTED_VALUE"""),"CS3307")</f>
        <v>CS3307</v>
      </c>
      <c r="E23" s="2" t="str">
        <f>IFERROR(__xludf.DUMMYFUNCTION("""COMPUTED_VALUE"""),"19AI307")</f>
        <v>19AI307</v>
      </c>
      <c r="F23" s="7" t="str">
        <f>IFERROR(__xludf.DUMMYFUNCTION("""COMPUTED_VALUE"""),"Object Oriented Programming using Java")</f>
        <v>Object Oriented Programming using Java</v>
      </c>
      <c r="G23" s="2" t="str">
        <f>IFERROR(__xludf.DUMMYFUNCTION("""COMPUTED_VALUE"""),"19AI304")</f>
        <v>19AI304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IFERROR(__xludf.DUMMYFUNCTION("""COMPUTED_VALUE"""),21)</f>
        <v>21</v>
      </c>
      <c r="B24" s="2"/>
      <c r="C24" s="2" t="str">
        <f>IFERROR(__xludf.DUMMYFUNCTION("""COMPUTED_VALUE"""),"ES")</f>
        <v>ES</v>
      </c>
      <c r="D24" s="2" t="str">
        <f>IFERROR(__xludf.DUMMYFUNCTION("""COMPUTED_VALUE"""),"CS3308")</f>
        <v>CS3308</v>
      </c>
      <c r="E24" s="2" t="str">
        <f>IFERROR(__xludf.DUMMYFUNCTION("""COMPUTED_VALUE"""),"19AI308")</f>
        <v>19AI308</v>
      </c>
      <c r="F24" s="7" t="str">
        <f>IFERROR(__xludf.DUMMYFUNCTION("""COMPUTED_VALUE"""),"Object Oriented Programming using C#")</f>
        <v>Object Oriented Programming using C#</v>
      </c>
      <c r="G24" s="2" t="str">
        <f>IFERROR(__xludf.DUMMYFUNCTION("""COMPUTED_VALUE"""),"-")</f>
        <v>-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IFERROR(__xludf.DUMMYFUNCTION("""COMPUTED_VALUE"""),22)</f>
        <v>22</v>
      </c>
      <c r="B25" s="2"/>
      <c r="C25" s="2" t="str">
        <f>IFERROR(__xludf.DUMMYFUNCTION("""COMPUTED_VALUE"""),"ES")</f>
        <v>ES</v>
      </c>
      <c r="D25" s="2" t="str">
        <f>IFERROR(__xludf.DUMMYFUNCTION("""COMPUTED_VALUE"""),"EC2404")</f>
        <v>EC2404</v>
      </c>
      <c r="E25" s="2" t="str">
        <f>IFERROR(__xludf.DUMMYFUNCTION("""COMPUTED_VALUE"""),"19EE404")</f>
        <v>19EE404</v>
      </c>
      <c r="F25" s="7" t="str">
        <f>IFERROR(__xludf.DUMMYFUNCTION("""COMPUTED_VALUE"""),"Digital Electronics")</f>
        <v>Digital Electronics</v>
      </c>
      <c r="G25" s="2" t="str">
        <f>IFERROR(__xludf.DUMMYFUNCTION("""COMPUTED_VALUE"""),"-")</f>
        <v>-</v>
      </c>
      <c r="H25" s="2">
        <f>IFERROR(__xludf.DUMMYFUNCTION("""COMPUTED_VALUE"""),3)</f>
        <v>3</v>
      </c>
      <c r="I25" s="2">
        <f>IFERROR(__xludf.DUMMYFUNCTION("""COMPUTED_VALUE"""),1)</f>
        <v>1</v>
      </c>
      <c r="J25" s="2">
        <f>IFERROR(__xludf.DUMMYFUNCTION("""COMPUTED_VALUE"""),4)</f>
        <v>4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IFERROR(__xludf.DUMMYFUNCTION("""COMPUTED_VALUE"""),23)</f>
        <v>23</v>
      </c>
      <c r="B26" s="2"/>
      <c r="C26" s="2" t="str">
        <f>IFERROR(__xludf.DUMMYFUNCTION("""COMPUTED_VALUE"""),"ES")</f>
        <v>ES</v>
      </c>
      <c r="D26" s="2" t="str">
        <f>IFERROR(__xludf.DUMMYFUNCTION("""COMPUTED_VALUE"""),"EC2305")</f>
        <v>EC2305</v>
      </c>
      <c r="E26" s="2" t="str">
        <f>IFERROR(__xludf.DUMMYFUNCTION("""COMPUTED_VALUE"""),"19EE305")</f>
        <v>19EE305</v>
      </c>
      <c r="F26" s="7" t="str">
        <f>IFERROR(__xludf.DUMMYFUNCTION("""COMPUTED_VALUE"""),"Basic Electrical, Electronics and Measurement Engineering")</f>
        <v>Basic Electrical, Electronics and Measurement Engineering</v>
      </c>
      <c r="G26" s="2" t="str">
        <f>IFERROR(__xludf.DUMMYFUNCTION("""COMPUTED_VALUE"""),"-")</f>
        <v>-</v>
      </c>
      <c r="H26" s="2">
        <f>IFERROR(__xludf.DUMMYFUNCTION("""COMPUTED_VALUE"""),2)</f>
        <v>2</v>
      </c>
      <c r="I26" s="2">
        <f>IFERROR(__xludf.DUMMYFUNCTION("""COMPUTED_VALUE"""),1)</f>
        <v>1</v>
      </c>
      <c r="J26" s="2">
        <f>IFERROR(__xludf.DUMMYFUNCTION("""COMPUTED_VALUE"""),3)</f>
        <v>3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IFERROR(__xludf.DUMMYFUNCTION("""COMPUTED_VALUE"""),24)</f>
        <v>24</v>
      </c>
      <c r="B27" s="2"/>
      <c r="C27" s="2" t="str">
        <f>IFERROR(__xludf.DUMMYFUNCTION("""COMPUTED_VALUE"""),"ES")</f>
        <v>ES</v>
      </c>
      <c r="D27" s="2" t="str">
        <f>IFERROR(__xludf.DUMMYFUNCTION("""COMPUTED_VALUE"""),"EC2309")</f>
        <v>EC2309</v>
      </c>
      <c r="E27" s="2" t="str">
        <f>IFERROR(__xludf.DUMMYFUNCTION("""COMPUTED_VALUE"""),"19EE309")</f>
        <v>19EE309</v>
      </c>
      <c r="F27" s="7" t="str">
        <f>IFERROR(__xludf.DUMMYFUNCTION("""COMPUTED_VALUE"""),"Programming Microcontrollers")</f>
        <v>Programming Microcontrollers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IFERROR(__xludf.DUMMYFUNCTION("""COMPUTED_VALUE"""),25)</f>
        <v>25</v>
      </c>
      <c r="B28" s="2"/>
      <c r="C28" s="2" t="str">
        <f>IFERROR(__xludf.DUMMYFUNCTION("""COMPUTED_VALUE"""),"ES")</f>
        <v>ES</v>
      </c>
      <c r="D28" s="2" t="str">
        <f>IFERROR(__xludf.DUMMYFUNCTION("""COMPUTED_VALUE"""),"CS3304")</f>
        <v>CS3304</v>
      </c>
      <c r="E28" s="2" t="str">
        <f>IFERROR(__xludf.DUMMYFUNCTION("""COMPUTED_VALUE"""),"19AI304")</f>
        <v>19AI304</v>
      </c>
      <c r="F28" s="7" t="str">
        <f>IFERROR(__xludf.DUMMYFUNCTION("""COMPUTED_VALUE"""),"Fundamentals of C Programming")</f>
        <v>Fundamentals of C Programming</v>
      </c>
      <c r="G28" s="2" t="str">
        <f>IFERROR(__xludf.DUMMYFUNCTION("""COMPUTED_VALUE"""),"-")</f>
        <v>-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IFERROR(__xludf.DUMMYFUNCTION("""COMPUTED_VALUE"""),26)</f>
        <v>26</v>
      </c>
      <c r="B29" s="2"/>
      <c r="C29" s="2" t="str">
        <f>IFERROR(__xludf.DUMMYFUNCTION("""COMPUTED_VALUE"""),"ES")</f>
        <v>ES</v>
      </c>
      <c r="D29" s="2" t="str">
        <f>IFERROR(__xludf.DUMMYFUNCTION("""COMPUTED_VALUE"""),"CS3305")</f>
        <v>CS3305</v>
      </c>
      <c r="E29" s="2" t="str">
        <f>IFERROR(__xludf.DUMMYFUNCTION("""COMPUTED_VALUE"""),"19AI305")</f>
        <v>19AI305</v>
      </c>
      <c r="F29" s="7" t="str">
        <f>IFERROR(__xludf.DUMMYFUNCTION("""COMPUTED_VALUE"""),"Advanced C Programming")</f>
        <v>Advanced C Programming</v>
      </c>
      <c r="G29" s="2" t="str">
        <f>IFERROR(__xludf.DUMMYFUNCTION("""COMPUTED_VALUE"""),"19AI304 / CS3304")</f>
        <v>19AI304 / CS3304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IFERROR(__xludf.DUMMYFUNCTION("""COMPUTED_VALUE"""),27)</f>
        <v>27</v>
      </c>
      <c r="B30" s="2"/>
      <c r="C30" s="2" t="str">
        <f>IFERROR(__xludf.DUMMYFUNCTION("""COMPUTED_VALUE"""),"PC")</f>
        <v>PC</v>
      </c>
      <c r="D30" s="2" t="str">
        <f>IFERROR(__xludf.DUMMYFUNCTION("""COMPUTED_VALUE"""),"CS3404")</f>
        <v>CS3404</v>
      </c>
      <c r="E30" s="2" t="str">
        <f>IFERROR(__xludf.DUMMYFUNCTION("""COMPUTED_VALUE"""),"19AI404")</f>
        <v>19AI404</v>
      </c>
      <c r="F30" s="7" t="str">
        <f>IFERROR(__xludf.DUMMYFUNCTION("""COMPUTED_VALUE"""),"Analysis of Algorithms")</f>
        <v>Analysis of Algorithms</v>
      </c>
      <c r="G30" s="2" t="str">
        <f>IFERROR(__xludf.DUMMYFUNCTION("""COMPUTED_VALUE"""),"19AI301")</f>
        <v>19AI301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IFERROR(__xludf.DUMMYFUNCTION("""COMPUTED_VALUE"""),28)</f>
        <v>28</v>
      </c>
      <c r="B31" s="2"/>
      <c r="C31" s="2" t="str">
        <f>IFERROR(__xludf.DUMMYFUNCTION("""COMPUTED_VALUE"""),"PC")</f>
        <v>PC</v>
      </c>
      <c r="D31" s="2" t="str">
        <f>IFERROR(__xludf.DUMMYFUNCTION("""COMPUTED_VALUE"""),"CS3405")</f>
        <v>CS3405</v>
      </c>
      <c r="E31" s="2" t="str">
        <f>IFERROR(__xludf.DUMMYFUNCTION("""COMPUTED_VALUE"""),"19AI405")</f>
        <v>19AI405</v>
      </c>
      <c r="F31" s="7" t="str">
        <f>IFERROR(__xludf.DUMMYFUNCTION("""COMPUTED_VALUE"""),"Fundamentals of Artificial Intelligence")</f>
        <v>Fundamentals of Artificial Intelligence</v>
      </c>
      <c r="G31" s="2" t="str">
        <f>IFERROR(__xludf.DUMMYFUNCTION("""COMPUTED_VALUE"""),"19CS301")</f>
        <v>19CS301</v>
      </c>
      <c r="H31" s="2">
        <f>IFERROR(__xludf.DUMMYFUNCTION("""COMPUTED_VALUE"""),2)</f>
        <v>2</v>
      </c>
      <c r="I31" s="2">
        <f>IFERROR(__xludf.DUMMYFUNCTION("""COMPUTED_VALUE"""),1)</f>
        <v>1</v>
      </c>
      <c r="J31" s="2">
        <f>IFERROR(__xludf.DUMMYFUNCTION("""COMPUTED_VALUE"""),3)</f>
        <v>3</v>
      </c>
      <c r="K31" s="2" t="str">
        <f>IFERROR(__xludf.DUMMYFUNCTION("""COMPUTED_VALUE"""),"CGPA")</f>
        <v>CGPA</v>
      </c>
      <c r="L31" s="2" t="str">
        <f>IFERROR(__xludf.DUMMYFUNCTION("""COMPUTED_VALUE"""),"TIP (6 Expts)")</f>
        <v>TIP (6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IFERROR(__xludf.DUMMYFUNCTION("""COMPUTED_VALUE"""),29)</f>
        <v>29</v>
      </c>
      <c r="B32" s="2"/>
      <c r="C32" s="2" t="str">
        <f>IFERROR(__xludf.DUMMYFUNCTION("""COMPUTED_VALUE"""),"PC")</f>
        <v>PC</v>
      </c>
      <c r="D32" s="2" t="str">
        <f>IFERROR(__xludf.DUMMYFUNCTION("""COMPUTED_VALUE"""),"CS3408")</f>
        <v>CS3408</v>
      </c>
      <c r="E32" s="2" t="str">
        <f>IFERROR(__xludf.DUMMYFUNCTION("""COMPUTED_VALUE"""),"19AI408")</f>
        <v>19AI408</v>
      </c>
      <c r="F32" s="7" t="str">
        <f>IFERROR(__xludf.DUMMYFUNCTION("""COMPUTED_VALUE"""),"Data Structures")</f>
        <v>Data Structures</v>
      </c>
      <c r="G32" s="2" t="str">
        <f>IFERROR(__xludf.DUMMYFUNCTION("""COMPUTED_VALUE"""),"19AI304 / CS3304")</f>
        <v>19AI304 / CS3304</v>
      </c>
      <c r="H32" s="2">
        <f>IFERROR(__xludf.DUMMYFUNCTION("""COMPUTED_VALUE"""),2)</f>
        <v>2</v>
      </c>
      <c r="I32" s="2">
        <f>IFERROR(__xludf.DUMMYFUNCTION("""COMPUTED_VALUE"""),1)</f>
        <v>1</v>
      </c>
      <c r="J32" s="2">
        <f>IFERROR(__xludf.DUMMYFUNCTION("""COMPUTED_VALUE"""),3)</f>
        <v>3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IFERROR(__xludf.DUMMYFUNCTION("""COMPUTED_VALUE"""),30)</f>
        <v>30</v>
      </c>
      <c r="B33" s="2"/>
      <c r="C33" s="2" t="str">
        <f>IFERROR(__xludf.DUMMYFUNCTION("""COMPUTED_VALUE"""),"PC")</f>
        <v>PC</v>
      </c>
      <c r="D33" s="2" t="str">
        <f>IFERROR(__xludf.DUMMYFUNCTION("""COMPUTED_VALUE"""),"CS3414")</f>
        <v>CS3414</v>
      </c>
      <c r="E33" s="2" t="str">
        <f>IFERROR(__xludf.DUMMYFUNCTION("""COMPUTED_VALUE"""),"19AI414")</f>
        <v>19AI414</v>
      </c>
      <c r="F33" s="7" t="str">
        <f>IFERROR(__xludf.DUMMYFUNCTION("""COMPUTED_VALUE"""),"Fundamentals of Web Application Development")</f>
        <v>Fundamentals of Web Application Development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IFERROR(__xludf.DUMMYFUNCTION("""COMPUTED_VALUE"""),2)</f>
        <v>2</v>
      </c>
      <c r="J33" s="2">
        <f>IFERROR(__xludf.DUMMYFUNCTION("""COMPUTED_VALUE"""),5)</f>
        <v>5</v>
      </c>
      <c r="K33" s="2" t="str">
        <f>IFERROR(__xludf.DUMMYFUNCTION("""COMPUTED_VALUE"""),"CGPA")</f>
        <v>CGPA</v>
      </c>
      <c r="L33" s="2" t="str">
        <f>IFERROR(__xludf.DUMMYFUNCTION("""COMPUTED_VALUE"""),"TIP (10 Expts)")</f>
        <v>TIP (10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IFERROR(__xludf.DUMMYFUNCTION("""COMPUTED_VALUE"""),31)</f>
        <v>31</v>
      </c>
      <c r="B34" s="2"/>
      <c r="C34" s="2" t="str">
        <f>IFERROR(__xludf.DUMMYFUNCTION("""COMPUTED_VALUE"""),"PC")</f>
        <v>PC</v>
      </c>
      <c r="D34" s="2" t="str">
        <f>IFERROR(__xludf.DUMMYFUNCTION("""COMPUTED_VALUE"""),"CS3541")</f>
        <v>CS3541</v>
      </c>
      <c r="E34" s="2" t="str">
        <f>IFERROR(__xludf.DUMMYFUNCTION("""COMPUTED_VALUE"""),"19AI541")</f>
        <v>19AI541</v>
      </c>
      <c r="F34" s="7" t="str">
        <f>IFERROR(__xludf.DUMMYFUNCTION("""COMPUTED_VALUE"""),"Cloud Computing")</f>
        <v>Cloud Computing</v>
      </c>
      <c r="G34" s="2" t="str">
        <f>IFERROR(__xludf.DUMMYFUNCTION("""COMPUTED_VALUE"""),"19CS406")</f>
        <v>19CS406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IFERROR(__xludf.DUMMYFUNCTION("""COMPUTED_VALUE"""),32)</f>
        <v>32</v>
      </c>
      <c r="B35" s="2"/>
      <c r="C35" s="2" t="str">
        <f>IFERROR(__xludf.DUMMYFUNCTION("""COMPUTED_VALUE"""),"PC")</f>
        <v>PC</v>
      </c>
      <c r="D35" s="2" t="str">
        <f>IFERROR(__xludf.DUMMYFUNCTION("""COMPUTED_VALUE"""),"CS4508")</f>
        <v>CS4508</v>
      </c>
      <c r="E35" s="2" t="str">
        <f>IFERROR(__xludf.DUMMYFUNCTION("""COMPUTED_VALUE"""),"19AM508")</f>
        <v>19AM508</v>
      </c>
      <c r="F35" s="7" t="str">
        <f>IFERROR(__xludf.DUMMYFUNCTION("""COMPUTED_VALUE"""),"Introduction to IoT")</f>
        <v>Introduction to IoT</v>
      </c>
      <c r="G35" s="2" t="str">
        <f>IFERROR(__xludf.DUMMYFUNCTION("""COMPUTED_VALUE"""),"-")</f>
        <v>-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IFERROR(__xludf.DUMMYFUNCTION("""COMPUTED_VALUE"""),33)</f>
        <v>33</v>
      </c>
      <c r="B36" s="2"/>
      <c r="C36" s="2" t="str">
        <f>IFERROR(__xludf.DUMMYFUNCTION("""COMPUTED_VALUE"""),"PC")</f>
        <v>PC</v>
      </c>
      <c r="D36" s="2" t="str">
        <f>IFERROR(__xludf.DUMMYFUNCTION("""COMPUTED_VALUE"""),"CS4509")</f>
        <v>CS4509</v>
      </c>
      <c r="E36" s="2" t="str">
        <f>IFERROR(__xludf.DUMMYFUNCTION("""COMPUTED_VALUE"""),"19AM509")</f>
        <v>19AM509</v>
      </c>
      <c r="F36" s="7" t="str">
        <f>IFERROR(__xludf.DUMMYFUNCTION("""COMPUTED_VALUE"""),"Industrial Internet of Things")</f>
        <v>Industrial Internet of Things</v>
      </c>
      <c r="G36" s="2" t="str">
        <f>IFERROR(__xludf.DUMMYFUNCTION("""COMPUTED_VALUE"""),"-")</f>
        <v>-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IFERROR(__xludf.DUMMYFUNCTION("""COMPUTED_VALUE"""),34)</f>
        <v>34</v>
      </c>
      <c r="B37" s="2"/>
      <c r="C37" s="2" t="str">
        <f>IFERROR(__xludf.DUMMYFUNCTION("""COMPUTED_VALUE"""),"PC")</f>
        <v>PC</v>
      </c>
      <c r="D37" s="2" t="str">
        <f>IFERROR(__xludf.DUMMYFUNCTION("""COMPUTED_VALUE"""),"CS1404")</f>
        <v>CS1404</v>
      </c>
      <c r="E37" s="2" t="str">
        <f>IFERROR(__xludf.DUMMYFUNCTION("""COMPUTED_VALUE"""),"19CS404")</f>
        <v>19CS404</v>
      </c>
      <c r="F37" s="3" t="str">
        <f>IFERROR(__xludf.DUMMYFUNCTION("""COMPUTED_VALUE"""),"Database Management System and its Applications")</f>
        <v>Database Management System and its Applications</v>
      </c>
      <c r="G37" s="2" t="str">
        <f>IFERROR(__xludf.DUMMYFUNCTION("""COMPUTED_VALUE"""),"19AI301/19AI304/19CS301/19CS302/19CS303")</f>
        <v>19AI301/19AI304/19CS301/19CS302/19CS303</v>
      </c>
      <c r="H37" s="2">
        <f>IFERROR(__xludf.DUMMYFUNCTION("""COMPUTED_VALUE"""),3)</f>
        <v>3</v>
      </c>
      <c r="I37" s="2">
        <f>IFERROR(__xludf.DUMMYFUNCTION("""COMPUTED_VALUE"""),1)</f>
        <v>1</v>
      </c>
      <c r="J37" s="2">
        <f>IFERROR(__xludf.DUMMYFUNCTION("""COMPUTED_VALUE"""),4)</f>
        <v>4</v>
      </c>
      <c r="K37" s="2" t="str">
        <f>IFERROR(__xludf.DUMMYFUNCTION("""COMPUTED_VALUE"""),"CGPA")</f>
        <v>CGPA</v>
      </c>
      <c r="L37" s="2" t="str">
        <f>IFERROR(__xludf.DUMMYFUNCTION("""COMPUTED_VALUE"""),"TIP (6 Expts)")</f>
        <v>TIP (6 Expts)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IFERROR(__xludf.DUMMYFUNCTION("""COMPUTED_VALUE"""),35)</f>
        <v>35</v>
      </c>
      <c r="B38" s="2"/>
      <c r="C38" s="2" t="str">
        <f>IFERROR(__xludf.DUMMYFUNCTION("""COMPUTED_VALUE"""),"PC")</f>
        <v>PC</v>
      </c>
      <c r="D38" s="2" t="str">
        <f>IFERROR(__xludf.DUMMYFUNCTION("""COMPUTED_VALUE"""),"CS1405")</f>
        <v>CS1405</v>
      </c>
      <c r="E38" s="2" t="str">
        <f>IFERROR(__xludf.DUMMYFUNCTION("""COMPUTED_VALUE"""),"19CS405")</f>
        <v>19CS405</v>
      </c>
      <c r="F38" s="7" t="str">
        <f>IFERROR(__xludf.DUMMYFUNCTION("""COMPUTED_VALUE"""),"Operating System")</f>
        <v>Operating System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IFERROR(__xludf.DUMMYFUNCTION("""COMPUTED_VALUE"""),36)</f>
        <v>36</v>
      </c>
      <c r="B39" s="2"/>
      <c r="C39" s="2" t="str">
        <f>IFERROR(__xludf.DUMMYFUNCTION("""COMPUTED_VALUE"""),"PC")</f>
        <v>PC</v>
      </c>
      <c r="D39" s="2" t="str">
        <f>IFERROR(__xludf.DUMMYFUNCTION("""COMPUTED_VALUE"""),"CS1406")</f>
        <v>CS1406</v>
      </c>
      <c r="E39" s="2" t="str">
        <f>IFERROR(__xludf.DUMMYFUNCTION("""COMPUTED_VALUE"""),"19CS406")</f>
        <v>19CS406</v>
      </c>
      <c r="F39" s="7" t="str">
        <f>IFERROR(__xludf.DUMMYFUNCTION("""COMPUTED_VALUE"""),"Computer Networks")</f>
        <v>Computer Networks</v>
      </c>
      <c r="G39" s="2" t="str">
        <f>IFERROR(__xludf.DUMMYFUNCTION("""COMPUTED_VALUE"""),"-")</f>
        <v>-</v>
      </c>
      <c r="H39" s="2">
        <f>IFERROR(__xludf.DUMMYFUNCTION("""COMPUTED_VALUE"""),3)</f>
        <v>3</v>
      </c>
      <c r="I39" s="2">
        <f>IFERROR(__xludf.DUMMYFUNCTION("""COMPUTED_VALUE"""),1)</f>
        <v>1</v>
      </c>
      <c r="J39" s="2">
        <f>IFERROR(__xludf.DUMMYFUNCTION("""COMPUTED_VALUE"""),4)</f>
        <v>4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IFERROR(__xludf.DUMMYFUNCTION("""COMPUTED_VALUE"""),37)</f>
        <v>37</v>
      </c>
      <c r="B40" s="2"/>
      <c r="C40" s="2" t="str">
        <f>IFERROR(__xludf.DUMMYFUNCTION("""COMPUTED_VALUE"""),"PC")</f>
        <v>PC</v>
      </c>
      <c r="D40" s="2" t="str">
        <f>IFERROR(__xludf.DUMMYFUNCTION("""COMPUTED_VALUE"""),"CS1407")</f>
        <v>CS1407</v>
      </c>
      <c r="E40" s="2" t="str">
        <f>IFERROR(__xludf.DUMMYFUNCTION("""COMPUTED_VALUE"""),"19CS407")</f>
        <v>19CS407</v>
      </c>
      <c r="F40" s="7" t="str">
        <f>IFERROR(__xludf.DUMMYFUNCTION("""COMPUTED_VALUE"""),"Theory of Computation")</f>
        <v>Theory of Computation</v>
      </c>
      <c r="G40" s="2" t="str">
        <f>IFERROR(__xludf.DUMMYFUNCTION("""COMPUTED_VALUE"""),"19MA206")</f>
        <v>19MA206</v>
      </c>
      <c r="H40" s="2">
        <f>IFERROR(__xludf.DUMMYFUNCTION("""COMPUTED_VALUE"""),3)</f>
        <v>3</v>
      </c>
      <c r="I40" s="2">
        <f>IFERROR(__xludf.DUMMYFUNCTION("""COMPUTED_VALUE"""),0)</f>
        <v>0</v>
      </c>
      <c r="J40" s="2">
        <f>IFERROR(__xludf.DUMMYFUNCTION("""COMPUTED_VALUE"""),3)</f>
        <v>3</v>
      </c>
      <c r="K40" s="2" t="str">
        <f>IFERROR(__xludf.DUMMYFUNCTION("""COMPUTED_VALUE"""),"CGPA")</f>
        <v>CGPA</v>
      </c>
      <c r="L40" s="2" t="str">
        <f>IFERROR(__xludf.DUMMYFUNCTION("""COMPUTED_VALUE"""),"Theory")</f>
        <v>Theory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IFERROR(__xludf.DUMMYFUNCTION("""COMPUTED_VALUE"""),38)</f>
        <v>38</v>
      </c>
      <c r="B41" s="2"/>
      <c r="C41" s="2" t="str">
        <f>IFERROR(__xludf.DUMMYFUNCTION("""COMPUTED_VALUE"""),"PC")</f>
        <v>PC</v>
      </c>
      <c r="D41" s="2" t="str">
        <f>IFERROR(__xludf.DUMMYFUNCTION("""COMPUTED_VALUE"""),"CS1408")</f>
        <v>CS1408</v>
      </c>
      <c r="E41" s="2" t="str">
        <f>IFERROR(__xludf.DUMMYFUNCTION("""COMPUTED_VALUE"""),"19CS408")</f>
        <v>19CS408</v>
      </c>
      <c r="F41" s="7" t="str">
        <f>IFERROR(__xludf.DUMMYFUNCTION("""COMPUTED_VALUE"""),"Software Engineering")</f>
        <v>Software Engineering</v>
      </c>
      <c r="G41" s="2" t="str">
        <f>IFERROR(__xludf.DUMMYFUNCTION("""COMPUTED_VALUE"""),"-")</f>
        <v>-</v>
      </c>
      <c r="H41" s="2">
        <f>IFERROR(__xludf.DUMMYFUNCTION("""COMPUTED_VALUE"""),3)</f>
        <v>3</v>
      </c>
      <c r="I41" s="2">
        <f>IFERROR(__xludf.DUMMYFUNCTION("""COMPUTED_VALUE"""),1)</f>
        <v>1</v>
      </c>
      <c r="J41" s="2">
        <f>IFERROR(__xludf.DUMMYFUNCTION("""COMPUTED_VALUE"""),4)</f>
        <v>4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IFERROR(__xludf.DUMMYFUNCTION("""COMPUTED_VALUE"""),39)</f>
        <v>39</v>
      </c>
      <c r="B42" s="2"/>
      <c r="C42" s="2" t="str">
        <f>IFERROR(__xludf.DUMMYFUNCTION("""COMPUTED_VALUE"""),"PC")</f>
        <v>PC</v>
      </c>
      <c r="D42" s="2" t="str">
        <f>IFERROR(__xludf.DUMMYFUNCTION("""COMPUTED_VALUE"""),"CS1409")</f>
        <v>CS1409</v>
      </c>
      <c r="E42" s="2" t="str">
        <f>IFERROR(__xludf.DUMMYFUNCTION("""COMPUTED_VALUE"""),"19CS409")</f>
        <v>19CS409</v>
      </c>
      <c r="F42" s="7" t="str">
        <f>IFERROR(__xludf.DUMMYFUNCTION("""COMPUTED_VALUE"""),"Compiler Design")</f>
        <v>Compiler Design</v>
      </c>
      <c r="G42" s="2" t="str">
        <f>IFERROR(__xludf.DUMMYFUNCTION("""COMPUTED_VALUE"""),"-")</f>
        <v>-</v>
      </c>
      <c r="H42" s="2">
        <f>IFERROR(__xludf.DUMMYFUNCTION("""COMPUTED_VALUE"""),3)</f>
        <v>3</v>
      </c>
      <c r="I42" s="2">
        <f>IFERROR(__xludf.DUMMYFUNCTION("""COMPUTED_VALUE"""),1)</f>
        <v>1</v>
      </c>
      <c r="J42" s="2">
        <f>IFERROR(__xludf.DUMMYFUNCTION("""COMPUTED_VALUE"""),4)</f>
        <v>4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IFERROR(__xludf.DUMMYFUNCTION("""COMPUTED_VALUE"""),40)</f>
        <v>40</v>
      </c>
      <c r="B43" s="2"/>
      <c r="C43" s="2" t="str">
        <f>IFERROR(__xludf.DUMMYFUNCTION("""COMPUTED_VALUE"""),"PC")</f>
        <v>PC</v>
      </c>
      <c r="D43" s="2" t="str">
        <f>IFERROR(__xludf.DUMMYFUNCTION("""COMPUTED_VALUE"""),"CS1420")</f>
        <v>CS1420</v>
      </c>
      <c r="E43" s="2" t="str">
        <f>IFERROR(__xludf.DUMMYFUNCTION("""COMPUTED_VALUE"""),"19CS420")</f>
        <v>19CS420</v>
      </c>
      <c r="F43" s="7" t="str">
        <f>IFERROR(__xludf.DUMMYFUNCTION("""COMPUTED_VALUE"""),"Prototyping of IoT Systems")</f>
        <v>Prototyping of IoT Systems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IFERROR(__xludf.DUMMYFUNCTION("""COMPUTED_VALUE"""),41)</f>
        <v>41</v>
      </c>
      <c r="B44" s="2"/>
      <c r="C44" s="2" t="str">
        <f>IFERROR(__xludf.DUMMYFUNCTION("""COMPUTED_VALUE"""),"PC")</f>
        <v>PC</v>
      </c>
      <c r="D44" s="2" t="str">
        <f>IFERROR(__xludf.DUMMYFUNCTION("""COMPUTED_VALUE"""),"CS1421")</f>
        <v>CS1421</v>
      </c>
      <c r="E44" s="2" t="str">
        <f>IFERROR(__xludf.DUMMYFUNCTION("""COMPUTED_VALUE"""),"19CS421")</f>
        <v>19CS421</v>
      </c>
      <c r="F44" s="7" t="str">
        <f>IFERROR(__xludf.DUMMYFUNCTION("""COMPUTED_VALUE"""),"Edge Computing")</f>
        <v>Edge Computing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IFERROR(__xludf.DUMMYFUNCTION("""COMPUTED_VALUE"""),42)</f>
        <v>42</v>
      </c>
      <c r="B45" s="2"/>
      <c r="C45" s="2" t="str">
        <f>IFERROR(__xludf.DUMMYFUNCTION("""COMPUTED_VALUE"""),"PC")</f>
        <v>PC</v>
      </c>
      <c r="D45" s="2" t="str">
        <f>IFERROR(__xludf.DUMMYFUNCTION("""COMPUTED_VALUE"""),"CS1422")</f>
        <v>CS1422</v>
      </c>
      <c r="E45" s="2" t="str">
        <f>IFERROR(__xludf.DUMMYFUNCTION("""COMPUTED_VALUE"""),"19CS422")</f>
        <v>19CS422</v>
      </c>
      <c r="F45" s="7" t="str">
        <f>IFERROR(__xludf.DUMMYFUNCTION("""COMPUTED_VALUE"""),"Security for IoT Systems")</f>
        <v>Security for IoT Systems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IFERROR(__xludf.DUMMYFUNCTION("""COMPUTED_VALUE"""),43)</f>
        <v>43</v>
      </c>
      <c r="B46" s="2"/>
      <c r="C46" s="2" t="str">
        <f>IFERROR(__xludf.DUMMYFUNCTION("""COMPUTED_VALUE"""),"PE")</f>
        <v>PE</v>
      </c>
      <c r="D46" s="2" t="str">
        <f>IFERROR(__xludf.DUMMYFUNCTION("""COMPUTED_VALUE"""),"CS1305")</f>
        <v>CS1305</v>
      </c>
      <c r="E46" s="2" t="str">
        <f>IFERROR(__xludf.DUMMYFUNCTION("""COMPUTED_VALUE"""),"19CS305")</f>
        <v>19CS305</v>
      </c>
      <c r="F46" s="7" t="str">
        <f>IFERROR(__xludf.DUMMYFUNCTION("""COMPUTED_VALUE"""),"Computer Architecture")</f>
        <v>Computer Architecture</v>
      </c>
      <c r="G46" s="2" t="str">
        <f>IFERROR(__xludf.DUMMYFUNCTION("""COMPUTED_VALUE"""),"-")</f>
        <v>-</v>
      </c>
      <c r="H46" s="2">
        <f>IFERROR(__xludf.DUMMYFUNCTION("""COMPUTED_VALUE"""),3)</f>
        <v>3</v>
      </c>
      <c r="I46" s="2">
        <f>IFERROR(__xludf.DUMMYFUNCTION("""COMPUTED_VALUE"""),0)</f>
        <v>0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IFERROR(__xludf.DUMMYFUNCTION("""COMPUTED_VALUE"""),"Theory")</f>
        <v>Theory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IFERROR(__xludf.DUMMYFUNCTION("""COMPUTED_VALUE"""),44)</f>
        <v>44</v>
      </c>
      <c r="B47" s="2"/>
      <c r="C47" s="2" t="str">
        <f>IFERROR(__xludf.DUMMYFUNCTION("""COMPUTED_VALUE"""),"PE")</f>
        <v>PE</v>
      </c>
      <c r="D47" s="2" t="str">
        <f>IFERROR(__xludf.DUMMYFUNCTION("""COMPUTED_VALUE"""),"NA")</f>
        <v>NA</v>
      </c>
      <c r="E47" s="2" t="str">
        <f>IFERROR(__xludf.DUMMYFUNCTION("""COMPUTED_VALUE"""),"19EC508")</f>
        <v>19EC508</v>
      </c>
      <c r="F47" s="7" t="str">
        <f>IFERROR(__xludf.DUMMYFUNCTION("""COMPUTED_VALUE"""),"Ad Hoc and Wireless Sensor Networks")</f>
        <v>Ad Hoc and Wireless Sensor Networks</v>
      </c>
      <c r="G47" s="2" t="str">
        <f>IFERROR(__xludf.DUMMYFUNCTION("""COMPUTED_VALUE"""),"19EC412")</f>
        <v>19EC412</v>
      </c>
      <c r="H47" s="2">
        <f>IFERROR(__xludf.DUMMYFUNCTION("""COMPUTED_VALUE"""),3)</f>
        <v>3</v>
      </c>
      <c r="I47" s="2">
        <f>IFERROR(__xludf.DUMMYFUNCTION("""COMPUTED_VALUE"""),0)</f>
        <v>0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IFERROR(__xludf.DUMMYFUNCTION("""COMPUTED_VALUE"""),"Theory")</f>
        <v>Theory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IFERROR(__xludf.DUMMYFUNCTION("""COMPUTED_VALUE"""),45)</f>
        <v>45</v>
      </c>
      <c r="B48" s="2"/>
      <c r="C48" s="2" t="str">
        <f>IFERROR(__xludf.DUMMYFUNCTION("""COMPUTED_VALUE"""),"PE")</f>
        <v>PE</v>
      </c>
      <c r="D48" s="2" t="str">
        <f>IFERROR(__xludf.DUMMYFUNCTION("""COMPUTED_VALUE"""),"CS1540")</f>
        <v>CS1540</v>
      </c>
      <c r="E48" s="2" t="str">
        <f>IFERROR(__xludf.DUMMYFUNCTION("""COMPUTED_VALUE"""),"19CS540")</f>
        <v>19CS540</v>
      </c>
      <c r="F48" s="7" t="str">
        <f>IFERROR(__xludf.DUMMYFUNCTION("""COMPUTED_VALUE"""),"Fog Computing")</f>
        <v>Fog Computing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IFERROR(__xludf.DUMMYFUNCTION("""COMPUTED_VALUE"""),46)</f>
        <v>46</v>
      </c>
      <c r="B49" s="2"/>
      <c r="C49" s="2" t="str">
        <f>IFERROR(__xludf.DUMMYFUNCTION("""COMPUTED_VALUE"""),"PE")</f>
        <v>PE</v>
      </c>
      <c r="D49" s="2" t="str">
        <f>IFERROR(__xludf.DUMMYFUNCTION("""COMPUTED_VALUE"""),"CS4506")</f>
        <v>CS4506</v>
      </c>
      <c r="E49" s="2" t="str">
        <f>IFERROR(__xludf.DUMMYFUNCTION("""COMPUTED_VALUE"""),"19AM506")</f>
        <v>19AM506</v>
      </c>
      <c r="F49" s="7" t="str">
        <f>IFERROR(__xludf.DUMMYFUNCTION("""COMPUTED_VALUE"""),"Sensors and Actuators for IoT")</f>
        <v>Sensors and Actuators for IoT</v>
      </c>
      <c r="G49" s="2" t="str">
        <f>IFERROR(__xludf.DUMMYFUNCTION("""COMPUTED_VALUE"""),"-")</f>
        <v>-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IFERROR(__xludf.DUMMYFUNCTION("""COMPUTED_VALUE"""),47)</f>
        <v>47</v>
      </c>
      <c r="B50" s="2"/>
      <c r="C50" s="2" t="str">
        <f>IFERROR(__xludf.DUMMYFUNCTION("""COMPUTED_VALUE"""),"PE")</f>
        <v>PE</v>
      </c>
      <c r="D50" s="2" t="str">
        <f>IFERROR(__xludf.DUMMYFUNCTION("""COMPUTED_VALUE"""),"CS1542")</f>
        <v>CS1542</v>
      </c>
      <c r="E50" s="2" t="str">
        <f>IFERROR(__xludf.DUMMYFUNCTION("""COMPUTED_VALUE"""),"19CS542")</f>
        <v>19CS542</v>
      </c>
      <c r="F50" s="7" t="str">
        <f>IFERROR(__xludf.DUMMYFUNCTION("""COMPUTED_VALUE"""),"Embedded Board Design")</f>
        <v>Embedded Board Design</v>
      </c>
      <c r="G50" s="2" t="str">
        <f>IFERROR(__xludf.DUMMYFUNCTION("""COMPUTED_VALUE"""),"-")</f>
        <v>-</v>
      </c>
      <c r="H50" s="2">
        <f>IFERROR(__xludf.DUMMYFUNCTION("""COMPUTED_VALUE"""),2)</f>
        <v>2</v>
      </c>
      <c r="I50" s="2">
        <f>IFERROR(__xludf.DUMMYFUNCTION("""COMPUTED_VALUE"""),1)</f>
        <v>1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IFERROR(__xludf.DUMMYFUNCTION("""COMPUTED_VALUE"""),"TIP (6 Expts)")</f>
        <v>TIP (6 Expts)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IFERROR(__xludf.DUMMYFUNCTION("""COMPUTED_VALUE"""),48)</f>
        <v>48</v>
      </c>
      <c r="B51" s="2"/>
      <c r="C51" s="2" t="str">
        <f>IFERROR(__xludf.DUMMYFUNCTION("""COMPUTED_VALUE"""),"PE")</f>
        <v>PE</v>
      </c>
      <c r="D51" s="2" t="str">
        <f>IFERROR(__xludf.DUMMYFUNCTION("""COMPUTED_VALUE"""),"CS1543")</f>
        <v>CS1543</v>
      </c>
      <c r="E51" s="2" t="str">
        <f>IFERROR(__xludf.DUMMYFUNCTION("""COMPUTED_VALUE"""),"19CS543")</f>
        <v>19CS543</v>
      </c>
      <c r="F51" s="7" t="str">
        <f>IFERROR(__xludf.DUMMYFUNCTION("""COMPUTED_VALUE"""),"Embedded Board Manufacturing")</f>
        <v>Embedded Board Manufacturing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IFERROR(__xludf.DUMMYFUNCTION("""COMPUTED_VALUE"""),49)</f>
        <v>49</v>
      </c>
      <c r="B52" s="2"/>
      <c r="C52" s="2" t="str">
        <f>IFERROR(__xludf.DUMMYFUNCTION("""COMPUTED_VALUE"""),"PE")</f>
        <v>PE</v>
      </c>
      <c r="D52" s="2" t="str">
        <f>IFERROR(__xludf.DUMMYFUNCTION("""COMPUTED_VALUE"""),"CS1544")</f>
        <v>CS1544</v>
      </c>
      <c r="E52" s="2" t="str">
        <f>IFERROR(__xludf.DUMMYFUNCTION("""COMPUTED_VALUE"""),"19CS544")</f>
        <v>19CS544</v>
      </c>
      <c r="F52" s="7" t="str">
        <f>IFERROR(__xludf.DUMMYFUNCTION("""COMPUTED_VALUE"""),"Realtime Operating System")</f>
        <v>Realtime Operating System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IFERROR(__xludf.DUMMYFUNCTION("""COMPUTED_VALUE"""),50)</f>
        <v>50</v>
      </c>
      <c r="B53" s="2"/>
      <c r="C53" s="2" t="str">
        <f>IFERROR(__xludf.DUMMYFUNCTION("""COMPUTED_VALUE"""),"PE")</f>
        <v>PE</v>
      </c>
      <c r="D53" s="2" t="str">
        <f>IFERROR(__xludf.DUMMYFUNCTION("""COMPUTED_VALUE"""),"CS2513")</f>
        <v>CS2513</v>
      </c>
      <c r="E53" s="2" t="str">
        <f>IFERROR(__xludf.DUMMYFUNCTION("""COMPUTED_VALUE"""),"19IT513")</f>
        <v>19IT513</v>
      </c>
      <c r="F53" s="7" t="str">
        <f>IFERROR(__xludf.DUMMYFUNCTION("""COMPUTED_VALUE"""),"Free Open Source Software")</f>
        <v>Free Open Source Software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IFERROR(__xludf.DUMMYFUNCTION("""COMPUTED_VALUE"""),51)</f>
        <v>51</v>
      </c>
      <c r="B54" s="2"/>
      <c r="C54" s="2" t="str">
        <f>IFERROR(__xludf.DUMMYFUNCTION("""COMPUTED_VALUE"""),"PE")</f>
        <v>PE</v>
      </c>
      <c r="D54" s="2" t="str">
        <f>IFERROR(__xludf.DUMMYFUNCTION("""COMPUTED_VALUE"""),"CS1546")</f>
        <v>CS1546</v>
      </c>
      <c r="E54" s="2" t="str">
        <f>IFERROR(__xludf.DUMMYFUNCTION("""COMPUTED_VALUE"""),"19CS546")</f>
        <v>19CS546</v>
      </c>
      <c r="F54" s="7" t="str">
        <f>IFERROR(__xludf.DUMMYFUNCTION("""COMPUTED_VALUE"""),"Kernel Programming")</f>
        <v>Kernel Programming</v>
      </c>
      <c r="G54" s="2" t="str">
        <f>IFERROR(__xludf.DUMMYFUNCTION("""COMPUTED_VALUE"""),"-")</f>
        <v>-</v>
      </c>
      <c r="H54" s="2">
        <f>IFERROR(__xludf.DUMMYFUNCTION("""COMPUTED_VALUE"""),2)</f>
        <v>2</v>
      </c>
      <c r="I54" s="2">
        <f>IFERROR(__xludf.DUMMYFUNCTION("""COMPUTED_VALUE"""),1)</f>
        <v>1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IFERROR(__xludf.DUMMYFUNCTION("""COMPUTED_VALUE"""),"TIP (6 Expts)")</f>
        <v>TIP (6 Expts)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IFERROR(__xludf.DUMMYFUNCTION("""COMPUTED_VALUE"""),52)</f>
        <v>52</v>
      </c>
      <c r="B55" s="2"/>
      <c r="C55" s="2" t="str">
        <f>IFERROR(__xludf.DUMMYFUNCTION("""COMPUTED_VALUE"""),"PE")</f>
        <v>PE</v>
      </c>
      <c r="D55" s="2" t="str">
        <f>IFERROR(__xludf.DUMMYFUNCTION("""COMPUTED_VALUE"""),"CS3409")</f>
        <v>CS3409</v>
      </c>
      <c r="E55" s="2" t="str">
        <f>IFERROR(__xludf.DUMMYFUNCTION("""COMPUTED_VALUE"""),"19AI409")</f>
        <v>19AI409</v>
      </c>
      <c r="F55" s="7" t="str">
        <f>IFERROR(__xludf.DUMMYFUNCTION("""COMPUTED_VALUE"""),"Applied Artificial Intelligence")</f>
        <v>Applied Artificial Intelligence</v>
      </c>
      <c r="G55" s="2" t="str">
        <f>IFERROR(__xludf.DUMMYFUNCTION("""COMPUTED_VALUE"""),"19AI405/19CS301")</f>
        <v>19AI405/19CS301</v>
      </c>
      <c r="H55" s="2">
        <f>IFERROR(__xludf.DUMMYFUNCTION("""COMPUTED_VALUE"""),2)</f>
        <v>2</v>
      </c>
      <c r="I55" s="2">
        <f>IFERROR(__xludf.DUMMYFUNCTION("""COMPUTED_VALUE"""),1)</f>
        <v>1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IFERROR(__xludf.DUMMYFUNCTION("""COMPUTED_VALUE"""),"TIP (6 Expts)")</f>
        <v>TIP (6 Expts)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IFERROR(__xludf.DUMMYFUNCTION("""COMPUTED_VALUE"""),53)</f>
        <v>53</v>
      </c>
      <c r="B56" s="2"/>
      <c r="C56" s="2" t="str">
        <f>IFERROR(__xludf.DUMMYFUNCTION("""COMPUTED_VALUE"""),"PE")</f>
        <v>PE</v>
      </c>
      <c r="D56" s="2" t="str">
        <f>IFERROR(__xludf.DUMMYFUNCTION("""COMPUTED_VALUE"""),"CS3501")</f>
        <v>CS3501</v>
      </c>
      <c r="E56" s="2" t="str">
        <f>IFERROR(__xludf.DUMMYFUNCTION("""COMPUTED_VALUE"""),"19AI501")</f>
        <v>19AI501</v>
      </c>
      <c r="F56" s="3" t="str">
        <f>IFERROR(__xludf.DUMMYFUNCTION("""COMPUTED_VALUE"""),"Applications of Artificial Intelligence")</f>
        <v>Applications of Artificial Intelligence</v>
      </c>
      <c r="G56" s="2" t="str">
        <f>IFERROR(__xludf.DUMMYFUNCTION("""COMPUTED_VALUE"""),"-")</f>
        <v>-</v>
      </c>
      <c r="H56" s="2">
        <f>IFERROR(__xludf.DUMMYFUNCTION("""COMPUTED_VALUE"""),2)</f>
        <v>2</v>
      </c>
      <c r="I56" s="2">
        <f>IFERROR(__xludf.DUMMYFUNCTION("""COMPUTED_VALUE"""),1)</f>
        <v>1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IFERROR(__xludf.DUMMYFUNCTION("""COMPUTED_VALUE"""),"TIP (6 Expts)")</f>
        <v>TIP (6 Expts)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IFERROR(__xludf.DUMMYFUNCTION("""COMPUTED_VALUE"""),54)</f>
        <v>54</v>
      </c>
      <c r="B57" s="2"/>
      <c r="C57" s="2" t="str">
        <f>IFERROR(__xludf.DUMMYFUNCTION("""COMPUTED_VALUE"""),"PE")</f>
        <v>PE</v>
      </c>
      <c r="D57" s="2" t="str">
        <f>IFERROR(__xludf.DUMMYFUNCTION("""COMPUTED_VALUE"""),"CS3507")</f>
        <v>CS3507</v>
      </c>
      <c r="E57" s="2" t="str">
        <f>IFERROR(__xludf.DUMMYFUNCTION("""COMPUTED_VALUE"""),"19AI507")</f>
        <v>19AI507</v>
      </c>
      <c r="F57" s="7" t="str">
        <f>IFERROR(__xludf.DUMMYFUNCTION("""COMPUTED_VALUE"""),"Special Topics in Artificial Intelligence")</f>
        <v>Special Topics in Artificial Intelligence</v>
      </c>
      <c r="G57" s="2" t="str">
        <f>IFERROR(__xludf.DUMMYFUNCTION("""COMPUTED_VALUE"""),"-")</f>
        <v>-</v>
      </c>
      <c r="H57" s="2">
        <f>IFERROR(__xludf.DUMMYFUNCTION("""COMPUTED_VALUE"""),2)</f>
        <v>2</v>
      </c>
      <c r="I57" s="2">
        <f>IFERROR(__xludf.DUMMYFUNCTION("""COMPUTED_VALUE"""),1)</f>
        <v>1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IFERROR(__xludf.DUMMYFUNCTION("""COMPUTED_VALUE"""),"TIP (6 Expts)")</f>
        <v>TIP (6 Expts)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IFERROR(__xludf.DUMMYFUNCTION("""COMPUTED_VALUE"""),55)</f>
        <v>55</v>
      </c>
      <c r="B58" s="2"/>
      <c r="C58" s="2" t="str">
        <f>IFERROR(__xludf.DUMMYFUNCTION("""COMPUTED_VALUE"""),"PE")</f>
        <v>PE</v>
      </c>
      <c r="D58" s="2" t="str">
        <f>IFERROR(__xludf.DUMMYFUNCTION("""COMPUTED_VALUE"""),"CS3503")</f>
        <v>CS3503</v>
      </c>
      <c r="E58" s="2" t="str">
        <f>IFERROR(__xludf.DUMMYFUNCTION("""COMPUTED_VALUE"""),"19AI503")</f>
        <v>19AI503</v>
      </c>
      <c r="F58" s="7" t="str">
        <f>IFERROR(__xludf.DUMMYFUNCTION("""COMPUTED_VALUE"""),"Computer Vision")</f>
        <v>Computer Vision</v>
      </c>
      <c r="G58" s="2" t="str">
        <f>IFERROR(__xludf.DUMMYFUNCTION("""COMPUTED_VALUE"""),"19CS301")</f>
        <v>19CS301</v>
      </c>
      <c r="H58" s="2">
        <f>IFERROR(__xludf.DUMMYFUNCTION("""COMPUTED_VALUE"""),2)</f>
        <v>2</v>
      </c>
      <c r="I58" s="2">
        <f>IFERROR(__xludf.DUMMYFUNCTION("""COMPUTED_VALUE"""),1)</f>
        <v>1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IFERROR(__xludf.DUMMYFUNCTION("""COMPUTED_VALUE"""),"TIP (6 Expts)")</f>
        <v>TIP (6 Expts)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IFERROR(__xludf.DUMMYFUNCTION("""COMPUTED_VALUE"""),56)</f>
        <v>56</v>
      </c>
      <c r="B59" s="2"/>
      <c r="C59" s="2" t="str">
        <f>IFERROR(__xludf.DUMMYFUNCTION("""COMPUTED_VALUE"""),"PE")</f>
        <v>PE</v>
      </c>
      <c r="D59" s="2" t="str">
        <f>IFERROR(__xludf.DUMMYFUNCTION("""COMPUTED_VALUE"""),"CS3514")</f>
        <v>CS3514</v>
      </c>
      <c r="E59" s="2" t="str">
        <f>IFERROR(__xludf.DUMMYFUNCTION("""COMPUTED_VALUE"""),"19AI514")</f>
        <v>19AI514</v>
      </c>
      <c r="F59" s="7" t="str">
        <f>IFERROR(__xludf.DUMMYFUNCTION("""COMPUTED_VALUE"""),"Self Driving Car")</f>
        <v>Self Driving Car</v>
      </c>
      <c r="G59" s="2" t="str">
        <f>IFERROR(__xludf.DUMMYFUNCTION("""COMPUTED_VALUE"""),"19CS301/19AI410")</f>
        <v>19CS301/19AI410</v>
      </c>
      <c r="H59" s="2">
        <f>IFERROR(__xludf.DUMMYFUNCTION("""COMPUTED_VALUE"""),2)</f>
        <v>2</v>
      </c>
      <c r="I59" s="2">
        <f>IFERROR(__xludf.DUMMYFUNCTION("""COMPUTED_VALUE"""),2)</f>
        <v>2</v>
      </c>
      <c r="J59" s="2">
        <f>IFERROR(__xludf.DUMMYFUNCTION("""COMPUTED_VALUE"""),4)</f>
        <v>4</v>
      </c>
      <c r="K59" s="2" t="str">
        <f>IFERROR(__xludf.DUMMYFUNCTION("""COMPUTED_VALUE"""),"CGPA")</f>
        <v>CGPA</v>
      </c>
      <c r="L59" s="2" t="str">
        <f>IFERROR(__xludf.DUMMYFUNCTION("""COMPUTED_VALUE"""),"TIP (10 Expts)")</f>
        <v>TIP (10 Expts)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IFERROR(__xludf.DUMMYFUNCTION("""COMPUTED_VALUE"""),57)</f>
        <v>57</v>
      </c>
      <c r="B60" s="2"/>
      <c r="C60" s="2" t="str">
        <f>IFERROR(__xludf.DUMMYFUNCTION("""COMPUTED_VALUE"""),"PE")</f>
        <v>PE</v>
      </c>
      <c r="D60" s="2" t="str">
        <f>IFERROR(__xludf.DUMMYFUNCTION("""COMPUTED_VALUE"""),"CS3522")</f>
        <v>CS3522</v>
      </c>
      <c r="E60" s="2" t="str">
        <f>IFERROR(__xludf.DUMMYFUNCTION("""COMPUTED_VALUE"""),"19AI522")</f>
        <v>19AI522</v>
      </c>
      <c r="F60" s="7" t="str">
        <f>IFERROR(__xludf.DUMMYFUNCTION("""COMPUTED_VALUE"""),"Knowledge Engineering")</f>
        <v>Knowledge Engineering</v>
      </c>
      <c r="G60" s="2" t="str">
        <f>IFERROR(__xludf.DUMMYFUNCTION("""COMPUTED_VALUE"""),"19CS410")</f>
        <v>19CS410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IFERROR(__xludf.DUMMYFUNCTION("""COMPUTED_VALUE"""),58)</f>
        <v>58</v>
      </c>
      <c r="B61" s="2"/>
      <c r="C61" s="2" t="str">
        <f>IFERROR(__xludf.DUMMYFUNCTION("""COMPUTED_VALUE"""),"PE")</f>
        <v>PE</v>
      </c>
      <c r="D61" s="2" t="str">
        <f>IFERROR(__xludf.DUMMYFUNCTION("""COMPUTED_VALUE"""),"CS3502")</f>
        <v>CS3502</v>
      </c>
      <c r="E61" s="2" t="str">
        <f>IFERROR(__xludf.DUMMYFUNCTION("""COMPUTED_VALUE"""),"19AI502")</f>
        <v>19AI502</v>
      </c>
      <c r="F61" s="7" t="str">
        <f>IFERROR(__xludf.DUMMYFUNCTION("""COMPUTED_VALUE"""),"Applied Natural Language Processing")</f>
        <v>Applied Natural Language Processing</v>
      </c>
      <c r="G61" s="2" t="str">
        <f>IFERROR(__xludf.DUMMYFUNCTION("""COMPUTED_VALUE"""),"-")</f>
        <v>-</v>
      </c>
      <c r="H61" s="2">
        <f>IFERROR(__xludf.DUMMYFUNCTION("""COMPUTED_VALUE"""),2)</f>
        <v>2</v>
      </c>
      <c r="I61" s="2">
        <f>IFERROR(__xludf.DUMMYFUNCTION("""COMPUTED_VALUE"""),1)</f>
        <v>1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IFERROR(__xludf.DUMMYFUNCTION("""COMPUTED_VALUE"""),"TIP (6 Expts)")</f>
        <v>TIP (6 Expts)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IFERROR(__xludf.DUMMYFUNCTION("""COMPUTED_VALUE"""),59)</f>
        <v>59</v>
      </c>
      <c r="B62" s="2"/>
      <c r="C62" s="2" t="str">
        <f>IFERROR(__xludf.DUMMYFUNCTION("""COMPUTED_VALUE"""),"PE")</f>
        <v>PE</v>
      </c>
      <c r="D62" s="2" t="str">
        <f>IFERROR(__xludf.DUMMYFUNCTION("""COMPUTED_VALUE"""),"CS3410")</f>
        <v>CS3410</v>
      </c>
      <c r="E62" s="2" t="str">
        <f>IFERROR(__xludf.DUMMYFUNCTION("""COMPUTED_VALUE"""),"19AI410")</f>
        <v>19AI410</v>
      </c>
      <c r="F62" s="7" t="str">
        <f>IFERROR(__xludf.DUMMYFUNCTION("""COMPUTED_VALUE"""),"Introduction to Machine Learning")</f>
        <v>Introduction to Machine Learning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IFERROR(__xludf.DUMMYFUNCTION("""COMPUTED_VALUE"""),60)</f>
        <v>60</v>
      </c>
      <c r="B63" s="2"/>
      <c r="C63" s="2" t="str">
        <f>IFERROR(__xludf.DUMMYFUNCTION("""COMPUTED_VALUE"""),"PE")</f>
        <v>PE</v>
      </c>
      <c r="D63" s="2" t="str">
        <f>IFERROR(__xludf.DUMMYFUNCTION("""COMPUTED_VALUE"""),"CS3411")</f>
        <v>CS3411</v>
      </c>
      <c r="E63" s="2" t="str">
        <f>IFERROR(__xludf.DUMMYFUNCTION("""COMPUTED_VALUE"""),"19AI411")</f>
        <v>19AI411</v>
      </c>
      <c r="F63" s="7" t="str">
        <f>IFERROR(__xludf.DUMMYFUNCTION("""COMPUTED_VALUE"""),"Neural Networks")</f>
        <v>Neural Networks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IFERROR(__xludf.DUMMYFUNCTION("""COMPUTED_VALUE"""),61)</f>
        <v>61</v>
      </c>
      <c r="B64" s="2"/>
      <c r="C64" s="2" t="str">
        <f>IFERROR(__xludf.DUMMYFUNCTION("""COMPUTED_VALUE"""),"PE")</f>
        <v>PE</v>
      </c>
      <c r="D64" s="2" t="str">
        <f>IFERROR(__xludf.DUMMYFUNCTION("""COMPUTED_VALUE"""),"CS3506")</f>
        <v>CS3506</v>
      </c>
      <c r="E64" s="2" t="str">
        <f>IFERROR(__xludf.DUMMYFUNCTION("""COMPUTED_VALUE"""),"19AI506")</f>
        <v>19AI506</v>
      </c>
      <c r="F64" s="3" t="str">
        <f>IFERROR(__xludf.DUMMYFUNCTION("""COMPUTED_VALUE"""),"Speech Analysis and Processing")</f>
        <v>Speech Analysis and Processing</v>
      </c>
      <c r="G64" s="2" t="str">
        <f>IFERROR(__xludf.DUMMYFUNCTION("""COMPUTED_VALUE"""),"-")</f>
        <v>-</v>
      </c>
      <c r="H64" s="2">
        <f>IFERROR(__xludf.DUMMYFUNCTION("""COMPUTED_VALUE"""),2)</f>
        <v>2</v>
      </c>
      <c r="I64" s="2">
        <f>IFERROR(__xludf.DUMMYFUNCTION("""COMPUTED_VALUE"""),1)</f>
        <v>1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IFERROR(__xludf.DUMMYFUNCTION("""COMPUTED_VALUE"""),"TIP (6 Expts)")</f>
        <v>TIP (6 Expts)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IFERROR(__xludf.DUMMYFUNCTION("""COMPUTED_VALUE"""),62)</f>
        <v>62</v>
      </c>
      <c r="B65" s="2"/>
      <c r="C65" s="2" t="str">
        <f>IFERROR(__xludf.DUMMYFUNCTION("""COMPUTED_VALUE"""),"PE")</f>
        <v>PE</v>
      </c>
      <c r="D65" s="2" t="str">
        <f>IFERROR(__xludf.DUMMYFUNCTION("""COMPUTED_VALUE"""),"CS3413")</f>
        <v>CS3413</v>
      </c>
      <c r="E65" s="2" t="str">
        <f>IFERROR(__xludf.DUMMYFUNCTION("""COMPUTED_VALUE"""),"19AI413")</f>
        <v>19AI413</v>
      </c>
      <c r="F65" s="7" t="str">
        <f>IFERROR(__xludf.DUMMYFUNCTION("""COMPUTED_VALUE"""),"Deep Learning and its Applications")</f>
        <v>Deep Learning and its Applications</v>
      </c>
      <c r="G65" s="2" t="str">
        <f>IFERROR(__xludf.DUMMYFUNCTION("""COMPUTED_VALUE"""),"-")</f>
        <v>-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IFERROR(__xludf.DUMMYFUNCTION("""COMPUTED_VALUE"""),63)</f>
        <v>63</v>
      </c>
      <c r="B66" s="2"/>
      <c r="C66" s="2" t="str">
        <f>IFERROR(__xludf.DUMMYFUNCTION("""COMPUTED_VALUE"""),"PE")</f>
        <v>PE</v>
      </c>
      <c r="D66" s="2" t="str">
        <f>IFERROR(__xludf.DUMMYFUNCTION("""COMPUTED_VALUE"""),"CS3521")</f>
        <v>CS3521</v>
      </c>
      <c r="E66" s="2" t="str">
        <f>IFERROR(__xludf.DUMMYFUNCTION("""COMPUTED_VALUE"""),"19AI521")</f>
        <v>19AI521</v>
      </c>
      <c r="F66" s="7" t="str">
        <f>IFERROR(__xludf.DUMMYFUNCTION("""COMPUTED_VALUE"""),"Expert Systems")</f>
        <v>Expert Systems</v>
      </c>
      <c r="G66" s="2" t="str">
        <f>IFERROR(__xludf.DUMMYFUNCTION("""COMPUTED_VALUE"""),"-")</f>
        <v>-</v>
      </c>
      <c r="H66" s="2">
        <f>IFERROR(__xludf.DUMMYFUNCTION("""COMPUTED_VALUE"""),3)</f>
        <v>3</v>
      </c>
      <c r="I66" s="2">
        <f>IFERROR(__xludf.DUMMYFUNCTION("""COMPUTED_VALUE"""),0)</f>
        <v>0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IFERROR(__xludf.DUMMYFUNCTION("""COMPUTED_VALUE"""),"Theory")</f>
        <v>Theory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IFERROR(__xludf.DUMMYFUNCTION("""COMPUTED_VALUE"""),64)</f>
        <v>64</v>
      </c>
      <c r="B67" s="2"/>
      <c r="C67" s="2" t="str">
        <f>IFERROR(__xludf.DUMMYFUNCTION("""COMPUTED_VALUE"""),"PE")</f>
        <v>PE</v>
      </c>
      <c r="D67" s="2" t="str">
        <f>IFERROR(__xludf.DUMMYFUNCTION("""COMPUTED_VALUE"""),"CS3505")</f>
        <v>CS3505</v>
      </c>
      <c r="E67" s="2" t="str">
        <f>IFERROR(__xludf.DUMMYFUNCTION("""COMPUTED_VALUE"""),"19AI505")</f>
        <v>19AI505</v>
      </c>
      <c r="F67" s="3" t="str">
        <f>IFERROR(__xludf.DUMMYFUNCTION("""COMPUTED_VALUE"""),"Reinforcement Learning")</f>
        <v>Reinforcement Learning</v>
      </c>
      <c r="G67" s="2" t="str">
        <f>IFERROR(__xludf.DUMMYFUNCTION("""COMPUTED_VALUE"""),"19CS301")</f>
        <v>19CS301</v>
      </c>
      <c r="H67" s="2">
        <f>IFERROR(__xludf.DUMMYFUNCTION("""COMPUTED_VALUE"""),2)</f>
        <v>2</v>
      </c>
      <c r="I67" s="2">
        <f>IFERROR(__xludf.DUMMYFUNCTION("""COMPUTED_VALUE"""),1)</f>
        <v>1</v>
      </c>
      <c r="J67" s="2">
        <f>IFERROR(__xludf.DUMMYFUNCTION("""COMPUTED_VALUE"""),3)</f>
        <v>3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IFERROR(__xludf.DUMMYFUNCTION("""COMPUTED_VALUE"""),65)</f>
        <v>65</v>
      </c>
      <c r="B68" s="2"/>
      <c r="C68" s="2" t="str">
        <f>IFERROR(__xludf.DUMMYFUNCTION("""COMPUTED_VALUE"""),"PE")</f>
        <v>PE</v>
      </c>
      <c r="D68" s="2" t="str">
        <f>IFERROR(__xludf.DUMMYFUNCTION("""COMPUTED_VALUE"""),"CS4501")</f>
        <v>CS4501</v>
      </c>
      <c r="E68" s="2" t="str">
        <f>IFERROR(__xludf.DUMMYFUNCTION("""COMPUTED_VALUE"""),"19AM501")</f>
        <v>19AM501</v>
      </c>
      <c r="F68" s="3" t="str">
        <f>IFERROR(__xludf.DUMMYFUNCTION("""COMPUTED_VALUE"""),"Machine Learning for Bioinformatics")</f>
        <v>Machine Learning for Bioinformatics</v>
      </c>
      <c r="G68" s="2" t="str">
        <f>IFERROR(__xludf.DUMMYFUNCTION("""COMPUTED_VALUE"""),"-")</f>
        <v>-</v>
      </c>
      <c r="H68" s="2">
        <f>IFERROR(__xludf.DUMMYFUNCTION("""COMPUTED_VALUE"""),3)</f>
        <v>3</v>
      </c>
      <c r="I68" s="2">
        <f>IFERROR(__xludf.DUMMYFUNCTION("""COMPUTED_VALUE"""),0)</f>
        <v>0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IFERROR(__xludf.DUMMYFUNCTION("""COMPUTED_VALUE"""),"Theory")</f>
        <v>Theory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IFERROR(__xludf.DUMMYFUNCTION("""COMPUTED_VALUE"""),66)</f>
        <v>66</v>
      </c>
      <c r="B69" s="2"/>
      <c r="C69" s="2" t="str">
        <f>IFERROR(__xludf.DUMMYFUNCTION("""COMPUTED_VALUE"""),"PE")</f>
        <v>PE</v>
      </c>
      <c r="D69" s="2" t="str">
        <f>IFERROR(__xludf.DUMMYFUNCTION("""COMPUTED_VALUE"""),"CS4502")</f>
        <v>CS4502</v>
      </c>
      <c r="E69" s="2" t="str">
        <f>IFERROR(__xludf.DUMMYFUNCTION("""COMPUTED_VALUE"""),"19AM502")</f>
        <v>19AM502</v>
      </c>
      <c r="F69" s="7" t="str">
        <f>IFERROR(__xludf.DUMMYFUNCTION("""COMPUTED_VALUE"""),"Genetic Algorithms")</f>
        <v>Genetic Algorithms</v>
      </c>
      <c r="G69" s="2" t="str">
        <f>IFERROR(__xludf.DUMMYFUNCTION("""COMPUTED_VALUE"""),"-")</f>
        <v>-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IFERROR(__xludf.DUMMYFUNCTION("""COMPUTED_VALUE"""),67)</f>
        <v>67</v>
      </c>
      <c r="B70" s="2"/>
      <c r="C70" s="2" t="str">
        <f>IFERROR(__xludf.DUMMYFUNCTION("""COMPUTED_VALUE"""),"PE")</f>
        <v>PE</v>
      </c>
      <c r="D70" s="2" t="str">
        <f>IFERROR(__xludf.DUMMYFUNCTION("""COMPUTED_VALUE"""),"CS4505")</f>
        <v>CS4505</v>
      </c>
      <c r="E70" s="2" t="str">
        <f>IFERROR(__xludf.DUMMYFUNCTION("""COMPUTED_VALUE"""),"19AM505")</f>
        <v>19AM505</v>
      </c>
      <c r="F70" s="7" t="str">
        <f>IFERROR(__xludf.DUMMYFUNCTION("""COMPUTED_VALUE"""),"Statistical Learning Theory")</f>
        <v>Statistical Learning Theory</v>
      </c>
      <c r="G70" s="2" t="str">
        <f>IFERROR(__xludf.DUMMYFUNCTION("""COMPUTED_VALUE"""),"-")</f>
        <v>-</v>
      </c>
      <c r="H70" s="2">
        <f>IFERROR(__xludf.DUMMYFUNCTION("""COMPUTED_VALUE"""),2)</f>
        <v>2</v>
      </c>
      <c r="I70" s="2">
        <f>IFERROR(__xludf.DUMMYFUNCTION("""COMPUTED_VALUE"""),1)</f>
        <v>1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IFERROR(__xludf.DUMMYFUNCTION("""COMPUTED_VALUE"""),"TIP (6 Expts)")</f>
        <v>TIP (6 Expts)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IFERROR(__xludf.DUMMYFUNCTION("""COMPUTED_VALUE"""),68)</f>
        <v>68</v>
      </c>
      <c r="B71" s="2"/>
      <c r="C71" s="2" t="str">
        <f>IFERROR(__xludf.DUMMYFUNCTION("""COMPUTED_VALUE"""),"PE")</f>
        <v>PE</v>
      </c>
      <c r="D71" s="2" t="str">
        <f>IFERROR(__xludf.DUMMYFUNCTION("""COMPUTED_VALUE"""),"CS1415")</f>
        <v>CS1415</v>
      </c>
      <c r="E71" s="2" t="str">
        <f>IFERROR(__xludf.DUMMYFUNCTION("""COMPUTED_VALUE"""),"19CS415")</f>
        <v>19CS415</v>
      </c>
      <c r="F71" s="7" t="str">
        <f>IFERROR(__xludf.DUMMYFUNCTION("""COMPUTED_VALUE"""),"Cryptography")</f>
        <v>Cryptography</v>
      </c>
      <c r="G71" s="2" t="str">
        <f>IFERROR(__xludf.DUMMYFUNCTION("""COMPUTED_VALUE"""),"-")</f>
        <v>-</v>
      </c>
      <c r="H71" s="2">
        <f>IFERROR(__xludf.DUMMYFUNCTION("""COMPUTED_VALUE"""),2)</f>
        <v>2</v>
      </c>
      <c r="I71" s="2">
        <f>IFERROR(__xludf.DUMMYFUNCTION("""COMPUTED_VALUE"""),1)</f>
        <v>1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IFERROR(__xludf.DUMMYFUNCTION("""COMPUTED_VALUE"""),"TIP (6 Expts)")</f>
        <v>TIP (6 Expts)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IFERROR(__xludf.DUMMYFUNCTION("""COMPUTED_VALUE"""),69)</f>
        <v>69</v>
      </c>
      <c r="B72" s="2"/>
      <c r="C72" s="2" t="str">
        <f>IFERROR(__xludf.DUMMYFUNCTION("""COMPUTED_VALUE"""),"PE")</f>
        <v>PE</v>
      </c>
      <c r="D72" s="2" t="str">
        <f>IFERROR(__xludf.DUMMYFUNCTION("""COMPUTED_VALUE"""),"CS3547")</f>
        <v>CS3547</v>
      </c>
      <c r="E72" s="2" t="str">
        <f>IFERROR(__xludf.DUMMYFUNCTION("""COMPUTED_VALUE"""),"19AI547")</f>
        <v>19AI547</v>
      </c>
      <c r="F72" s="7" t="str">
        <f>IFERROR(__xludf.DUMMYFUNCTION("""COMPUTED_VALUE"""),"Blockchain for Business")</f>
        <v>Blockchain for Business</v>
      </c>
      <c r="G72" s="2" t="str">
        <f>IFERROR(__xludf.DUMMYFUNCTION("""COMPUTED_VALUE"""),"19CS301")</f>
        <v>19CS301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IFERROR(__xludf.DUMMYFUNCTION("""COMPUTED_VALUE"""),70)</f>
        <v>70</v>
      </c>
      <c r="B73" s="2"/>
      <c r="C73" s="2" t="str">
        <f>IFERROR(__xludf.DUMMYFUNCTION("""COMPUTED_VALUE"""),"PE")</f>
        <v>PE</v>
      </c>
      <c r="D73" s="2" t="str">
        <f>IFERROR(__xludf.DUMMYFUNCTION("""COMPUTED_VALUE"""),"CS1416")</f>
        <v>CS1416</v>
      </c>
      <c r="E73" s="2" t="str">
        <f>IFERROR(__xludf.DUMMYFUNCTION("""COMPUTED_VALUE"""),"19CS416")</f>
        <v>19CS416</v>
      </c>
      <c r="F73" s="7" t="str">
        <f>IFERROR(__xludf.DUMMYFUNCTION("""COMPUTED_VALUE"""),"Cloud Security")</f>
        <v>Cloud Security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IFERROR(__xludf.DUMMYFUNCTION("""COMPUTED_VALUE"""),71)</f>
        <v>71</v>
      </c>
      <c r="B74" s="2"/>
      <c r="C74" s="2" t="str">
        <f>IFERROR(__xludf.DUMMYFUNCTION("""COMPUTED_VALUE"""),"PE")</f>
        <v>PE</v>
      </c>
      <c r="D74" s="2" t="str">
        <f>IFERROR(__xludf.DUMMYFUNCTION("""COMPUTED_VALUE"""),"CS1417")</f>
        <v>CS1417</v>
      </c>
      <c r="E74" s="2" t="str">
        <f>IFERROR(__xludf.DUMMYFUNCTION("""COMPUTED_VALUE"""),"19CS417")</f>
        <v>19CS417</v>
      </c>
      <c r="F74" s="7" t="str">
        <f>IFERROR(__xludf.DUMMYFUNCTION("""COMPUTED_VALUE"""),"Ethical Hacking Techniques")</f>
        <v>Ethical Hacking Techniques</v>
      </c>
      <c r="G74" s="2" t="str">
        <f>IFERROR(__xludf.DUMMYFUNCTION("""COMPUTED_VALUE"""),"-")</f>
        <v>-</v>
      </c>
      <c r="H74" s="2">
        <f>IFERROR(__xludf.DUMMYFUNCTION("""COMPUTED_VALUE"""),2)</f>
        <v>2</v>
      </c>
      <c r="I74" s="2">
        <f>IFERROR(__xludf.DUMMYFUNCTION("""COMPUTED_VALUE"""),1)</f>
        <v>1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IFERROR(__xludf.DUMMYFUNCTION("""COMPUTED_VALUE"""),72)</f>
        <v>72</v>
      </c>
      <c r="B75" s="2"/>
      <c r="C75" s="2" t="str">
        <f>IFERROR(__xludf.DUMMYFUNCTION("""COMPUTED_VALUE"""),"PE")</f>
        <v>PE</v>
      </c>
      <c r="D75" s="2" t="str">
        <f>IFERROR(__xludf.DUMMYFUNCTION("""COMPUTED_VALUE"""),"CS1418")</f>
        <v>CS1418</v>
      </c>
      <c r="E75" s="2" t="str">
        <f>IFERROR(__xludf.DUMMYFUNCTION("""COMPUTED_VALUE"""),"19CS418")</f>
        <v>19CS418</v>
      </c>
      <c r="F75" s="7" t="str">
        <f>IFERROR(__xludf.DUMMYFUNCTION("""COMPUTED_VALUE"""),"Cyber Law and Compliance")</f>
        <v>Cyber Law and Compliance</v>
      </c>
      <c r="G75" s="2" t="str">
        <f>IFERROR(__xludf.DUMMYFUNCTION("""COMPUTED_VALUE"""),"-")</f>
        <v>-</v>
      </c>
      <c r="H75" s="2">
        <f>IFERROR(__xludf.DUMMYFUNCTION("""COMPUTED_VALUE"""),3)</f>
        <v>3</v>
      </c>
      <c r="I75" s="2">
        <f>IFERROR(__xludf.DUMMYFUNCTION("""COMPUTED_VALUE"""),0)</f>
        <v>0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IFERROR(__xludf.DUMMYFUNCTION("""COMPUTED_VALUE"""),"Theory")</f>
        <v>Theory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IFERROR(__xludf.DUMMYFUNCTION("""COMPUTED_VALUE"""),73)</f>
        <v>73</v>
      </c>
      <c r="B76" s="2"/>
      <c r="C76" s="2" t="str">
        <f>IFERROR(__xludf.DUMMYFUNCTION("""COMPUTED_VALUE"""),"PE")</f>
        <v>PE</v>
      </c>
      <c r="D76" s="2" t="str">
        <f>IFERROR(__xludf.DUMMYFUNCTION("""COMPUTED_VALUE"""),"CS1419")</f>
        <v>CS1419</v>
      </c>
      <c r="E76" s="2" t="str">
        <f>IFERROR(__xludf.DUMMYFUNCTION("""COMPUTED_VALUE"""),"19CS419")</f>
        <v>19CS419</v>
      </c>
      <c r="F76" s="7" t="str">
        <f>IFERROR(__xludf.DUMMYFUNCTION("""COMPUTED_VALUE"""),"Digital Forensics and Digital Investigations")</f>
        <v>Digital Forensics and Digital Investigations</v>
      </c>
      <c r="G76" s="2" t="str">
        <f>IFERROR(__xludf.DUMMYFUNCTION("""COMPUTED_VALUE"""),"-")</f>
        <v>-</v>
      </c>
      <c r="H76" s="2">
        <f>IFERROR(__xludf.DUMMYFUNCTION("""COMPUTED_VALUE"""),2)</f>
        <v>2</v>
      </c>
      <c r="I76" s="2">
        <f>IFERROR(__xludf.DUMMYFUNCTION("""COMPUTED_VALUE"""),1)</f>
        <v>1</v>
      </c>
      <c r="J76" s="2">
        <f>IFERROR(__xludf.DUMMYFUNCTION("""COMPUTED_VALUE"""),3)</f>
        <v>3</v>
      </c>
      <c r="K76" s="2" t="str">
        <f>IFERROR(__xludf.DUMMYFUNCTION("""COMPUTED_VALUE"""),"CGPA")</f>
        <v>CGPA</v>
      </c>
      <c r="L76" s="2" t="str">
        <f>IFERROR(__xludf.DUMMYFUNCTION("""COMPUTED_VALUE"""),"TIP (6 Expts)")</f>
        <v>TIP (6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IFERROR(__xludf.DUMMYFUNCTION("""COMPUTED_VALUE"""),74)</f>
        <v>74</v>
      </c>
      <c r="B77" s="2"/>
      <c r="C77" s="2" t="str">
        <f>IFERROR(__xludf.DUMMYFUNCTION("""COMPUTED_VALUE"""),"PE")</f>
        <v>PE</v>
      </c>
      <c r="D77" s="2" t="str">
        <f>IFERROR(__xludf.DUMMYFUNCTION("""COMPUTED_VALUE"""),"CS1547")</f>
        <v>CS1547</v>
      </c>
      <c r="E77" s="2" t="str">
        <f>IFERROR(__xludf.DUMMYFUNCTION("""COMPUTED_VALUE"""),"19CS547")</f>
        <v>19CS547</v>
      </c>
      <c r="F77" s="7" t="str">
        <f>IFERROR(__xludf.DUMMYFUNCTION("""COMPUTED_VALUE"""),"Fundamentals of Cryptocurrency")</f>
        <v>Fundamentals of Cryptocurrency</v>
      </c>
      <c r="G77" s="2" t="str">
        <f>IFERROR(__xludf.DUMMYFUNCTION("""COMPUTED_VALUE"""),"-")</f>
        <v>-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IFERROR(__xludf.DUMMYFUNCTION("""COMPUTED_VALUE"""),75)</f>
        <v>75</v>
      </c>
      <c r="B78" s="2"/>
      <c r="C78" s="2" t="str">
        <f>IFERROR(__xludf.DUMMYFUNCTION("""COMPUTED_VALUE"""),"PE")</f>
        <v>PE</v>
      </c>
      <c r="D78" s="2" t="str">
        <f>IFERROR(__xludf.DUMMYFUNCTION("""COMPUTED_VALUE"""),"CS1533")</f>
        <v>CS1533</v>
      </c>
      <c r="E78" s="2" t="str">
        <f>IFERROR(__xludf.DUMMYFUNCTION("""COMPUTED_VALUE"""),"19CS533")</f>
        <v>19CS533</v>
      </c>
      <c r="F78" s="7" t="str">
        <f>IFERROR(__xludf.DUMMYFUNCTION("""COMPUTED_VALUE"""),"Information Security Intelligence and Analytics using Big Data")</f>
        <v>Information Security Intelligence and Analytics using Big Data</v>
      </c>
      <c r="G78" s="2" t="str">
        <f>IFERROR(__xludf.DUMMYFUNCTION("""COMPUTED_VALUE"""),"-")</f>
        <v>-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IFERROR(__xludf.DUMMYFUNCTION("""COMPUTED_VALUE"""),76)</f>
        <v>76</v>
      </c>
      <c r="B79" s="2"/>
      <c r="C79" s="2" t="str">
        <f>IFERROR(__xludf.DUMMYFUNCTION("""COMPUTED_VALUE"""),"PE")</f>
        <v>PE</v>
      </c>
      <c r="D79" s="2" t="str">
        <f>IFERROR(__xludf.DUMMYFUNCTION("""COMPUTED_VALUE"""),"CS1534")</f>
        <v>CS1534</v>
      </c>
      <c r="E79" s="2" t="str">
        <f>IFERROR(__xludf.DUMMYFUNCTION("""COMPUTED_VALUE"""),"19CS534")</f>
        <v>19CS534</v>
      </c>
      <c r="F79" s="7" t="str">
        <f>IFERROR(__xludf.DUMMYFUNCTION("""COMPUTED_VALUE"""),"Prevention Methodology for Cybersecurity")</f>
        <v>Prevention Methodology for Cybersecurity</v>
      </c>
      <c r="G79" s="2" t="str">
        <f>IFERROR(__xludf.DUMMYFUNCTION("""COMPUTED_VALUE"""),"-")</f>
        <v>-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IFERROR(__xludf.DUMMYFUNCTION("""COMPUTED_VALUE"""),77)</f>
        <v>77</v>
      </c>
      <c r="B80" s="2"/>
      <c r="C80" s="2" t="str">
        <f>IFERROR(__xludf.DUMMYFUNCTION("""COMPUTED_VALUE"""),"PE")</f>
        <v>PE</v>
      </c>
      <c r="D80" s="2" t="str">
        <f>IFERROR(__xludf.DUMMYFUNCTION("""COMPUTED_VALUE"""),"CS1535")</f>
        <v>CS1535</v>
      </c>
      <c r="E80" s="2" t="str">
        <f>IFERROR(__xludf.DUMMYFUNCTION("""COMPUTED_VALUE"""),"19CS535")</f>
        <v>19CS535</v>
      </c>
      <c r="F80" s="7" t="str">
        <f>IFERROR(__xludf.DUMMYFUNCTION("""COMPUTED_VALUE"""),"Trusted Network Systems")</f>
        <v>Trusted Network Systems</v>
      </c>
      <c r="G80" s="2" t="str">
        <f>IFERROR(__xludf.DUMMYFUNCTION("""COMPUTED_VALUE"""),"-")</f>
        <v>-</v>
      </c>
      <c r="H80" s="2">
        <f>IFERROR(__xludf.DUMMYFUNCTION("""COMPUTED_VALUE"""),3)</f>
        <v>3</v>
      </c>
      <c r="I80" s="2">
        <f>IFERROR(__xludf.DUMMYFUNCTION("""COMPUTED_VALUE"""),0)</f>
        <v>0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IFERROR(__xludf.DUMMYFUNCTION("""COMPUTED_VALUE"""),"Theory")</f>
        <v>Theory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IFERROR(__xludf.DUMMYFUNCTION("""COMPUTED_VALUE"""),78)</f>
        <v>78</v>
      </c>
      <c r="B81" s="2"/>
      <c r="C81" s="2" t="str">
        <f>IFERROR(__xludf.DUMMYFUNCTION("""COMPUTED_VALUE"""),"PE")</f>
        <v>PE</v>
      </c>
      <c r="D81" s="2" t="str">
        <f>IFERROR(__xludf.DUMMYFUNCTION("""COMPUTED_VALUE"""),"CS3526")</f>
        <v>CS3526</v>
      </c>
      <c r="E81" s="2" t="str">
        <f>IFERROR(__xludf.DUMMYFUNCTION("""COMPUTED_VALUE"""),"19AI526")</f>
        <v>19AI526</v>
      </c>
      <c r="F81" s="7" t="str">
        <f>IFERROR(__xludf.DUMMYFUNCTION("""COMPUTED_VALUE"""),"Information Security and Access Control")</f>
        <v>Information Security and Access Control</v>
      </c>
      <c r="G81" s="2" t="str">
        <f>IFERROR(__xludf.DUMMYFUNCTION("""COMPUTED_VALUE"""),"19AI527")</f>
        <v>19AI527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IFERROR(__xludf.DUMMYFUNCTION("""COMPUTED_VALUE"""),79)</f>
        <v>79</v>
      </c>
      <c r="B82" s="2"/>
      <c r="C82" s="2" t="str">
        <f>IFERROR(__xludf.DUMMYFUNCTION("""COMPUTED_VALUE"""),"PE")</f>
        <v>PE</v>
      </c>
      <c r="D82" s="2" t="str">
        <f>IFERROR(__xludf.DUMMYFUNCTION("""COMPUTED_VALUE"""),"CS1536")</f>
        <v>CS1536</v>
      </c>
      <c r="E82" s="2" t="str">
        <f>IFERROR(__xludf.DUMMYFUNCTION("""COMPUTED_VALUE"""),"19CS536")</f>
        <v>19CS536</v>
      </c>
      <c r="F82" s="7" t="str">
        <f>IFERROR(__xludf.DUMMYFUNCTION("""COMPUTED_VALUE"""),"Firewalls and Intrusion Detection System")</f>
        <v>Firewalls and Intrusion Detection System</v>
      </c>
      <c r="G82" s="2" t="str">
        <f>IFERROR(__xludf.DUMMYFUNCTION("""COMPUTED_VALUE"""),"-")</f>
        <v>-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IFERROR(__xludf.DUMMYFUNCTION("""COMPUTED_VALUE"""),80)</f>
        <v>80</v>
      </c>
      <c r="B83" s="2"/>
      <c r="C83" s="2" t="str">
        <f>IFERROR(__xludf.DUMMYFUNCTION("""COMPUTED_VALUE"""),"PE")</f>
        <v>PE</v>
      </c>
      <c r="D83" s="2" t="str">
        <f>IFERROR(__xludf.DUMMYFUNCTION("""COMPUTED_VALUE"""),"CS3527")</f>
        <v>CS3527</v>
      </c>
      <c r="E83" s="2" t="str">
        <f>IFERROR(__xludf.DUMMYFUNCTION("""COMPUTED_VALUE"""),"19AI527")</f>
        <v>19AI527</v>
      </c>
      <c r="F83" s="7" t="str">
        <f>IFERROR(__xludf.DUMMYFUNCTION("""COMPUTED_VALUE"""),"Security Assessment and Risk Analysis")</f>
        <v>Security Assessment and Risk Analysis</v>
      </c>
      <c r="G83" s="2" t="str">
        <f>IFERROR(__xludf.DUMMYFUNCTION("""COMPUTED_VALUE"""),"-")</f>
        <v>-</v>
      </c>
      <c r="H83" s="2">
        <f>IFERROR(__xludf.DUMMYFUNCTION("""COMPUTED_VALUE"""),3)</f>
        <v>3</v>
      </c>
      <c r="I83" s="2">
        <f>IFERROR(__xludf.DUMMYFUNCTION("""COMPUTED_VALUE"""),1)</f>
        <v>1</v>
      </c>
      <c r="J83" s="2">
        <f>IFERROR(__xludf.DUMMYFUNCTION("""COMPUTED_VALUE"""),4)</f>
        <v>4</v>
      </c>
      <c r="K83" s="2" t="str">
        <f>IFERROR(__xludf.DUMMYFUNCTION("""COMPUTED_VALUE"""),"CGPA")</f>
        <v>CGPA</v>
      </c>
      <c r="L83" s="2" t="str">
        <f>IFERROR(__xludf.DUMMYFUNCTION("""COMPUTED_VALUE"""),"TIP (6 Expts)")</f>
        <v>TIP (6 Expts)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IFERROR(__xludf.DUMMYFUNCTION("""COMPUTED_VALUE"""),81)</f>
        <v>81</v>
      </c>
      <c r="B84" s="2"/>
      <c r="C84" s="2" t="str">
        <f>IFERROR(__xludf.DUMMYFUNCTION("""COMPUTED_VALUE"""),"PE")</f>
        <v>PE</v>
      </c>
      <c r="D84" s="2" t="str">
        <f>IFERROR(__xludf.DUMMYFUNCTION("""COMPUTED_VALUE"""),"CS3536")</f>
        <v>CS3536</v>
      </c>
      <c r="E84" s="2" t="str">
        <f>IFERROR(__xludf.DUMMYFUNCTION("""COMPUTED_VALUE"""),"19AI536")</f>
        <v>19AI536</v>
      </c>
      <c r="F84" s="7" t="str">
        <f>IFERROR(__xludf.DUMMYFUNCTION("""COMPUTED_VALUE"""),"Steganography and Digital Watermarking")</f>
        <v>Steganography and Digital Watermarking</v>
      </c>
      <c r="G84" s="2" t="str">
        <f>IFERROR(__xludf.DUMMYFUNCTION("""COMPUTED_VALUE"""),"-")</f>
        <v>-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IFERROR(__xludf.DUMMYFUNCTION("""COMPUTED_VALUE"""),82)</f>
        <v>82</v>
      </c>
      <c r="B85" s="2"/>
      <c r="C85" s="2" t="str">
        <f>IFERROR(__xludf.DUMMYFUNCTION("""COMPUTED_VALUE"""),"PE")</f>
        <v>PE</v>
      </c>
      <c r="D85" s="2" t="str">
        <f>IFERROR(__xludf.DUMMYFUNCTION("""COMPUTED_VALUE"""),"CS1537")</f>
        <v>CS1537</v>
      </c>
      <c r="E85" s="2" t="str">
        <f>IFERROR(__xludf.DUMMYFUNCTION("""COMPUTED_VALUE"""),"19CS537")</f>
        <v>19CS537</v>
      </c>
      <c r="F85" s="7" t="str">
        <f>IFERROR(__xludf.DUMMYFUNCTION("""COMPUTED_VALUE"""),"Secure Software Engineering")</f>
        <v>Secure Software Engineering</v>
      </c>
      <c r="G85" s="2" t="str">
        <f>IFERROR(__xludf.DUMMYFUNCTION("""COMPUTED_VALUE"""),"-")</f>
        <v>-</v>
      </c>
      <c r="H85" s="2">
        <f>IFERROR(__xludf.DUMMYFUNCTION("""COMPUTED_VALUE"""),2)</f>
        <v>2</v>
      </c>
      <c r="I85" s="2">
        <f>IFERROR(__xludf.DUMMYFUNCTION("""COMPUTED_VALUE"""),1)</f>
        <v>1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IFERROR(__xludf.DUMMYFUNCTION("""COMPUTED_VALUE"""),"TIP (6 Expts)")</f>
        <v>TIP (6 Expts)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IFERROR(__xludf.DUMMYFUNCTION("""COMPUTED_VALUE"""),83)</f>
        <v>83</v>
      </c>
      <c r="B86" s="2"/>
      <c r="C86" s="2" t="str">
        <f>IFERROR(__xludf.DUMMYFUNCTION("""COMPUTED_VALUE"""),"PE")</f>
        <v>PE</v>
      </c>
      <c r="D86" s="2" t="str">
        <f>IFERROR(__xludf.DUMMYFUNCTION("""COMPUTED_VALUE"""),"CS1538")</f>
        <v>CS1538</v>
      </c>
      <c r="E86" s="2" t="str">
        <f>IFERROR(__xludf.DUMMYFUNCTION("""COMPUTED_VALUE"""),"19CS538")</f>
        <v>19CS538</v>
      </c>
      <c r="F86" s="7" t="str">
        <f>IFERROR(__xludf.DUMMYFUNCTION("""COMPUTED_VALUE"""),"System Security")</f>
        <v>System Security</v>
      </c>
      <c r="G86" s="2" t="str">
        <f>IFERROR(__xludf.DUMMYFUNCTION("""COMPUTED_VALUE"""),"-")</f>
        <v>-</v>
      </c>
      <c r="H86" s="2">
        <f>IFERROR(__xludf.DUMMYFUNCTION("""COMPUTED_VALUE"""),3)</f>
        <v>3</v>
      </c>
      <c r="I86" s="2">
        <f>IFERROR(__xludf.DUMMYFUNCTION("""COMPUTED_VALUE"""),0)</f>
        <v>0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IFERROR(__xludf.DUMMYFUNCTION("""COMPUTED_VALUE"""),"Theory")</f>
        <v>Theory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IFERROR(__xludf.DUMMYFUNCTION("""COMPUTED_VALUE"""),84)</f>
        <v>84</v>
      </c>
      <c r="B87" s="2"/>
      <c r="C87" s="2" t="str">
        <f>IFERROR(__xludf.DUMMYFUNCTION("""COMPUTED_VALUE"""),"PE")</f>
        <v>PE</v>
      </c>
      <c r="D87" s="2" t="str">
        <f>IFERROR(__xludf.DUMMYFUNCTION("""COMPUTED_VALUE"""),"CS1565")</f>
        <v>CS1565</v>
      </c>
      <c r="E87" s="2" t="str">
        <f>IFERROR(__xludf.DUMMYFUNCTION("""COMPUTED_VALUE"""),"19CS565")</f>
        <v>19CS565</v>
      </c>
      <c r="F87" s="7" t="str">
        <f>IFERROR(__xludf.DUMMYFUNCTION("""COMPUTED_VALUE"""),"Robotic Process Automation")</f>
        <v>Robotic Process Automation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IFERROR(__xludf.DUMMYFUNCTION("""COMPUTED_VALUE"""),85)</f>
        <v>85</v>
      </c>
      <c r="B88" s="2"/>
      <c r="C88" s="2" t="str">
        <f>IFERROR(__xludf.DUMMYFUNCTION("""COMPUTED_VALUE"""),"PE")</f>
        <v>PE</v>
      </c>
      <c r="D88" s="2" t="str">
        <f>IFERROR(__xludf.DUMMYFUNCTION("""COMPUTED_VALUE"""),"CS1566")</f>
        <v>CS1566</v>
      </c>
      <c r="E88" s="2" t="str">
        <f>IFERROR(__xludf.DUMMYFUNCTION("""COMPUTED_VALUE"""),"19CS566")</f>
        <v>19CS566</v>
      </c>
      <c r="F88" s="7" t="str">
        <f>IFERROR(__xludf.DUMMYFUNCTION("""COMPUTED_VALUE"""),"Software Project Management and Version Control")</f>
        <v>Software Project Management and Version Control</v>
      </c>
      <c r="G88" s="2" t="str">
        <f>IFERROR(__xludf.DUMMYFUNCTION("""COMPUTED_VALUE"""),"-")</f>
        <v>-</v>
      </c>
      <c r="H88" s="2">
        <f>IFERROR(__xludf.DUMMYFUNCTION("""COMPUTED_VALUE"""),3)</f>
        <v>3</v>
      </c>
      <c r="I88" s="2">
        <f>IFERROR(__xludf.DUMMYFUNCTION("""COMPUTED_VALUE"""),0)</f>
        <v>0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IFERROR(__xludf.DUMMYFUNCTION("""COMPUTED_VALUE"""),"Theory")</f>
        <v>Theory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IFERROR(__xludf.DUMMYFUNCTION("""COMPUTED_VALUE"""),86)</f>
        <v>86</v>
      </c>
      <c r="B89" s="2"/>
      <c r="C89" s="2" t="str">
        <f>IFERROR(__xludf.DUMMYFUNCTION("""COMPUTED_VALUE"""),"PE")</f>
        <v>PE</v>
      </c>
      <c r="D89" s="2" t="str">
        <f>IFERROR(__xludf.DUMMYFUNCTION("""COMPUTED_VALUE"""),"CS1579")</f>
        <v>CS1579</v>
      </c>
      <c r="E89" s="2" t="str">
        <f>IFERROR(__xludf.DUMMYFUNCTION("""COMPUTED_VALUE"""),"19CS579")</f>
        <v>19CS579</v>
      </c>
      <c r="F89" s="7" t="str">
        <f>IFERROR(__xludf.DUMMYFUNCTION("""COMPUTED_VALUE"""),"Generative AI Application Development")</f>
        <v>Generative AI Application Development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IFERROR(__xludf.DUMMYFUNCTION("""COMPUTED_VALUE"""),87)</f>
        <v>87</v>
      </c>
      <c r="B90" s="2"/>
      <c r="C90" s="2" t="str">
        <f>IFERROR(__xludf.DUMMYFUNCTION("""COMPUTED_VALUE"""),"PE")</f>
        <v>PE</v>
      </c>
      <c r="D90" s="2" t="str">
        <f>IFERROR(__xludf.DUMMYFUNCTION("""COMPUTED_VALUE"""),"CS1568")</f>
        <v>CS1568</v>
      </c>
      <c r="E90" s="2" t="str">
        <f>IFERROR(__xludf.DUMMYFUNCTION("""COMPUTED_VALUE"""),"19CS568")</f>
        <v>19CS568</v>
      </c>
      <c r="F90" s="7" t="str">
        <f>IFERROR(__xludf.DUMMYFUNCTION("""COMPUTED_VALUE"""),"Fine Tuning Large Language Models")</f>
        <v>Fine Tuning Large Language Models</v>
      </c>
      <c r="G90" s="2" t="str">
        <f>IFERROR(__xludf.DUMMYFUNCTION("""COMPUTED_VALUE"""),"-")</f>
        <v>-</v>
      </c>
      <c r="H90" s="2">
        <f>IFERROR(__xludf.DUMMYFUNCTION("""COMPUTED_VALUE"""),3)</f>
        <v>3</v>
      </c>
      <c r="I90" s="2">
        <f>IFERROR(__xludf.DUMMYFUNCTION("""COMPUTED_VALUE"""),0)</f>
        <v>0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IFERROR(__xludf.DUMMYFUNCTION("""COMPUTED_VALUE"""),"Theory")</f>
        <v>Theory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IFERROR(__xludf.DUMMYFUNCTION("""COMPUTED_VALUE"""),88)</f>
        <v>88</v>
      </c>
      <c r="B91" s="2"/>
      <c r="C91" s="2" t="str">
        <f>IFERROR(__xludf.DUMMYFUNCTION("""COMPUTED_VALUE"""),"PE")</f>
        <v>PE</v>
      </c>
      <c r="D91" s="2" t="str">
        <f>IFERROR(__xludf.DUMMYFUNCTION("""COMPUTED_VALUE"""),"CS1569")</f>
        <v>CS1569</v>
      </c>
      <c r="E91" s="2" t="str">
        <f>IFERROR(__xludf.DUMMYFUNCTION("""COMPUTED_VALUE"""),"19CS569")</f>
        <v>19CS569</v>
      </c>
      <c r="F91" s="7" t="str">
        <f>IFERROR(__xludf.DUMMYFUNCTION("""COMPUTED_VALUE"""),"Applied Data Science")</f>
        <v>Applied Data Science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IFERROR(__xludf.DUMMYFUNCTION("""COMPUTED_VALUE"""),89)</f>
        <v>89</v>
      </c>
      <c r="B92" s="2"/>
      <c r="C92" s="2" t="str">
        <f>IFERROR(__xludf.DUMMYFUNCTION("""COMPUTED_VALUE"""),"PE")</f>
        <v>PE</v>
      </c>
      <c r="D92" s="2" t="str">
        <f>IFERROR(__xludf.DUMMYFUNCTION("""COMPUTED_VALUE"""),"CS1570")</f>
        <v>CS1570</v>
      </c>
      <c r="E92" s="2" t="str">
        <f>IFERROR(__xludf.DUMMYFUNCTION("""COMPUTED_VALUE"""),"19CS570")</f>
        <v>19CS570</v>
      </c>
      <c r="F92" s="7" t="str">
        <f>IFERROR(__xludf.DUMMYFUNCTION("""COMPUTED_VALUE"""),"Entrepreneurship and Small Business Development")</f>
        <v>Entrepreneurship and Small Business Development</v>
      </c>
      <c r="G92" s="2" t="str">
        <f>IFERROR(__xludf.DUMMYFUNCTION("""COMPUTED_VALUE"""),"-")</f>
        <v>-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IFERROR(__xludf.DUMMYFUNCTION("""COMPUTED_VALUE"""),90)</f>
        <v>90</v>
      </c>
      <c r="B93" s="2"/>
      <c r="C93" s="2" t="str">
        <f>IFERROR(__xludf.DUMMYFUNCTION("""COMPUTED_VALUE"""),"PE")</f>
        <v>PE</v>
      </c>
      <c r="D93" s="2" t="str">
        <f>IFERROR(__xludf.DUMMYFUNCTION("""COMPUTED_VALUE"""),"CS1571")</f>
        <v>CS1571</v>
      </c>
      <c r="E93" s="2" t="str">
        <f>IFERROR(__xludf.DUMMYFUNCTION("""COMPUTED_VALUE"""),"19CS571")</f>
        <v>19CS571</v>
      </c>
      <c r="F93" s="7" t="str">
        <f>IFERROR(__xludf.DUMMYFUNCTION("""COMPUTED_VALUE"""),"Software Development and Operations")</f>
        <v>Software Development and Operations</v>
      </c>
      <c r="G93" s="2" t="str">
        <f>IFERROR(__xludf.DUMMYFUNCTION("""COMPUTED_VALUE"""),"-")</f>
        <v>-</v>
      </c>
      <c r="H93" s="2">
        <f>IFERROR(__xludf.DUMMYFUNCTION("""COMPUTED_VALUE"""),3)</f>
        <v>3</v>
      </c>
      <c r="I93" s="2">
        <f>IFERROR(__xludf.DUMMYFUNCTION("""COMPUTED_VALUE"""),0)</f>
        <v>0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IFERROR(__xludf.DUMMYFUNCTION("""COMPUTED_VALUE"""),"Theory")</f>
        <v>Theory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IFERROR(__xludf.DUMMYFUNCTION("""COMPUTED_VALUE"""),91)</f>
        <v>91</v>
      </c>
      <c r="B94" s="2"/>
      <c r="C94" s="2" t="str">
        <f>IFERROR(__xludf.DUMMYFUNCTION("""COMPUTED_VALUE"""),"PE")</f>
        <v>PE</v>
      </c>
      <c r="D94" s="2" t="str">
        <f>IFERROR(__xludf.DUMMYFUNCTION("""COMPUTED_VALUE"""),"CS1572")</f>
        <v>CS1572</v>
      </c>
      <c r="E94" s="2" t="str">
        <f>IFERROR(__xludf.DUMMYFUNCTION("""COMPUTED_VALUE"""),"19CS572")</f>
        <v>19CS572</v>
      </c>
      <c r="F94" s="7" t="str">
        <f>IFERROR(__xludf.DUMMYFUNCTION("""COMPUTED_VALUE"""),"Serverless App Development")</f>
        <v>Serverless App Development</v>
      </c>
      <c r="G94" s="2" t="str">
        <f>IFERROR(__xludf.DUMMYFUNCTION("""COMPUTED_VALUE"""),"-")</f>
        <v>-</v>
      </c>
      <c r="H94" s="2">
        <f>IFERROR(__xludf.DUMMYFUNCTION("""COMPUTED_VALUE"""),3)</f>
        <v>3</v>
      </c>
      <c r="I94" s="2">
        <f>IFERROR(__xludf.DUMMYFUNCTION("""COMPUTED_VALUE"""),0)</f>
        <v>0</v>
      </c>
      <c r="J94" s="2">
        <f>IFERROR(__xludf.DUMMYFUNCTION("""COMPUTED_VALUE"""),3)</f>
        <v>3</v>
      </c>
      <c r="K94" s="2" t="str">
        <f>IFERROR(__xludf.DUMMYFUNCTION("""COMPUTED_VALUE"""),"CGPA")</f>
        <v>CGPA</v>
      </c>
      <c r="L94" s="2" t="str">
        <f>IFERROR(__xludf.DUMMYFUNCTION("""COMPUTED_VALUE"""),"Theory")</f>
        <v>Theory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IFERROR(__xludf.DUMMYFUNCTION("""COMPUTED_VALUE"""),92)</f>
        <v>92</v>
      </c>
      <c r="B95" s="2"/>
      <c r="C95" s="2" t="str">
        <f>IFERROR(__xludf.DUMMYFUNCTION("""COMPUTED_VALUE"""),"PE")</f>
        <v>PE</v>
      </c>
      <c r="D95" s="2" t="str">
        <f>IFERROR(__xludf.DUMMYFUNCTION("""COMPUTED_VALUE"""),"CS1573")</f>
        <v>CS1573</v>
      </c>
      <c r="E95" s="2" t="str">
        <f>IFERROR(__xludf.DUMMYFUNCTION("""COMPUTED_VALUE"""),"19CS573")</f>
        <v>19CS573</v>
      </c>
      <c r="F95" s="7" t="str">
        <f>IFERROR(__xludf.DUMMYFUNCTION("""COMPUTED_VALUE"""),"Enterprise Cloud Architecture")</f>
        <v>Enterprise Cloud Architecture</v>
      </c>
      <c r="G95" s="2" t="str">
        <f>IFERROR(__xludf.DUMMYFUNCTION("""COMPUTED_VALUE"""),"-")</f>
        <v>-</v>
      </c>
      <c r="H95" s="2">
        <f>IFERROR(__xludf.DUMMYFUNCTION("""COMPUTED_VALUE"""),3)</f>
        <v>3</v>
      </c>
      <c r="I95" s="2">
        <f>IFERROR(__xludf.DUMMYFUNCTION("""COMPUTED_VALUE"""),0)</f>
        <v>0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IFERROR(__xludf.DUMMYFUNCTION("""COMPUTED_VALUE"""),"Theory")</f>
        <v>Theory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IFERROR(__xludf.DUMMYFUNCTION("""COMPUTED_VALUE"""),93)</f>
        <v>93</v>
      </c>
      <c r="B96" s="2"/>
      <c r="C96" s="2" t="str">
        <f>IFERROR(__xludf.DUMMYFUNCTION("""COMPUTED_VALUE"""),"PE")</f>
        <v>PE</v>
      </c>
      <c r="D96" s="2" t="str">
        <f>IFERROR(__xludf.DUMMYFUNCTION("""COMPUTED_VALUE"""),"CS1574")</f>
        <v>CS1574</v>
      </c>
      <c r="E96" s="2" t="str">
        <f>IFERROR(__xludf.DUMMYFUNCTION("""COMPUTED_VALUE"""),"19CS574")</f>
        <v>19CS574</v>
      </c>
      <c r="F96" s="7" t="str">
        <f>IFERROR(__xludf.DUMMYFUNCTION("""COMPUTED_VALUE"""),"Advanced Class Design and Object-Oriented Techniques")</f>
        <v>Advanced Class Design and Object-Oriented Techniques</v>
      </c>
      <c r="G96" s="2" t="str">
        <f>IFERROR(__xludf.DUMMYFUNCTION("""COMPUTED_VALUE"""),"-")</f>
        <v>-</v>
      </c>
      <c r="H96" s="2">
        <f>IFERROR(__xludf.DUMMYFUNCTION("""COMPUTED_VALUE"""),3)</f>
        <v>3</v>
      </c>
      <c r="I96" s="2">
        <f>IFERROR(__xludf.DUMMYFUNCTION("""COMPUTED_VALUE"""),0)</f>
        <v>0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IFERROR(__xludf.DUMMYFUNCTION("""COMPUTED_VALUE"""),"Theory")</f>
        <v>Theory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IFERROR(__xludf.DUMMYFUNCTION("""COMPUTED_VALUE"""),94)</f>
        <v>94</v>
      </c>
      <c r="B97" s="2"/>
      <c r="C97" s="2" t="str">
        <f>IFERROR(__xludf.DUMMYFUNCTION("""COMPUTED_VALUE"""),"PE")</f>
        <v>PE</v>
      </c>
      <c r="D97" s="2" t="str">
        <f>IFERROR(__xludf.DUMMYFUNCTION("""COMPUTED_VALUE"""),"CS1575")</f>
        <v>CS1575</v>
      </c>
      <c r="E97" s="2" t="str">
        <f>IFERROR(__xludf.DUMMYFUNCTION("""COMPUTED_VALUE"""),"19CS575")</f>
        <v>19CS575</v>
      </c>
      <c r="F97" s="7" t="str">
        <f>IFERROR(__xludf.DUMMYFUNCTION("""COMPUTED_VALUE"""),"Low-Code App Development")</f>
        <v>Low-Code App Development</v>
      </c>
      <c r="G97" s="2" t="str">
        <f>IFERROR(__xludf.DUMMYFUNCTION("""COMPUTED_VALUE"""),"-")</f>
        <v>-</v>
      </c>
      <c r="H97" s="2">
        <f>IFERROR(__xludf.DUMMYFUNCTION("""COMPUTED_VALUE"""),3)</f>
        <v>3</v>
      </c>
      <c r="I97" s="2">
        <f>IFERROR(__xludf.DUMMYFUNCTION("""COMPUTED_VALUE"""),0)</f>
        <v>0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IFERROR(__xludf.DUMMYFUNCTION("""COMPUTED_VALUE"""),"Theory")</f>
        <v>Theory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IFERROR(__xludf.DUMMYFUNCTION("""COMPUTED_VALUE"""),95)</f>
        <v>95</v>
      </c>
      <c r="B98" s="2"/>
      <c r="C98" s="2" t="str">
        <f>IFERROR(__xludf.DUMMYFUNCTION("""COMPUTED_VALUE"""),"PE")</f>
        <v>PE</v>
      </c>
      <c r="D98" s="2" t="str">
        <f>IFERROR(__xludf.DUMMYFUNCTION("""COMPUTED_VALUE"""),"CS1577")</f>
        <v>CS1577</v>
      </c>
      <c r="E98" s="2" t="str">
        <f>IFERROR(__xludf.DUMMYFUNCTION("""COMPUTED_VALUE"""),"19CS577")</f>
        <v>19CS577</v>
      </c>
      <c r="F98" s="7" t="str">
        <f>IFERROR(__xludf.DUMMYFUNCTION("""COMPUTED_VALUE"""),"Cloud System Administration")</f>
        <v>Cloud System Administration</v>
      </c>
      <c r="G98" s="2" t="str">
        <f>IFERROR(__xludf.DUMMYFUNCTION("""COMPUTED_VALUE"""),"-")</f>
        <v>-</v>
      </c>
      <c r="H98" s="2">
        <f>IFERROR(__xludf.DUMMYFUNCTION("""COMPUTED_VALUE"""),3)</f>
        <v>3</v>
      </c>
      <c r="I98" s="2">
        <f>IFERROR(__xludf.DUMMYFUNCTION("""COMPUTED_VALUE"""),0)</f>
        <v>0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IFERROR(__xludf.DUMMYFUNCTION("""COMPUTED_VALUE"""),"Theory")</f>
        <v>Theory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IFERROR(__xludf.DUMMYFUNCTION("""COMPUTED_VALUE"""),96)</f>
        <v>96</v>
      </c>
      <c r="B99" s="2"/>
      <c r="C99" s="2" t="str">
        <f>IFERROR(__xludf.DUMMYFUNCTION("""COMPUTED_VALUE"""),"PE")</f>
        <v>PE</v>
      </c>
      <c r="D99" s="2" t="str">
        <f>IFERROR(__xludf.DUMMYFUNCTION("""COMPUTED_VALUE"""),"CS1578")</f>
        <v>CS1578</v>
      </c>
      <c r="E99" s="2" t="str">
        <f>IFERROR(__xludf.DUMMYFUNCTION("""COMPUTED_VALUE"""),"19CS578")</f>
        <v>19CS578</v>
      </c>
      <c r="F99" s="7" t="str">
        <f>IFERROR(__xludf.DUMMYFUNCTION("""COMPUTED_VALUE"""),"Machine Learning Operations")</f>
        <v>Machine Learning Operations</v>
      </c>
      <c r="G99" s="2" t="str">
        <f>IFERROR(__xludf.DUMMYFUNCTION("""COMPUTED_VALUE"""),"-")</f>
        <v>-</v>
      </c>
      <c r="H99" s="2">
        <f>IFERROR(__xludf.DUMMYFUNCTION("""COMPUTED_VALUE"""),3)</f>
        <v>3</v>
      </c>
      <c r="I99" s="2">
        <f>IFERROR(__xludf.DUMMYFUNCTION("""COMPUTED_VALUE"""),0)</f>
        <v>0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IFERROR(__xludf.DUMMYFUNCTION("""COMPUTED_VALUE"""),"Theory")</f>
        <v>Theory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IFERROR(__xludf.DUMMYFUNCTION("""COMPUTED_VALUE"""),97)</f>
        <v>97</v>
      </c>
      <c r="B100" s="2"/>
      <c r="C100" s="2" t="str">
        <f>IFERROR(__xludf.DUMMYFUNCTION("""COMPUTED_VALUE"""),"PE")</f>
        <v>PE</v>
      </c>
      <c r="D100" s="2" t="str">
        <f>IFERROR(__xludf.DUMMYFUNCTION("""COMPUTED_VALUE"""),"CS3533")</f>
        <v>CS3533</v>
      </c>
      <c r="E100" s="2" t="str">
        <f>IFERROR(__xludf.DUMMYFUNCTION("""COMPUTED_VALUE"""),"19AI533")</f>
        <v>19AI533</v>
      </c>
      <c r="F100" s="7" t="str">
        <f>IFERROR(__xludf.DUMMYFUNCTION("""COMPUTED_VALUE"""),"Introduction to Robotics")</f>
        <v>Introduction to Robotics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IFERROR(__xludf.DUMMYFUNCTION("""COMPUTED_VALUE"""),98)</f>
        <v>98</v>
      </c>
      <c r="B101" s="2"/>
      <c r="C101" s="2" t="str">
        <f>IFERROR(__xludf.DUMMYFUNCTION("""COMPUTED_VALUE"""),"PE")</f>
        <v>PE</v>
      </c>
      <c r="D101" s="2" t="str">
        <f>IFERROR(__xludf.DUMMYFUNCTION("""COMPUTED_VALUE"""),"CS3534")</f>
        <v>CS3534</v>
      </c>
      <c r="E101" s="2" t="str">
        <f>IFERROR(__xludf.DUMMYFUNCTION("""COMPUTED_VALUE"""),"19AI534")</f>
        <v>19AI534</v>
      </c>
      <c r="F101" s="7" t="str">
        <f>IFERROR(__xludf.DUMMYFUNCTION("""COMPUTED_VALUE"""),"Kinematics and Dynamics of Robots")</f>
        <v>Kinematics and Dynamics of Robots</v>
      </c>
      <c r="G101" s="2" t="str">
        <f>IFERROR(__xludf.DUMMYFUNCTION("""COMPUTED_VALUE"""),"-")</f>
        <v>-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IFERROR(__xludf.DUMMYFUNCTION("""COMPUTED_VALUE"""),99)</f>
        <v>99</v>
      </c>
      <c r="B102" s="2"/>
      <c r="C102" s="2" t="str">
        <f>IFERROR(__xludf.DUMMYFUNCTION("""COMPUTED_VALUE"""),"PE")</f>
        <v>PE</v>
      </c>
      <c r="D102" s="2" t="str">
        <f>IFERROR(__xludf.DUMMYFUNCTION("""COMPUTED_VALUE"""),"CS3535")</f>
        <v>CS3535</v>
      </c>
      <c r="E102" s="2" t="str">
        <f>IFERROR(__xludf.DUMMYFUNCTION("""COMPUTED_VALUE"""),"19AI535")</f>
        <v>19AI535</v>
      </c>
      <c r="F102" s="7" t="str">
        <f>IFERROR(__xludf.DUMMYFUNCTION("""COMPUTED_VALUE"""),"Robotic Sensors")</f>
        <v>Robotic Sensors</v>
      </c>
      <c r="G102" s="2" t="str">
        <f>IFERROR(__xludf.DUMMYFUNCTION("""COMPUTED_VALUE"""),"-")</f>
        <v>-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IFERROR(__xludf.DUMMYFUNCTION("""COMPUTED_VALUE"""),100)</f>
        <v>100</v>
      </c>
      <c r="B103" s="2"/>
      <c r="C103" s="2" t="str">
        <f>IFERROR(__xludf.DUMMYFUNCTION("""COMPUTED_VALUE"""),"PE")</f>
        <v>PE</v>
      </c>
      <c r="D103" s="2" t="str">
        <f>IFERROR(__xludf.DUMMYFUNCTION("""COMPUTED_VALUE"""),"CS3530")</f>
        <v>CS3530</v>
      </c>
      <c r="E103" s="2" t="str">
        <f>IFERROR(__xludf.DUMMYFUNCTION("""COMPUTED_VALUE"""),"19AI530")</f>
        <v>19AI530</v>
      </c>
      <c r="F103" s="7" t="str">
        <f>IFERROR(__xludf.DUMMYFUNCTION("""COMPUTED_VALUE"""),"Control of Robotic Systems")</f>
        <v>Control of Robotic Systems</v>
      </c>
      <c r="G103" s="2" t="str">
        <f>IFERROR(__xludf.DUMMYFUNCTION("""COMPUTED_VALUE"""),"-")</f>
        <v>-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IFERROR(__xludf.DUMMYFUNCTION("""COMPUTED_VALUE"""),101)</f>
        <v>101</v>
      </c>
      <c r="B104" s="2"/>
      <c r="C104" s="2" t="str">
        <f>IFERROR(__xludf.DUMMYFUNCTION("""COMPUTED_VALUE"""),"PE")</f>
        <v>PE</v>
      </c>
      <c r="D104" s="2" t="str">
        <f>IFERROR(__xludf.DUMMYFUNCTION("""COMPUTED_VALUE"""),"CS3509")</f>
        <v>CS3509</v>
      </c>
      <c r="E104" s="2" t="str">
        <f>IFERROR(__xludf.DUMMYFUNCTION("""COMPUTED_VALUE"""),"19AI509")</f>
        <v>19AI509</v>
      </c>
      <c r="F104" s="7" t="str">
        <f>IFERROR(__xludf.DUMMYFUNCTION("""COMPUTED_VALUE"""),"Concepts of Virtual And Augmented Reality")</f>
        <v>Concepts of Virtual And Augmented Reality</v>
      </c>
      <c r="G104" s="2" t="str">
        <f>IFERROR(__xludf.DUMMYFUNCTION("""COMPUTED_VALUE"""),"-")</f>
        <v>-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IFERROR(__xludf.DUMMYFUNCTION("""COMPUTED_VALUE"""),102)</f>
        <v>102</v>
      </c>
      <c r="B105" s="2"/>
      <c r="C105" s="2" t="str">
        <f>IFERROR(__xludf.DUMMYFUNCTION("""COMPUTED_VALUE"""),"PE")</f>
        <v>PE</v>
      </c>
      <c r="D105" s="2" t="str">
        <f>IFERROR(__xludf.DUMMYFUNCTION("""COMPUTED_VALUE"""),"CS3510")</f>
        <v>CS3510</v>
      </c>
      <c r="E105" s="2" t="str">
        <f>IFERROR(__xludf.DUMMYFUNCTION("""COMPUTED_VALUE"""),"19AI510")</f>
        <v>19AI510</v>
      </c>
      <c r="F105" s="7" t="str">
        <f>IFERROR(__xludf.DUMMYFUNCTION("""COMPUTED_VALUE"""),"Mobile VR And AI In Unity")</f>
        <v>Mobile VR And AI In Unity</v>
      </c>
      <c r="G105" s="2" t="str">
        <f>IFERROR(__xludf.DUMMYFUNCTION("""COMPUTED_VALUE"""),"19AI410/19CS302")</f>
        <v>19AI410/19CS302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IFERROR(__xludf.DUMMYFUNCTION("""COMPUTED_VALUE"""),103)</f>
        <v>103</v>
      </c>
      <c r="B106" s="2"/>
      <c r="C106" s="2" t="str">
        <f>IFERROR(__xludf.DUMMYFUNCTION("""COMPUTED_VALUE"""),"PE")</f>
        <v>PE</v>
      </c>
      <c r="D106" s="2" t="str">
        <f>IFERROR(__xludf.DUMMYFUNCTION("""COMPUTED_VALUE"""),"CS3513")</f>
        <v>CS3513</v>
      </c>
      <c r="E106" s="2" t="str">
        <f>IFERROR(__xludf.DUMMYFUNCTION("""COMPUTED_VALUE"""),"19AI513")</f>
        <v>19AI513</v>
      </c>
      <c r="F106" s="7" t="str">
        <f>IFERROR(__xludf.DUMMYFUNCTION("""COMPUTED_VALUE"""),"Game Programming")</f>
        <v>Game Programming</v>
      </c>
      <c r="G106" s="2" t="str">
        <f>IFERROR(__xludf.DUMMYFUNCTION("""COMPUTED_VALUE"""),"19CS401")</f>
        <v>19CS401</v>
      </c>
      <c r="H106" s="2">
        <f>IFERROR(__xludf.DUMMYFUNCTION("""COMPUTED_VALUE"""),2)</f>
        <v>2</v>
      </c>
      <c r="I106" s="2">
        <f>IFERROR(__xludf.DUMMYFUNCTION("""COMPUTED_VALUE"""),2)</f>
        <v>2</v>
      </c>
      <c r="J106" s="2">
        <f>IFERROR(__xludf.DUMMYFUNCTION("""COMPUTED_VALUE"""),4)</f>
        <v>4</v>
      </c>
      <c r="K106" s="2" t="str">
        <f>IFERROR(__xludf.DUMMYFUNCTION("""COMPUTED_VALUE"""),"CGPA")</f>
        <v>CGPA</v>
      </c>
      <c r="L106" s="2" t="str">
        <f>IFERROR(__xludf.DUMMYFUNCTION("""COMPUTED_VALUE"""),"TIP (10 Expts)")</f>
        <v>TIP (10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IFERROR(__xludf.DUMMYFUNCTION("""COMPUTED_VALUE"""),104)</f>
        <v>104</v>
      </c>
      <c r="B107" s="2"/>
      <c r="C107" s="2" t="str">
        <f>IFERROR(__xludf.DUMMYFUNCTION("""COMPUTED_VALUE"""),"PE")</f>
        <v>PE</v>
      </c>
      <c r="D107" s="2" t="str">
        <f>IFERROR(__xludf.DUMMYFUNCTION("""COMPUTED_VALUE"""),"CS3537")</f>
        <v>CS3537</v>
      </c>
      <c r="E107" s="2" t="str">
        <f>IFERROR(__xludf.DUMMYFUNCTION("""COMPUTED_VALUE"""),"19AI537")</f>
        <v>19AI537</v>
      </c>
      <c r="F107" s="7" t="str">
        <f>IFERROR(__xludf.DUMMYFUNCTION("""COMPUTED_VALUE"""),"Computer Graphics for Virtual Reality")</f>
        <v>Computer Graphics for Virtual Reality</v>
      </c>
      <c r="G107" s="2" t="str">
        <f>IFERROR(__xludf.DUMMYFUNCTION("""COMPUTED_VALUE"""),"-")</f>
        <v>-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IFERROR(__xludf.DUMMYFUNCTION("""COMPUTED_VALUE"""),105)</f>
        <v>105</v>
      </c>
      <c r="B108" s="2"/>
      <c r="C108" s="2" t="str">
        <f>IFERROR(__xludf.DUMMYFUNCTION("""COMPUTED_VALUE"""),"PE")</f>
        <v>PE</v>
      </c>
      <c r="D108" s="2" t="str">
        <f>IFERROR(__xludf.DUMMYFUNCTION("""COMPUTED_VALUE"""),"CS4514")</f>
        <v>CS4514</v>
      </c>
      <c r="E108" s="2" t="str">
        <f>IFERROR(__xludf.DUMMYFUNCTION("""COMPUTED_VALUE"""),"19AM514")</f>
        <v>19AM514</v>
      </c>
      <c r="F108" s="7" t="str">
        <f>IFERROR(__xludf.DUMMYFUNCTION("""COMPUTED_VALUE"""),"Motion Planning Techniques")</f>
        <v>Motion Planning Techniques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IFERROR(__xludf.DUMMYFUNCTION("""COMPUTED_VALUE"""),106)</f>
        <v>106</v>
      </c>
      <c r="B109" s="2"/>
      <c r="C109" s="2" t="str">
        <f>IFERROR(__xludf.DUMMYFUNCTION("""COMPUTED_VALUE"""),"PE")</f>
        <v>PE</v>
      </c>
      <c r="D109" s="2" t="str">
        <f>IFERROR(__xludf.DUMMYFUNCTION("""COMPUTED_VALUE"""),"CS3548")</f>
        <v>CS3548</v>
      </c>
      <c r="E109" s="2" t="str">
        <f>IFERROR(__xludf.DUMMYFUNCTION("""COMPUTED_VALUE"""),"19AI548")</f>
        <v>19AI548</v>
      </c>
      <c r="F109" s="7" t="str">
        <f>IFERROR(__xludf.DUMMYFUNCTION("""COMPUTED_VALUE"""),"Robot Programming")</f>
        <v>Robot Programming</v>
      </c>
      <c r="G109" s="2" t="str">
        <f>IFERROR(__xludf.DUMMYFUNCTION("""COMPUTED_VALUE"""),"-")</f>
        <v>-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IFERROR(__xludf.DUMMYFUNCTION("""COMPUTED_VALUE"""),107)</f>
        <v>107</v>
      </c>
      <c r="B110" s="2"/>
      <c r="C110" s="2" t="str">
        <f>IFERROR(__xludf.DUMMYFUNCTION("""COMPUTED_VALUE"""),"PE")</f>
        <v>PE</v>
      </c>
      <c r="D110" s="2" t="str">
        <f>IFERROR(__xludf.DUMMYFUNCTION("""COMPUTED_VALUE"""),"CS3549")</f>
        <v>CS3549</v>
      </c>
      <c r="E110" s="2" t="str">
        <f>IFERROR(__xludf.DUMMYFUNCTION("""COMPUTED_VALUE"""),"19AI549")</f>
        <v>19AI549</v>
      </c>
      <c r="F110" s="7" t="str">
        <f>IFERROR(__xludf.DUMMYFUNCTION("""COMPUTED_VALUE"""),"Drone Assembly and Applications")</f>
        <v>Drone Assembly and Applications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IFERROR(__xludf.DUMMYFUNCTION("""COMPUTED_VALUE"""),108)</f>
        <v>108</v>
      </c>
      <c r="B111" s="2"/>
      <c r="C111" s="2" t="str">
        <f>IFERROR(__xludf.DUMMYFUNCTION("""COMPUTED_VALUE"""),"PE")</f>
        <v>PE</v>
      </c>
      <c r="D111" s="2" t="str">
        <f>IFERROR(__xludf.DUMMYFUNCTION("""COMPUTED_VALUE"""),"CS3550")</f>
        <v>CS3550</v>
      </c>
      <c r="E111" s="2" t="str">
        <f>IFERROR(__xludf.DUMMYFUNCTION("""COMPUTED_VALUE"""),"19AI550")</f>
        <v>19AI550</v>
      </c>
      <c r="F111" s="7" t="str">
        <f>IFERROR(__xludf.DUMMYFUNCTION("""COMPUTED_VALUE"""),"Artificial Intelligence for Games")</f>
        <v>Artificial Intelligence for Games</v>
      </c>
      <c r="G111" s="2" t="str">
        <f>IFERROR(__xludf.DUMMYFUNCTION("""COMPUTED_VALUE"""),"-")</f>
        <v>-</v>
      </c>
      <c r="H111" s="2">
        <f>IFERROR(__xludf.DUMMYFUNCTION("""COMPUTED_VALUE"""),2)</f>
        <v>2</v>
      </c>
      <c r="I111" s="2">
        <f>IFERROR(__xludf.DUMMYFUNCTION("""COMPUTED_VALUE"""),1)</f>
        <v>1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IFERROR(__xludf.DUMMYFUNCTION("""COMPUTED_VALUE"""),"TIP (6 Expts)")</f>
        <v>TIP (6 Expts)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IFERROR(__xludf.DUMMYFUNCTION("""COMPUTED_VALUE"""),109)</f>
        <v>109</v>
      </c>
      <c r="B112" s="2"/>
      <c r="C112" s="2" t="str">
        <f>IFERROR(__xludf.DUMMYFUNCTION("""COMPUTED_VALUE"""),"PE")</f>
        <v>PE</v>
      </c>
      <c r="D112" s="2" t="str">
        <f>IFERROR(__xludf.DUMMYFUNCTION("""COMPUTED_VALUE"""),"CS3551")</f>
        <v>CS3551</v>
      </c>
      <c r="E112" s="2" t="str">
        <f>IFERROR(__xludf.DUMMYFUNCTION("""COMPUTED_VALUE"""),"19AI551")</f>
        <v>19AI551</v>
      </c>
      <c r="F112" s="7" t="str">
        <f>IFERROR(__xludf.DUMMYFUNCTION("""COMPUTED_VALUE"""),"Drone Design and Control")</f>
        <v>Drone Design and Control</v>
      </c>
      <c r="G112" s="2" t="str">
        <f>IFERROR(__xludf.DUMMYFUNCTION("""COMPUTED_VALUE"""),"-")</f>
        <v>-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IFERROR(__xludf.DUMMYFUNCTION("""COMPUTED_VALUE"""),110)</f>
        <v>110</v>
      </c>
      <c r="B113" s="2"/>
      <c r="C113" s="2" t="str">
        <f>IFERROR(__xludf.DUMMYFUNCTION("""COMPUTED_VALUE"""),"PE")</f>
        <v>PE</v>
      </c>
      <c r="D113" s="2" t="str">
        <f>IFERROR(__xludf.DUMMYFUNCTION("""COMPUTED_VALUE"""),"CS3539")</f>
        <v>CS3539</v>
      </c>
      <c r="E113" s="2" t="str">
        <f>IFERROR(__xludf.DUMMYFUNCTION("""COMPUTED_VALUE"""),"19AI539")</f>
        <v>19AI539</v>
      </c>
      <c r="F113" s="7" t="str">
        <f>IFERROR(__xludf.DUMMYFUNCTION("""COMPUTED_VALUE"""),"Mobile User Interface Development")</f>
        <v>Mobile User Interface Development</v>
      </c>
      <c r="G113" s="2" t="str">
        <f>IFERROR(__xludf.DUMMYFUNCTION("""COMPUTED_VALUE"""),"19CS401")</f>
        <v>19CS401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IFERROR(__xludf.DUMMYFUNCTION("""COMPUTED_VALUE"""),111)</f>
        <v>111</v>
      </c>
      <c r="B114" s="2"/>
      <c r="C114" s="2" t="str">
        <f>IFERROR(__xludf.DUMMYFUNCTION("""COMPUTED_VALUE"""),"PE")</f>
        <v>PE</v>
      </c>
      <c r="D114" s="2" t="str">
        <f>IFERROR(__xludf.DUMMYFUNCTION("""COMPUTED_VALUE"""),"CS3540")</f>
        <v>CS3540</v>
      </c>
      <c r="E114" s="2" t="str">
        <f>IFERROR(__xludf.DUMMYFUNCTION("""COMPUTED_VALUE"""),"19AI540")</f>
        <v>19AI540</v>
      </c>
      <c r="F114" s="7" t="str">
        <f>IFERROR(__xludf.DUMMYFUNCTION("""COMPUTED_VALUE"""),"Programming Mobile Devices")</f>
        <v>Programming Mobile Devices</v>
      </c>
      <c r="G114" s="2" t="str">
        <f>IFERROR(__xludf.DUMMYFUNCTION("""COMPUTED_VALUE"""),"19CS401")</f>
        <v>19CS401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IFERROR(__xludf.DUMMYFUNCTION("""COMPUTED_VALUE"""),112)</f>
        <v>112</v>
      </c>
      <c r="B115" s="2"/>
      <c r="C115" s="2" t="str">
        <f>IFERROR(__xludf.DUMMYFUNCTION("""COMPUTED_VALUE"""),"PE")</f>
        <v>PE</v>
      </c>
      <c r="D115" s="2" t="str">
        <f>IFERROR(__xludf.DUMMYFUNCTION("""COMPUTED_VALUE"""),"CS3545")</f>
        <v>CS3545</v>
      </c>
      <c r="E115" s="2" t="str">
        <f>IFERROR(__xludf.DUMMYFUNCTION("""COMPUTED_VALUE"""),"19AI545")</f>
        <v>19AI545</v>
      </c>
      <c r="F115" s="7" t="str">
        <f>IFERROR(__xludf.DUMMYFUNCTION("""COMPUTED_VALUE"""),"Modern Web Application Development")</f>
        <v>Modern Web Application Development</v>
      </c>
      <c r="G115" s="2" t="str">
        <f>IFERROR(__xludf.DUMMYFUNCTION("""COMPUTED_VALUE"""),"19CS410")</f>
        <v>19CS410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IFERROR(__xludf.DUMMYFUNCTION("""COMPUTED_VALUE"""),113)</f>
        <v>113</v>
      </c>
      <c r="B116" s="2"/>
      <c r="C116" s="2" t="str">
        <f>IFERROR(__xludf.DUMMYFUNCTION("""COMPUTED_VALUE"""),"PE")</f>
        <v>PE</v>
      </c>
      <c r="D116" s="2" t="str">
        <f>IFERROR(__xludf.DUMMYFUNCTION("""COMPUTED_VALUE"""),"CS3546")</f>
        <v>CS3546</v>
      </c>
      <c r="E116" s="2" t="str">
        <f>IFERROR(__xludf.DUMMYFUNCTION("""COMPUTED_VALUE"""),"19AI546")</f>
        <v>19AI546</v>
      </c>
      <c r="F116" s="7" t="str">
        <f>IFERROR(__xludf.DUMMYFUNCTION("""COMPUTED_VALUE"""),"Web Server Programming")</f>
        <v>Web Server Programming</v>
      </c>
      <c r="G116" s="2" t="str">
        <f>IFERROR(__xludf.DUMMYFUNCTION("""COMPUTED_VALUE"""),"19CS401")</f>
        <v>19CS401</v>
      </c>
      <c r="H116" s="2">
        <f>IFERROR(__xludf.DUMMYFUNCTION("""COMPUTED_VALUE"""),2)</f>
        <v>2</v>
      </c>
      <c r="I116" s="2">
        <f>IFERROR(__xludf.DUMMYFUNCTION("""COMPUTED_VALUE"""),1)</f>
        <v>1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IFERROR(__xludf.DUMMYFUNCTION("""COMPUTED_VALUE"""),"TIP (6 Expts)")</f>
        <v>TIP (6 Expts)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IFERROR(__xludf.DUMMYFUNCTION("""COMPUTED_VALUE"""),114)</f>
        <v>114</v>
      </c>
      <c r="B117" s="2"/>
      <c r="C117" s="2" t="str">
        <f>IFERROR(__xludf.DUMMYFUNCTION("""COMPUTED_VALUE"""),"PE")</f>
        <v>PE</v>
      </c>
      <c r="D117" s="2" t="str">
        <f>IFERROR(__xludf.DUMMYFUNCTION("""COMPUTED_VALUE"""),"CS3552")</f>
        <v>CS3552</v>
      </c>
      <c r="E117" s="2" t="str">
        <f>IFERROR(__xludf.DUMMYFUNCTION("""COMPUTED_VALUE"""),"19AI552")</f>
        <v>19AI552</v>
      </c>
      <c r="F117" s="7" t="str">
        <f>IFERROR(__xludf.DUMMYFUNCTION("""COMPUTED_VALUE"""),"Web Application User Interface Development")</f>
        <v>Web Application User Interface Development</v>
      </c>
      <c r="G117" s="2" t="str">
        <f>IFERROR(__xludf.DUMMYFUNCTION("""COMPUTED_VALUE"""),"-")</f>
        <v>-</v>
      </c>
      <c r="H117" s="2">
        <f>IFERROR(__xludf.DUMMYFUNCTION("""COMPUTED_VALUE"""),2)</f>
        <v>2</v>
      </c>
      <c r="I117" s="2">
        <f>IFERROR(__xludf.DUMMYFUNCTION("""COMPUTED_VALUE"""),1)</f>
        <v>1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IFERROR(__xludf.DUMMYFUNCTION("""COMPUTED_VALUE"""),"TIP (6 Expts)")</f>
        <v>TIP (6 Expts)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IFERROR(__xludf.DUMMYFUNCTION("""COMPUTED_VALUE"""),115)</f>
        <v>115</v>
      </c>
      <c r="B118" s="2"/>
      <c r="C118" s="2" t="str">
        <f>IFERROR(__xludf.DUMMYFUNCTION("""COMPUTED_VALUE"""),"PE")</f>
        <v>PE</v>
      </c>
      <c r="D118" s="2" t="str">
        <f>IFERROR(__xludf.DUMMYFUNCTION("""COMPUTED_VALUE"""),"CS3553")</f>
        <v>CS3553</v>
      </c>
      <c r="E118" s="2" t="str">
        <f>IFERROR(__xludf.DUMMYFUNCTION("""COMPUTED_VALUE"""),"19AI553")</f>
        <v>19AI553</v>
      </c>
      <c r="F118" s="7" t="str">
        <f>IFERROR(__xludf.DUMMYFUNCTION("""COMPUTED_VALUE"""),"Advanced Java Web Applications")</f>
        <v>Advanced Java Web Applications</v>
      </c>
      <c r="G118" s="2" t="str">
        <f>IFERROR(__xludf.DUMMYFUNCTION("""COMPUTED_VALUE"""),"19AI307")</f>
        <v>19AI307</v>
      </c>
      <c r="H118" s="2">
        <f>IFERROR(__xludf.DUMMYFUNCTION("""COMPUTED_VALUE"""),2)</f>
        <v>2</v>
      </c>
      <c r="I118" s="2">
        <f>IFERROR(__xludf.DUMMYFUNCTION("""COMPUTED_VALUE"""),1)</f>
        <v>1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IFERROR(__xludf.DUMMYFUNCTION("""COMPUTED_VALUE"""),"TIP (6 Expts)")</f>
        <v>TIP (6 Expts)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IFERROR(__xludf.DUMMYFUNCTION("""COMPUTED_VALUE"""),116)</f>
        <v>116</v>
      </c>
      <c r="B119" s="2"/>
      <c r="C119" s="2" t="str">
        <f>IFERROR(__xludf.DUMMYFUNCTION("""COMPUTED_VALUE"""),"PE")</f>
        <v>PE</v>
      </c>
      <c r="D119" s="2" t="str">
        <f>IFERROR(__xludf.DUMMYFUNCTION("""COMPUTED_VALUE"""),"CS3403")</f>
        <v>CS3403</v>
      </c>
      <c r="E119" s="2" t="str">
        <f>IFERROR(__xludf.DUMMYFUNCTION("""COMPUTED_VALUE"""),"19AI403")</f>
        <v>19AI403</v>
      </c>
      <c r="F119" s="7" t="str">
        <f>IFERROR(__xludf.DUMMYFUNCTION("""COMPUTED_VALUE"""),"Introduction to Data Science")</f>
        <v>Introduction to Data Science</v>
      </c>
      <c r="G119" s="2" t="str">
        <f>IFERROR(__xludf.DUMMYFUNCTION("""COMPUTED_VALUE"""),"19CS301")</f>
        <v>19CS301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IFERROR(__xludf.DUMMYFUNCTION("""COMPUTED_VALUE"""),117)</f>
        <v>117</v>
      </c>
      <c r="B120" s="2"/>
      <c r="C120" s="2" t="str">
        <f>IFERROR(__xludf.DUMMYFUNCTION("""COMPUTED_VALUE"""),"PE")</f>
        <v>PE</v>
      </c>
      <c r="D120" s="2" t="str">
        <f>IFERROR(__xludf.DUMMYFUNCTION("""COMPUTED_VALUE"""),"CS3511")</f>
        <v>CS3511</v>
      </c>
      <c r="E120" s="2" t="str">
        <f>IFERROR(__xludf.DUMMYFUNCTION("""COMPUTED_VALUE"""),"19AI511")</f>
        <v>19AI511</v>
      </c>
      <c r="F120" s="7" t="str">
        <f>IFERROR(__xludf.DUMMYFUNCTION("""COMPUTED_VALUE"""),"Scientific and Engineering Data Visualization")</f>
        <v>Scientific and Engineering Data Visualization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IFERROR(__xludf.DUMMYFUNCTION("""COMPUTED_VALUE"""),118)</f>
        <v>118</v>
      </c>
      <c r="B121" s="2"/>
      <c r="C121" s="2" t="str">
        <f>IFERROR(__xludf.DUMMYFUNCTION("""COMPUTED_VALUE"""),"PE")</f>
        <v>PE</v>
      </c>
      <c r="D121" s="2" t="str">
        <f>IFERROR(__xludf.DUMMYFUNCTION("""COMPUTED_VALUE"""),"CS3516")</f>
        <v>CS3516</v>
      </c>
      <c r="E121" s="2" t="str">
        <f>IFERROR(__xludf.DUMMYFUNCTION("""COMPUTED_VALUE"""),"19AI516")</f>
        <v>19AI516</v>
      </c>
      <c r="F121" s="7" t="str">
        <f>IFERROR(__xludf.DUMMYFUNCTION("""COMPUTED_VALUE"""),"Big Data Mining and Analysis")</f>
        <v>Big Data Mining and Analysis</v>
      </c>
      <c r="G121" s="2" t="str">
        <f>IFERROR(__xludf.DUMMYFUNCTION("""COMPUTED_VALUE"""),"19AI408/ 19CS410/19IT405")</f>
        <v>19AI408/ 19CS410/19IT405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IFERROR(__xludf.DUMMYFUNCTION("""COMPUTED_VALUE"""),119)</f>
        <v>119</v>
      </c>
      <c r="B122" s="2"/>
      <c r="C122" s="2" t="str">
        <f>IFERROR(__xludf.DUMMYFUNCTION("""COMPUTED_VALUE"""),"PE")</f>
        <v>PE</v>
      </c>
      <c r="D122" s="2" t="str">
        <f>IFERROR(__xludf.DUMMYFUNCTION("""COMPUTED_VALUE"""),"CS3517")</f>
        <v>CS3517</v>
      </c>
      <c r="E122" s="2" t="str">
        <f>IFERROR(__xludf.DUMMYFUNCTION("""COMPUTED_VALUE"""),"19AI517")</f>
        <v>19AI517</v>
      </c>
      <c r="F122" s="7" t="str">
        <f>IFERROR(__xludf.DUMMYFUNCTION("""COMPUTED_VALUE"""),"Business Analytics")</f>
        <v>Business Analytics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8">
      <c r="A123" s="26">
        <f>IFERROR(__xludf.DUMMYFUNCTION("""COMPUTED_VALUE"""),120)</f>
        <v>120</v>
      </c>
      <c r="B123" s="26"/>
      <c r="C123" s="26" t="str">
        <f>IFERROR(__xludf.DUMMYFUNCTION("""COMPUTED_VALUE"""),"PE")</f>
        <v>PE</v>
      </c>
      <c r="D123" s="26" t="str">
        <f>IFERROR(__xludf.DUMMYFUNCTION("""COMPUTED_VALUE"""),"CS4503")</f>
        <v>CS4503</v>
      </c>
      <c r="E123" s="26" t="str">
        <f>IFERROR(__xludf.DUMMYFUNCTION("""COMPUTED_VALUE"""),"19AM503")</f>
        <v>19AM503</v>
      </c>
      <c r="F123" s="26" t="str">
        <f>IFERROR(__xludf.DUMMYFUNCTION("""COMPUTED_VALUE"""),"Data Modeling")</f>
        <v>Data Modeling</v>
      </c>
      <c r="G123" s="26" t="str">
        <f>IFERROR(__xludf.DUMMYFUNCTION("""COMPUTED_VALUE"""),"-")</f>
        <v>-</v>
      </c>
      <c r="H123" s="26">
        <f>IFERROR(__xludf.DUMMYFUNCTION("""COMPUTED_VALUE"""),3)</f>
        <v>3</v>
      </c>
      <c r="I123" s="26">
        <f>IFERROR(__xludf.DUMMYFUNCTION("""COMPUTED_VALUE"""),0)</f>
        <v>0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IFERROR(__xludf.DUMMYFUNCTION("""COMPUTED_VALUE"""),"Theory")</f>
        <v>Theory</v>
      </c>
      <c r="M123" s="26"/>
      <c r="N123" s="26"/>
      <c r="O123" s="26"/>
      <c r="P123" s="26"/>
      <c r="Q123" s="26"/>
      <c r="R123" s="26"/>
    </row>
    <row r="124" ht="13.2" spans="1:18">
      <c r="A124" s="26">
        <f>IFERROR(__xludf.DUMMYFUNCTION("""COMPUTED_VALUE"""),121)</f>
        <v>121</v>
      </c>
      <c r="B124" s="26"/>
      <c r="C124" s="26" t="str">
        <f>IFERROR(__xludf.DUMMYFUNCTION("""COMPUTED_VALUE"""),"PE")</f>
        <v>PE</v>
      </c>
      <c r="D124" s="26" t="str">
        <f>IFERROR(__xludf.DUMMYFUNCTION("""COMPUTED_VALUE"""),"CS3538")</f>
        <v>CS3538</v>
      </c>
      <c r="E124" s="26" t="str">
        <f>IFERROR(__xludf.DUMMYFUNCTION("""COMPUTED_VALUE"""),"19AI538")</f>
        <v>19AI538</v>
      </c>
      <c r="F124" s="27" t="str">
        <f>IFERROR(__xludf.DUMMYFUNCTION("""COMPUTED_VALUE"""),"Mathematical Modelling and Computer Aided Engineering")</f>
        <v>Mathematical Modelling and Computer Aided Engineering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  <c r="P124" s="26"/>
      <c r="Q124" s="26"/>
      <c r="R124" s="26"/>
    </row>
    <row r="125" ht="13.2" spans="1:18">
      <c r="A125" s="26">
        <f>IFERROR(__xludf.DUMMYFUNCTION("""COMPUTED_VALUE"""),122)</f>
        <v>122</v>
      </c>
      <c r="B125" s="26"/>
      <c r="C125" s="26" t="str">
        <f>IFERROR(__xludf.DUMMYFUNCTION("""COMPUTED_VALUE"""),"PE")</f>
        <v>PE</v>
      </c>
      <c r="D125" s="26" t="str">
        <f>IFERROR(__xludf.DUMMYFUNCTION("""COMPUTED_VALUE"""),"CS3542")</f>
        <v>CS3542</v>
      </c>
      <c r="E125" s="26" t="str">
        <f>IFERROR(__xludf.DUMMYFUNCTION("""COMPUTED_VALUE"""),"19AI542")</f>
        <v>19AI542</v>
      </c>
      <c r="F125" s="27" t="str">
        <f>IFERROR(__xludf.DUMMYFUNCTION("""COMPUTED_VALUE"""),"Agile Software Development")</f>
        <v>Agile Software Development</v>
      </c>
      <c r="G125" s="26" t="str">
        <f>IFERROR(__xludf.DUMMYFUNCTION("""COMPUTED_VALUE"""),"19CS301")</f>
        <v>19CS301</v>
      </c>
      <c r="H125" s="26">
        <f>IFERROR(__xludf.DUMMYFUNCTION("""COMPUTED_VALUE"""),3)</f>
        <v>3</v>
      </c>
      <c r="I125" s="26">
        <f>IFERROR(__xludf.DUMMYFUNCTION("""COMPUTED_VALUE"""),1)</f>
        <v>1</v>
      </c>
      <c r="J125" s="26">
        <f>IFERROR(__xludf.DUMMYFUNCTION("""COMPUTED_VALUE"""),4)</f>
        <v>4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  <c r="P125" s="26"/>
      <c r="Q125" s="26"/>
      <c r="R125" s="26"/>
    </row>
    <row r="126" ht="13.2" spans="1:18">
      <c r="A126" s="26">
        <f>IFERROR(__xludf.DUMMYFUNCTION("""COMPUTED_VALUE"""),123)</f>
        <v>123</v>
      </c>
      <c r="B126" s="26"/>
      <c r="C126" s="26" t="str">
        <f>IFERROR(__xludf.DUMMYFUNCTION("""COMPUTED_VALUE"""),"PE")</f>
        <v>PE</v>
      </c>
      <c r="D126" s="26" t="str">
        <f>IFERROR(__xludf.DUMMYFUNCTION("""COMPUTED_VALUE"""),"CS3543")</f>
        <v>CS3543</v>
      </c>
      <c r="E126" s="26" t="str">
        <f>IFERROR(__xludf.DUMMYFUNCTION("""COMPUTED_VALUE"""),"19AI543")</f>
        <v>19AI543</v>
      </c>
      <c r="F126" s="27" t="str">
        <f>IFERROR(__xludf.DUMMYFUNCTION("""COMPUTED_VALUE"""),"Software Testing")</f>
        <v>Software Testing</v>
      </c>
      <c r="G126" s="26" t="str">
        <f>IFERROR(__xludf.DUMMYFUNCTION("""COMPUTED_VALUE"""),"19CS301")</f>
        <v>19CS301</v>
      </c>
      <c r="H126" s="26">
        <f>IFERROR(__xludf.DUMMYFUNCTION("""COMPUTED_VALUE"""),2)</f>
        <v>2</v>
      </c>
      <c r="I126" s="26">
        <f>IFERROR(__xludf.DUMMYFUNCTION("""COMPUTED_VALUE"""),1)</f>
        <v>1</v>
      </c>
      <c r="J126" s="26">
        <f>IFERROR(__xludf.DUMMYFUNCTION("""COMPUTED_VALUE"""),3)</f>
        <v>3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  <c r="P126" s="26"/>
      <c r="Q126" s="26"/>
      <c r="R126" s="26"/>
    </row>
    <row r="127" ht="13.2" spans="1:18">
      <c r="A127" s="26">
        <f>IFERROR(__xludf.DUMMYFUNCTION("""COMPUTED_VALUE"""),124)</f>
        <v>124</v>
      </c>
      <c r="B127" s="26"/>
      <c r="C127" s="26" t="str">
        <f>IFERROR(__xludf.DUMMYFUNCTION("""COMPUTED_VALUE"""),"PE")</f>
        <v>PE</v>
      </c>
      <c r="D127" s="26" t="str">
        <f>IFERROR(__xludf.DUMMYFUNCTION("""COMPUTED_VALUE"""),"CS3544")</f>
        <v>CS3544</v>
      </c>
      <c r="E127" s="26" t="str">
        <f>IFERROR(__xludf.DUMMYFUNCTION("""COMPUTED_VALUE"""),"19AI544")</f>
        <v>19AI544</v>
      </c>
      <c r="F127" s="27" t="str">
        <f>IFERROR(__xludf.DUMMYFUNCTION("""COMPUTED_VALUE"""),"Virtualization and Containerization")</f>
        <v>Virtualization and Containerization</v>
      </c>
      <c r="G127" s="26" t="str">
        <f>IFERROR(__xludf.DUMMYFUNCTION("""COMPUTED_VALUE"""),"19CS405/19CS406")</f>
        <v>19CS405/19CS406</v>
      </c>
      <c r="H127" s="26">
        <f>IFERROR(__xludf.DUMMYFUNCTION("""COMPUTED_VALUE"""),2)</f>
        <v>2</v>
      </c>
      <c r="I127" s="26">
        <f>IFERROR(__xludf.DUMMYFUNCTION("""COMPUTED_VALUE"""),1)</f>
        <v>1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  <c r="P127" s="26"/>
      <c r="Q127" s="26"/>
      <c r="R127" s="26"/>
    </row>
    <row r="128" ht="13.2" spans="1:18">
      <c r="A128" s="26">
        <f>IFERROR(__xludf.DUMMYFUNCTION("""COMPUTED_VALUE"""),125)</f>
        <v>125</v>
      </c>
      <c r="B128" s="26"/>
      <c r="C128" s="26" t="str">
        <f>IFERROR(__xludf.DUMMYFUNCTION("""COMPUTED_VALUE"""),"PE")</f>
        <v>PE</v>
      </c>
      <c r="D128" s="26" t="str">
        <f>IFERROR(__xludf.DUMMYFUNCTION("""COMPUTED_VALUE"""),"CS3528")</f>
        <v>CS3528</v>
      </c>
      <c r="E128" s="26" t="str">
        <f>IFERROR(__xludf.DUMMYFUNCTION("""COMPUTED_VALUE"""),"19AI528")</f>
        <v>19AI528</v>
      </c>
      <c r="F128" s="27" t="str">
        <f>IFERROR(__xludf.DUMMYFUNCTION("""COMPUTED_VALUE"""),"Advanced Graph Theory and Applications")</f>
        <v>Advanced Graph Theory and Applications</v>
      </c>
      <c r="G128" s="26" t="str">
        <f>IFERROR(__xludf.DUMMYFUNCTION("""COMPUTED_VALUE"""),"19CS402")</f>
        <v>19CS402</v>
      </c>
      <c r="H128" s="26">
        <f>IFERROR(__xludf.DUMMYFUNCTION("""COMPUTED_VALUE"""),2)</f>
        <v>2</v>
      </c>
      <c r="I128" s="26">
        <f>IFERROR(__xludf.DUMMYFUNCTION("""COMPUTED_VALUE"""),1)</f>
        <v>1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  <c r="P128" s="26"/>
      <c r="Q128" s="26"/>
      <c r="R128" s="26"/>
    </row>
    <row r="129" ht="13.2" spans="1:18">
      <c r="A129" s="26">
        <f>IFERROR(__xludf.DUMMYFUNCTION("""COMPUTED_VALUE"""),126)</f>
        <v>126</v>
      </c>
      <c r="B129" s="26"/>
      <c r="C129" s="26" t="str">
        <f>IFERROR(__xludf.DUMMYFUNCTION("""COMPUTED_VALUE"""),"PE")</f>
        <v>PE</v>
      </c>
      <c r="D129" s="26" t="str">
        <f>IFERROR(__xludf.DUMMYFUNCTION("""COMPUTED_VALUE"""),"CS3529")</f>
        <v>CS3529</v>
      </c>
      <c r="E129" s="26" t="str">
        <f>IFERROR(__xludf.DUMMYFUNCTION("""COMPUTED_VALUE"""),"19AI529")</f>
        <v>19AI529</v>
      </c>
      <c r="F129" s="27" t="str">
        <f>IFERROR(__xludf.DUMMYFUNCTION("""COMPUTED_VALUE"""),"Advanced Data Structures")</f>
        <v>Advanced Data Structures</v>
      </c>
      <c r="G129" s="26" t="str">
        <f>IFERROR(__xludf.DUMMYFUNCTION("""COMPUTED_VALUE"""),"19CS401")</f>
        <v>19CS401</v>
      </c>
      <c r="H129" s="26">
        <f>IFERROR(__xludf.DUMMYFUNCTION("""COMPUTED_VALUE"""),2)</f>
        <v>2</v>
      </c>
      <c r="I129" s="26">
        <f>IFERROR(__xludf.DUMMYFUNCTION("""COMPUTED_VALUE"""),1)</f>
        <v>1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  <c r="P129" s="26"/>
      <c r="Q129" s="26"/>
      <c r="R129" s="26"/>
    </row>
    <row r="130" ht="13.2" spans="1:18">
      <c r="A130" s="26">
        <f>IFERROR(__xludf.DUMMYFUNCTION("""COMPUTED_VALUE"""),127)</f>
        <v>127</v>
      </c>
      <c r="B130" s="26"/>
      <c r="C130" s="26" t="str">
        <f>IFERROR(__xludf.DUMMYFUNCTION("""COMPUTED_VALUE"""),"PE")</f>
        <v>PE</v>
      </c>
      <c r="D130" s="26" t="str">
        <f>IFERROR(__xludf.DUMMYFUNCTION("""COMPUTED_VALUE"""),"CS3508")</f>
        <v>CS3508</v>
      </c>
      <c r="E130" s="26" t="str">
        <f>IFERROR(__xludf.DUMMYFUNCTION("""COMPUTED_VALUE"""),"19AI508")</f>
        <v>19AI508</v>
      </c>
      <c r="F130" s="26" t="str">
        <f>IFERROR(__xludf.DUMMYFUNCTION("""COMPUTED_VALUE"""),"Soft Computing Techniques")</f>
        <v>Soft Computing Techniques</v>
      </c>
      <c r="G130" s="26" t="str">
        <f>IFERROR(__xludf.DUMMYFUNCTION("""COMPUTED_VALUE"""),"-")</f>
        <v>-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  <c r="P130" s="26"/>
      <c r="Q130" s="26"/>
      <c r="R130" s="26"/>
    </row>
    <row r="131" ht="13.2" spans="1:18">
      <c r="A131" s="26">
        <f>IFERROR(__xludf.DUMMYFUNCTION("""COMPUTED_VALUE"""),128)</f>
        <v>128</v>
      </c>
      <c r="B131" s="26"/>
      <c r="C131" s="26" t="str">
        <f>IFERROR(__xludf.DUMMYFUNCTION("""COMPUTED_VALUE"""),"PE")</f>
        <v>PE</v>
      </c>
      <c r="D131" s="26" t="str">
        <f>IFERROR(__xludf.DUMMYFUNCTION("""COMPUTED_VALUE"""),"CS3515")</f>
        <v>CS3515</v>
      </c>
      <c r="E131" s="26" t="str">
        <f>IFERROR(__xludf.DUMMYFUNCTION("""COMPUTED_VALUE"""),"19AI515")</f>
        <v>19AI515</v>
      </c>
      <c r="F131" s="27" t="str">
        <f>IFERROR(__xludf.DUMMYFUNCTION("""COMPUTED_VALUE"""),"Smart Manufacturing Technology")</f>
        <v>Smart Manufacturing Technology</v>
      </c>
      <c r="G131" s="26" t="str">
        <f>IFERROR(__xludf.DUMMYFUNCTION("""COMPUTED_VALUE"""),"-")</f>
        <v>-</v>
      </c>
      <c r="H131" s="26">
        <f>IFERROR(__xludf.DUMMYFUNCTION("""COMPUTED_VALUE"""),2)</f>
        <v>2</v>
      </c>
      <c r="I131" s="26">
        <f>IFERROR(__xludf.DUMMYFUNCTION("""COMPUTED_VALUE"""),1)</f>
        <v>1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IFERROR(__xludf.DUMMYFUNCTION("""COMPUTED_VALUE"""),"TIP (6 Expts)")</f>
        <v>TIP (6 Expts)</v>
      </c>
      <c r="M131" s="26"/>
      <c r="N131" s="26"/>
      <c r="O131" s="26"/>
      <c r="P131" s="26"/>
      <c r="Q131" s="26"/>
      <c r="R131" s="26"/>
    </row>
    <row r="132" ht="13.2" spans="1:18">
      <c r="A132" s="26">
        <f>IFERROR(__xludf.DUMMYFUNCTION("""COMPUTED_VALUE"""),129)</f>
        <v>129</v>
      </c>
      <c r="B132" s="26"/>
      <c r="C132" s="26" t="str">
        <f>IFERROR(__xludf.DUMMYFUNCTION("""COMPUTED_VALUE"""),"PE")</f>
        <v>PE</v>
      </c>
      <c r="D132" s="26" t="str">
        <f>IFERROR(__xludf.DUMMYFUNCTION("""COMPUTED_VALUE"""),"CS1523")</f>
        <v>CS1523</v>
      </c>
      <c r="E132" s="26" t="str">
        <f>IFERROR(__xludf.DUMMYFUNCTION("""COMPUTED_VALUE"""),"19CS523")</f>
        <v>19CS523</v>
      </c>
      <c r="F132" s="27" t="str">
        <f>IFERROR(__xludf.DUMMYFUNCTION("""COMPUTED_VALUE"""),"Information Retrieval")</f>
        <v>Information Retrieval</v>
      </c>
      <c r="G132" s="26" t="str">
        <f>IFERROR(__xludf.DUMMYFUNCTION("""COMPUTED_VALUE"""),"19AI410/ 19CS501/19CS413")</f>
        <v>19AI410/ 19CS501/19CS413</v>
      </c>
      <c r="H132" s="26">
        <f>IFERROR(__xludf.DUMMYFUNCTION("""COMPUTED_VALUE"""),3)</f>
        <v>3</v>
      </c>
      <c r="I132" s="26">
        <f>IFERROR(__xludf.DUMMYFUNCTION("""COMPUTED_VALUE"""),0)</f>
        <v>0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IFERROR(__xludf.DUMMYFUNCTION("""COMPUTED_VALUE"""),"Theory")</f>
        <v>Theory</v>
      </c>
      <c r="M132" s="26"/>
      <c r="N132" s="26"/>
      <c r="O132" s="26"/>
      <c r="P132" s="26"/>
      <c r="Q132" s="26"/>
      <c r="R132" s="26"/>
    </row>
    <row r="133" ht="13.2" spans="1:18">
      <c r="A133" s="26">
        <f>IFERROR(__xludf.DUMMYFUNCTION("""COMPUTED_VALUE"""),130)</f>
        <v>130</v>
      </c>
      <c r="B133" s="26"/>
      <c r="C133" s="26" t="str">
        <f>IFERROR(__xludf.DUMMYFUNCTION("""COMPUTED_VALUE"""),"PE")</f>
        <v>PE</v>
      </c>
      <c r="D133" s="26" t="str">
        <f>IFERROR(__xludf.DUMMYFUNCTION("""COMPUTED_VALUE"""),"CS3512")</f>
        <v>CS3512</v>
      </c>
      <c r="E133" s="26" t="str">
        <f>IFERROR(__xludf.DUMMYFUNCTION("""COMPUTED_VALUE"""),"19AI512")</f>
        <v>19AI512</v>
      </c>
      <c r="F133" s="27" t="str">
        <f>IFERROR(__xludf.DUMMYFUNCTION("""COMPUTED_VALUE"""),"NoSQL Database Design")</f>
        <v>NoSQL Database Design</v>
      </c>
      <c r="G133" s="26" t="str">
        <f>IFERROR(__xludf.DUMMYFUNCTION("""COMPUTED_VALUE"""),"19CS301")</f>
        <v>19CS301</v>
      </c>
      <c r="H133" s="26">
        <f>IFERROR(__xludf.DUMMYFUNCTION("""COMPUTED_VALUE"""),2)</f>
        <v>2</v>
      </c>
      <c r="I133" s="26">
        <f>IFERROR(__xludf.DUMMYFUNCTION("""COMPUTED_VALUE"""),1)</f>
        <v>1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IFERROR(__xludf.DUMMYFUNCTION("""COMPUTED_VALUE"""),"TIP (6 Expts)")</f>
        <v>TIP (6 Expts)</v>
      </c>
      <c r="M133" s="26"/>
      <c r="N133" s="26"/>
      <c r="O133" s="26"/>
      <c r="P133" s="26"/>
      <c r="Q133" s="26"/>
      <c r="R133" s="26"/>
    </row>
    <row r="134" ht="13.2" spans="1:18">
      <c r="A134" s="26">
        <f>IFERROR(__xludf.DUMMYFUNCTION("""COMPUTED_VALUE"""),131)</f>
        <v>131</v>
      </c>
      <c r="B134" s="26"/>
      <c r="C134" s="26" t="str">
        <f>IFERROR(__xludf.DUMMYFUNCTION("""COMPUTED_VALUE"""),"PE")</f>
        <v>PE</v>
      </c>
      <c r="D134" s="26" t="str">
        <f>IFERROR(__xludf.DUMMYFUNCTION("""COMPUTED_VALUE"""),"CS3518")</f>
        <v>CS3518</v>
      </c>
      <c r="E134" s="26" t="str">
        <f>IFERROR(__xludf.DUMMYFUNCTION("""COMPUTED_VALUE"""),"19AI518")</f>
        <v>19AI518</v>
      </c>
      <c r="F134" s="27" t="str">
        <f>IFERROR(__xludf.DUMMYFUNCTION("""COMPUTED_VALUE"""),"Cognitive Systems")</f>
        <v>Cognitive Systems</v>
      </c>
      <c r="G134" s="26" t="str">
        <f>IFERROR(__xludf.DUMMYFUNCTION("""COMPUTED_VALUE"""),"-")</f>
        <v>-</v>
      </c>
      <c r="H134" s="26">
        <f>IFERROR(__xludf.DUMMYFUNCTION("""COMPUTED_VALUE"""),3)</f>
        <v>3</v>
      </c>
      <c r="I134" s="26">
        <f>IFERROR(__xludf.DUMMYFUNCTION("""COMPUTED_VALUE"""),0)</f>
        <v>0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IFERROR(__xludf.DUMMYFUNCTION("""COMPUTED_VALUE"""),"Theory")</f>
        <v>Theory</v>
      </c>
      <c r="M134" s="26"/>
      <c r="N134" s="26"/>
      <c r="O134" s="26"/>
      <c r="P134" s="26"/>
      <c r="Q134" s="26"/>
      <c r="R134" s="26"/>
    </row>
    <row r="135" ht="13.2" spans="1:18">
      <c r="A135" s="26">
        <f>IFERROR(__xludf.DUMMYFUNCTION("""COMPUTED_VALUE"""),132)</f>
        <v>132</v>
      </c>
      <c r="B135" s="26"/>
      <c r="C135" s="26" t="str">
        <f>IFERROR(__xludf.DUMMYFUNCTION("""COMPUTED_VALUE"""),"PE")</f>
        <v>PE</v>
      </c>
      <c r="D135" s="26" t="str">
        <f>IFERROR(__xludf.DUMMYFUNCTION("""COMPUTED_VALUE"""),"CS3519")</f>
        <v>CS3519</v>
      </c>
      <c r="E135" s="26" t="str">
        <f>IFERROR(__xludf.DUMMYFUNCTION("""COMPUTED_VALUE"""),"19AI519")</f>
        <v>19AI519</v>
      </c>
      <c r="F135" s="27" t="str">
        <f>IFERROR(__xludf.DUMMYFUNCTION("""COMPUTED_VALUE"""),"Distributed Database")</f>
        <v>Distributed Database</v>
      </c>
      <c r="G135" s="26" t="str">
        <f>IFERROR(__xludf.DUMMYFUNCTION("""COMPUTED_VALUE"""),"19CS404")</f>
        <v>19CS404</v>
      </c>
      <c r="H135" s="26">
        <f>IFERROR(__xludf.DUMMYFUNCTION("""COMPUTED_VALUE"""),3)</f>
        <v>3</v>
      </c>
      <c r="I135" s="26">
        <f>IFERROR(__xludf.DUMMYFUNCTION("""COMPUTED_VALUE"""),0)</f>
        <v>0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IFERROR(__xludf.DUMMYFUNCTION("""COMPUTED_VALUE"""),"Theory")</f>
        <v>Theory</v>
      </c>
      <c r="M135" s="26"/>
      <c r="N135" s="26"/>
      <c r="O135" s="26"/>
      <c r="P135" s="26"/>
      <c r="Q135" s="26"/>
      <c r="R135" s="26"/>
    </row>
    <row r="136" ht="13.2" spans="1:18">
      <c r="A136" s="26">
        <f>IFERROR(__xludf.DUMMYFUNCTION("""COMPUTED_VALUE"""),133)</f>
        <v>133</v>
      </c>
      <c r="B136" s="26"/>
      <c r="C136" s="26" t="str">
        <f>IFERROR(__xludf.DUMMYFUNCTION("""COMPUTED_VALUE"""),"PE")</f>
        <v>PE</v>
      </c>
      <c r="D136" s="26" t="str">
        <f>IFERROR(__xludf.DUMMYFUNCTION("""COMPUTED_VALUE"""),"CS3520")</f>
        <v>CS3520</v>
      </c>
      <c r="E136" s="26" t="str">
        <f>IFERROR(__xludf.DUMMYFUNCTION("""COMPUTED_VALUE"""),"19AI520")</f>
        <v>19AI520</v>
      </c>
      <c r="F136" s="27" t="str">
        <f>IFERROR(__xludf.DUMMYFUNCTION("""COMPUTED_VALUE"""),"Data Mining and Warehousing")</f>
        <v>Data Mining and Warehousing</v>
      </c>
      <c r="G136" s="26" t="str">
        <f>IFERROR(__xludf.DUMMYFUNCTION("""COMPUTED_VALUE"""),"-")</f>
        <v>-</v>
      </c>
      <c r="H136" s="26">
        <f>IFERROR(__xludf.DUMMYFUNCTION("""COMPUTED_VALUE"""),2)</f>
        <v>2</v>
      </c>
      <c r="I136" s="26">
        <f>IFERROR(__xludf.DUMMYFUNCTION("""COMPUTED_VALUE"""),1)</f>
        <v>1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IFERROR(__xludf.DUMMYFUNCTION("""COMPUTED_VALUE"""),"TIP (6 Expts)")</f>
        <v>TIP (6 Expts)</v>
      </c>
      <c r="M136" s="26"/>
      <c r="N136" s="26"/>
      <c r="O136" s="26"/>
      <c r="P136" s="26"/>
      <c r="Q136" s="26"/>
      <c r="R136" s="26"/>
    </row>
    <row r="137" ht="13.2" spans="1:18">
      <c r="A137" s="26">
        <f>IFERROR(__xludf.DUMMYFUNCTION("""COMPUTED_VALUE"""),134)</f>
        <v>134</v>
      </c>
      <c r="B137" s="26"/>
      <c r="C137" s="26" t="str">
        <f>IFERROR(__xludf.DUMMYFUNCTION("""COMPUTED_VALUE"""),"PE")</f>
        <v>PE</v>
      </c>
      <c r="D137" s="26" t="str">
        <f>IFERROR(__xludf.DUMMYFUNCTION("""COMPUTED_VALUE"""),"CS3523")</f>
        <v>CS3523</v>
      </c>
      <c r="E137" s="26" t="str">
        <f>IFERROR(__xludf.DUMMYFUNCTION("""COMPUTED_VALUE"""),"19AI523")</f>
        <v>19AI523</v>
      </c>
      <c r="F137" s="27" t="str">
        <f>IFERROR(__xludf.DUMMYFUNCTION("""COMPUTED_VALUE"""),"Mobile Database")</f>
        <v>Mobile Database</v>
      </c>
      <c r="G137" s="26" t="str">
        <f>IFERROR(__xludf.DUMMYFUNCTION("""COMPUTED_VALUE"""),"-")</f>
        <v>-</v>
      </c>
      <c r="H137" s="26">
        <f>IFERROR(__xludf.DUMMYFUNCTION("""COMPUTED_VALUE"""),3)</f>
        <v>3</v>
      </c>
      <c r="I137" s="26">
        <f>IFERROR(__xludf.DUMMYFUNCTION("""COMPUTED_VALUE"""),0)</f>
        <v>0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IFERROR(__xludf.DUMMYFUNCTION("""COMPUTED_VALUE"""),"Theory")</f>
        <v>Theory</v>
      </c>
      <c r="M137" s="26"/>
      <c r="N137" s="26"/>
      <c r="O137" s="26"/>
      <c r="P137" s="26"/>
      <c r="Q137" s="26"/>
      <c r="R137" s="26"/>
    </row>
    <row r="138" ht="13.2" spans="1:18">
      <c r="A138" s="26">
        <f>IFERROR(__xludf.DUMMYFUNCTION("""COMPUTED_VALUE"""),135)</f>
        <v>135</v>
      </c>
      <c r="B138" s="26"/>
      <c r="C138" s="26" t="str">
        <f>IFERROR(__xludf.DUMMYFUNCTION("""COMPUTED_VALUE"""),"PE")</f>
        <v>PE</v>
      </c>
      <c r="D138" s="26" t="str">
        <f>IFERROR(__xludf.DUMMYFUNCTION("""COMPUTED_VALUE"""),"CS3524")</f>
        <v>CS3524</v>
      </c>
      <c r="E138" s="26" t="str">
        <f>IFERROR(__xludf.DUMMYFUNCTION("""COMPUTED_VALUE"""),"19AI524")</f>
        <v>19AI524</v>
      </c>
      <c r="F138" s="27" t="str">
        <f>IFERROR(__xludf.DUMMYFUNCTION("""COMPUTED_VALUE"""),"Multimedia Database")</f>
        <v>Multimedia Database</v>
      </c>
      <c r="G138" s="26" t="str">
        <f>IFERROR(__xludf.DUMMYFUNCTION("""COMPUTED_VALUE"""),"19CS410")</f>
        <v>19CS410</v>
      </c>
      <c r="H138" s="26">
        <f>IFERROR(__xludf.DUMMYFUNCTION("""COMPUTED_VALUE"""),3)</f>
        <v>3</v>
      </c>
      <c r="I138" s="26">
        <f>IFERROR(__xludf.DUMMYFUNCTION("""COMPUTED_VALUE"""),0)</f>
        <v>0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IFERROR(__xludf.DUMMYFUNCTION("""COMPUTED_VALUE"""),"Theory")</f>
        <v>Theory</v>
      </c>
      <c r="M138" s="26"/>
      <c r="N138" s="26"/>
      <c r="O138" s="26"/>
      <c r="P138" s="26"/>
      <c r="Q138" s="26"/>
      <c r="R138" s="26"/>
    </row>
    <row r="139" ht="13.2" spans="1:18">
      <c r="A139" s="26">
        <f>IFERROR(__xludf.DUMMYFUNCTION("""COMPUTED_VALUE"""),136)</f>
        <v>136</v>
      </c>
      <c r="B139" s="26"/>
      <c r="C139" s="26" t="str">
        <f>IFERROR(__xludf.DUMMYFUNCTION("""COMPUTED_VALUE"""),"PE")</f>
        <v>PE</v>
      </c>
      <c r="D139" s="26" t="str">
        <f>IFERROR(__xludf.DUMMYFUNCTION("""COMPUTED_VALUE"""),"CS3525")</f>
        <v>CS3525</v>
      </c>
      <c r="E139" s="26" t="str">
        <f>IFERROR(__xludf.DUMMYFUNCTION("""COMPUTED_VALUE"""),"19AI525")</f>
        <v>19AI525</v>
      </c>
      <c r="F139" s="27" t="str">
        <f>IFERROR(__xludf.DUMMYFUNCTION("""COMPUTED_VALUE"""),"Video Processing")</f>
        <v>Video Processing</v>
      </c>
      <c r="G139" s="26" t="str">
        <f>IFERROR(__xludf.DUMMYFUNCTION("""COMPUTED_VALUE"""),"19CS301")</f>
        <v>19CS301</v>
      </c>
      <c r="H139" s="26">
        <f>IFERROR(__xludf.DUMMYFUNCTION("""COMPUTED_VALUE"""),2)</f>
        <v>2</v>
      </c>
      <c r="I139" s="26">
        <f>IFERROR(__xludf.DUMMYFUNCTION("""COMPUTED_VALUE"""),1)</f>
        <v>1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IFERROR(__xludf.DUMMYFUNCTION("""COMPUTED_VALUE"""),"TIP (6 Expts)")</f>
        <v>TIP (6 Expts)</v>
      </c>
      <c r="M139" s="26"/>
      <c r="N139" s="26"/>
      <c r="O139" s="26"/>
      <c r="P139" s="26"/>
      <c r="Q139" s="26"/>
      <c r="R139" s="26"/>
    </row>
    <row r="140" ht="13.2" spans="1:18">
      <c r="A140" s="26">
        <f>IFERROR(__xludf.DUMMYFUNCTION("""COMPUTED_VALUE"""),137)</f>
        <v>137</v>
      </c>
      <c r="B140" s="26"/>
      <c r="C140" s="26" t="str">
        <f>IFERROR(__xludf.DUMMYFUNCTION("""COMPUTED_VALUE"""),"PE")</f>
        <v>PE</v>
      </c>
      <c r="D140" s="26" t="str">
        <f>IFERROR(__xludf.DUMMYFUNCTION("""COMPUTED_VALUE"""),"CS3406")</f>
        <v>CS3406</v>
      </c>
      <c r="E140" s="26" t="str">
        <f>IFERROR(__xludf.DUMMYFUNCTION("""COMPUTED_VALUE"""),"19AI406")</f>
        <v>19AI406</v>
      </c>
      <c r="F140" s="27" t="str">
        <f>IFERROR(__xludf.DUMMYFUNCTION("""COMPUTED_VALUE"""),"Digital Image Processing Techniques")</f>
        <v>Digital Image Processing Techniques</v>
      </c>
      <c r="G140" s="26" t="str">
        <f>IFERROR(__xludf.DUMMYFUNCTION("""COMPUTED_VALUE"""),"-")</f>
        <v>-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  <c r="P140" s="26"/>
      <c r="Q140" s="26"/>
      <c r="R140" s="26"/>
    </row>
    <row r="141" ht="13.2" spans="1:18">
      <c r="A141" s="26">
        <f>IFERROR(__xludf.DUMMYFUNCTION("""COMPUTED_VALUE"""),138)</f>
        <v>138</v>
      </c>
      <c r="B141" s="26"/>
      <c r="C141" s="26" t="str">
        <f>IFERROR(__xludf.DUMMYFUNCTION("""COMPUTED_VALUE"""),"PE")</f>
        <v>PE</v>
      </c>
      <c r="D141" s="26" t="str">
        <f>IFERROR(__xludf.DUMMYFUNCTION("""COMPUTED_VALUE"""),"CS3407")</f>
        <v>CS3407</v>
      </c>
      <c r="E141" s="26" t="str">
        <f>IFERROR(__xludf.DUMMYFUNCTION("""COMPUTED_VALUE"""),"19AI407")</f>
        <v>19AI407</v>
      </c>
      <c r="F141" s="27" t="str">
        <f>IFERROR(__xludf.DUMMYFUNCTION("""COMPUTED_VALUE"""),"Parallel Computing Architecture")</f>
        <v>Parallel Computing Architecture</v>
      </c>
      <c r="G141" s="26" t="str">
        <f>IFERROR(__xludf.DUMMYFUNCTION("""COMPUTED_VALUE"""),"-")</f>
        <v>-</v>
      </c>
      <c r="H141" s="26">
        <f>IFERROR(__xludf.DUMMYFUNCTION("""COMPUTED_VALUE"""),3)</f>
        <v>3</v>
      </c>
      <c r="I141" s="26">
        <f>IFERROR(__xludf.DUMMYFUNCTION("""COMPUTED_VALUE"""),1)</f>
        <v>1</v>
      </c>
      <c r="J141" s="26">
        <f>IFERROR(__xludf.DUMMYFUNCTION("""COMPUTED_VALUE"""),4)</f>
        <v>4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  <c r="P141" s="26"/>
      <c r="Q141" s="26"/>
      <c r="R141" s="26"/>
    </row>
    <row r="142" ht="13.2" spans="1:18">
      <c r="A142" s="26">
        <f>IFERROR(__xludf.DUMMYFUNCTION("""COMPUTED_VALUE"""),139)</f>
        <v>139</v>
      </c>
      <c r="B142" s="26"/>
      <c r="C142" s="26" t="str">
        <f>IFERROR(__xludf.DUMMYFUNCTION("""COMPUTED_VALUE"""),"PE")</f>
        <v>PE</v>
      </c>
      <c r="D142" s="26" t="str">
        <f>IFERROR(__xludf.DUMMYFUNCTION("""COMPUTED_VALUE"""),"CS3412")</f>
        <v>CS3412</v>
      </c>
      <c r="E142" s="26" t="str">
        <f>IFERROR(__xludf.DUMMYFUNCTION("""COMPUTED_VALUE"""),"19AI412")</f>
        <v>19AI412</v>
      </c>
      <c r="F142" s="27" t="str">
        <f>IFERROR(__xludf.DUMMYFUNCTION("""COMPUTED_VALUE"""),"Web Data Mining")</f>
        <v>Web Data Mining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IFERROR(__xludf.DUMMYFUNCTION("""COMPUTED_VALUE"""),1)</f>
        <v>1</v>
      </c>
      <c r="J142" s="26">
        <f>IFERROR(__xludf.DUMMYFUNCTION("""COMPUTED_VALUE"""),4)</f>
        <v>4</v>
      </c>
      <c r="K142" s="26" t="str">
        <f>IFERROR(__xludf.DUMMYFUNCTION("""COMPUTED_VALUE"""),"CGPA")</f>
        <v>CGPA</v>
      </c>
      <c r="L142" s="26" t="str">
        <f>IFERROR(__xludf.DUMMYFUNCTION("""COMPUTED_VALUE"""),"TIP (6 Expts)")</f>
        <v>TIP (6 Expts)</v>
      </c>
      <c r="M142" s="26"/>
      <c r="N142" s="26"/>
      <c r="O142" s="26"/>
      <c r="P142" s="26"/>
      <c r="Q142" s="26"/>
      <c r="R142" s="26"/>
    </row>
    <row r="143" ht="13.2" spans="1:18">
      <c r="A143" s="26">
        <f>IFERROR(__xludf.DUMMYFUNCTION("""COMPUTED_VALUE"""),140)</f>
        <v>140</v>
      </c>
      <c r="B143" s="26"/>
      <c r="C143" s="26" t="str">
        <f>IFERROR(__xludf.DUMMYFUNCTION("""COMPUTED_VALUE"""),"PE")</f>
        <v>PE</v>
      </c>
      <c r="D143" s="26" t="str">
        <f>IFERROR(__xludf.DUMMYFUNCTION("""COMPUTED_VALUE"""),"CS1567")</f>
        <v>CS1567</v>
      </c>
      <c r="E143" s="26" t="str">
        <f>IFERROR(__xludf.DUMMYFUNCTION("""COMPUTED_VALUE"""),"19CS567")</f>
        <v>19CS567</v>
      </c>
      <c r="F143" s="27" t="str">
        <f>IFERROR(__xludf.DUMMYFUNCTION("""COMPUTED_VALUE"""),"Cloud Native App Development")</f>
        <v>Cloud Native App Development</v>
      </c>
      <c r="G143" s="26" t="str">
        <f>IFERROR(__xludf.DUMMYFUNCTION("""COMPUTED_VALUE"""),"-")</f>
        <v>-</v>
      </c>
      <c r="H143" s="26">
        <f>IFERROR(__xludf.DUMMYFUNCTION("""COMPUTED_VALUE"""),2)</f>
        <v>2</v>
      </c>
      <c r="I143" s="26">
        <f>IFERROR(__xludf.DUMMYFUNCTION("""COMPUTED_VALUE"""),1)</f>
        <v>1</v>
      </c>
      <c r="J143" s="26">
        <f>IFERROR(__xludf.DUMMYFUNCTION("""COMPUTED_VALUE"""),3)</f>
        <v>3</v>
      </c>
      <c r="K143" s="26" t="str">
        <f>IFERROR(__xludf.DUMMYFUNCTION("""COMPUTED_VALUE"""),"CGPA")</f>
        <v>CGPA</v>
      </c>
      <c r="L143" s="26" t="str">
        <f>IFERROR(__xludf.DUMMYFUNCTION("""COMPUTED_VALUE"""),"TIP (6 Expts)")</f>
        <v>TIP (6 Expts)</v>
      </c>
      <c r="M143" s="26"/>
      <c r="N143" s="26"/>
      <c r="O143" s="26"/>
      <c r="P143" s="26"/>
      <c r="Q143" s="26"/>
      <c r="R143" s="26"/>
    </row>
    <row r="144" ht="13.2" spans="1:18">
      <c r="A144" s="26">
        <f>IFERROR(__xludf.DUMMYFUNCTION("""COMPUTED_VALUE"""),141)</f>
        <v>141</v>
      </c>
      <c r="B144" s="26"/>
      <c r="C144" s="26" t="str">
        <f>IFERROR(__xludf.DUMMYFUNCTION("""COMPUTED_VALUE"""),"PE")</f>
        <v>PE</v>
      </c>
      <c r="D144" s="26" t="str">
        <f>IFERROR(__xludf.DUMMYFUNCTION("""COMPUTED_VALUE"""),"CS1557")</f>
        <v>CS1557</v>
      </c>
      <c r="E144" s="26" t="str">
        <f>IFERROR(__xludf.DUMMYFUNCTION("""COMPUTED_VALUE"""),"19CS557")</f>
        <v>19CS557</v>
      </c>
      <c r="F144" s="26" t="str">
        <f>IFERROR(__xludf.DUMMYFUNCTION("""COMPUTED_VALUE"""),"Software Defined Networks")</f>
        <v>Software Defined Networks</v>
      </c>
      <c r="G144" s="26" t="str">
        <f>IFERROR(__xludf.DUMMYFUNCTION("""COMPUTED_VALUE"""),"-")</f>
        <v>-</v>
      </c>
      <c r="H144" s="26">
        <f>IFERROR(__xludf.DUMMYFUNCTION("""COMPUTED_VALUE"""),2)</f>
        <v>2</v>
      </c>
      <c r="I144" s="26">
        <f>IFERROR(__xludf.DUMMYFUNCTION("""COMPUTED_VALUE"""),1)</f>
        <v>1</v>
      </c>
      <c r="J144" s="26">
        <f>IFERROR(__xludf.DUMMYFUNCTION("""COMPUTED_VALUE"""),3)</f>
        <v>3</v>
      </c>
      <c r="K144" s="26" t="str">
        <f>IFERROR(__xludf.DUMMYFUNCTION("""COMPUTED_VALUE"""),"CGPA")</f>
        <v>CGPA</v>
      </c>
      <c r="L144" s="26" t="str">
        <f>IFERROR(__xludf.DUMMYFUNCTION("""COMPUTED_VALUE"""),"TIP (6 Expts)")</f>
        <v>TIP (6 Expts)</v>
      </c>
      <c r="M144" s="26"/>
      <c r="N144" s="26"/>
      <c r="O144" s="26"/>
      <c r="P144" s="26"/>
      <c r="Q144" s="26"/>
      <c r="R144" s="26"/>
    </row>
    <row r="145" ht="13.2" spans="1:18">
      <c r="A145" s="26">
        <f>IFERROR(__xludf.DUMMYFUNCTION("""COMPUTED_VALUE"""),142)</f>
        <v>142</v>
      </c>
      <c r="B145" s="26"/>
      <c r="C145" s="26" t="str">
        <f>IFERROR(__xludf.DUMMYFUNCTION("""COMPUTED_VALUE"""),"PE")</f>
        <v>PE</v>
      </c>
      <c r="D145" s="26" t="str">
        <f>IFERROR(__xludf.DUMMYFUNCTION("""COMPUTED_VALUE"""),"CS1556")</f>
        <v>CS1556</v>
      </c>
      <c r="E145" s="26" t="str">
        <f>IFERROR(__xludf.DUMMYFUNCTION("""COMPUTED_VALUE"""),"19CS556")</f>
        <v>19CS556</v>
      </c>
      <c r="F145" s="27" t="str">
        <f>IFERROR(__xludf.DUMMYFUNCTION("""COMPUTED_VALUE"""),"Core Computing Concepts")</f>
        <v>Core Computing Concepts</v>
      </c>
      <c r="G145" s="26" t="str">
        <f>IFERROR(__xludf.DUMMYFUNCTION("""COMPUTED_VALUE"""),"-")</f>
        <v>-</v>
      </c>
      <c r="H145" s="26">
        <f>IFERROR(__xludf.DUMMYFUNCTION("""COMPUTED_VALUE"""),2)</f>
        <v>2</v>
      </c>
      <c r="I145" s="26">
        <f>IFERROR(__xludf.DUMMYFUNCTION("""COMPUTED_VALUE"""),1)</f>
        <v>1</v>
      </c>
      <c r="J145" s="26">
        <f>IFERROR(__xludf.DUMMYFUNCTION("""COMPUTED_VALUE"""),3)</f>
        <v>3</v>
      </c>
      <c r="K145" s="26" t="str">
        <f>IFERROR(__xludf.DUMMYFUNCTION("""COMPUTED_VALUE"""),"CGPA")</f>
        <v>CGPA</v>
      </c>
      <c r="L145" s="26" t="str">
        <f>IFERROR(__xludf.DUMMYFUNCTION("""COMPUTED_VALUE"""),"TIP (6 Expts)")</f>
        <v>TIP (6 Expts)</v>
      </c>
      <c r="M145" s="26"/>
      <c r="N145" s="26"/>
      <c r="O145" s="26"/>
      <c r="P145" s="26"/>
      <c r="Q145" s="26"/>
      <c r="R145" s="26"/>
    </row>
    <row r="146" ht="13.2" spans="1:18">
      <c r="A146" s="26">
        <f>IFERROR(__xludf.DUMMYFUNCTION("""COMPUTED_VALUE"""),143)</f>
        <v>143</v>
      </c>
      <c r="B146" s="26"/>
      <c r="C146" s="26" t="str">
        <f>IFERROR(__xludf.DUMMYFUNCTION("""COMPUTED_VALUE"""),"OE")</f>
        <v>OE</v>
      </c>
      <c r="D146" s="26" t="str">
        <f>IFERROR(__xludf.DUMMYFUNCTION("""COMPUTED_VALUE"""),"XXXXXX")</f>
        <v>XXXXXX</v>
      </c>
      <c r="E146" s="26" t="str">
        <f>IFERROR(__xludf.DUMMYFUNCTION("""COMPUTED_VALUE"""),"19XXXXX")</f>
        <v>19XXXXX</v>
      </c>
      <c r="F146" s="26" t="str">
        <f>IFERROR(__xludf.DUMMYFUNCTION("""COMPUTED_VALUE"""),"Open Electives")</f>
        <v>Open Electives</v>
      </c>
      <c r="G146" s="26" t="str">
        <f>IFERROR(__xludf.DUMMYFUNCTION("""COMPUTED_VALUE"""),"-")</f>
        <v>-</v>
      </c>
      <c r="H146" s="26">
        <f>IFERROR(__xludf.DUMMYFUNCTION("""COMPUTED_VALUE"""),0)</f>
        <v>0</v>
      </c>
      <c r="I146" s="26">
        <f>IFERROR(__xludf.DUMMYFUNCTION("""COMPUTED_VALUE"""),0)</f>
        <v>0</v>
      </c>
      <c r="J146" s="26">
        <f>IFERROR(__xludf.DUMMYFUNCTION("""COMPUTED_VALUE"""),0)</f>
        <v>0</v>
      </c>
      <c r="K146" s="26" t="str">
        <f>IFERROR(__xludf.DUMMYFUNCTION("""COMPUTED_VALUE"""),"CGPA")</f>
        <v>CGPA</v>
      </c>
      <c r="L146" s="26" t="str">
        <f>IFERROR(__xludf.DUMMYFUNCTION("""COMPUTED_VALUE"""),"Theory")</f>
        <v>Theory</v>
      </c>
      <c r="M146" s="26"/>
      <c r="N146" s="26"/>
      <c r="O146" s="26"/>
      <c r="P146" s="26"/>
      <c r="Q146" s="26"/>
      <c r="R146" s="26"/>
    </row>
    <row r="147" ht="13.2" spans="1:18">
      <c r="A147" s="26">
        <f>IFERROR(__xludf.DUMMYFUNCTION("""COMPUTED_VALUE"""),144)</f>
        <v>144</v>
      </c>
      <c r="B147" s="26"/>
      <c r="C147" s="26" t="str">
        <f>IFERROR(__xludf.DUMMYFUNCTION("""COMPUTED_VALUE"""),"OE")</f>
        <v>OE</v>
      </c>
      <c r="D147" s="26" t="str">
        <f>IFERROR(__xludf.DUMMYFUNCTION("""COMPUTED_VALUE"""),"XXXXXX")</f>
        <v>XXXXXX</v>
      </c>
      <c r="E147" s="26" t="str">
        <f>IFERROR(__xludf.DUMMYFUNCTION("""COMPUTED_VALUE"""),"19XXXXX")</f>
        <v>19XXXXX</v>
      </c>
      <c r="F147" s="26" t="str">
        <f>IFERROR(__xludf.DUMMYFUNCTION("""COMPUTED_VALUE"""),"Online Courses")</f>
        <v>Online Courses</v>
      </c>
      <c r="G147" s="26" t="str">
        <f>IFERROR(__xludf.DUMMYFUNCTION("""COMPUTED_VALUE"""),"-")</f>
        <v>-</v>
      </c>
      <c r="H147" s="26">
        <f>IFERROR(__xludf.DUMMYFUNCTION("""COMPUTED_VALUE"""),0)</f>
        <v>0</v>
      </c>
      <c r="I147" s="26">
        <f>IFERROR(__xludf.DUMMYFUNCTION("""COMPUTED_VALUE"""),0)</f>
        <v>0</v>
      </c>
      <c r="J147" s="26">
        <f>IFERROR(__xludf.DUMMYFUNCTION("""COMPUTED_VALUE"""),0)</f>
        <v>0</v>
      </c>
      <c r="K147" s="26" t="str">
        <f>IFERROR(__xludf.DUMMYFUNCTION("""COMPUTED_VALUE"""),"CGPA")</f>
        <v>CGPA</v>
      </c>
      <c r="L147" s="26" t="str">
        <f>IFERROR(__xludf.DUMMYFUNCTION("""COMPUTED_VALUE"""),"Experiential Learning")</f>
        <v>Experiential Learning</v>
      </c>
      <c r="M147" s="26"/>
      <c r="N147" s="26"/>
      <c r="O147" s="26"/>
      <c r="P147" s="26"/>
      <c r="Q147" s="26"/>
      <c r="R147" s="26"/>
    </row>
    <row r="148" ht="13.2" spans="1:18">
      <c r="A148" s="26">
        <f>IFERROR(__xludf.DUMMYFUNCTION("""COMPUTED_VALUE"""),145)</f>
        <v>145</v>
      </c>
      <c r="B148" s="26"/>
      <c r="C148" s="26" t="str">
        <f>IFERROR(__xludf.DUMMYFUNCTION("""COMPUTED_VALUE"""),"EEC")</f>
        <v>EEC</v>
      </c>
      <c r="D148" s="26" t="str">
        <f>IFERROR(__xludf.DUMMYFUNCTION("""COMPUTED_VALUE"""),"CS3701")</f>
        <v>CS3701</v>
      </c>
      <c r="E148" s="26" t="str">
        <f>IFERROR(__xludf.DUMMYFUNCTION("""COMPUTED_VALUE"""),"19AI701")</f>
        <v>19AI701</v>
      </c>
      <c r="F148" s="27" t="str">
        <f>IFERROR(__xludf.DUMMYFUNCTION("""COMPUTED_VALUE"""),"Mini Project")</f>
        <v>Mini Project</v>
      </c>
      <c r="G148" s="26" t="str">
        <f>IFERROR(__xludf.DUMMYFUNCTION("""COMPUTED_VALUE"""),"-")</f>
        <v>-</v>
      </c>
      <c r="H148" s="26">
        <f>IFERROR(__xludf.DUMMYFUNCTION("""COMPUTED_VALUE"""),0)</f>
        <v>0</v>
      </c>
      <c r="I148" s="26">
        <f>IFERROR(__xludf.DUMMYFUNCTION("""COMPUTED_VALUE"""),2)</f>
        <v>2</v>
      </c>
      <c r="J148" s="26">
        <f>IFERROR(__xludf.DUMMYFUNCTION("""COMPUTED_VALUE"""),2)</f>
        <v>2</v>
      </c>
      <c r="K148" s="26" t="str">
        <f>IFERROR(__xludf.DUMMYFUNCTION("""COMPUTED_VALUE"""),"CGPA")</f>
        <v>CGPA</v>
      </c>
      <c r="L148" s="26" t="str">
        <f>IFERROR(__xludf.DUMMYFUNCTION("""COMPUTED_VALUE"""),"Project (Int Only)")</f>
        <v>Project (Int Only)</v>
      </c>
      <c r="M148" s="26"/>
      <c r="N148" s="26"/>
      <c r="O148" s="26"/>
      <c r="P148" s="26"/>
      <c r="Q148" s="26"/>
      <c r="R148" s="26"/>
    </row>
    <row r="149" ht="13.2" spans="1:18">
      <c r="A149" s="26">
        <f>IFERROR(__xludf.DUMMYFUNCTION("""COMPUTED_VALUE"""),146)</f>
        <v>146</v>
      </c>
      <c r="B149" s="26"/>
      <c r="C149" s="26" t="str">
        <f>IFERROR(__xludf.DUMMYFUNCTION("""COMPUTED_VALUE"""),"EEC")</f>
        <v>EEC</v>
      </c>
      <c r="D149" s="26" t="str">
        <f>IFERROR(__xludf.DUMMYFUNCTION("""COMPUTED_VALUE"""),"CS3702")</f>
        <v>CS3702</v>
      </c>
      <c r="E149" s="26" t="str">
        <f>IFERROR(__xludf.DUMMYFUNCTION("""COMPUTED_VALUE"""),"19AI702")</f>
        <v>19AI702</v>
      </c>
      <c r="F149" s="27" t="str">
        <f>IFERROR(__xludf.DUMMYFUNCTION("""COMPUTED_VALUE"""),"Project Work I")</f>
        <v>Project Work I</v>
      </c>
      <c r="G149" s="26" t="str">
        <f>IFERROR(__xludf.DUMMYFUNCTION("""COMPUTED_VALUE"""),"-")</f>
        <v>-</v>
      </c>
      <c r="H149" s="26">
        <f>IFERROR(__xludf.DUMMYFUNCTION("""COMPUTED_VALUE"""),0)</f>
        <v>0</v>
      </c>
      <c r="I149" s="26">
        <f>IFERROR(__xludf.DUMMYFUNCTION("""COMPUTED_VALUE"""),2)</f>
        <v>2</v>
      </c>
      <c r="J149" s="26">
        <f>IFERROR(__xludf.DUMMYFUNCTION("""COMPUTED_VALUE"""),2)</f>
        <v>2</v>
      </c>
      <c r="K149" s="26" t="str">
        <f>IFERROR(__xludf.DUMMYFUNCTION("""COMPUTED_VALUE"""),"CGPA")</f>
        <v>CGPA</v>
      </c>
      <c r="L149" s="26" t="str">
        <f>IFERROR(__xludf.DUMMYFUNCTION("""COMPUTED_VALUE"""),"Practical (10 Expts)")</f>
        <v>Practical (10 Expts)</v>
      </c>
      <c r="M149" s="26"/>
      <c r="N149" s="26"/>
      <c r="O149" s="26"/>
      <c r="P149" s="26"/>
      <c r="Q149" s="26"/>
      <c r="R149" s="26"/>
    </row>
    <row r="150" ht="13.2" spans="1:18">
      <c r="A150" s="26">
        <f>IFERROR(__xludf.DUMMYFUNCTION("""COMPUTED_VALUE"""),147)</f>
        <v>147</v>
      </c>
      <c r="B150" s="26"/>
      <c r="C150" s="26" t="str">
        <f>IFERROR(__xludf.DUMMYFUNCTION("""COMPUTED_VALUE"""),"EEC")</f>
        <v>EEC</v>
      </c>
      <c r="D150" s="26" t="str">
        <f>IFERROR(__xludf.DUMMYFUNCTION("""COMPUTED_VALUE"""),"CS3703")</f>
        <v>CS3703</v>
      </c>
      <c r="E150" s="26" t="str">
        <f>IFERROR(__xludf.DUMMYFUNCTION("""COMPUTED_VALUE"""),"19AI703")</f>
        <v>19AI703</v>
      </c>
      <c r="F150" s="27" t="str">
        <f>IFERROR(__xludf.DUMMYFUNCTION("""COMPUTED_VALUE"""),"Project Work II")</f>
        <v>Project Work II</v>
      </c>
      <c r="G150" s="26" t="str">
        <f>IFERROR(__xludf.DUMMYFUNCTION("""COMPUTED_VALUE"""),"19AI702")</f>
        <v>19AI702</v>
      </c>
      <c r="H150" s="26">
        <f>IFERROR(__xludf.DUMMYFUNCTION("""COMPUTED_VALUE"""),0)</f>
        <v>0</v>
      </c>
      <c r="I150" s="26">
        <f>IFERROR(__xludf.DUMMYFUNCTION("""COMPUTED_VALUE"""),6)</f>
        <v>6</v>
      </c>
      <c r="J150" s="26">
        <f>IFERROR(__xludf.DUMMYFUNCTION("""COMPUTED_VALUE"""),6)</f>
        <v>6</v>
      </c>
      <c r="K150" s="26" t="str">
        <f>IFERROR(__xludf.DUMMYFUNCTION("""COMPUTED_VALUE"""),"CGPA")</f>
        <v>CGPA</v>
      </c>
      <c r="L150" s="26" t="str">
        <f>IFERROR(__xludf.DUMMYFUNCTION("""COMPUTED_VALUE"""),"Project")</f>
        <v>Project</v>
      </c>
      <c r="M150" s="26"/>
      <c r="N150" s="26"/>
      <c r="O150" s="26"/>
      <c r="P150" s="26"/>
      <c r="Q150" s="26"/>
      <c r="R150" s="26"/>
    </row>
    <row r="151" ht="13.2" spans="1:18">
      <c r="A151" s="26">
        <f>IFERROR(__xludf.DUMMYFUNCTION("""COMPUTED_VALUE"""),148)</f>
        <v>148</v>
      </c>
      <c r="B151" s="26" t="str">
        <f>IFERROR(__xludf.DUMMYFUNCTION("""COMPUTED_VALUE"""),"Any 1")</f>
        <v>Any 1</v>
      </c>
      <c r="C151" s="26" t="str">
        <f>IFERROR(__xludf.DUMMYFUNCTION("""COMPUTED_VALUE"""),"EEC")</f>
        <v>EEC</v>
      </c>
      <c r="D151" s="26" t="str">
        <f>IFERROR(__xludf.DUMMYFUNCTION("""COMPUTED_VALUE"""),"NA")</f>
        <v>NA</v>
      </c>
      <c r="E151" s="26" t="str">
        <f>IFERROR(__xludf.DUMMYFUNCTION("""COMPUTED_VALUE"""),"19EY701")</f>
        <v>19EY701</v>
      </c>
      <c r="F151" s="27" t="str">
        <f>IFERROR(__xludf.DUMMYFUNCTION("""COMPUTED_VALUE"""),"Softskills")</f>
        <v>Softskills</v>
      </c>
      <c r="G151" s="26" t="str">
        <f>IFERROR(__xludf.DUMMYFUNCTION("""COMPUTED_VALUE"""),"-")</f>
        <v>-</v>
      </c>
      <c r="H151" s="26">
        <f>IFERROR(__xludf.DUMMYFUNCTION("""COMPUTED_VALUE"""),0)</f>
        <v>0</v>
      </c>
      <c r="I151" s="26">
        <f>IFERROR(__xludf.DUMMYFUNCTION("""COMPUTED_VALUE"""),1)</f>
        <v>1</v>
      </c>
      <c r="J151" s="26">
        <f>IFERROR(__xludf.DUMMYFUNCTION("""COMPUTED_VALUE"""),1)</f>
        <v>1</v>
      </c>
      <c r="K151" s="26" t="str">
        <f>IFERROR(__xludf.DUMMYFUNCTION("""COMPUTED_VALUE"""),"CGPA")</f>
        <v>CGPA</v>
      </c>
      <c r="L151" s="26" t="str">
        <f>IFERROR(__xludf.DUMMYFUNCTION("""COMPUTED_VALUE"""),"Practical (6 Expts)")</f>
        <v>Practical (6 Expts)</v>
      </c>
      <c r="M151" s="26"/>
      <c r="N151" s="26"/>
      <c r="O151" s="26"/>
      <c r="P151" s="26"/>
      <c r="Q151" s="26"/>
      <c r="R151" s="26"/>
    </row>
    <row r="152" ht="13.2" spans="1:18">
      <c r="A152" s="26">
        <f>IFERROR(__xludf.DUMMYFUNCTION("""COMPUTED_VALUE"""),149)</f>
        <v>149</v>
      </c>
      <c r="B152" s="26" t="str">
        <f>IFERROR(__xludf.DUMMYFUNCTION("""COMPUTED_VALUE"""),"Any 1")</f>
        <v>Any 1</v>
      </c>
      <c r="C152" s="26" t="str">
        <f>IFERROR(__xludf.DUMMYFUNCTION("""COMPUTED_VALUE"""),"EEC")</f>
        <v>EEC</v>
      </c>
      <c r="D152" s="26" t="str">
        <f>IFERROR(__xludf.DUMMYFUNCTION("""COMPUTED_VALUE"""),"SH6708")</f>
        <v>SH6708</v>
      </c>
      <c r="E152" s="26" t="str">
        <f>IFERROR(__xludf.DUMMYFUNCTION("""COMPUTED_VALUE"""),"19EY708")</f>
        <v>19EY708</v>
      </c>
      <c r="F152" s="27" t="str">
        <f>IFERROR(__xludf.DUMMYFUNCTION("""COMPUTED_VALUE"""),"Career Development Skills")</f>
        <v>Career Development Skills</v>
      </c>
      <c r="G152" s="26" t="str">
        <f>IFERROR(__xludf.DUMMYFUNCTION("""COMPUTED_VALUE"""),"NIL")</f>
        <v>NIL</v>
      </c>
      <c r="H152" s="26">
        <f>IFERROR(__xludf.DUMMYFUNCTION("""COMPUTED_VALUE"""),1)</f>
        <v>1</v>
      </c>
      <c r="I152" s="26">
        <f>IFERROR(__xludf.DUMMYFUNCTION("""COMPUTED_VALUE"""),0)</f>
        <v>0</v>
      </c>
      <c r="J152" s="26">
        <f>IFERROR(__xludf.DUMMYFUNCTION("""COMPUTED_VALUE"""),1)</f>
        <v>1</v>
      </c>
      <c r="K152" s="26" t="str">
        <f>IFERROR(__xludf.DUMMYFUNCTION("""COMPUTED_VALUE"""),"CGPA")</f>
        <v>CGPA</v>
      </c>
      <c r="L152" s="26" t="str">
        <f>IFERROR(__xludf.DUMMYFUNCTION("""COMPUTED_VALUE"""),"Theory (Int Only)")</f>
        <v>Theory (Int Only)</v>
      </c>
      <c r="M152" s="26"/>
      <c r="N152" s="26"/>
      <c r="O152" s="26"/>
      <c r="P152" s="26"/>
      <c r="Q152" s="26"/>
      <c r="R152" s="26"/>
    </row>
    <row r="153" ht="13.2" spans="1:18">
      <c r="A153" s="26">
        <f>IFERROR(__xludf.DUMMYFUNCTION("""COMPUTED_VALUE"""),150)</f>
        <v>150</v>
      </c>
      <c r="B153" s="26" t="str">
        <f>IFERROR(__xludf.DUMMYFUNCTION("""COMPUTED_VALUE"""),"Any 1")</f>
        <v>Any 1</v>
      </c>
      <c r="C153" s="26" t="str">
        <f>IFERROR(__xludf.DUMMYFUNCTION("""COMPUTED_VALUE"""),"EEC")</f>
        <v>EEC</v>
      </c>
      <c r="D153" s="26" t="str">
        <f>IFERROR(__xludf.DUMMYFUNCTION("""COMPUTED_VALUE"""),"NA")</f>
        <v>NA</v>
      </c>
      <c r="E153" s="26" t="str">
        <f>IFERROR(__xludf.DUMMYFUNCTION("""COMPUTED_VALUE"""),"19EY702")</f>
        <v>19EY702</v>
      </c>
      <c r="F153" s="27" t="str">
        <f>IFERROR(__xludf.DUMMYFUNCTION("""COMPUTED_VALUE"""),"Creative Skills for Communication")</f>
        <v>Creative Skills for Communication</v>
      </c>
      <c r="G153" s="26" t="str">
        <f>IFERROR(__xludf.DUMMYFUNCTION("""COMPUTED_VALUE"""),"-")</f>
        <v>-</v>
      </c>
      <c r="H153" s="26">
        <f>IFERROR(__xludf.DUMMYFUNCTION("""COMPUTED_VALUE"""),0)</f>
        <v>0</v>
      </c>
      <c r="I153" s="26">
        <f>IFERROR(__xludf.DUMMYFUNCTION("""COMPUTED_VALUE"""),1)</f>
        <v>1</v>
      </c>
      <c r="J153" s="26">
        <f>IFERROR(__xludf.DUMMYFUNCTION("""COMPUTED_VALUE"""),1)</f>
        <v>1</v>
      </c>
      <c r="K153" s="26" t="str">
        <f>IFERROR(__xludf.DUMMYFUNCTION("""COMPUTED_VALUE"""),"CGPA")</f>
        <v>CGPA</v>
      </c>
      <c r="L153" s="26" t="str">
        <f>IFERROR(__xludf.DUMMYFUNCTION("""COMPUTED_VALUE"""),"Practical (6 Expts)")</f>
        <v>Practical (6 Expts)</v>
      </c>
      <c r="M153" s="26"/>
      <c r="N153" s="26"/>
      <c r="O153" s="26"/>
      <c r="P153" s="26"/>
      <c r="Q153" s="26"/>
      <c r="R153" s="26"/>
    </row>
    <row r="154" ht="13.2" spans="1:18">
      <c r="A154" s="26">
        <f>IFERROR(__xludf.DUMMYFUNCTION("""COMPUTED_VALUE"""),151)</f>
        <v>151</v>
      </c>
      <c r="B154" s="26" t="str">
        <f>IFERROR(__xludf.DUMMYFUNCTION("""COMPUTED_VALUE"""),"Any 1")</f>
        <v>Any 1</v>
      </c>
      <c r="C154" s="26" t="str">
        <f>IFERROR(__xludf.DUMMYFUNCTION("""COMPUTED_VALUE"""),"EEC")</f>
        <v>EEC</v>
      </c>
      <c r="D154" s="26" t="str">
        <f>IFERROR(__xludf.DUMMYFUNCTION("""COMPUTED_VALUE"""),"SH6709")</f>
        <v>SH6709</v>
      </c>
      <c r="E154" s="26" t="str">
        <f>IFERROR(__xludf.DUMMYFUNCTION("""COMPUTED_VALUE"""),"19EY709")</f>
        <v>19EY709</v>
      </c>
      <c r="F154" s="27" t="str">
        <f>IFERROR(__xludf.DUMMYFUNCTION("""COMPUTED_VALUE"""),"Reasoning Ability")</f>
        <v>Reasoning Ability</v>
      </c>
      <c r="G154" s="26" t="str">
        <f>IFERROR(__xludf.DUMMYFUNCTION("""COMPUTED_VALUE"""),"NIL")</f>
        <v>NIL</v>
      </c>
      <c r="H154" s="26">
        <f>IFERROR(__xludf.DUMMYFUNCTION("""COMPUTED_VALUE"""),1)</f>
        <v>1</v>
      </c>
      <c r="I154" s="26">
        <f>IFERROR(__xludf.DUMMYFUNCTION("""COMPUTED_VALUE"""),0)</f>
        <v>0</v>
      </c>
      <c r="J154" s="26">
        <f>IFERROR(__xludf.DUMMYFUNCTION("""COMPUTED_VALUE"""),1)</f>
        <v>1</v>
      </c>
      <c r="K154" s="26" t="str">
        <f>IFERROR(__xludf.DUMMYFUNCTION("""COMPUTED_VALUE"""),"CGPA")</f>
        <v>CGPA</v>
      </c>
      <c r="L154" s="26" t="str">
        <f>IFERROR(__xludf.DUMMYFUNCTION("""COMPUTED_VALUE"""),"Theory (Int Only)")</f>
        <v>Theory (Int Only)</v>
      </c>
      <c r="M154" s="26"/>
      <c r="N154" s="26"/>
      <c r="O154" s="26"/>
      <c r="P154" s="26"/>
      <c r="Q154" s="26"/>
      <c r="R154" s="26"/>
    </row>
    <row r="155" ht="13.2" spans="1:18">
      <c r="A155" s="26">
        <f>IFERROR(__xludf.DUMMYFUNCTION("""COMPUTED_VALUE"""),152)</f>
        <v>152</v>
      </c>
      <c r="B155" s="26" t="str">
        <f>IFERROR(__xludf.DUMMYFUNCTION("""COMPUTED_VALUE"""),"Option 1")</f>
        <v>Option 1</v>
      </c>
      <c r="C155" s="26" t="str">
        <f>IFERROR(__xludf.DUMMYFUNCTION("""COMPUTED_VALUE"""),"EEC")</f>
        <v>EEC</v>
      </c>
      <c r="D155" s="26" t="str">
        <f>IFERROR(__xludf.DUMMYFUNCTION("""COMPUTED_VALUE"""),"NA")</f>
        <v>NA</v>
      </c>
      <c r="E155" s="26" t="str">
        <f>IFERROR(__xludf.DUMMYFUNCTION("""COMPUTED_VALUE"""),"19EY703")</f>
        <v>19EY703</v>
      </c>
      <c r="F155" s="27" t="str">
        <f>IFERROR(__xludf.DUMMYFUNCTION("""COMPUTED_VALUE"""),"System of Numerical and Logical Terminologies")</f>
        <v>System of Numerical and Logical Terminologies</v>
      </c>
      <c r="G155" s="26" t="str">
        <f>IFERROR(__xludf.DUMMYFUNCTION("""COMPUTED_VALUE"""),"-")</f>
        <v>-</v>
      </c>
      <c r="H155" s="26">
        <f>IFERROR(__xludf.DUMMYFUNCTION("""COMPUTED_VALUE"""),0)</f>
        <v>0</v>
      </c>
      <c r="I155" s="26">
        <f>IFERROR(__xludf.DUMMYFUNCTION("""COMPUTED_VALUE"""),1)</f>
        <v>1</v>
      </c>
      <c r="J155" s="26">
        <f>IFERROR(__xludf.DUMMYFUNCTION("""COMPUTED_VALUE"""),1)</f>
        <v>1</v>
      </c>
      <c r="K155" s="26" t="str">
        <f>IFERROR(__xludf.DUMMYFUNCTION("""COMPUTED_VALUE"""),"CGPA")</f>
        <v>CGPA</v>
      </c>
      <c r="L155" s="26" t="str">
        <f>IFERROR(__xludf.DUMMYFUNCTION("""COMPUTED_VALUE"""),"Practical (6 Expts)")</f>
        <v>Practical (6 Expts)</v>
      </c>
      <c r="M155" s="26"/>
      <c r="N155" s="26"/>
      <c r="O155" s="26"/>
      <c r="P155" s="26"/>
      <c r="Q155" s="26"/>
      <c r="R155" s="26"/>
    </row>
    <row r="156" ht="13.2" spans="1:18">
      <c r="A156" s="26">
        <f>IFERROR(__xludf.DUMMYFUNCTION("""COMPUTED_VALUE"""),153)</f>
        <v>153</v>
      </c>
      <c r="B156" s="26" t="str">
        <f>IFERROR(__xludf.DUMMYFUNCTION("""COMPUTED_VALUE"""),"Option 1")</f>
        <v>Option 1</v>
      </c>
      <c r="C156" s="26" t="str">
        <f>IFERROR(__xludf.DUMMYFUNCTION("""COMPUTED_VALUE"""),"EEC")</f>
        <v>EEC</v>
      </c>
      <c r="D156" s="26" t="str">
        <f>IFERROR(__xludf.DUMMYFUNCTION("""COMPUTED_VALUE"""),"NA")</f>
        <v>NA</v>
      </c>
      <c r="E156" s="26" t="str">
        <f>IFERROR(__xludf.DUMMYFUNCTION("""COMPUTED_VALUE"""),"19EY704")</f>
        <v>19EY704</v>
      </c>
      <c r="F156" s="27" t="str">
        <f>IFERROR(__xludf.DUMMYFUNCTION("""COMPUTED_VALUE"""),"Advanced Quantitative and Logical Reasoning")</f>
        <v>Advanced Quantitative and Logical Reasoning</v>
      </c>
      <c r="G156" s="26" t="str">
        <f>IFERROR(__xludf.DUMMYFUNCTION("""COMPUTED_VALUE"""),"-")</f>
        <v>-</v>
      </c>
      <c r="H156" s="26">
        <f>IFERROR(__xludf.DUMMYFUNCTION("""COMPUTED_VALUE"""),0)</f>
        <v>0</v>
      </c>
      <c r="I156" s="26">
        <f>IFERROR(__xludf.DUMMYFUNCTION("""COMPUTED_VALUE"""),1)</f>
        <v>1</v>
      </c>
      <c r="J156" s="26">
        <f>IFERROR(__xludf.DUMMYFUNCTION("""COMPUTED_VALUE"""),1)</f>
        <v>1</v>
      </c>
      <c r="K156" s="26" t="str">
        <f>IFERROR(__xludf.DUMMYFUNCTION("""COMPUTED_VALUE"""),"CGPA")</f>
        <v>CGPA</v>
      </c>
      <c r="L156" s="26" t="str">
        <f>IFERROR(__xludf.DUMMYFUNCTION("""COMPUTED_VALUE"""),"Practical (6 Expts)")</f>
        <v>Practical (6 Expts)</v>
      </c>
      <c r="M156" s="26"/>
      <c r="N156" s="26"/>
      <c r="O156" s="26"/>
      <c r="P156" s="26"/>
      <c r="Q156" s="26"/>
      <c r="R156" s="26"/>
    </row>
    <row r="157" ht="13.2" spans="1:18">
      <c r="A157" s="26">
        <f>IFERROR(__xludf.DUMMYFUNCTION("""COMPUTED_VALUE"""),154)</f>
        <v>154</v>
      </c>
      <c r="B157" s="26" t="str">
        <f>IFERROR(__xludf.DUMMYFUNCTION("""COMPUTED_VALUE"""),"Option 2")</f>
        <v>Option 2</v>
      </c>
      <c r="C157" s="26" t="str">
        <f>IFERROR(__xludf.DUMMYFUNCTION("""COMPUTED_VALUE"""),"EEC")</f>
        <v>EEC</v>
      </c>
      <c r="D157" s="26" t="str">
        <f>IFERROR(__xludf.DUMMYFUNCTION("""COMPUTED_VALUE"""),"SH6710")</f>
        <v>SH6710</v>
      </c>
      <c r="E157" s="26" t="str">
        <f>IFERROR(__xludf.DUMMYFUNCTION("""COMPUTED_VALUE"""),"19EY710")</f>
        <v>19EY710</v>
      </c>
      <c r="F157" s="27" t="str">
        <f>IFERROR(__xludf.DUMMYFUNCTION("""COMPUTED_VALUE"""),"Quantitative Ability I")</f>
        <v>Quantitative Ability I</v>
      </c>
      <c r="G157" s="26" t="str">
        <f>IFERROR(__xludf.DUMMYFUNCTION("""COMPUTED_VALUE"""),"NIL")</f>
        <v>NIL</v>
      </c>
      <c r="H157" s="26">
        <f>IFERROR(__xludf.DUMMYFUNCTION("""COMPUTED_VALUE"""),1)</f>
        <v>1</v>
      </c>
      <c r="I157" s="26">
        <f>IFERROR(__xludf.DUMMYFUNCTION("""COMPUTED_VALUE"""),0)</f>
        <v>0</v>
      </c>
      <c r="J157" s="26">
        <f>IFERROR(__xludf.DUMMYFUNCTION("""COMPUTED_VALUE"""),1)</f>
        <v>1</v>
      </c>
      <c r="K157" s="26" t="str">
        <f>IFERROR(__xludf.DUMMYFUNCTION("""COMPUTED_VALUE"""),"CGPA")</f>
        <v>CGPA</v>
      </c>
      <c r="L157" s="26" t="str">
        <f>IFERROR(__xludf.DUMMYFUNCTION("""COMPUTED_VALUE"""),"Theory (Int Only)")</f>
        <v>Theory (Int Only)</v>
      </c>
      <c r="M157" s="26"/>
      <c r="N157" s="26"/>
      <c r="O157" s="26"/>
      <c r="P157" s="26"/>
      <c r="Q157" s="26"/>
      <c r="R157" s="26"/>
    </row>
    <row r="158" ht="13.2" spans="1:18">
      <c r="A158" s="26">
        <f>IFERROR(__xludf.DUMMYFUNCTION("""COMPUTED_VALUE"""),155)</f>
        <v>155</v>
      </c>
      <c r="B158" s="26" t="str">
        <f>IFERROR(__xludf.DUMMYFUNCTION("""COMPUTED_VALUE"""),"Option 2")</f>
        <v>Option 2</v>
      </c>
      <c r="C158" s="26" t="str">
        <f>IFERROR(__xludf.DUMMYFUNCTION("""COMPUTED_VALUE"""),"EEC")</f>
        <v>EEC</v>
      </c>
      <c r="D158" s="26" t="str">
        <f>IFERROR(__xludf.DUMMYFUNCTION("""COMPUTED_VALUE"""),"SH6711")</f>
        <v>SH6711</v>
      </c>
      <c r="E158" s="26" t="str">
        <f>IFERROR(__xludf.DUMMYFUNCTION("""COMPUTED_VALUE"""),"19EY711")</f>
        <v>19EY711</v>
      </c>
      <c r="F158" s="27" t="str">
        <f>IFERROR(__xludf.DUMMYFUNCTION("""COMPUTED_VALUE"""),"Quantitative Ability II")</f>
        <v>Quantitative Ability II</v>
      </c>
      <c r="G158" s="26" t="str">
        <f>IFERROR(__xludf.DUMMYFUNCTION("""COMPUTED_VALUE"""),"SH6710 /19EY710")</f>
        <v>SH6710 /19EY710</v>
      </c>
      <c r="H158" s="26">
        <f>IFERROR(__xludf.DUMMYFUNCTION("""COMPUTED_VALUE"""),1)</f>
        <v>1</v>
      </c>
      <c r="I158" s="26">
        <f>IFERROR(__xludf.DUMMYFUNCTION("""COMPUTED_VALUE"""),0)</f>
        <v>0</v>
      </c>
      <c r="J158" s="26">
        <f>IFERROR(__xludf.DUMMYFUNCTION("""COMPUTED_VALUE"""),1)</f>
        <v>1</v>
      </c>
      <c r="K158" s="26" t="str">
        <f>IFERROR(__xludf.DUMMYFUNCTION("""COMPUTED_VALUE"""),"CGPA")</f>
        <v>CGPA</v>
      </c>
      <c r="L158" s="26" t="str">
        <f>IFERROR(__xludf.DUMMYFUNCTION("""COMPUTED_VALUE"""),"Theory (Int Only)")</f>
        <v>Theory (Int Only)</v>
      </c>
      <c r="M158" s="26"/>
      <c r="N158" s="26"/>
      <c r="O158" s="26"/>
      <c r="P158" s="26"/>
      <c r="Q158" s="26"/>
      <c r="R158" s="26"/>
    </row>
    <row r="159" ht="13.2" spans="1:18">
      <c r="A159" s="26">
        <f>IFERROR(__xludf.DUMMYFUNCTION("""COMPUTED_VALUE"""),156)</f>
        <v>156</v>
      </c>
      <c r="B159" s="26" t="str">
        <f>IFERROR(__xludf.DUMMYFUNCTION("""COMPUTED_VALUE"""),"Any 1")</f>
        <v>Any 1</v>
      </c>
      <c r="C159" s="26" t="str">
        <f>IFERROR(__xludf.DUMMYFUNCTION("""COMPUTED_VALUE"""),"EEC")</f>
        <v>EEC</v>
      </c>
      <c r="D159" s="26" t="str">
        <f>IFERROR(__xludf.DUMMYFUNCTION("""COMPUTED_VALUE"""),"NA")</f>
        <v>NA</v>
      </c>
      <c r="E159" s="26" t="str">
        <f>IFERROR(__xludf.DUMMYFUNCTION("""COMPUTED_VALUE"""),"19EY705")</f>
        <v>19EY705</v>
      </c>
      <c r="F159" s="27" t="str">
        <f>IFERROR(__xludf.DUMMYFUNCTION("""COMPUTED_VALUE"""),"Employment Enhancement Skills")</f>
        <v>Employment Enhancement Skills</v>
      </c>
      <c r="G159" s="26" t="str">
        <f>IFERROR(__xludf.DUMMYFUNCTION("""COMPUTED_VALUE"""),"-")</f>
        <v>-</v>
      </c>
      <c r="H159" s="26">
        <f>IFERROR(__xludf.DUMMYFUNCTION("""COMPUTED_VALUE"""),0)</f>
        <v>0</v>
      </c>
      <c r="I159" s="26">
        <f>IFERROR(__xludf.DUMMYFUNCTION("""COMPUTED_VALUE"""),1)</f>
        <v>1</v>
      </c>
      <c r="J159" s="26">
        <f>IFERROR(__xludf.DUMMYFUNCTION("""COMPUTED_VALUE"""),1)</f>
        <v>1</v>
      </c>
      <c r="K159" s="26" t="str">
        <f>IFERROR(__xludf.DUMMYFUNCTION("""COMPUTED_VALUE"""),"CGPA")</f>
        <v>CGPA</v>
      </c>
      <c r="L159" s="26" t="str">
        <f>IFERROR(__xludf.DUMMYFUNCTION("""COMPUTED_VALUE"""),"Practical (6 Expts)")</f>
        <v>Practical (6 Expts)</v>
      </c>
      <c r="M159" s="26"/>
      <c r="N159" s="26"/>
      <c r="O159" s="26"/>
      <c r="P159" s="26"/>
      <c r="Q159" s="26"/>
      <c r="R159" s="26"/>
    </row>
    <row r="160" ht="13.2" spans="1:18">
      <c r="A160" s="26">
        <f>IFERROR(__xludf.DUMMYFUNCTION("""COMPUTED_VALUE"""),157)</f>
        <v>157</v>
      </c>
      <c r="B160" s="26" t="str">
        <f>IFERROR(__xludf.DUMMYFUNCTION("""COMPUTED_VALUE"""),"Any 1")</f>
        <v>Any 1</v>
      </c>
      <c r="C160" s="26" t="str">
        <f>IFERROR(__xludf.DUMMYFUNCTION("""COMPUTED_VALUE"""),"EEC")</f>
        <v>EEC</v>
      </c>
      <c r="D160" s="26" t="str">
        <f>IFERROR(__xludf.DUMMYFUNCTION("""COMPUTED_VALUE"""),"SH6712")</f>
        <v>SH6712</v>
      </c>
      <c r="E160" s="26" t="str">
        <f>IFERROR(__xludf.DUMMYFUNCTION("""COMPUTED_VALUE"""),"19EY712")</f>
        <v>19EY712</v>
      </c>
      <c r="F160" s="27" t="str">
        <f>IFERROR(__xludf.DUMMYFUNCTION("""COMPUTED_VALUE"""),"Employment Enrichment Skills")</f>
        <v>Employment Enrichment Skills</v>
      </c>
      <c r="G160" s="26" t="str">
        <f>IFERROR(__xludf.DUMMYFUNCTION("""COMPUTED_VALUE"""),"19EY702 / 19EY709 / SH6709")</f>
        <v>19EY702 / 19EY709 / SH6709</v>
      </c>
      <c r="H160" s="26">
        <f>IFERROR(__xludf.DUMMYFUNCTION("""COMPUTED_VALUE"""),1)</f>
        <v>1</v>
      </c>
      <c r="I160" s="26">
        <f>IFERROR(__xludf.DUMMYFUNCTION("""COMPUTED_VALUE"""),0)</f>
        <v>0</v>
      </c>
      <c r="J160" s="26">
        <f>IFERROR(__xludf.DUMMYFUNCTION("""COMPUTED_VALUE"""),1)</f>
        <v>1</v>
      </c>
      <c r="K160" s="26" t="str">
        <f>IFERROR(__xludf.DUMMYFUNCTION("""COMPUTED_VALUE"""),"CGPA")</f>
        <v>CGPA</v>
      </c>
      <c r="L160" s="26" t="str">
        <f>IFERROR(__xludf.DUMMYFUNCTION("""COMPUTED_VALUE"""),"Theory (Int Only)")</f>
        <v>Theory (Int Only)</v>
      </c>
      <c r="M160" s="26"/>
      <c r="N160" s="26"/>
      <c r="O160" s="26"/>
      <c r="P160" s="26"/>
      <c r="Q160" s="26"/>
      <c r="R160" s="26"/>
    </row>
    <row r="161" ht="13.2" spans="1:18">
      <c r="A161" s="26">
        <f>IFERROR(__xludf.DUMMYFUNCTION("""COMPUTED_VALUE"""),158)</f>
        <v>158</v>
      </c>
      <c r="B161" s="26" t="str">
        <f>IFERROR(__xludf.DUMMYFUNCTION("""COMPUTED_VALUE"""),"Any 1")</f>
        <v>Any 1</v>
      </c>
      <c r="C161" s="26" t="str">
        <f>IFERROR(__xludf.DUMMYFUNCTION("""COMPUTED_VALUE"""),"EEC")</f>
        <v>EEC</v>
      </c>
      <c r="D161" s="26" t="str">
        <f>IFERROR(__xludf.DUMMYFUNCTION("""COMPUTED_VALUE"""),"NA")</f>
        <v>NA</v>
      </c>
      <c r="E161" s="26" t="str">
        <f>IFERROR(__xludf.DUMMYFUNCTION("""COMPUTED_VALUE"""),"19EY706")</f>
        <v>19EY706</v>
      </c>
      <c r="F161" s="27" t="str">
        <f>IFERROR(__xludf.DUMMYFUNCTION("""COMPUTED_VALUE"""),"Company Specific Assessments For Employability")</f>
        <v>Company Specific Assessments For Employability</v>
      </c>
      <c r="G161" s="26" t="str">
        <f>IFERROR(__xludf.DUMMYFUNCTION("""COMPUTED_VALUE"""),"-")</f>
        <v>-</v>
      </c>
      <c r="H161" s="26">
        <f>IFERROR(__xludf.DUMMYFUNCTION("""COMPUTED_VALUE"""),0)</f>
        <v>0</v>
      </c>
      <c r="I161" s="26">
        <f>IFERROR(__xludf.DUMMYFUNCTION("""COMPUTED_VALUE"""),1)</f>
        <v>1</v>
      </c>
      <c r="J161" s="26">
        <f>IFERROR(__xludf.DUMMYFUNCTION("""COMPUTED_VALUE"""),1)</f>
        <v>1</v>
      </c>
      <c r="K161" s="26" t="str">
        <f>IFERROR(__xludf.DUMMYFUNCTION("""COMPUTED_VALUE"""),"CGPA")</f>
        <v>CGPA</v>
      </c>
      <c r="L161" s="26" t="str">
        <f>IFERROR(__xludf.DUMMYFUNCTION("""COMPUTED_VALUE"""),"Practical (6 Expts)")</f>
        <v>Practical (6 Expts)</v>
      </c>
      <c r="M161" s="26"/>
      <c r="N161" s="26"/>
      <c r="O161" s="26"/>
      <c r="P161" s="26"/>
      <c r="Q161" s="26"/>
      <c r="R161" s="26"/>
    </row>
    <row r="162" ht="13.2" spans="1:18">
      <c r="A162" s="26">
        <f>IFERROR(__xludf.DUMMYFUNCTION("""COMPUTED_VALUE"""),159)</f>
        <v>159</v>
      </c>
      <c r="B162" s="26" t="str">
        <f>IFERROR(__xludf.DUMMYFUNCTION("""COMPUTED_VALUE"""),"Any 1")</f>
        <v>Any 1</v>
      </c>
      <c r="C162" s="26" t="str">
        <f>IFERROR(__xludf.DUMMYFUNCTION("""COMPUTED_VALUE"""),"EEC")</f>
        <v>EEC</v>
      </c>
      <c r="D162" s="26" t="str">
        <f>IFERROR(__xludf.DUMMYFUNCTION("""COMPUTED_VALUE"""),"SH6713")</f>
        <v>SH6713</v>
      </c>
      <c r="E162" s="26" t="str">
        <f>IFERROR(__xludf.DUMMYFUNCTION("""COMPUTED_VALUE"""),"19EY713")</f>
        <v>19EY713</v>
      </c>
      <c r="F162" s="27" t="str">
        <f>IFERROR(__xludf.DUMMYFUNCTION("""COMPUTED_VALUE"""),"Placement Readiness Assessment")</f>
        <v>Placement Readiness Assessment</v>
      </c>
      <c r="G162" s="26" t="str">
        <f>IFERROR(__xludf.DUMMYFUNCTION("""COMPUTED_VALUE"""),"19EY704 / 19EY711/SH6711")</f>
        <v>19EY704 / 19EY711/SH6711</v>
      </c>
      <c r="H162" s="26">
        <f>IFERROR(__xludf.DUMMYFUNCTION("""COMPUTED_VALUE"""),1)</f>
        <v>1</v>
      </c>
      <c r="I162" s="26">
        <f>IFERROR(__xludf.DUMMYFUNCTION("""COMPUTED_VALUE"""),0)</f>
        <v>0</v>
      </c>
      <c r="J162" s="26">
        <f>IFERROR(__xludf.DUMMYFUNCTION("""COMPUTED_VALUE"""),1)</f>
        <v>1</v>
      </c>
      <c r="K162" s="26" t="str">
        <f>IFERROR(__xludf.DUMMYFUNCTION("""COMPUTED_VALUE"""),"CGPA")</f>
        <v>CGPA</v>
      </c>
      <c r="L162" s="26" t="str">
        <f>IFERROR(__xludf.DUMMYFUNCTION("""COMPUTED_VALUE"""),"Theory (Int Only)")</f>
        <v>Theory (Int Only)</v>
      </c>
      <c r="M162" s="26"/>
      <c r="N162" s="26"/>
      <c r="O162" s="26"/>
      <c r="P162" s="26"/>
      <c r="Q162" s="26"/>
      <c r="R162" s="26"/>
    </row>
    <row r="163" ht="13.2" spans="1:18">
      <c r="A163" s="26">
        <f>IFERROR(__xludf.DUMMYFUNCTION("""COMPUTED_VALUE"""),160)</f>
        <v>160</v>
      </c>
      <c r="B163" s="26"/>
      <c r="C163" s="26" t="str">
        <f>IFERROR(__xludf.DUMMYFUNCTION("""COMPUTED_VALUE"""),"EEC")</f>
        <v>EEC</v>
      </c>
      <c r="D163" s="26" t="str">
        <f>IFERROR(__xludf.DUMMYFUNCTION("""COMPUTED_VALUE"""),"SH6707")</f>
        <v>SH6707</v>
      </c>
      <c r="E163" s="26" t="str">
        <f>IFERROR(__xludf.DUMMYFUNCTION("""COMPUTED_VALUE"""),"19EY707")</f>
        <v>19EY707</v>
      </c>
      <c r="F163" s="27" t="str">
        <f>IFERROR(__xludf.DUMMYFUNCTION("""COMPUTED_VALUE"""),"Paper Publication")</f>
        <v>Paper Publication</v>
      </c>
      <c r="G163" s="26" t="str">
        <f>IFERROR(__xludf.DUMMYFUNCTION("""COMPUTED_VALUE"""),"-")</f>
        <v>-</v>
      </c>
      <c r="H163" s="26">
        <f>IFERROR(__xludf.DUMMYFUNCTION("""COMPUTED_VALUE"""),0)</f>
        <v>0</v>
      </c>
      <c r="I163" s="26">
        <f>IFERROR(__xludf.DUMMYFUNCTION("""COMPUTED_VALUE"""),0)</f>
        <v>0</v>
      </c>
      <c r="J163" s="26">
        <f>IFERROR(__xludf.DUMMYFUNCTION("""COMPUTED_VALUE"""),1)</f>
        <v>1</v>
      </c>
      <c r="K163" s="26" t="str">
        <f>IFERROR(__xludf.DUMMYFUNCTION("""COMPUTED_VALUE"""),"NON-CGPA")</f>
        <v>NON-CGPA</v>
      </c>
      <c r="L163" s="26" t="str">
        <f>IFERROR(__xludf.DUMMYFUNCTION("""COMPUTED_VALUE"""),"Experiential Learning (Int Only)")</f>
        <v>Experiential Learning (Int Only)</v>
      </c>
      <c r="M163" s="26"/>
      <c r="N163" s="26"/>
      <c r="O163" s="26"/>
      <c r="P163" s="26"/>
      <c r="Q163" s="26"/>
      <c r="R163" s="26"/>
    </row>
    <row r="164" ht="13.2" spans="1:18">
      <c r="A164" s="26">
        <f>IFERROR(__xludf.DUMMYFUNCTION("""COMPUTED_VALUE"""),161)</f>
        <v>161</v>
      </c>
      <c r="B164" s="26"/>
      <c r="C164" s="26" t="str">
        <f>IFERROR(__xludf.DUMMYFUNCTION("""COMPUTED_VALUE"""),"MC")</f>
        <v>MC</v>
      </c>
      <c r="D164" s="26" t="str">
        <f>IFERROR(__xludf.DUMMYFUNCTION("""COMPUTED_VALUE"""),"NA")</f>
        <v>NA</v>
      </c>
      <c r="E164" s="26" t="str">
        <f>IFERROR(__xludf.DUMMYFUNCTION("""COMPUTED_VALUE"""),"19MC801")</f>
        <v>19MC801</v>
      </c>
      <c r="F164" s="27" t="str">
        <f>IFERROR(__xludf.DUMMYFUNCTION("""COMPUTED_VALUE"""),"Professional Ethics")</f>
        <v>Professional Ethics</v>
      </c>
      <c r="G164" s="26" t="str">
        <f>IFERROR(__xludf.DUMMYFUNCTION("""COMPUTED_VALUE"""),"-")</f>
        <v>-</v>
      </c>
      <c r="H164" s="26">
        <f>IFERROR(__xludf.DUMMYFUNCTION("""COMPUTED_VALUE"""),0)</f>
        <v>0</v>
      </c>
      <c r="I164" s="26">
        <f>IFERROR(__xludf.DUMMYFUNCTION("""COMPUTED_VALUE"""),0)</f>
        <v>0</v>
      </c>
      <c r="J164" s="26">
        <f>IFERROR(__xludf.DUMMYFUNCTION("""COMPUTED_VALUE"""),0)</f>
        <v>0</v>
      </c>
      <c r="K164" s="26" t="str">
        <f>IFERROR(__xludf.DUMMYFUNCTION("""COMPUTED_VALUE"""),"NON - CGPA")</f>
        <v>NON - CGPA</v>
      </c>
      <c r="L164" s="26" t="str">
        <f>IFERROR(__xludf.DUMMYFUNCTION("""COMPUTED_VALUE"""),"Theory (Int Only)")</f>
        <v>Theory (Int Only)</v>
      </c>
      <c r="M164" s="26"/>
      <c r="N164" s="26"/>
      <c r="O164" s="26"/>
      <c r="P164" s="26"/>
      <c r="Q164" s="26"/>
      <c r="R164" s="26"/>
    </row>
    <row r="165" ht="13.2" spans="1:18">
      <c r="A165" s="26">
        <f>IFERROR(__xludf.DUMMYFUNCTION("""COMPUTED_VALUE"""),162)</f>
        <v>162</v>
      </c>
      <c r="B165" s="26"/>
      <c r="C165" s="26" t="str">
        <f>IFERROR(__xludf.DUMMYFUNCTION("""COMPUTED_VALUE"""),"MC")</f>
        <v>MC</v>
      </c>
      <c r="D165" s="26" t="str">
        <f>IFERROR(__xludf.DUMMYFUNCTION("""COMPUTED_VALUE"""),"NA")</f>
        <v>NA</v>
      </c>
      <c r="E165" s="26" t="str">
        <f>IFERROR(__xludf.DUMMYFUNCTION("""COMPUTED_VALUE"""),"19MC802")</f>
        <v>19MC802</v>
      </c>
      <c r="F165" s="27" t="str">
        <f>IFERROR(__xludf.DUMMYFUNCTION("""COMPUTED_VALUE"""),"Environmental Science")</f>
        <v>Environmental Science</v>
      </c>
      <c r="G165" s="26" t="str">
        <f>IFERROR(__xludf.DUMMYFUNCTION("""COMPUTED_VALUE"""),"-")</f>
        <v>-</v>
      </c>
      <c r="H165" s="26">
        <f>IFERROR(__xludf.DUMMYFUNCTION("""COMPUTED_VALUE"""),0)</f>
        <v>0</v>
      </c>
      <c r="I165" s="26">
        <f>IFERROR(__xludf.DUMMYFUNCTION("""COMPUTED_VALUE"""),0)</f>
        <v>0</v>
      </c>
      <c r="J165" s="26">
        <f>IFERROR(__xludf.DUMMYFUNCTION("""COMPUTED_VALUE"""),0)</f>
        <v>0</v>
      </c>
      <c r="K165" s="26" t="str">
        <f>IFERROR(__xludf.DUMMYFUNCTION("""COMPUTED_VALUE"""),"CGPA")</f>
        <v>CGPA</v>
      </c>
      <c r="L165" s="26" t="str">
        <f>IFERROR(__xludf.DUMMYFUNCTION("""COMPUTED_VALUE"""),"Theory (Int Only)")</f>
        <v>Theory (Int Only)</v>
      </c>
      <c r="M165" s="26"/>
      <c r="N165" s="26"/>
      <c r="O165" s="26"/>
      <c r="P165" s="26"/>
      <c r="Q165" s="26"/>
      <c r="R165" s="26"/>
    </row>
    <row r="166" ht="13.2" spans="1:18">
      <c r="A166" s="26">
        <f>IFERROR(__xludf.DUMMYFUNCTION("""COMPUTED_VALUE"""),163)</f>
        <v>163</v>
      </c>
      <c r="B166" s="26"/>
      <c r="C166" s="26" t="str">
        <f>IFERROR(__xludf.DUMMYFUNCTION("""COMPUTED_VALUE"""),"MC")</f>
        <v>MC</v>
      </c>
      <c r="D166" s="26" t="str">
        <f>IFERROR(__xludf.DUMMYFUNCTION("""COMPUTED_VALUE"""),"NA")</f>
        <v>NA</v>
      </c>
      <c r="E166" s="26" t="str">
        <f>IFERROR(__xludf.DUMMYFUNCTION("""COMPUTED_VALUE"""),"19MC803")</f>
        <v>19MC803</v>
      </c>
      <c r="F166" s="27" t="str">
        <f>IFERROR(__xludf.DUMMYFUNCTION("""COMPUTED_VALUE"""),"Constitution of India")</f>
        <v>Constitution of India</v>
      </c>
      <c r="G166" s="26" t="str">
        <f>IFERROR(__xludf.DUMMYFUNCTION("""COMPUTED_VALUE"""),"-")</f>
        <v>-</v>
      </c>
      <c r="H166" s="26">
        <f>IFERROR(__xludf.DUMMYFUNCTION("""COMPUTED_VALUE"""),0)</f>
        <v>0</v>
      </c>
      <c r="I166" s="26">
        <f>IFERROR(__xludf.DUMMYFUNCTION("""COMPUTED_VALUE"""),0)</f>
        <v>0</v>
      </c>
      <c r="J166" s="26">
        <f>IFERROR(__xludf.DUMMYFUNCTION("""COMPUTED_VALUE"""),0)</f>
        <v>0</v>
      </c>
      <c r="K166" s="26" t="str">
        <f>IFERROR(__xludf.DUMMYFUNCTION("""COMPUTED_VALUE"""),"CGPA")</f>
        <v>CGPA</v>
      </c>
      <c r="L166" s="26" t="str">
        <f>IFERROR(__xludf.DUMMYFUNCTION("""COMPUTED_VALUE"""),"Theory (Int Only)")</f>
        <v>Theory (Int Only)</v>
      </c>
      <c r="M166" s="26"/>
      <c r="N166" s="26"/>
      <c r="O166" s="26"/>
      <c r="P166" s="26"/>
      <c r="Q166" s="26"/>
      <c r="R166" s="26"/>
    </row>
    <row r="167" ht="13.2" spans="1:18">
      <c r="A167" s="26">
        <f>IFERROR(__xludf.DUMMYFUNCTION("""COMPUTED_VALUE"""),164)</f>
        <v>164</v>
      </c>
      <c r="B167" s="26"/>
      <c r="C167" s="26" t="str">
        <f>IFERROR(__xludf.DUMMYFUNCTION("""COMPUTED_VALUE"""),"MC")</f>
        <v>MC</v>
      </c>
      <c r="D167" s="26" t="str">
        <f>IFERROR(__xludf.DUMMYFUNCTION("""COMPUTED_VALUE"""),"NA")</f>
        <v>NA</v>
      </c>
      <c r="E167" s="26" t="str">
        <f>IFERROR(__xludf.DUMMYFUNCTION("""COMPUTED_VALUE"""),"19MC804")</f>
        <v>19MC804</v>
      </c>
      <c r="F167" s="26" t="str">
        <f>IFERROR(__xludf.DUMMYFUNCTION("""COMPUTED_VALUE"""),"Internship/Entrepreneurship/Consultancy")</f>
        <v>Internship/Entrepreneurship/Consultancy</v>
      </c>
      <c r="G167" s="26" t="str">
        <f>IFERROR(__xludf.DUMMYFUNCTION("""COMPUTED_VALUE"""),"-")</f>
        <v>-</v>
      </c>
      <c r="H167" s="26">
        <f>IFERROR(__xludf.DUMMYFUNCTION("""COMPUTED_VALUE"""),0)</f>
        <v>0</v>
      </c>
      <c r="I167" s="26">
        <f>IFERROR(__xludf.DUMMYFUNCTION("""COMPUTED_VALUE"""),0)</f>
        <v>0</v>
      </c>
      <c r="J167" s="26">
        <f>IFERROR(__xludf.DUMMYFUNCTION("""COMPUTED_VALUE"""),2)</f>
        <v>2</v>
      </c>
      <c r="K167" s="26" t="str">
        <f>IFERROR(__xludf.DUMMYFUNCTION("""COMPUTED_VALUE"""),"NON-CGPA")</f>
        <v>NON-CGPA</v>
      </c>
      <c r="L167" s="26" t="str">
        <f>IFERROR(__xludf.DUMMYFUNCTION("""COMPUTED_VALUE"""),"Experiential Learning (Int Only)")</f>
        <v>Experiential Learning (Int Only)</v>
      </c>
      <c r="M167" s="26"/>
      <c r="N167" s="26"/>
      <c r="O167" s="26"/>
      <c r="P167" s="26"/>
      <c r="Q167" s="26"/>
      <c r="R167" s="26"/>
    </row>
    <row r="168" ht="13.2" spans="1:18">
      <c r="A168" s="26">
        <f>IFERROR(__xludf.DUMMYFUNCTION("""COMPUTED_VALUE"""),165)</f>
        <v>165</v>
      </c>
      <c r="B168" s="26"/>
      <c r="C168" s="26" t="str">
        <f>IFERROR(__xludf.DUMMYFUNCTION("""COMPUTED_VALUE"""),"MC")</f>
        <v>MC</v>
      </c>
      <c r="D168" s="26" t="str">
        <f>IFERROR(__xludf.DUMMYFUNCTION("""COMPUTED_VALUE"""),"NA")</f>
        <v>NA</v>
      </c>
      <c r="E168" s="26" t="str">
        <f>IFERROR(__xludf.DUMMYFUNCTION("""COMPUTED_VALUE"""),"19MC805")</f>
        <v>19MC805</v>
      </c>
      <c r="F168" s="27" t="str">
        <f>IFERROR(__xludf.DUMMYFUNCTION("""COMPUTED_VALUE"""),"Inplant Training")</f>
        <v>Inplant Training</v>
      </c>
      <c r="G168" s="26" t="str">
        <f>IFERROR(__xludf.DUMMYFUNCTION("""COMPUTED_VALUE"""),"-")</f>
        <v>-</v>
      </c>
      <c r="H168" s="26">
        <f>IFERROR(__xludf.DUMMYFUNCTION("""COMPUTED_VALUE"""),0)</f>
        <v>0</v>
      </c>
      <c r="I168" s="26">
        <f>IFERROR(__xludf.DUMMYFUNCTION("""COMPUTED_VALUE"""),0)</f>
        <v>0</v>
      </c>
      <c r="J168" s="26">
        <f>IFERROR(__xludf.DUMMYFUNCTION("""COMPUTED_VALUE"""),1)</f>
        <v>1</v>
      </c>
      <c r="K168" s="26" t="str">
        <f>IFERROR(__xludf.DUMMYFUNCTION("""COMPUTED_VALUE"""),"Non - CGPA")</f>
        <v>Non - CGPA</v>
      </c>
      <c r="L168" s="26" t="str">
        <f>IFERROR(__xludf.DUMMYFUNCTION("""COMPUTED_VALUE"""),"Experiential Learning (Int Only)")</f>
        <v>Experiential Learning (Int Only)</v>
      </c>
      <c r="M168" s="26"/>
      <c r="N168" s="26"/>
      <c r="O168" s="26"/>
      <c r="P168" s="26"/>
      <c r="Q168" s="26"/>
      <c r="R168" s="26"/>
    </row>
    <row r="169" ht="13.2" spans="1:18">
      <c r="A169" s="26">
        <f>IFERROR(__xludf.DUMMYFUNCTION("""COMPUTED_VALUE"""),166)</f>
        <v>166</v>
      </c>
      <c r="B169" s="26" t="str">
        <f>IFERROR(__xludf.DUMMYFUNCTION("""COMPUTED_VALUE"""),"Any 1")</f>
        <v>Any 1</v>
      </c>
      <c r="C169" s="26" t="str">
        <f>IFERROR(__xludf.DUMMYFUNCTION("""COMPUTED_VALUE"""),"MC")</f>
        <v>MC</v>
      </c>
      <c r="D169" s="26" t="str">
        <f>IFERROR(__xludf.DUMMYFUNCTION("""COMPUTED_VALUE"""),"SH6803")</f>
        <v>SH6803</v>
      </c>
      <c r="E169" s="26" t="str">
        <f>IFERROR(__xludf.DUMMYFUNCTION("""COMPUTED_VALUE"""),"19MC807")</f>
        <v>19MC807</v>
      </c>
      <c r="F169" s="26" t="str">
        <f>IFERROR(__xludf.DUMMYFUNCTION("""COMPUTED_VALUE"""),"National Service Scheme")</f>
        <v>National Service Scheme</v>
      </c>
      <c r="G169" s="26" t="str">
        <f>IFERROR(__xludf.DUMMYFUNCTION("""COMPUTED_VALUE"""),"-")</f>
        <v>-</v>
      </c>
      <c r="H169" s="26">
        <f>IFERROR(__xludf.DUMMYFUNCTION("""COMPUTED_VALUE"""),0)</f>
        <v>0</v>
      </c>
      <c r="I169" s="26">
        <f>IFERROR(__xludf.DUMMYFUNCTION("""COMPUTED_VALUE"""),0)</f>
        <v>0</v>
      </c>
      <c r="J169" s="26">
        <f>IFERROR(__xludf.DUMMYFUNCTION("""COMPUTED_VALUE"""),0)</f>
        <v>0</v>
      </c>
      <c r="K169" s="26" t="str">
        <f>IFERROR(__xludf.DUMMYFUNCTION("""COMPUTED_VALUE"""),"NON-CGPA")</f>
        <v>NON-CGPA</v>
      </c>
      <c r="L169" s="26" t="str">
        <f>IFERROR(__xludf.DUMMYFUNCTION("""COMPUTED_VALUE"""),"Experiential Learning (Int Only)")</f>
        <v>Experiential Learning (Int Only)</v>
      </c>
      <c r="M169" s="26"/>
      <c r="N169" s="26"/>
      <c r="O169" s="26"/>
      <c r="P169" s="26"/>
      <c r="Q169" s="26"/>
      <c r="R169" s="26"/>
    </row>
    <row r="170" ht="13.2" spans="1:18">
      <c r="A170" s="26">
        <f>IFERROR(__xludf.DUMMYFUNCTION("""COMPUTED_VALUE"""),167)</f>
        <v>167</v>
      </c>
      <c r="B170" s="26" t="str">
        <f>IFERROR(__xludf.DUMMYFUNCTION("""COMPUTED_VALUE"""),"Any 1")</f>
        <v>Any 1</v>
      </c>
      <c r="C170" s="26" t="str">
        <f>IFERROR(__xludf.DUMMYFUNCTION("""COMPUTED_VALUE"""),"MC")</f>
        <v>MC</v>
      </c>
      <c r="D170" s="26" t="str">
        <f>IFERROR(__xludf.DUMMYFUNCTION("""COMPUTED_VALUE"""),"SH8807")</f>
        <v>SH8807</v>
      </c>
      <c r="E170" s="26" t="str">
        <f>IFERROR(__xludf.DUMMYFUNCTION("""COMPUTED_VALUE"""),"19MC808")</f>
        <v>19MC808</v>
      </c>
      <c r="F170" s="26" t="str">
        <f>IFERROR(__xludf.DUMMYFUNCTION("""COMPUTED_VALUE"""),"National Sports Organization ")</f>
        <v>National Sports Organization </v>
      </c>
      <c r="G170" s="26" t="str">
        <f>IFERROR(__xludf.DUMMYFUNCTION("""COMPUTED_VALUE"""),"-")</f>
        <v>-</v>
      </c>
      <c r="H170" s="26">
        <f>IFERROR(__xludf.DUMMYFUNCTION("""COMPUTED_VALUE"""),0)</f>
        <v>0</v>
      </c>
      <c r="I170" s="26">
        <f>IFERROR(__xludf.DUMMYFUNCTION("""COMPUTED_VALUE"""),0)</f>
        <v>0</v>
      </c>
      <c r="J170" s="26">
        <f>IFERROR(__xludf.DUMMYFUNCTION("""COMPUTED_VALUE"""),0)</f>
        <v>0</v>
      </c>
      <c r="K170" s="26" t="str">
        <f>IFERROR(__xludf.DUMMYFUNCTION("""COMPUTED_VALUE"""),"NON-CGPA")</f>
        <v>NON-CGPA</v>
      </c>
      <c r="L170" s="26" t="str">
        <f>IFERROR(__xludf.DUMMYFUNCTION("""COMPUTED_VALUE"""),"Experiential Learning (Int Only)")</f>
        <v>Experiential Learning (Int Only)</v>
      </c>
      <c r="M170" s="26"/>
      <c r="N170" s="26"/>
      <c r="O170" s="26"/>
      <c r="P170" s="26"/>
      <c r="Q170" s="26"/>
      <c r="R170" s="26"/>
    </row>
    <row r="171" ht="13.2" spans="1:18">
      <c r="A171" s="26">
        <f>IFERROR(__xludf.DUMMYFUNCTION("""COMPUTED_VALUE"""),168)</f>
        <v>168</v>
      </c>
      <c r="B171" s="26" t="str">
        <f>IFERROR(__xludf.DUMMYFUNCTION("""COMPUTED_VALUE"""),"Any 1")</f>
        <v>Any 1</v>
      </c>
      <c r="C171" s="26" t="str">
        <f>IFERROR(__xludf.DUMMYFUNCTION("""COMPUTED_VALUE"""),"MC")</f>
        <v>MC</v>
      </c>
      <c r="D171" s="26" t="str">
        <f>IFERROR(__xludf.DUMMYFUNCTION("""COMPUTED_VALUE"""),"SH8808")</f>
        <v>SH8808</v>
      </c>
      <c r="E171" s="26" t="str">
        <f>IFERROR(__xludf.DUMMYFUNCTION("""COMPUTED_VALUE"""),"19MC809")</f>
        <v>19MC809</v>
      </c>
      <c r="F171" s="26" t="str">
        <f>IFERROR(__xludf.DUMMYFUNCTION("""COMPUTED_VALUE"""),"Youth Red Cross")</f>
        <v>Youth Red Cross</v>
      </c>
      <c r="G171" s="26" t="str">
        <f>IFERROR(__xludf.DUMMYFUNCTION("""COMPUTED_VALUE"""),"-")</f>
        <v>-</v>
      </c>
      <c r="H171" s="26">
        <f>IFERROR(__xludf.DUMMYFUNCTION("""COMPUTED_VALUE"""),0)</f>
        <v>0</v>
      </c>
      <c r="I171" s="26">
        <f>IFERROR(__xludf.DUMMYFUNCTION("""COMPUTED_VALUE"""),0)</f>
        <v>0</v>
      </c>
      <c r="J171" s="26">
        <f>IFERROR(__xludf.DUMMYFUNCTION("""COMPUTED_VALUE"""),0)</f>
        <v>0</v>
      </c>
      <c r="K171" s="26" t="str">
        <f>IFERROR(__xludf.DUMMYFUNCTION("""COMPUTED_VALUE"""),"NON-CGPA")</f>
        <v>NON-CGPA</v>
      </c>
      <c r="L171" s="26" t="str">
        <f>IFERROR(__xludf.DUMMYFUNCTION("""COMPUTED_VALUE"""),"Experiential Learning (Int Only)")</f>
        <v>Experiential Learning (Int Only)</v>
      </c>
      <c r="M171" s="26"/>
      <c r="N171" s="26"/>
      <c r="O171" s="26"/>
      <c r="P171" s="26"/>
      <c r="Q171" s="26"/>
      <c r="R171" s="26"/>
    </row>
    <row r="172" ht="13.2" spans="1:18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</row>
    <row r="173" ht="13.2" spans="1:18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</row>
    <row r="174" ht="13.2" spans="1:18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</row>
    <row r="175" ht="13.2" spans="1:18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</row>
    <row r="176" ht="13.2" spans="1:18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</row>
    <row r="177" ht="13.2" spans="1:18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</row>
    <row r="178" ht="13.2" spans="1:18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</row>
    <row r="179" ht="13.2" spans="1:18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</row>
    <row r="180" ht="13.2" spans="1:18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</row>
    <row r="181" ht="13.2" spans="1:18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</row>
    <row r="182" ht="13.2" spans="1:18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</row>
    <row r="183" ht="13.2" spans="1:18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</row>
    <row r="184" ht="13.2" spans="1:18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</row>
    <row r="185" ht="13.2" spans="1:18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</row>
    <row r="186" ht="13.2" spans="1:18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</row>
    <row r="187" ht="13.2" spans="1:18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</row>
    <row r="188" ht="13.2" spans="1:18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</row>
    <row r="189" ht="13.2" spans="1:18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</row>
    <row r="190" ht="13.2" spans="1:18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</row>
    <row r="191" ht="13.2" spans="1:18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</row>
    <row r="192" ht="13.2" spans="1:18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</row>
    <row r="193" ht="13.2" spans="1:18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</row>
    <row r="194" ht="13.2" spans="1:18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</row>
    <row r="195" ht="13.2" spans="1:18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</row>
    <row r="196" ht="13.2" spans="1:18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</row>
    <row r="197" ht="13.2" spans="1:18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</row>
    <row r="198" ht="13.2" spans="1:18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</row>
    <row r="199" ht="13.2" spans="1:18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</row>
    <row r="200" ht="13.2" spans="1:18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</row>
    <row r="201" ht="13.2" spans="1:18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</row>
    <row r="202" ht="13.2" spans="1:18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</row>
    <row r="203" ht="13.2" spans="1:18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</row>
    <row r="204" ht="13.2" spans="1:18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</row>
    <row r="205" ht="13.2" spans="1:18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</row>
    <row r="206" ht="13.2" spans="1:18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</row>
    <row r="207" ht="13.2" spans="1:18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</row>
    <row r="208" ht="13.2" spans="1:18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</row>
    <row r="209" ht="13.2" spans="1:18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</row>
    <row r="210" ht="13.2" spans="1:18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</row>
    <row r="211" ht="13.2" spans="1:18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</row>
    <row r="212" ht="13.2" spans="1:18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</row>
    <row r="213" ht="13.2" spans="1:18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</row>
    <row r="214" ht="13.2" spans="1:18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</row>
    <row r="215" ht="13.2" spans="1:18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</row>
    <row r="216" ht="13.2" spans="1:18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</row>
    <row r="217" ht="13.2" spans="1:18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</row>
    <row r="218" ht="13.2" spans="1:18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</row>
    <row r="219" ht="13.2" spans="1:18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</row>
    <row r="220" ht="13.2" spans="1:18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</row>
    <row r="221" ht="13.2" spans="1:18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</row>
    <row r="222" ht="13.2" spans="1:18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</row>
    <row r="223" ht="13.2" spans="1:18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</row>
    <row r="224" ht="13.2" spans="1:18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</row>
    <row r="225" ht="13.2" spans="1:18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</row>
    <row r="226" ht="13.2" spans="1:18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</row>
    <row r="227" ht="13.2" spans="1:18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</row>
    <row r="228" ht="13.2" spans="1:18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</row>
    <row r="229" ht="13.2" spans="1:18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</row>
    <row r="230" ht="13.2" spans="1:18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</row>
    <row r="231" ht="13.2" spans="1:18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</row>
    <row r="232" ht="13.2" spans="1:18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</row>
    <row r="233" ht="13.2" spans="1:18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</row>
    <row r="234" ht="13.2" spans="1:18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</row>
    <row r="235" ht="13.2" spans="1:18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</row>
    <row r="236" ht="13.2" spans="1:18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</row>
    <row r="237" ht="13.2" spans="1:18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</row>
    <row r="238" ht="13.2" spans="1:18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</row>
    <row r="239" ht="13.2" spans="1:18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</row>
    <row r="240" ht="13.2" spans="1:18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</row>
    <row r="241" ht="13.2" spans="1:18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</row>
    <row r="242" ht="13.2" spans="1:18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</row>
    <row r="243" ht="13.2" spans="1:18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</row>
    <row r="244" ht="13.2" spans="1:18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</row>
    <row r="245" ht="13.2" spans="1:18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</row>
    <row r="246" ht="13.2" spans="1:18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</row>
    <row r="247" ht="13.2" spans="1:18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</row>
    <row r="248" ht="13.2" spans="1:18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</row>
    <row r="249" ht="13.2" spans="1:18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</row>
    <row r="250" ht="13.2" spans="1:18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</row>
    <row r="251" ht="13.2" spans="1:18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</row>
    <row r="252" ht="13.2" spans="1:18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</row>
    <row r="253" ht="13.2" spans="1:18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</row>
    <row r="254" ht="13.2" spans="1:18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</row>
    <row r="255" ht="13.2" spans="1:18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</row>
    <row r="256" ht="13.2" spans="1:18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</row>
    <row r="257" ht="13.2" spans="1:18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</row>
    <row r="258" ht="13.2" spans="1:18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</row>
    <row r="259" ht="13.2" spans="1:18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</row>
    <row r="260" ht="13.2" spans="1:18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</row>
    <row r="261" ht="13.2" spans="1:18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</row>
    <row r="262" ht="13.2" spans="1:18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</row>
    <row r="263" ht="13.2" spans="1:18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</row>
    <row r="264" ht="13.2" spans="1:18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</row>
    <row r="265" ht="13.2" spans="1:18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</row>
    <row r="266" ht="13.2" spans="1:18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</row>
    <row r="267" ht="13.2" spans="1:18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</row>
    <row r="268" ht="13.2" spans="1:18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</row>
    <row r="269" ht="13.2" spans="1:18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</row>
    <row r="270" ht="13.2" spans="1:18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</row>
    <row r="271" ht="13.2" spans="1:18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</row>
    <row r="272" ht="13.2" spans="1:18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</row>
    <row r="273" ht="13.2" spans="1:18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</row>
    <row r="274" ht="13.2" spans="1:18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</row>
    <row r="275" ht="13.2" spans="1:18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</row>
    <row r="276" ht="13.2" spans="1:18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</row>
    <row r="277" ht="13.2" spans="1:18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</row>
    <row r="278" ht="13.2" spans="1:18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</row>
    <row r="279" ht="13.2" spans="1:18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</row>
    <row r="280" ht="13.2" spans="1:18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</row>
    <row r="281" ht="13.2" spans="1:18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</row>
    <row r="282" ht="13.2" spans="1:18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</row>
    <row r="283" ht="13.2" spans="1:18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</row>
    <row r="284" ht="13.2" spans="1:18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</row>
    <row r="285" ht="13.2" spans="1:18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</row>
    <row r="286" ht="13.2" spans="1:18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</row>
    <row r="287" ht="13.2" spans="1:18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</row>
    <row r="288" ht="13.2" spans="1:18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</row>
    <row r="289" ht="13.2" spans="1:18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</row>
    <row r="290" ht="13.2" spans="1:18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</row>
    <row r="291" ht="13.2" spans="1:18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</row>
    <row r="292" ht="13.2" spans="1:18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</row>
    <row r="293" ht="13.2" spans="1:18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</row>
    <row r="294" ht="13.2" spans="1:18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</row>
    <row r="295" ht="13.2" spans="1:18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</row>
    <row r="296" ht="13.2" spans="1:18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</row>
    <row r="297" ht="13.2" spans="1:18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</row>
    <row r="298" ht="13.2" spans="1:18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</row>
    <row r="299" ht="13.2" spans="1:18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</row>
    <row r="300" ht="13.2" spans="1:18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</row>
    <row r="301" ht="13.2" spans="1:18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</row>
    <row r="302" ht="13.2" spans="1:18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</row>
    <row r="303" ht="13.2" spans="1:18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</row>
    <row r="304" ht="13.2" spans="1:18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</row>
    <row r="305" ht="13.2" spans="1:18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</row>
    <row r="306" ht="13.2" spans="1:18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</row>
    <row r="307" ht="13.2" spans="1:18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</row>
    <row r="308" ht="13.2" spans="1:18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</row>
    <row r="309" ht="13.2" spans="1:18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</row>
    <row r="310" ht="13.2" spans="1:18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</row>
    <row r="311" ht="13.2" spans="1:18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</row>
    <row r="312" ht="13.2" spans="1:18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</row>
    <row r="313" ht="13.2" spans="1:18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</row>
    <row r="314" ht="13.2" spans="1:18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</row>
    <row r="315" ht="13.2" spans="1:18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</row>
    <row r="316" ht="13.2" spans="1:18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</row>
    <row r="317" ht="13.2" spans="1:18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</row>
    <row r="318" ht="13.2" spans="1:18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</row>
    <row r="319" ht="13.2" spans="1:18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</row>
    <row r="320" ht="13.2" spans="1:18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</row>
    <row r="321" ht="13.2" spans="1:18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</row>
    <row r="322" ht="13.2" spans="1:18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</row>
    <row r="323" ht="13.2" spans="1:18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</row>
    <row r="324" ht="13.2" spans="1:18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</row>
    <row r="325" ht="13.2" spans="1:18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</row>
    <row r="326" ht="13.2" spans="1:18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</row>
    <row r="327" ht="13.2" spans="1:18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</row>
    <row r="328" ht="13.2" spans="1:18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</row>
    <row r="329" ht="13.2" spans="1:18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</row>
    <row r="330" ht="13.2" spans="1:18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</row>
    <row r="331" ht="13.2" spans="1:18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</row>
    <row r="332" ht="13.2" spans="1:18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</row>
    <row r="333" ht="13.2" spans="1:18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</row>
    <row r="334" ht="13.2" spans="1:18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</row>
    <row r="335" ht="13.2" spans="1:18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</row>
    <row r="336" ht="13.2" spans="1:18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</row>
    <row r="337" ht="13.2" spans="1:18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</row>
    <row r="338" ht="13.2" spans="1:18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</row>
    <row r="339" ht="13.2" spans="1:18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</row>
    <row r="340" ht="13.2" spans="1:18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</row>
    <row r="341" ht="13.2" spans="1:18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</row>
    <row r="342" ht="13.2" spans="1:18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</row>
    <row r="343" ht="13.2" spans="1:18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</row>
    <row r="344" ht="13.2" spans="1:18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</row>
    <row r="345" ht="13.2" spans="1:18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</row>
    <row r="346" ht="13.2" spans="1:18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</row>
    <row r="347" ht="13.2" spans="1:18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</row>
    <row r="348" ht="13.2" spans="1:18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</row>
    <row r="349" ht="13.2" spans="1:18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</row>
    <row r="350" ht="13.2" spans="1:18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</row>
    <row r="351" ht="13.2" spans="1:18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</row>
    <row r="352" ht="13.2" spans="1:18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</row>
    <row r="353" ht="13.2" spans="1:18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</row>
    <row r="354" ht="13.2" spans="1:18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</row>
    <row r="355" ht="13.2" spans="1:18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</row>
    <row r="356" ht="13.2" spans="1:18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</row>
    <row r="357" ht="13.2" spans="1:18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</row>
    <row r="358" ht="13.2" spans="1:18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</row>
    <row r="359" ht="13.2" spans="1:18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</row>
    <row r="360" ht="13.2" spans="1:18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</row>
    <row r="361" ht="13.2" spans="1:18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</row>
    <row r="362" ht="13.2" spans="1:18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</row>
    <row r="363" ht="13.2" spans="1:18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</row>
    <row r="364" ht="13.2" spans="1:18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</row>
    <row r="365" ht="13.2" spans="1:18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</row>
    <row r="366" ht="13.2" spans="1:18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</row>
    <row r="367" ht="13.2" spans="1:18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</row>
    <row r="368" ht="13.2" spans="1:18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</row>
    <row r="369" ht="13.2" spans="1:18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</row>
    <row r="370" ht="13.2" spans="1:18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</row>
    <row r="371" ht="13.2" spans="1:18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</row>
    <row r="372" ht="13.2" spans="1:18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</row>
    <row r="373" ht="13.2" spans="1:18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</row>
    <row r="374" ht="13.2" spans="1:18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</row>
    <row r="375" ht="13.2" spans="1:18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</row>
    <row r="376" ht="13.2" spans="1:18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</row>
    <row r="377" ht="13.2" spans="1:18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</row>
    <row r="378" ht="13.2" spans="1:18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</row>
    <row r="379" ht="13.2" spans="1:18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</row>
    <row r="380" ht="13.2" spans="1:18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</row>
    <row r="381" ht="13.2" spans="1:18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</row>
    <row r="382" ht="13.2" spans="1:18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</row>
    <row r="383" ht="13.2" spans="1:18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</row>
    <row r="384" ht="13.2" spans="1:18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</row>
    <row r="385" ht="13.2" spans="1:18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</row>
    <row r="386" ht="13.2" spans="1:18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</row>
    <row r="387" ht="13.2" spans="1:18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</row>
    <row r="388" ht="13.2" spans="1:18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</row>
    <row r="389" ht="13.2" spans="1:18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</row>
    <row r="390" ht="13.2" spans="1:18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</row>
    <row r="391" ht="13.2" spans="1:18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</row>
    <row r="392" ht="13.2" spans="1:18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</row>
    <row r="393" ht="13.2" spans="1:18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</row>
    <row r="394" ht="13.2" spans="1:18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</row>
    <row r="395" ht="13.2" spans="1:18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</row>
    <row r="396" ht="13.2" spans="1:18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</row>
    <row r="397" ht="13.2" spans="1:18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</row>
    <row r="398" ht="13.2" spans="1:18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</row>
    <row r="399" ht="13.2" spans="1:18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</row>
    <row r="400" ht="13.2" spans="1:18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</row>
    <row r="401" ht="13.2" spans="1:18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</row>
    <row r="402" ht="13.2" spans="1:18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</row>
    <row r="403" ht="13.2" spans="1:18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</row>
    <row r="404" ht="13.2" spans="1:18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</row>
    <row r="405" ht="13.2" spans="1:18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</row>
    <row r="406" ht="13.2" spans="1:18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</row>
    <row r="407" ht="13.2" spans="1:18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</row>
    <row r="408" ht="13.2" spans="1:18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</row>
    <row r="409" ht="13.2" spans="1:18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</row>
    <row r="410" ht="13.2" spans="1:18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</row>
    <row r="411" ht="13.2" spans="1:18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</row>
    <row r="412" ht="13.2" spans="1:18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</row>
    <row r="413" ht="13.2" spans="1:18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</row>
    <row r="414" ht="13.2" spans="1:18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</row>
    <row r="415" ht="13.2" spans="1:18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</row>
    <row r="416" ht="13.2" spans="1:18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</row>
    <row r="417" ht="13.2" spans="1:18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</row>
    <row r="418" ht="13.2" spans="1:18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</row>
    <row r="419" ht="13.2" spans="1:18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</row>
    <row r="420" ht="13.2" spans="1:18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</row>
    <row r="421" ht="13.2" spans="1:18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</row>
    <row r="422" ht="13.2" spans="1:18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</row>
    <row r="423" ht="13.2" spans="1:18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</row>
    <row r="424" ht="13.2" spans="1:18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</row>
    <row r="425" ht="13.2" spans="1:18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</row>
    <row r="426" ht="13.2" spans="1:18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</row>
    <row r="427" ht="13.2" spans="1:18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</row>
    <row r="428" ht="13.2" spans="1:18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</row>
    <row r="429" ht="13.2" spans="1:18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</row>
    <row r="430" ht="13.2" spans="1:18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</row>
    <row r="431" ht="13.2" spans="1:18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</row>
    <row r="432" ht="13.2" spans="1:18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</row>
    <row r="433" ht="13.2" spans="1:18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</row>
    <row r="434" ht="13.2" spans="1:18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</row>
    <row r="435" ht="13.2" spans="1:18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</row>
    <row r="436" ht="13.2" spans="1:18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</row>
    <row r="437" ht="13.2" spans="1:18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</row>
    <row r="438" ht="13.2" spans="1:18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</row>
    <row r="439" ht="13.2" spans="1:18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</row>
    <row r="440" ht="13.2" spans="1:18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</row>
    <row r="441" ht="13.2" spans="1:18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</row>
    <row r="442" ht="13.2" spans="1:18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</row>
    <row r="443" ht="13.2" spans="1:18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</row>
    <row r="444" ht="13.2" spans="1:18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</row>
    <row r="445" ht="13.2" spans="1:18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</row>
    <row r="446" ht="13.2" spans="1:18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</row>
    <row r="447" ht="13.2" spans="1:18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</row>
    <row r="448" ht="13.2" spans="1:18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</row>
    <row r="449" ht="13.2" spans="1:18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</row>
    <row r="450" ht="13.2" spans="1:18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</row>
    <row r="451" ht="13.2" spans="1:18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</row>
    <row r="452" ht="13.2" spans="1:18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</row>
    <row r="453" ht="13.2" spans="1:18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</row>
    <row r="454" ht="13.2" spans="1:18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</row>
    <row r="455" ht="13.2" spans="1:18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</row>
    <row r="456" ht="13.2" spans="1:18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</row>
    <row r="457" ht="13.2" spans="1:18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</row>
    <row r="458" ht="13.2" spans="1:18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</row>
    <row r="459" ht="13.2" spans="1:18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</row>
    <row r="460" ht="13.2" spans="1:18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</row>
    <row r="461" ht="13.2" spans="1:18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</row>
    <row r="462" ht="13.2" spans="1:18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</row>
    <row r="463" ht="13.2" spans="1:18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</row>
    <row r="464" ht="13.2" spans="1:18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</row>
    <row r="465" ht="13.2" spans="1:18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</row>
    <row r="466" ht="13.2" spans="1:18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</row>
    <row r="467" ht="13.2" spans="1:18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</row>
    <row r="468" ht="13.2" spans="1:18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</row>
    <row r="469" ht="13.2" spans="1:18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</row>
    <row r="470" ht="13.2" spans="1:18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</row>
    <row r="471" ht="13.2" spans="1:18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</row>
    <row r="472" ht="13.2" spans="1:18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</row>
    <row r="473" ht="13.2" spans="1:18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</row>
    <row r="474" ht="13.2" spans="1:18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</row>
    <row r="475" ht="13.2" spans="1:18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</row>
    <row r="476" ht="13.2" spans="1:18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</row>
    <row r="477" ht="13.2" spans="1:18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</row>
    <row r="478" ht="13.2" spans="1:18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</row>
    <row r="479" ht="13.2" spans="1:18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</row>
    <row r="480" ht="13.2" spans="1:18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</row>
    <row r="481" ht="13.2" spans="1:18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</row>
    <row r="482" ht="13.2" spans="1:18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</row>
    <row r="483" ht="13.2" spans="1:18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</row>
    <row r="484" ht="13.2" spans="1:18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</row>
    <row r="485" ht="13.2" spans="1:18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</row>
    <row r="486" ht="13.2" spans="1:18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</row>
    <row r="487" ht="13.2" spans="1:18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</row>
    <row r="488" ht="13.2" spans="1:18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</row>
    <row r="489" ht="13.2" spans="1:18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</row>
    <row r="490" ht="13.2" spans="1:18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</row>
    <row r="491" ht="13.2" spans="1:18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</row>
    <row r="492" ht="13.2" spans="1:18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</row>
    <row r="493" ht="13.2" spans="1:18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</row>
    <row r="494" ht="13.2" spans="1:18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</row>
    <row r="495" ht="13.2" spans="1:18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</row>
    <row r="496" ht="13.2" spans="1:18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</row>
    <row r="497" ht="13.2" spans="1:18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</row>
    <row r="498" ht="13.2" spans="1:18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</row>
    <row r="499" ht="13.2" spans="1:18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</row>
    <row r="500" ht="13.2" spans="1:18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</row>
    <row r="501" ht="13.2" spans="1:18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</row>
    <row r="502" ht="13.2" spans="1:18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</row>
    <row r="503" ht="13.2" spans="1:18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</row>
    <row r="504" ht="13.2" spans="1:18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</row>
    <row r="505" ht="13.2" spans="1:18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</row>
    <row r="506" ht="13.2" spans="1:18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</row>
    <row r="507" ht="13.2" spans="1:18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</row>
    <row r="508" ht="13.2" spans="1:18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</row>
    <row r="509" ht="13.2" spans="1:18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</row>
    <row r="510" ht="13.2" spans="1:18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</row>
    <row r="511" ht="13.2" spans="1:18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</row>
    <row r="512" ht="13.2" spans="1:18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</row>
    <row r="513" ht="13.2" spans="1:18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</row>
    <row r="514" ht="13.2" spans="1:18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</row>
    <row r="515" ht="13.2" spans="1:18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</row>
    <row r="516" ht="13.2" spans="1:18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</row>
    <row r="517" ht="13.2" spans="1:18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</row>
    <row r="518" ht="13.2" spans="1:18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</row>
    <row r="519" ht="13.2" spans="1:18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</row>
    <row r="520" ht="13.2" spans="1:18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</row>
    <row r="521" ht="13.2" spans="1:18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</row>
    <row r="522" ht="13.2" spans="1:18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</row>
    <row r="523" ht="13.2" spans="1:18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</row>
    <row r="524" ht="13.2" spans="1:18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</row>
    <row r="525" ht="13.2" spans="1:18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</row>
    <row r="526" ht="13.2" spans="1:18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</row>
    <row r="527" ht="13.2" spans="1:18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</row>
    <row r="528" ht="13.2" spans="1:18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</row>
    <row r="529" ht="13.2" spans="1:18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</row>
    <row r="530" ht="13.2" spans="1:18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</row>
    <row r="531" ht="13.2" spans="1:18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</row>
    <row r="532" ht="13.2" spans="1:18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</row>
    <row r="533" ht="13.2" spans="1:18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</row>
    <row r="534" ht="13.2" spans="1:18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</row>
    <row r="535" ht="13.2" spans="1:18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</row>
    <row r="536" ht="13.2" spans="1:18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</row>
    <row r="537" ht="13.2" spans="1:18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</row>
    <row r="538" ht="13.2" spans="1:18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</row>
    <row r="539" ht="13.2" spans="1:18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</row>
    <row r="540" ht="13.2" spans="1:18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</row>
    <row r="541" ht="13.2" spans="1:18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</row>
    <row r="542" ht="13.2" spans="1:18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</row>
    <row r="543" ht="13.2" spans="1:18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</row>
    <row r="544" ht="13.2" spans="1:18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</row>
    <row r="545" ht="13.2" spans="1:18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</row>
    <row r="546" ht="13.2" spans="1:18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</row>
    <row r="547" ht="13.2" spans="1:18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</row>
    <row r="548" ht="13.2" spans="1:18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</row>
    <row r="549" ht="13.2" spans="1:18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</row>
    <row r="550" ht="13.2" spans="1:18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</row>
    <row r="551" ht="13.2" spans="1:18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</row>
    <row r="552" ht="13.2" spans="1:18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</row>
    <row r="553" ht="13.2" spans="1:18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</row>
    <row r="554" ht="13.2" spans="1:18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</row>
    <row r="555" ht="13.2" spans="1:18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</row>
    <row r="556" ht="13.2" spans="1:18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</row>
    <row r="557" ht="13.2" spans="1:18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</row>
    <row r="558" ht="13.2" spans="1:18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</row>
    <row r="559" ht="13.2" spans="1:18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</row>
    <row r="560" ht="13.2" spans="1:18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</row>
    <row r="561" ht="13.2" spans="1:18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</row>
    <row r="562" ht="13.2" spans="1:18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</row>
    <row r="563" ht="13.2" spans="1:18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</row>
    <row r="564" ht="13.2" spans="1:18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ht="13.2" spans="1:18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ht="13.2" spans="1:18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ht="13.2" spans="1:18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ht="13.2" spans="1:18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ht="13.2" spans="1:18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ht="13.2" spans="1:18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ht="13.2" spans="1:18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ht="13.2" spans="1:18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ht="13.2" spans="1:18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ht="13.2" spans="1:18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ht="13.2" spans="1:18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ht="13.2" spans="1:18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ht="13.2" spans="1:18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ht="13.2" spans="1:18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ht="13.2" spans="1:18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ht="13.2" spans="1:18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ht="13.2" spans="1:18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ht="13.2" spans="1:18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ht="13.2" spans="1:18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ht="13.2" spans="1:18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ht="13.2" spans="1:18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ht="13.2" spans="1:18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ht="13.2" spans="1:18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ht="13.2" spans="1:18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ht="13.2" spans="1:18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ht="13.2" spans="1:18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ht="13.2" spans="1:18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ht="13.2" spans="1:18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ht="13.2" spans="1:18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ht="13.2" spans="1:18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ht="13.2" spans="1:18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ht="13.2" spans="1:18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ht="13.2" spans="1:18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ht="13.2" spans="1:18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ht="13.2" spans="1:18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ht="13.2" spans="1:18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ht="13.2" spans="1:18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ht="13.2" spans="1:18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ht="13.2" spans="1:18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ht="13.2" spans="1:18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ht="13.2" spans="1:18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ht="13.2" spans="1:18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ht="13.2" spans="1:18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ht="13.2" spans="1:18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ht="13.2" spans="1:18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ht="13.2" spans="1:18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ht="13.2" spans="1:18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ht="13.2" spans="1:18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ht="13.2" spans="1:18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ht="13.2" spans="1:18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ht="13.2" spans="1:18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ht="13.2" spans="1:18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ht="13.2" spans="1:18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ht="13.2" spans="1:18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ht="13.2" spans="1:18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ht="13.2" spans="1:18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ht="13.2" spans="1:18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ht="13.2" spans="1:18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ht="13.2" spans="1:18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ht="13.2" spans="1:18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ht="13.2" spans="1:18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ht="13.2" spans="1:18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ht="13.2" spans="1:18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ht="13.2" spans="1:18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ht="13.2" spans="1:18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ht="13.2" spans="1:18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ht="13.2" spans="1:18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ht="13.2" spans="1:18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ht="13.2" spans="1:18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ht="13.2" spans="1:18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ht="13.2" spans="1:18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ht="13.2" spans="1:18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ht="13.2" spans="1:18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ht="13.2" spans="1:18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ht="13.2" spans="1:18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ht="13.2" spans="1:18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ht="13.2" spans="1:18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ht="13.2" spans="1:18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ht="13.2" spans="1:18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ht="13.2" spans="1:18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ht="13.2" spans="1:18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ht="13.2" spans="1:18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ht="13.2" spans="1:18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ht="13.2" spans="1:18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ht="13.2" spans="1:18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ht="13.2" spans="1:18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ht="13.2" spans="1:18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ht="13.2" spans="1:18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ht="13.2" spans="1:18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ht="13.2" spans="1:18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ht="13.2" spans="1:18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ht="13.2" spans="1:18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ht="13.2" spans="1:18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ht="13.2" spans="1:18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ht="13.2" spans="1:18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ht="13.2" spans="1:18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ht="13.2" spans="1:18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ht="13.2" spans="1:18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ht="13.2" spans="1:18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ht="13.2" spans="1:18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ht="13.2" spans="1:18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ht="13.2" spans="1:18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ht="13.2" spans="1:18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ht="13.2" spans="1:18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ht="13.2" spans="1:18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ht="13.2" spans="1:18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ht="13.2" spans="1:18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ht="13.2" spans="1:18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ht="13.2" spans="1:18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ht="13.2" spans="1:18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ht="13.2" spans="1:18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ht="13.2" spans="1:18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ht="13.2" spans="1:18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ht="13.2" spans="1:18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ht="13.2" spans="1:18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ht="13.2" spans="1:18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ht="13.2" spans="1:18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ht="13.2" spans="1:18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ht="13.2" spans="1:18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ht="13.2" spans="1:18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ht="13.2" spans="1:18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ht="13.2" spans="1:18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ht="13.2" spans="1:18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ht="13.2" spans="1:18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ht="13.2" spans="1:18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ht="13.2" spans="1:18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ht="13.2" spans="1:18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ht="13.2" spans="1:18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ht="13.2" spans="1:18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ht="13.2" spans="1:18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ht="13.2" spans="1:18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ht="13.2" spans="1:18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ht="13.2" spans="1:18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ht="13.2" spans="1:18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ht="13.2" spans="1:18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ht="13.2" spans="1:18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ht="13.2" spans="1:18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ht="13.2" spans="1:18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ht="13.2" spans="1:18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ht="13.2" spans="1:18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ht="13.2" spans="1:18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ht="13.2" spans="1:18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ht="13.2" spans="1:18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ht="13.2" spans="1:18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ht="13.2" spans="1:18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ht="13.2" spans="1:18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ht="13.2" spans="1:18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ht="13.2" spans="1:18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ht="13.2" spans="1:18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ht="13.2" spans="1:18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ht="13.2" spans="1:18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ht="13.2" spans="1:18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ht="13.2" spans="1:18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ht="13.2" spans="1:18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ht="13.2" spans="1:18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ht="13.2" spans="1:18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ht="13.2" spans="1:18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ht="13.2" spans="1:18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ht="13.2" spans="1:18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ht="13.2" spans="1:18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ht="13.2" spans="1:18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ht="13.2" spans="1:18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ht="13.2" spans="1:18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ht="13.2" spans="1:18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ht="13.2" spans="1:18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ht="13.2" spans="1:18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ht="13.2" spans="1:18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ht="13.2" spans="1:18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ht="13.2" spans="1:18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ht="13.2" spans="1:18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ht="13.2" spans="1:18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ht="13.2" spans="1:18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ht="13.2" spans="1:18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ht="13.2" spans="1:18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ht="13.2" spans="1:18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ht="13.2" spans="1:18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ht="13.2" spans="1:18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ht="13.2" spans="1:18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ht="13.2" spans="1:18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ht="13.2" spans="1:18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ht="13.2" spans="1:18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  <row r="746" ht="13.2" spans="1:18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</row>
    <row r="747" ht="13.2" spans="1:18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</row>
    <row r="748" ht="13.2" spans="1:18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</row>
    <row r="749" ht="13.2" spans="1:18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</row>
    <row r="750" ht="13.2" spans="1:18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</row>
    <row r="751" ht="13.2" spans="1:18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</row>
    <row r="752" ht="13.2" spans="1:18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</row>
    <row r="753" ht="13.2" spans="1:18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</row>
    <row r="754" ht="13.2" spans="1:18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</row>
    <row r="755" ht="13.2" spans="1:18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</row>
    <row r="756" ht="13.2" spans="1:18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</row>
    <row r="757" ht="13.2" spans="1:18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</row>
    <row r="758" ht="13.2" spans="1:18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</row>
    <row r="759" ht="13.2" spans="1:18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</row>
    <row r="760" ht="13.2" spans="1:18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</row>
    <row r="761" ht="13.2" spans="1:18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</row>
    <row r="762" ht="13.2" spans="1:18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</row>
    <row r="763" ht="13.2" spans="1:18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</row>
    <row r="764" ht="13.2" spans="1:18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</row>
    <row r="765" ht="13.2" spans="1:18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</row>
    <row r="766" ht="13.2" spans="1:18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</row>
    <row r="767" ht="13.2" spans="1:18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</row>
    <row r="768" ht="13.2" spans="1:18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</row>
    <row r="769" ht="13.2" spans="1:18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</row>
    <row r="770" ht="13.2" spans="1:18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</row>
    <row r="771" ht="13.2" spans="1:18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</row>
    <row r="772" ht="13.2" spans="1:18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</row>
    <row r="773" ht="13.2" spans="1:18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</row>
    <row r="774" ht="13.2" spans="1:18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</row>
    <row r="775" ht="13.2" spans="1:18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</row>
    <row r="776" ht="13.2" spans="1:18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</row>
    <row r="777" ht="13.2" spans="1:18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</row>
    <row r="778" ht="13.2" spans="1:18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</row>
    <row r="779" ht="13.2" spans="1:18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</row>
    <row r="780" ht="13.2" spans="1:18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</row>
    <row r="781" ht="13.2" spans="1:18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</row>
    <row r="782" ht="13.2" spans="1:18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</row>
    <row r="783" ht="13.2" spans="1:18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</row>
    <row r="784" ht="13.2" spans="1:18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</row>
    <row r="785" ht="13.2" spans="1:18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</row>
    <row r="786" ht="13.2" spans="1:18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</row>
    <row r="787" ht="13.2" spans="1:18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</row>
    <row r="788" ht="13.2" spans="1:18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</row>
    <row r="789" ht="13.2" spans="1:18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</row>
    <row r="790" ht="13.2" spans="1:18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</row>
    <row r="791" ht="13.2" spans="1:18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</row>
    <row r="792" ht="13.2" spans="1:18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</row>
    <row r="793" ht="13.2" spans="1:18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</row>
    <row r="794" ht="13.2" spans="1:18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</row>
    <row r="795" ht="13.2" spans="1:18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</row>
    <row r="796" ht="13.2" spans="1:18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</row>
    <row r="797" ht="13.2" spans="1:18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</row>
    <row r="798" ht="13.2" spans="1:18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</row>
    <row r="799" ht="13.2" spans="1:18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</row>
    <row r="800" ht="13.2" spans="1:18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</row>
    <row r="801" ht="13.2" spans="1:18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</row>
    <row r="802" ht="13.2" spans="1:18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</row>
    <row r="803" ht="13.2" spans="1:18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</row>
    <row r="804" ht="13.2" spans="1:18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</row>
    <row r="805" ht="13.2" spans="1:18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</row>
    <row r="806" ht="13.2" spans="1:18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</row>
    <row r="807" ht="13.2" spans="1:18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</row>
    <row r="808" ht="13.2" spans="1:18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</row>
    <row r="809" ht="13.2" spans="1:18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</row>
    <row r="810" ht="13.2" spans="1:18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</row>
    <row r="811" ht="13.2" spans="1:18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</row>
    <row r="812" ht="13.2" spans="1:18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</row>
    <row r="813" ht="13.2" spans="1:18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</row>
    <row r="814" ht="13.2" spans="1:18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</row>
    <row r="815" ht="13.2" spans="1:18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</row>
    <row r="816" ht="13.2" spans="1:18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</row>
    <row r="817" ht="13.2" spans="1:18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</row>
    <row r="818" ht="13.2" spans="1:18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</row>
    <row r="819" ht="13.2" spans="1:18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</row>
    <row r="820" ht="13.2" spans="1:18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</row>
    <row r="821" ht="13.2" spans="1:18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</row>
    <row r="822" ht="13.2" spans="1:18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</row>
    <row r="823" ht="13.2" spans="1:18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</row>
    <row r="824" ht="13.2" spans="1:18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</row>
    <row r="825" ht="13.2" spans="1:18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</row>
    <row r="826" ht="13.2" spans="1:18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</row>
    <row r="827" ht="13.2" spans="1:18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</row>
    <row r="828" ht="13.2" spans="1:18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</row>
    <row r="829" ht="13.2" spans="1:18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</row>
    <row r="830" ht="13.2" spans="1:18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</row>
    <row r="831" ht="13.2" spans="1:18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</row>
    <row r="832" ht="13.2" spans="1:18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</row>
    <row r="833" ht="13.2" spans="1:18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</row>
    <row r="834" ht="13.2" spans="1:18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</row>
    <row r="835" ht="13.2" spans="1:18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</row>
    <row r="836" ht="13.2" spans="1:18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</row>
    <row r="837" ht="13.2" spans="1:18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</row>
    <row r="838" ht="13.2" spans="1:18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</row>
    <row r="839" ht="13.2" spans="1:18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</row>
    <row r="840" ht="13.2" spans="1:18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</row>
    <row r="841" ht="13.2" spans="1:18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</row>
    <row r="842" ht="13.2" spans="1:18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</row>
    <row r="843" ht="13.2" spans="1:18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</row>
    <row r="844" ht="13.2" spans="1:18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</row>
    <row r="845" ht="13.2" spans="1:18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</row>
    <row r="846" ht="13.2" spans="1:18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</row>
    <row r="847" ht="13.2" spans="1:18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</row>
    <row r="848" ht="13.2" spans="1:18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</row>
    <row r="849" ht="13.2" spans="1:18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</row>
    <row r="850" ht="13.2" spans="1:18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</row>
    <row r="851" ht="13.2" spans="1:18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</row>
    <row r="852" ht="13.2" spans="1:18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</row>
    <row r="853" ht="13.2" spans="1:18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</row>
    <row r="854" ht="13.2" spans="1:18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</row>
    <row r="855" ht="13.2" spans="1:18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</row>
    <row r="856" ht="13.2" spans="1:18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</row>
    <row r="857" ht="13.2" spans="1:18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</row>
    <row r="858" ht="13.2" spans="1:18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</row>
    <row r="859" ht="13.2" spans="1:18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</row>
    <row r="860" ht="13.2" spans="1:18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</row>
    <row r="861" ht="13.2" spans="1:18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</row>
    <row r="862" ht="13.2" spans="1:18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</row>
    <row r="863" ht="13.2" spans="1:18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</row>
    <row r="864" ht="13.2" spans="1:18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</row>
    <row r="865" ht="13.2" spans="1:18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</row>
    <row r="866" ht="13.2" spans="1:18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</row>
    <row r="867" ht="13.2" spans="1:18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</row>
    <row r="868" ht="13.2" spans="1:18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</row>
    <row r="869" ht="13.2" spans="1:18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</row>
    <row r="870" ht="13.2" spans="1:18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</row>
    <row r="871" ht="13.2" spans="1:18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</row>
    <row r="872" ht="13.2" spans="1:18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</row>
    <row r="873" ht="13.2" spans="1:18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</row>
    <row r="874" ht="13.2" spans="1:18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</row>
    <row r="875" ht="13.2" spans="1:18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</row>
    <row r="876" ht="13.2" spans="1:18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</row>
    <row r="877" ht="13.2" spans="1:18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</row>
    <row r="878" ht="13.2" spans="1:18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</row>
    <row r="879" ht="13.2" spans="1:18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</row>
    <row r="880" ht="13.2" spans="1:18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</row>
    <row r="881" ht="13.2" spans="1:18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</row>
    <row r="882" ht="13.2" spans="1:18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</row>
    <row r="883" ht="13.2" spans="1:18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</row>
    <row r="884" ht="13.2" spans="1:18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</row>
    <row r="885" ht="13.2" spans="1:18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</row>
    <row r="886" ht="13.2" spans="1:18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</row>
    <row r="887" ht="13.2" spans="1:18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</row>
    <row r="888" ht="13.2" spans="1:18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</row>
    <row r="889" ht="13.2" spans="1:18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</row>
    <row r="890" ht="13.2" spans="1:18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</row>
    <row r="891" ht="13.2" spans="1:18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</row>
    <row r="892" ht="13.2" spans="1:18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</row>
    <row r="893" ht="13.2" spans="1:18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</row>
    <row r="894" ht="13.2" spans="1:18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</row>
    <row r="895" ht="13.2" spans="1:18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</row>
    <row r="896" ht="13.2" spans="1:18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</row>
    <row r="897" ht="13.2" spans="1:18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</row>
    <row r="898" ht="13.2" spans="1:18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</row>
    <row r="899" ht="13.2" spans="1:18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</row>
    <row r="900" ht="13.2" spans="1:18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</row>
    <row r="901" ht="13.2" spans="1:18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</row>
    <row r="902" ht="13.2" spans="1:18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</row>
    <row r="903" ht="13.2" spans="1:18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</row>
    <row r="904" ht="13.2" spans="1:18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</row>
    <row r="905" ht="13.2" spans="1:18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</row>
    <row r="906" ht="13.2" spans="1:18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</row>
    <row r="907" ht="13.2" spans="1:18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</row>
    <row r="908" ht="13.2" spans="1:18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</row>
    <row r="909" ht="13.2" spans="1:18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</row>
  </sheetData>
  <hyperlinks>
    <hyperlink ref="A3" r:id="rId1" display="=IFERROR(@__xludf.DUMMYFUNCTION(&quot;&quot;&quot;COMPUTED_VALUE&quot;&quot;&quot;),&quot;S.No&quot;)"/>
    <hyperlink ref="F4" r:id="rId2" display="=IFERROR(@__xludf.DUMMYFUNCTION(&quot;&quot;&quot;COMPUTED_VALUE&quot;&quot;&quot;),&quot;Technical Writing&quot;)"/>
    <hyperlink ref="F5" r:id="rId3" display="=IFERROR(@__xludf.DUMMYFUNCTION(&quot;&quot;&quot;COMPUTED_VALUE&quot;&quot;&quot;),&quot;Public Speaking&quot;)"/>
    <hyperlink ref="F6" r:id="rId4" display="=IFERROR(@__xludf.DUMMYFUNCTION(&quot;&quot;&quot;COMPUTED_VALUE&quot;&quot;&quot;),&quot;Communicative English&quot;)"/>
    <hyperlink ref="F7" r:id="rId5" display="=IFERROR(@__xludf.DUMMYFUNCTION(&quot;&quot;&quot;COMPUTED_VALUE&quot;&quot;&quot;),&quot;Basic Financial Accounting&quot;)"/>
    <hyperlink ref="F8" r:id="rId6" display="=IFERROR(@__xludf.DUMMYFUNCTION(&quot;&quot;&quot;COMPUTED_VALUE&quot;&quot;&quot;),&quot;Human Resource Management and Team Building&quot;)"/>
    <hyperlink ref="F9" r:id="rId7" display="=IFERROR(@__xludf.DUMMYFUNCTION(&quot;&quot;&quot;COMPUTED_VALUE&quot;&quot;&quot;),&quot;Stock Market and Company Operations&quot;)"/>
    <hyperlink ref="F10" r:id="rId8" display="=IFERROR(@__xludf.DUMMYFUNCTION(&quot;&quot;&quot;COMPUTED_VALUE&quot;&quot;&quot;),&quot;தமிழர் மரபு/ Heritage of Tamils&quot;)"/>
    <hyperlink ref="F11" r:id="rId9" display="=IFERROR(@__xludf.DUMMYFUNCTION(&quot;&quot;&quot;COMPUTED_VALUE&quot;&quot;&quot;),&quot;தமிழரும் தொழில்நுட்பமும்/ Tamils and Technology&quot;)"/>
    <hyperlink ref="F12" r:id="rId10" display="=IFERROR(@__xludf.DUMMYFUNCTION(&quot;&quot;&quot;COMPUTED_VALUE&quot;&quot;&quot;),&quot;Probability and Queueing Models&quot;)"/>
    <hyperlink ref="F13" r:id="rId11" display="=IFERROR(@__xludf.DUMMYFUNCTION(&quot;&quot;&quot;COMPUTED_VALUE&quot;&quot;&quot;),&quot;Transforms and Its Applications&quot;)"/>
    <hyperlink ref="F14" r:id="rId12" display="=IFERROR(@__xludf.DUMMYFUNCTION(&quot;&quot;&quot;COMPUTED_VALUE&quot;&quot;&quot;),&quot;Mathematics for Artificial Intelligence&quot;)"/>
    <hyperlink ref="F15" r:id="rId13" display="=IFERROR(@__xludf.DUMMYFUNCTION(&quot;&quot;&quot;COMPUTED_VALUE&quot;&quot;&quot;),&quot;Linear Algebra Laboratory&quot;)"/>
    <hyperlink ref="F16" r:id="rId14" display="=IFERROR(@__xludf.DUMMYFUNCTION(&quot;&quot;&quot;COMPUTED_VALUE&quot;&quot;&quot;),&quot;Statistics and Numerical Methods&quot;)"/>
    <hyperlink ref="F17" r:id="rId15" display="=IFERROR(@__xludf.DUMMYFUNCTION(&quot;&quot;&quot;COMPUTED_VALUE&quot;&quot;&quot;),&quot;Principles of Chemistry in Engineering&quot;)"/>
    <hyperlink ref="F18" r:id="rId16" display="=IFERROR(@__xludf.DUMMYFUNCTION(&quot;&quot;&quot;COMPUTED_VALUE&quot;&quot;&quot;),&quot;Physics for Quantum Computing&quot;)"/>
    <hyperlink ref="F19" r:id="rId17" display="=IFERROR(@__xludf.DUMMYFUNCTION(&quot;&quot;&quot;COMPUTED_VALUE&quot;&quot;&quot;),&quot;Python Programming&quot;)"/>
    <hyperlink ref="F20" r:id="rId18" display="=IFERROR(@__xludf.DUMMYFUNCTION(&quot;&quot;&quot;COMPUTED_VALUE&quot;&quot;&quot;),&quot;Engineering Design and Modelling&quot;)"/>
    <hyperlink ref="F21" r:id="rId19" display="=IFERROR(@__xludf.DUMMYFUNCTION(&quot;&quot;&quot;COMPUTED_VALUE&quot;&quot;&quot;),&quot;Engineering Mechanics and Product Development&quot;)"/>
    <hyperlink ref="F22" r:id="rId20" display="=IFERROR(@__xludf.DUMMYFUNCTION(&quot;&quot;&quot;COMPUTED_VALUE&quot;&quot;&quot;),&quot;Object Oriented Programming using C++&quot;)"/>
    <hyperlink ref="F23" r:id="rId21" display="=IFERROR(@__xludf.DUMMYFUNCTION(&quot;&quot;&quot;COMPUTED_VALUE&quot;&quot;&quot;),&quot;Object Oriented Programming using Java&quot;)"/>
    <hyperlink ref="F24" r:id="rId22" display="=IFERROR(@__xludf.DUMMYFUNCTION(&quot;&quot;&quot;COMPUTED_VALUE&quot;&quot;&quot;),&quot;Object Oriented Programming using C#&quot;)"/>
    <hyperlink ref="F25" r:id="rId23" display="=IFERROR(@__xludf.DUMMYFUNCTION(&quot;&quot;&quot;COMPUTED_VALUE&quot;&quot;&quot;),&quot;Digital Electronics&quot;)"/>
    <hyperlink ref="F26" r:id="rId24" display="=IFERROR(@__xludf.DUMMYFUNCTION(&quot;&quot;&quot;COMPUTED_VALUE&quot;&quot;&quot;),&quot;Basic Electrical, Electronics and Measurement Engineering&quot;)"/>
    <hyperlink ref="F27" r:id="rId25" display="=IFERROR(@__xludf.DUMMYFUNCTION(&quot;&quot;&quot;COMPUTED_VALUE&quot;&quot;&quot;),&quot;Programming Microcontrollers&quot;)"/>
    <hyperlink ref="F28" r:id="rId26" display="=IFERROR(@__xludf.DUMMYFUNCTION(&quot;&quot;&quot;COMPUTED_VALUE&quot;&quot;&quot;),&quot;Fundamentals of C Programming&quot;)"/>
    <hyperlink ref="F29" r:id="rId27" display="=IFERROR(@__xludf.DUMMYFUNCTION(&quot;&quot;&quot;COMPUTED_VALUE&quot;&quot;&quot;),&quot;Advanced C Programming&quot;)"/>
    <hyperlink ref="F30" r:id="rId28" display="=IFERROR(@__xludf.DUMMYFUNCTION(&quot;&quot;&quot;COMPUTED_VALUE&quot;&quot;&quot;),&quot;Analysis of Algorithms&quot;)"/>
    <hyperlink ref="F31" r:id="rId29" display="=IFERROR(@__xludf.DUMMYFUNCTION(&quot;&quot;&quot;COMPUTED_VALUE&quot;&quot;&quot;),&quot;Fundamentals of Artificial Intelligence&quot;)"/>
    <hyperlink ref="F32" r:id="rId30" display="=IFERROR(@__xludf.DUMMYFUNCTION(&quot;&quot;&quot;COMPUTED_VALUE&quot;&quot;&quot;),&quot;Data Structures&quot;)"/>
    <hyperlink ref="F33" r:id="rId31" display="=IFERROR(@__xludf.DUMMYFUNCTION(&quot;&quot;&quot;COMPUTED_VALUE&quot;&quot;&quot;),&quot;Fundamentals of Web Application Development&quot;)"/>
    <hyperlink ref="F34" r:id="rId32" display="=IFERROR(@__xludf.DUMMYFUNCTION(&quot;&quot;&quot;COMPUTED_VALUE&quot;&quot;&quot;),&quot;Cloud Computing&quot;)"/>
    <hyperlink ref="F35" r:id="rId33" display="=IFERROR(@__xludf.DUMMYFUNCTION(&quot;&quot;&quot;COMPUTED_VALUE&quot;&quot;&quot;),&quot;Introduction to IoT&quot;)"/>
    <hyperlink ref="F36" r:id="rId34" display="=IFERROR(@__xludf.DUMMYFUNCTION(&quot;&quot;&quot;COMPUTED_VALUE&quot;&quot;&quot;),&quot;Industrial Internet of Things&quot;)"/>
    <hyperlink ref="F38" r:id="rId35" display="=IFERROR(@__xludf.DUMMYFUNCTION(&quot;&quot;&quot;COMPUTED_VALUE&quot;&quot;&quot;),&quot;Operating System&quot;)"/>
    <hyperlink ref="F39" r:id="rId36" display="=IFERROR(@__xludf.DUMMYFUNCTION(&quot;&quot;&quot;COMPUTED_VALUE&quot;&quot;&quot;),&quot;Computer Networks&quot;)"/>
    <hyperlink ref="F40" r:id="rId37" display="=IFERROR(@__xludf.DUMMYFUNCTION(&quot;&quot;&quot;COMPUTED_VALUE&quot;&quot;&quot;),&quot;Theory of Computation&quot;)"/>
    <hyperlink ref="F41" r:id="rId38" display="=IFERROR(@__xludf.DUMMYFUNCTION(&quot;&quot;&quot;COMPUTED_VALUE&quot;&quot;&quot;),&quot;Software Engineering&quot;)"/>
    <hyperlink ref="F42" r:id="rId39" display="=IFERROR(@__xludf.DUMMYFUNCTION(&quot;&quot;&quot;COMPUTED_VALUE&quot;&quot;&quot;),&quot;Compiler Design&quot;)"/>
    <hyperlink ref="F43" r:id="rId40" display="=IFERROR(@__xludf.DUMMYFUNCTION(&quot;&quot;&quot;COMPUTED_VALUE&quot;&quot;&quot;),&quot;Prototyping of IoT Systems&quot;)"/>
    <hyperlink ref="F44" r:id="rId41" display="=IFERROR(@__xludf.DUMMYFUNCTION(&quot;&quot;&quot;COMPUTED_VALUE&quot;&quot;&quot;),&quot;Edge Computing&quot;)"/>
    <hyperlink ref="F45" r:id="rId42" display="=IFERROR(@__xludf.DUMMYFUNCTION(&quot;&quot;&quot;COMPUTED_VALUE&quot;&quot;&quot;),&quot;Security for IoT Systems&quot;)"/>
    <hyperlink ref="F46" r:id="rId43" display="=IFERROR(@__xludf.DUMMYFUNCTION(&quot;&quot;&quot;COMPUTED_VALUE&quot;&quot;&quot;),&quot;Computer Architecture&quot;)"/>
    <hyperlink ref="F47" r:id="rId44" display="=IFERROR(@__xludf.DUMMYFUNCTION(&quot;&quot;&quot;COMPUTED_VALUE&quot;&quot;&quot;),&quot;Ad Hoc and Wireless Sensor Networks&quot;)"/>
    <hyperlink ref="F48" r:id="rId45" display="=IFERROR(@__xludf.DUMMYFUNCTION(&quot;&quot;&quot;COMPUTED_VALUE&quot;&quot;&quot;),&quot;Fog Computing&quot;)"/>
    <hyperlink ref="F49" r:id="rId46" display="=IFERROR(@__xludf.DUMMYFUNCTION(&quot;&quot;&quot;COMPUTED_VALUE&quot;&quot;&quot;),&quot;Sensors and Actuators for IoT&quot;)"/>
    <hyperlink ref="F50" r:id="rId47" display="=IFERROR(@__xludf.DUMMYFUNCTION(&quot;&quot;&quot;COMPUTED_VALUE&quot;&quot;&quot;),&quot;Embedded Board Design&quot;)"/>
    <hyperlink ref="F51" r:id="rId48" display="=IFERROR(@__xludf.DUMMYFUNCTION(&quot;&quot;&quot;COMPUTED_VALUE&quot;&quot;&quot;),&quot;Embedded Board Manufacturing&quot;)"/>
    <hyperlink ref="F52" r:id="rId49" display="=IFERROR(@__xludf.DUMMYFUNCTION(&quot;&quot;&quot;COMPUTED_VALUE&quot;&quot;&quot;),&quot;Realtime Operating System&quot;)"/>
    <hyperlink ref="F53" r:id="rId50" display="=IFERROR(@__xludf.DUMMYFUNCTION(&quot;&quot;&quot;COMPUTED_VALUE&quot;&quot;&quot;),&quot;Free Open Source Software&quot;)"/>
    <hyperlink ref="F54" r:id="rId51" display="=IFERROR(@__xludf.DUMMYFUNCTION(&quot;&quot;&quot;COMPUTED_VALUE&quot;&quot;&quot;),&quot;Kernel Programming&quot;)"/>
    <hyperlink ref="F55" r:id="rId52" display="=IFERROR(@__xludf.DUMMYFUNCTION(&quot;&quot;&quot;COMPUTED_VALUE&quot;&quot;&quot;),&quot;Applied Artificial Intelligence&quot;)"/>
    <hyperlink ref="F57" r:id="rId53" display="=IFERROR(@__xludf.DUMMYFUNCTION(&quot;&quot;&quot;COMPUTED_VALUE&quot;&quot;&quot;),&quot;Special Topics in Artificial Intelligence&quot;)"/>
    <hyperlink ref="F58" r:id="rId54" display="=IFERROR(@__xludf.DUMMYFUNCTION(&quot;&quot;&quot;COMPUTED_VALUE&quot;&quot;&quot;),&quot;Computer Vision&quot;)"/>
    <hyperlink ref="F59" r:id="rId55" display="=IFERROR(@__xludf.DUMMYFUNCTION(&quot;&quot;&quot;COMPUTED_VALUE&quot;&quot;&quot;),&quot;Self Driving Car&quot;)"/>
    <hyperlink ref="F60" r:id="rId56" display="=IFERROR(@__xludf.DUMMYFUNCTION(&quot;&quot;&quot;COMPUTED_VALUE&quot;&quot;&quot;),&quot;Knowledge Engineering&quot;)"/>
    <hyperlink ref="F61" r:id="rId57" display="=IFERROR(@__xludf.DUMMYFUNCTION(&quot;&quot;&quot;COMPUTED_VALUE&quot;&quot;&quot;),&quot;Applied Natural Language Processing&quot;)"/>
    <hyperlink ref="F62" r:id="rId58" display="=IFERROR(@__xludf.DUMMYFUNCTION(&quot;&quot;&quot;COMPUTED_VALUE&quot;&quot;&quot;),&quot;Introduction to Machine Learning&quot;)"/>
    <hyperlink ref="F63" r:id="rId59" display="=IFERROR(@__xludf.DUMMYFUNCTION(&quot;&quot;&quot;COMPUTED_VALUE&quot;&quot;&quot;),&quot;Neural Networks&quot;)"/>
    <hyperlink ref="F65" r:id="rId60" display="=IFERROR(@__xludf.DUMMYFUNCTION(&quot;&quot;&quot;COMPUTED_VALUE&quot;&quot;&quot;),&quot;Deep Learning and its Applications&quot;)"/>
    <hyperlink ref="F66" r:id="rId61" display="=IFERROR(@__xludf.DUMMYFUNCTION(&quot;&quot;&quot;COMPUTED_VALUE&quot;&quot;&quot;),&quot;Expert Systems&quot;)"/>
    <hyperlink ref="F69" r:id="rId62" display="=IFERROR(@__xludf.DUMMYFUNCTION(&quot;&quot;&quot;COMPUTED_VALUE&quot;&quot;&quot;),&quot;Genetic Algorithms&quot;)"/>
    <hyperlink ref="F70" r:id="rId63" display="=IFERROR(@__xludf.DUMMYFUNCTION(&quot;&quot;&quot;COMPUTED_VALUE&quot;&quot;&quot;),&quot;Statistical Learning Theory&quot;)"/>
    <hyperlink ref="F71" r:id="rId64" display="=IFERROR(@__xludf.DUMMYFUNCTION(&quot;&quot;&quot;COMPUTED_VALUE&quot;&quot;&quot;),&quot;Cryptography&quot;)"/>
    <hyperlink ref="F72" r:id="rId65" display="=IFERROR(@__xludf.DUMMYFUNCTION(&quot;&quot;&quot;COMPUTED_VALUE&quot;&quot;&quot;),&quot;Blockchain for Business&quot;)"/>
    <hyperlink ref="F73" r:id="rId66" display="=IFERROR(@__xludf.DUMMYFUNCTION(&quot;&quot;&quot;COMPUTED_VALUE&quot;&quot;&quot;),&quot;Cloud Security&quot;)"/>
    <hyperlink ref="F74" r:id="rId67" display="=IFERROR(@__xludf.DUMMYFUNCTION(&quot;&quot;&quot;COMPUTED_VALUE&quot;&quot;&quot;),&quot;Ethical Hacking Techniques&quot;)"/>
    <hyperlink ref="F75" r:id="rId68" display="=IFERROR(@__xludf.DUMMYFUNCTION(&quot;&quot;&quot;COMPUTED_VALUE&quot;&quot;&quot;),&quot;Cyber Law and Compliance&quot;)"/>
    <hyperlink ref="F76" r:id="rId64" display="=IFERROR(@__xludf.DUMMYFUNCTION(&quot;&quot;&quot;COMPUTED_VALUE&quot;&quot;&quot;),&quot;Digital Forensics and Digital Investigations&quot;)"/>
    <hyperlink ref="F77" r:id="rId69" display="=IFERROR(@__xludf.DUMMYFUNCTION(&quot;&quot;&quot;COMPUTED_VALUE&quot;&quot;&quot;),&quot;Fundamentals of Cryptocurrency&quot;)"/>
    <hyperlink ref="F78" r:id="rId70" display="=IFERROR(@__xludf.DUMMYFUNCTION(&quot;&quot;&quot;COMPUTED_VALUE&quot;&quot;&quot;),&quot;Information Security Intelligence and Analytics using Big Data&quot;)"/>
    <hyperlink ref="F79" r:id="rId48" display="=IFERROR(@__xludf.DUMMYFUNCTION(&quot;&quot;&quot;COMPUTED_VALUE&quot;&quot;&quot;),&quot;Prevention Methodology for Cybersecurity&quot;)"/>
    <hyperlink ref="F80" r:id="rId71" display="=IFERROR(@__xludf.DUMMYFUNCTION(&quot;&quot;&quot;COMPUTED_VALUE&quot;&quot;&quot;),&quot;Trusted Network Systems&quot;)"/>
    <hyperlink ref="F81" r:id="rId72" display="=IFERROR(@__xludf.DUMMYFUNCTION(&quot;&quot;&quot;COMPUTED_VALUE&quot;&quot;&quot;),&quot;Information Security and Access Control&quot;)"/>
    <hyperlink ref="F82" r:id="rId73" display="=IFERROR(@__xludf.DUMMYFUNCTION(&quot;&quot;&quot;COMPUTED_VALUE&quot;&quot;&quot;),&quot;Firewalls and Intrusion Detection System&quot;)"/>
    <hyperlink ref="F83" r:id="rId74" display="=IFERROR(@__xludf.DUMMYFUNCTION(&quot;&quot;&quot;COMPUTED_VALUE&quot;&quot;&quot;),&quot;Security Assessment and Risk Analysis&quot;)"/>
    <hyperlink ref="F84" r:id="rId75" display="=IFERROR(@__xludf.DUMMYFUNCTION(&quot;&quot;&quot;COMPUTED_VALUE&quot;&quot;&quot;),&quot;Steganography and Digital Watermarking&quot;)"/>
    <hyperlink ref="F85" r:id="rId76" display="=IFERROR(@__xludf.DUMMYFUNCTION(&quot;&quot;&quot;COMPUTED_VALUE&quot;&quot;&quot;),&quot;Secure Software Engineering&quot;)"/>
    <hyperlink ref="F86" r:id="rId77" display="=IFERROR(@__xludf.DUMMYFUNCTION(&quot;&quot;&quot;COMPUTED_VALUE&quot;&quot;&quot;),&quot;System Security&quot;)"/>
    <hyperlink ref="F87" r:id="rId78" display="=IFERROR(@__xludf.DUMMYFUNCTION(&quot;&quot;&quot;COMPUTED_VALUE&quot;&quot;&quot;),&quot;Robotic Process Automation&quot;)"/>
    <hyperlink ref="F88" r:id="rId79" display="=IFERROR(@__xludf.DUMMYFUNCTION(&quot;&quot;&quot;COMPUTED_VALUE&quot;&quot;&quot;),&quot;Software Project Management and Version Control&quot;)"/>
    <hyperlink ref="F89" r:id="rId80" display="=IFERROR(@__xludf.DUMMYFUNCTION(&quot;&quot;&quot;COMPUTED_VALUE&quot;&quot;&quot;),&quot;Generative AI Application Development&quot;)"/>
    <hyperlink ref="F90" r:id="rId81" display="=IFERROR(@__xludf.DUMMYFUNCTION(&quot;&quot;&quot;COMPUTED_VALUE&quot;&quot;&quot;),&quot;Fine Tuning Large Language Models&quot;)"/>
    <hyperlink ref="F91" r:id="rId82" display="=IFERROR(@__xludf.DUMMYFUNCTION(&quot;&quot;&quot;COMPUTED_VALUE&quot;&quot;&quot;),&quot;Applied Data Science&quot;)"/>
    <hyperlink ref="F92" r:id="rId83" display="=IFERROR(@__xludf.DUMMYFUNCTION(&quot;&quot;&quot;COMPUTED_VALUE&quot;&quot;&quot;),&quot;Entrepreneurship and Small Business Development&quot;)"/>
    <hyperlink ref="F93" r:id="rId84" display="=IFERROR(@__xludf.DUMMYFUNCTION(&quot;&quot;&quot;COMPUTED_VALUE&quot;&quot;&quot;),&quot;Software Development and Operations&quot;)"/>
    <hyperlink ref="F94" r:id="rId85" display="=IFERROR(@__xludf.DUMMYFUNCTION(&quot;&quot;&quot;COMPUTED_VALUE&quot;&quot;&quot;),&quot;Serverless App Development&quot;)"/>
    <hyperlink ref="F95" r:id="rId86" display="=IFERROR(@__xludf.DUMMYFUNCTION(&quot;&quot;&quot;COMPUTED_VALUE&quot;&quot;&quot;),&quot;Enterprise Cloud Architecture&quot;)"/>
    <hyperlink ref="F96" r:id="rId87" display="=IFERROR(@__xludf.DUMMYFUNCTION(&quot;&quot;&quot;COMPUTED_VALUE&quot;&quot;&quot;),&quot;Advanced Class Design and Object-Oriented Techniques&quot;)"/>
    <hyperlink ref="F97" r:id="rId88" display="=IFERROR(@__xludf.DUMMYFUNCTION(&quot;&quot;&quot;COMPUTED_VALUE&quot;&quot;&quot;),&quot;Low-Code App Development&quot;)"/>
    <hyperlink ref="F98" r:id="rId89" display="=IFERROR(@__xludf.DUMMYFUNCTION(&quot;&quot;&quot;COMPUTED_VALUE&quot;&quot;&quot;),&quot;Cloud System Administration&quot;)"/>
    <hyperlink ref="F99" r:id="rId90" display="=IFERROR(@__xludf.DUMMYFUNCTION(&quot;&quot;&quot;COMPUTED_VALUE&quot;&quot;&quot;),&quot;Machine Learning Operations&quot;)"/>
    <hyperlink ref="F100" r:id="rId91" display="=IFERROR(@__xludf.DUMMYFUNCTION(&quot;&quot;&quot;COMPUTED_VALUE&quot;&quot;&quot;),&quot;Introduction to Robotics&quot;)"/>
    <hyperlink ref="F101" r:id="rId92" display="=IFERROR(@__xludf.DUMMYFUNCTION(&quot;&quot;&quot;COMPUTED_VALUE&quot;&quot;&quot;),&quot;Kinematics and Dynamics of Robots&quot;)"/>
    <hyperlink ref="F102" r:id="rId93" display="=IFERROR(@__xludf.DUMMYFUNCTION(&quot;&quot;&quot;COMPUTED_VALUE&quot;&quot;&quot;),&quot;Robotic Sensors&quot;)"/>
    <hyperlink ref="F103" r:id="rId94" display="=IFERROR(@__xludf.DUMMYFUNCTION(&quot;&quot;&quot;COMPUTED_VALUE&quot;&quot;&quot;),&quot;Control of Robotic Systems&quot;)"/>
    <hyperlink ref="F104" r:id="rId95" display="=IFERROR(@__xludf.DUMMYFUNCTION(&quot;&quot;&quot;COMPUTED_VALUE&quot;&quot;&quot;),&quot;Concepts of Virtual And Augmented Reality&quot;)"/>
    <hyperlink ref="F105" r:id="rId96" display="=IFERROR(@__xludf.DUMMYFUNCTION(&quot;&quot;&quot;COMPUTED_VALUE&quot;&quot;&quot;),&quot;Mobile VR And AI In Unity&quot;)"/>
    <hyperlink ref="F106" r:id="rId97" display="=IFERROR(@__xludf.DUMMYFUNCTION(&quot;&quot;&quot;COMPUTED_VALUE&quot;&quot;&quot;),&quot;Game Programming&quot;)"/>
    <hyperlink ref="F107" r:id="rId98" display="=IFERROR(@__xludf.DUMMYFUNCTION(&quot;&quot;&quot;COMPUTED_VALUE&quot;&quot;&quot;),&quot;Computer Graphics for Virtual Reality&quot;)"/>
    <hyperlink ref="F108" r:id="rId99" display="=IFERROR(@__xludf.DUMMYFUNCTION(&quot;&quot;&quot;COMPUTED_VALUE&quot;&quot;&quot;),&quot;Motion Planning Techniques&quot;)"/>
    <hyperlink ref="F109" r:id="rId100" display="=IFERROR(@__xludf.DUMMYFUNCTION(&quot;&quot;&quot;COMPUTED_VALUE&quot;&quot;&quot;),&quot;Robot Programming&quot;)"/>
    <hyperlink ref="F110" r:id="rId101" display="=IFERROR(@__xludf.DUMMYFUNCTION(&quot;&quot;&quot;COMPUTED_VALUE&quot;&quot;&quot;),&quot;Drone Assembly and Applications&quot;)"/>
    <hyperlink ref="F111" r:id="rId102" display="=IFERROR(@__xludf.DUMMYFUNCTION(&quot;&quot;&quot;COMPUTED_VALUE&quot;&quot;&quot;),&quot;Artificial Intelligence for Games&quot;)"/>
    <hyperlink ref="F112" r:id="rId103" display="=IFERROR(@__xludf.DUMMYFUNCTION(&quot;&quot;&quot;COMPUTED_VALUE&quot;&quot;&quot;),&quot;Drone Design and Control&quot;)"/>
    <hyperlink ref="F113" r:id="rId104" display="=IFERROR(@__xludf.DUMMYFUNCTION(&quot;&quot;&quot;COMPUTED_VALUE&quot;&quot;&quot;),&quot;Mobile User Interface Development&quot;)"/>
    <hyperlink ref="F114" r:id="rId105" display="=IFERROR(@__xludf.DUMMYFUNCTION(&quot;&quot;&quot;COMPUTED_VALUE&quot;&quot;&quot;),&quot;Programming Mobile Devices&quot;)"/>
    <hyperlink ref="F115" r:id="rId106" display="=IFERROR(@__xludf.DUMMYFUNCTION(&quot;&quot;&quot;COMPUTED_VALUE&quot;&quot;&quot;),&quot;Modern Web Application Development&quot;)"/>
    <hyperlink ref="F116" r:id="rId107" display="=IFERROR(@__xludf.DUMMYFUNCTION(&quot;&quot;&quot;COMPUTED_VALUE&quot;&quot;&quot;),&quot;Web Server Programming&quot;)"/>
    <hyperlink ref="F117" r:id="rId108" display="=IFERROR(@__xludf.DUMMYFUNCTION(&quot;&quot;&quot;COMPUTED_VALUE&quot;&quot;&quot;),&quot;Web Application User Interface Development&quot;)"/>
    <hyperlink ref="F118" r:id="rId109" display="=IFERROR(@__xludf.DUMMYFUNCTION(&quot;&quot;&quot;COMPUTED_VALUE&quot;&quot;&quot;),&quot;Advanced Java Web Applications&quot;)"/>
    <hyperlink ref="F119" r:id="rId110" display="=IFERROR(@__xludf.DUMMYFUNCTION(&quot;&quot;&quot;COMPUTED_VALUE&quot;&quot;&quot;),&quot;Introduction to Data Science&quot;)"/>
    <hyperlink ref="F120" r:id="rId111" display="=IFERROR(@__xludf.DUMMYFUNCTION(&quot;&quot;&quot;COMPUTED_VALUE&quot;&quot;&quot;),&quot;Scientific and Engineering Data Visualization&quot;)"/>
    <hyperlink ref="F121" r:id="rId112" display="=IFERROR(@__xludf.DUMMYFUNCTION(&quot;&quot;&quot;COMPUTED_VALUE&quot;&quot;&quot;),&quot;Big Data Mining and Analysis&quot;)"/>
    <hyperlink ref="F122" r:id="rId113" display="=IFERROR(@__xludf.DUMMYFUNCTION(&quot;&quot;&quot;COMPUTED_VALUE&quot;&quot;&quot;),&quot;Business Analytics&quot;)"/>
    <hyperlink ref="F124" r:id="rId114" display="=IFERROR(@__xludf.DUMMYFUNCTION(&quot;&quot;&quot;COMPUTED_VALUE&quot;&quot;&quot;),&quot;Mathematical Modelling and Computer Aided Engineering&quot;)"/>
    <hyperlink ref="F125" r:id="rId115" display="=IFERROR(@__xludf.DUMMYFUNCTION(&quot;&quot;&quot;COMPUTED_VALUE&quot;&quot;&quot;),&quot;Agile Software Development&quot;)"/>
    <hyperlink ref="F126" r:id="rId116" display="=IFERROR(@__xludf.DUMMYFUNCTION(&quot;&quot;&quot;COMPUTED_VALUE&quot;&quot;&quot;),&quot;Software Testing&quot;)"/>
    <hyperlink ref="F127" r:id="rId117" display="=IFERROR(@__xludf.DUMMYFUNCTION(&quot;&quot;&quot;COMPUTED_VALUE&quot;&quot;&quot;),&quot;Virtualization and Containerization&quot;)"/>
    <hyperlink ref="F128" r:id="rId118" display="=IFERROR(@__xludf.DUMMYFUNCTION(&quot;&quot;&quot;COMPUTED_VALUE&quot;&quot;&quot;),&quot;Advanced Graph Theory and Applications&quot;)"/>
    <hyperlink ref="F129" r:id="rId119" display="=IFERROR(@__xludf.DUMMYFUNCTION(&quot;&quot;&quot;COMPUTED_VALUE&quot;&quot;&quot;),&quot;Advanced Data Structures&quot;)"/>
    <hyperlink ref="F131" r:id="rId120" display="=IFERROR(@__xludf.DUMMYFUNCTION(&quot;&quot;&quot;COMPUTED_VALUE&quot;&quot;&quot;),&quot;Smart Manufacturing Technology&quot;)"/>
    <hyperlink ref="F132" r:id="rId121" display="=IFERROR(@__xludf.DUMMYFUNCTION(&quot;&quot;&quot;COMPUTED_VALUE&quot;&quot;&quot;),&quot;Information Retrieval&quot;)"/>
    <hyperlink ref="F133" r:id="rId122" display="=IFERROR(@__xludf.DUMMYFUNCTION(&quot;&quot;&quot;COMPUTED_VALUE&quot;&quot;&quot;),&quot;NoSQL Database Design&quot;)"/>
    <hyperlink ref="F134" r:id="rId123" display="=IFERROR(@__xludf.DUMMYFUNCTION(&quot;&quot;&quot;COMPUTED_VALUE&quot;&quot;&quot;),&quot;Cognitive Systems&quot;)"/>
    <hyperlink ref="F135" r:id="rId124" display="=IFERROR(@__xludf.DUMMYFUNCTION(&quot;&quot;&quot;COMPUTED_VALUE&quot;&quot;&quot;),&quot;Distributed Database&quot;)"/>
    <hyperlink ref="F136" r:id="rId125" display="=IFERROR(@__xludf.DUMMYFUNCTION(&quot;&quot;&quot;COMPUTED_VALUE&quot;&quot;&quot;),&quot;Data Mining and Warehousing&quot;)"/>
    <hyperlink ref="F137" r:id="rId126" display="=IFERROR(@__xludf.DUMMYFUNCTION(&quot;&quot;&quot;COMPUTED_VALUE&quot;&quot;&quot;),&quot;Mobile Database&quot;)"/>
    <hyperlink ref="F138" r:id="rId127" display="=IFERROR(@__xludf.DUMMYFUNCTION(&quot;&quot;&quot;COMPUTED_VALUE&quot;&quot;&quot;),&quot;Multimedia Database&quot;)"/>
    <hyperlink ref="F139" r:id="rId128" display="=IFERROR(@__xludf.DUMMYFUNCTION(&quot;&quot;&quot;COMPUTED_VALUE&quot;&quot;&quot;),&quot;Video Processing&quot;)"/>
    <hyperlink ref="F140" r:id="rId129" display="=IFERROR(@__xludf.DUMMYFUNCTION(&quot;&quot;&quot;COMPUTED_VALUE&quot;&quot;&quot;),&quot;Digital Image Processing Techniques&quot;)"/>
    <hyperlink ref="F141" r:id="rId130" display="=IFERROR(@__xludf.DUMMYFUNCTION(&quot;&quot;&quot;COMPUTED_VALUE&quot;&quot;&quot;),&quot;Parallel Computing Architecture&quot;)"/>
    <hyperlink ref="F142" r:id="rId131" display="=IFERROR(@__xludf.DUMMYFUNCTION(&quot;&quot;&quot;COMPUTED_VALUE&quot;&quot;&quot;),&quot;Web Data Mining&quot;)"/>
    <hyperlink ref="F143" r:id="rId132" display="=IFERROR(@__xludf.DUMMYFUNCTION(&quot;&quot;&quot;COMPUTED_VALUE&quot;&quot;&quot;),&quot;Cloud Native App Development&quot;)"/>
    <hyperlink ref="F145" r:id="rId133" display="=IFERROR(@__xludf.DUMMYFUNCTION(&quot;&quot;&quot;COMPUTED_VALUE&quot;&quot;&quot;),&quot;Core Computing Concepts&quot;)"/>
    <hyperlink ref="F148" r:id="rId134" display="=IFERROR(@__xludf.DUMMYFUNCTION(&quot;&quot;&quot;COMPUTED_VALUE&quot;&quot;&quot;),&quot;Mini Project&quot;)"/>
    <hyperlink ref="F149" r:id="rId135" display="=IFERROR(@__xludf.DUMMYFUNCTION(&quot;&quot;&quot;COMPUTED_VALUE&quot;&quot;&quot;),&quot;Project Work I&quot;)"/>
    <hyperlink ref="F150" r:id="rId136" display="=IFERROR(@__xludf.DUMMYFUNCTION(&quot;&quot;&quot;COMPUTED_VALUE&quot;&quot;&quot;),&quot;Project Work II&quot;)"/>
    <hyperlink ref="F151" r:id="rId137" display="=IFERROR(@__xludf.DUMMYFUNCTION(&quot;&quot;&quot;COMPUTED_VALUE&quot;&quot;&quot;),&quot;Softskills&quot;)"/>
    <hyperlink ref="F152" r:id="rId138" display="=IFERROR(@__xludf.DUMMYFUNCTION(&quot;&quot;&quot;COMPUTED_VALUE&quot;&quot;&quot;),&quot;Career Development Skills&quot;)"/>
    <hyperlink ref="F153" r:id="rId139" display="=IFERROR(@__xludf.DUMMYFUNCTION(&quot;&quot;&quot;COMPUTED_VALUE&quot;&quot;&quot;),&quot;Creative Skills for Communication&quot;)"/>
    <hyperlink ref="F154" r:id="rId140" display="=IFERROR(@__xludf.DUMMYFUNCTION(&quot;&quot;&quot;COMPUTED_VALUE&quot;&quot;&quot;),&quot;Reasoning Ability&quot;)"/>
    <hyperlink ref="F155" r:id="rId141" display="=IFERROR(@__xludf.DUMMYFUNCTION(&quot;&quot;&quot;COMPUTED_VALUE&quot;&quot;&quot;),&quot;System of Numerical and Logical Terminologies&quot;)"/>
    <hyperlink ref="F156" r:id="rId142" display="=IFERROR(@__xludf.DUMMYFUNCTION(&quot;&quot;&quot;COMPUTED_VALUE&quot;&quot;&quot;),&quot;Advanced Quantitative and Logical Reasoning&quot;)"/>
    <hyperlink ref="F157" r:id="rId143" display="=IFERROR(@__xludf.DUMMYFUNCTION(&quot;&quot;&quot;COMPUTED_VALUE&quot;&quot;&quot;),&quot;Quantitative Ability I&quot;)"/>
    <hyperlink ref="F158" r:id="rId144" display="=IFERROR(@__xludf.DUMMYFUNCTION(&quot;&quot;&quot;COMPUTED_VALUE&quot;&quot;&quot;),&quot;Quantitative Ability II&quot;)"/>
    <hyperlink ref="F159" r:id="rId145" display="=IFERROR(@__xludf.DUMMYFUNCTION(&quot;&quot;&quot;COMPUTED_VALUE&quot;&quot;&quot;),&quot;Employment Enhancement Skills&quot;)"/>
    <hyperlink ref="F160" r:id="rId146" display="=IFERROR(@__xludf.DUMMYFUNCTION(&quot;&quot;&quot;COMPUTED_VALUE&quot;&quot;&quot;),&quot;Employment Enrichment Skills&quot;)"/>
    <hyperlink ref="F161" r:id="rId147" display="=IFERROR(@__xludf.DUMMYFUNCTION(&quot;&quot;&quot;COMPUTED_VALUE&quot;&quot;&quot;),&quot;Company Specific Assessments For Employability&quot;)"/>
    <hyperlink ref="F162" r:id="rId148" display="=IFERROR(@__xludf.DUMMYFUNCTION(&quot;&quot;&quot;COMPUTED_VALUE&quot;&quot;&quot;),&quot;Placement Readiness Assessment&quot;)"/>
    <hyperlink ref="F163" r:id="rId149" display="=IFERROR(@__xludf.DUMMYFUNCTION(&quot;&quot;&quot;COMPUTED_VALUE&quot;&quot;&quot;),&quot;Paper Publication&quot;)"/>
    <hyperlink ref="F164" r:id="rId150" display="=IFERROR(@__xludf.DUMMYFUNCTION(&quot;&quot;&quot;COMPUTED_VALUE&quot;&quot;&quot;),&quot;Professional Ethics&quot;)"/>
    <hyperlink ref="F165" r:id="rId151" display="=IFERROR(@__xludf.DUMMYFUNCTION(&quot;&quot;&quot;COMPUTED_VALUE&quot;&quot;&quot;),&quot;Environmental Science&quot;)"/>
    <hyperlink ref="F166" r:id="rId152" display="=IFERROR(@__xludf.DUMMYFUNCTION(&quot;&quot;&quot;COMPUTED_VALUE&quot;&quot;&quot;),&quot;Constitution of India&quot;)"/>
    <hyperlink ref="F168" r:id="rId153" display="=IFERROR(@__xludf.DUMMYFUNCTION(&quot;&quot;&quot;COMPUTED_VALUE&quot;&quot;&quot;),&quot;Inplant Training&quot;)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898"/>
  <sheetViews>
    <sheetView workbookViewId="0">
      <selection activeCell="A1" sqref="A1"/>
    </sheetView>
  </sheetViews>
  <sheetFormatPr defaultColWidth="12.6296296296296" defaultRowHeight="15.75" customHeight="1"/>
  <cols>
    <col min="1" max="1" width="7.75" customWidth="1"/>
    <col min="2" max="2" width="16.75" customWidth="1"/>
    <col min="3" max="3" width="12.6296296296296" customWidth="1"/>
    <col min="4" max="4" width="11.6296296296296" customWidth="1"/>
    <col min="5" max="5" width="11.25" customWidth="1"/>
    <col min="6" max="6" width="39.6296296296296" customWidth="1"/>
    <col min="7" max="7" width="12.6296296296296" customWidth="1"/>
    <col min="8" max="8" width="9.5" customWidth="1"/>
    <col min="9" max="9" width="9.25" customWidth="1"/>
    <col min="10" max="10" width="8.87962962962963" customWidth="1"/>
    <col min="11" max="11" width="12.1296296296296" customWidth="1"/>
    <col min="12" max="12" width="14.75" customWidth="1"/>
    <col min="13" max="13" width="13.3796296296296" customWidth="1"/>
    <col min="14" max="14" width="10.25" customWidth="1"/>
    <col min="15" max="15" width="10.5" customWidth="1"/>
    <col min="16" max="16" width="17.3796296296296" customWidth="1"/>
    <col min="17" max="17" width="11.5" customWidth="1"/>
    <col min="18" max="18" width="11.8796296296296" customWidth="1"/>
  </cols>
  <sheetData>
    <row r="1" ht="48" customHeight="1" spans="1:18">
      <c r="A1" s="9" t="str">
        <f>IFERROR(__xludf.DUMMYFUNCTION("ARRAYFORMULA({
IMPORTRANGE(""https://docs.google.com/spreadsheets/d/1UvPg-G_Bj-UNhLC2uL8tntfYsnld_PABqE3impzOchM/edCSE(IOT)"", ""R2024-CSE(IOT)!A:A""),
IMPORTRANGE(""https://docs.google.com/spreadsheets/d/1UvPg-G_Bj-UNhLC2uL8tntfYsnld_PABqE3impzOchM/edCSE"&amp;"(IOT)"", ""R2024-CSE(IOT)!D:D""),
IMPORTRANGE(""https://docs.google.com/spreadsheets/d/1UvPg-G_Bj-UNhLC2uL8tntfYsnld_PABqE3impzOchM/edCSE(IOT)"", ""R2024-CSE(IOT)!E:E""),
IMPORTRANGE(""https://docs.google.com/spreadsheets/d/1UvPg-G_Bj-UNhLC2uL8tntfYsnld_P"&amp;"ABqE3impzOchM/edCSE(IOT)"", ""R2024-CSE(IOT)!F:F""),
IMPORTRANGE(""https://docs.google.com/spreadsheets/d/1UvPg-G_Bj-UNhLC2uL8tntfYsnld_PABqE3impzOchM/edCSE(IOT)"", ""R2024-CSE(IOT)!G:G""),
IMPORTRANGE(""https://docs.google.com/spreadsheets/d/1UvPg-G_Bj-U"&amp;"NhLC2uL8tntfYsnld_PABqE3impzOchM/edCSE(IOT)"", ""R2024-CSE(IOT)!I:I""),
IMPORTRANGE(""https://docs.google.com/spreadsheets/d/1UvPg-G_Bj-UNhLC2uL8tntfYsnld_PABqE3impzOchM/edCSE(IOT)"", ""R2024-CSE(IOT)!N:N""),
IMPORTRANGE(""https://docs.google.com/spreadsh"&amp;"eets/d/1UvPg-G_Bj-UNhLC2uL8tntfYsnld_PABqE3impzOchM/edCSE(IOT)"", ""R2024-CSE(IOT)!O:O""),
IMPORTRANGE(""https://docs.google.com/spreadsheets/d/1UvPg-G_Bj-UNhLC2uL8tntfYsnld_PABqE3impzOchM/edCSE(IOT)"", ""R2024-CSE(IOT)!P:P""),
IMPORTRANGE(""https://docs."&amp;"google.com/spreadsheets/d/1UvPg-G_Bj-UNhLC2uL8tntfYsnld_PABqE3impzOchM/edCSE(IOT)"", ""R2024-CSE(IOT)!Q:Q""),
IMPORTRANGE(""https://docs.google.com/spreadsheets/d/1UvPg-G_Bj-UNhLC2uL8tntfYsnld_PABqE3impzOchM/edCSE(IOT)"", ""R2024-CSE(IOT)!R:R""),
IMPORTRA"&amp;"NGE(""https://docs.google.com/spreadsheets/d/1UvPg-G_Bj-UNhLC2uL8tntfYsnld_PABqE3impzOchM/edCSE(IOT)"", ""R2024-CSE(IOT)!S:S""),
IMPORTRANGE(""https://docs.google.com/spreadsheets/d/1UvPg-G_Bj-UNhLC2uL8tntfYsnld_PABqE3impzOchM/edCSE(IOT)"", ""R2024-CSE(IO"&amp;"T)!V:V""),
IMPORTRANGE(""https://docs.google.com/spreadsheets/d/1UvPg-G_Bj-UNhLC2uL8tntfYsnld_PABqE3impzOchM/edCSE(IOT)"", ""R2024-CSE(IOT)!X:X""),
IMPORTRANGE(""https://docs.google.com/spreadsheets/d/1UvPg-G_Bj-UNhLC2uL8tntfYsnld_PABqE3impzOchM/edCSE(IOT"&amp;")"", ""R2024-CSE(IOT)!Y:Y"")
})
"),"")</f>
        <v/>
      </c>
      <c r="B1" s="9"/>
      <c r="C1" s="9"/>
      <c r="D1" s="9"/>
      <c r="E1" s="9"/>
      <c r="F1" s="10"/>
      <c r="G1" s="9"/>
      <c r="H1" s="9"/>
      <c r="I1" s="9"/>
      <c r="J1" s="9"/>
      <c r="K1" s="9"/>
      <c r="L1" s="9"/>
      <c r="M1" s="12" t="str">
        <f>IFERROR(__xludf.DUMMYFUNCTION("""COMPUTED_VALUE"""),"BATCH: 2024- 2028")</f>
        <v>BATCH: 2024- 2028</v>
      </c>
      <c r="N1" s="13"/>
      <c r="O1" s="14"/>
      <c r="P1" s="12"/>
      <c r="Q1" s="24"/>
      <c r="R1" s="25"/>
    </row>
    <row r="2" ht="60.75" customHeight="1" spans="1:18">
      <c r="A2" s="11" t="str">
        <f>IFERROR(__xludf.DUMMYFUNCTION("""COMPUTED_VALUE"""),"S.No")</f>
        <v>S.No</v>
      </c>
      <c r="B2" s="1" t="str">
        <f>IFERROR(__xludf.DUMMYFUNCTION("""COMPUTED_VALUE"""),"Remarks ")</f>
        <v>Remarks </v>
      </c>
      <c r="C2" s="1" t="str">
        <f>IFERROR(__xludf.DUMMYFUNCTION("""COMPUTED_VALUE"""),"Category")</f>
        <v>Category</v>
      </c>
      <c r="D2" s="1" t="str">
        <f>IFERROR(__xludf.DUMMYFUNCTION("""COMPUTED_VALUE"""),"Course Code R2024")</f>
        <v>Course Code R2024</v>
      </c>
      <c r="E2" s="1" t="str">
        <f>IFERROR(__xludf.DUMMYFUNCTION("""COMPUTED_VALUE"""),"Course Code R2019")</f>
        <v>Course Code R2019</v>
      </c>
      <c r="F2" s="1" t="str">
        <f>IFERROR(__xludf.DUMMYFUNCTION("""COMPUTED_VALUE"""),"Course Title")</f>
        <v>Course Title</v>
      </c>
      <c r="G2" s="1" t="str">
        <f>IFERROR(__xludf.DUMMYFUNCTION("""COMPUTED_VALUE"""),"Prerequisite")</f>
        <v>Prerequisite</v>
      </c>
      <c r="H2" s="1" t="str">
        <f>IFERROR(__xludf.DUMMYFUNCTION("""COMPUTED_VALUE"""),"Theory Credits ")</f>
        <v>Theory Credits </v>
      </c>
      <c r="I2" s="1" t="str">
        <f>IFERROR(__xludf.DUMMYFUNCTION("""COMPUTED_VALUE"""),"Practical Credits")</f>
        <v>Practical Credits</v>
      </c>
      <c r="J2" s="1" t="str">
        <f>IFERROR(__xludf.DUMMYFUNCTION("""COMPUTED_VALUE"""),"Total Credits")</f>
        <v>Total Credits</v>
      </c>
      <c r="K2" s="1" t="str">
        <f>IFERROR(__xludf.DUMMYFUNCTION("""COMPUTED_VALUE"""),"CGPA /          Non - CGPA")</f>
        <v>CGPA /          Non - CGPA</v>
      </c>
      <c r="L2" s="15" t="str">
        <f>IFERROR(__xludf.DUMMYFUNCTION("""COMPUTED_VALUE"""),"Course Type
")</f>
        <v>Course Type
</v>
      </c>
      <c r="M2" s="16" t="str">
        <f>IFERROR(__xludf.DUMMYFUNCTION("""COMPUTED_VALUE"""),"Category")</f>
        <v>Category</v>
      </c>
      <c r="N2" s="1" t="str">
        <f>IFERROR(__xludf.DUMMYFUNCTION("""COMPUTED_VALUE"""),"Credits to be Earned (Regular)")</f>
        <v>Credits to be Earned (Regular)</v>
      </c>
      <c r="O2" s="17" t="str">
        <f>IFERROR(__xludf.DUMMYFUNCTION("""COMPUTED_VALUE"""),"Credits to be Earned (Lateral Entry)")</f>
        <v>Credits to be Earned (Lateral Entry)</v>
      </c>
      <c r="P2" s="16"/>
      <c r="Q2" s="1"/>
      <c r="R2" s="17"/>
    </row>
    <row r="3" ht="48" customHeight="1" spans="1:18">
      <c r="A3" s="2">
        <f>IFERROR(__xludf.DUMMYFUNCTION("""COMPUTED_VALUE"""),1)</f>
        <v>1</v>
      </c>
      <c r="B3" s="2" t="str">
        <f>IFERROR(__xludf.DUMMYFUNCTION("""COMPUTED_VALUE"""),"Any 1")</f>
        <v>Any 1</v>
      </c>
      <c r="C3" s="2" t="str">
        <f>IFERROR(__xludf.DUMMYFUNCTION("""COMPUTED_VALUE"""),"HS")</f>
        <v>HS</v>
      </c>
      <c r="D3" s="2" t="str">
        <f>IFERROR(__xludf.DUMMYFUNCTION("""COMPUTED_VALUE"""),"SH1104")</f>
        <v>SH1104</v>
      </c>
      <c r="E3" s="2" t="str">
        <f>IFERROR(__xludf.DUMMYFUNCTION("""COMPUTED_VALUE"""),"19EN104")</f>
        <v>19EN104</v>
      </c>
      <c r="F3" s="7" t="str">
        <f>IFERROR(__xludf.DUMMYFUNCTION("""COMPUTED_VALUE"""),"Technical Writing")</f>
        <v>Technical Writing</v>
      </c>
      <c r="G3" s="2" t="str">
        <f>IFERROR(__xludf.DUMMYFUNCTION("""COMPUTED_VALUE"""),"-")</f>
        <v>-</v>
      </c>
      <c r="H3" s="2">
        <f>IFERROR(__xludf.DUMMYFUNCTION("""COMPUTED_VALUE"""),3)</f>
        <v>3</v>
      </c>
      <c r="I3" s="2">
        <f>IFERROR(__xludf.DUMMYFUNCTION("""COMPUTED_VALUE"""),0)</f>
        <v>0</v>
      </c>
      <c r="J3" s="2">
        <f>IFERROR(__xludf.DUMMYFUNCTION("""COMPUTED_VALUE"""),3)</f>
        <v>3</v>
      </c>
      <c r="K3" s="2" t="str">
        <f>IFERROR(__xludf.DUMMYFUNCTION("""COMPUTED_VALUE"""),"CGPA")</f>
        <v>CGPA</v>
      </c>
      <c r="L3" s="18" t="str">
        <f>IFERROR(__xludf.DUMMYFUNCTION("""COMPUTED_VALUE"""),"Theory")</f>
        <v>Theory</v>
      </c>
      <c r="M3" s="19" t="str">
        <f>IFERROR(__xludf.DUMMYFUNCTION("""COMPUTED_VALUE"""),"HS")</f>
        <v>HS</v>
      </c>
      <c r="N3" s="2">
        <f>IFERROR(__xludf.DUMMYFUNCTION("""COMPUTED_VALUE"""),14)</f>
        <v>14</v>
      </c>
      <c r="O3" s="20">
        <f>IFERROR(__xludf.DUMMYFUNCTION("""COMPUTED_VALUE"""),3)</f>
        <v>3</v>
      </c>
      <c r="P3" s="19"/>
      <c r="Q3" s="2"/>
      <c r="R3" s="20"/>
    </row>
    <row r="4" ht="48" customHeight="1" spans="1:18">
      <c r="A4" s="2">
        <f>IFERROR(__xludf.DUMMYFUNCTION("""COMPUTED_VALUE"""),2)</f>
        <v>2</v>
      </c>
      <c r="B4" s="2" t="str">
        <f>IFERROR(__xludf.DUMMYFUNCTION("""COMPUTED_VALUE"""),"Any 1")</f>
        <v>Any 1</v>
      </c>
      <c r="C4" s="2" t="str">
        <f>IFERROR(__xludf.DUMMYFUNCTION("""COMPUTED_VALUE"""),"HS")</f>
        <v>HS</v>
      </c>
      <c r="D4" s="2" t="str">
        <f>IFERROR(__xludf.DUMMYFUNCTION("""COMPUTED_VALUE"""),"SH1105")</f>
        <v>SH1105</v>
      </c>
      <c r="E4" s="2" t="str">
        <f>IFERROR(__xludf.DUMMYFUNCTION("""COMPUTED_VALUE"""),"19EN105")</f>
        <v>19EN105</v>
      </c>
      <c r="F4" s="7" t="str">
        <f>IFERROR(__xludf.DUMMYFUNCTION("""COMPUTED_VALUE"""),"Public Speaking")</f>
        <v>Public Speaking</v>
      </c>
      <c r="G4" s="2" t="str">
        <f>IFERROR(__xludf.DUMMYFUNCTION("""COMPUTED_VALUE"""),"-")</f>
        <v>-</v>
      </c>
      <c r="H4" s="2">
        <f>IFERROR(__xludf.DUMMYFUNCTION("""COMPUTED_VALUE"""),0)</f>
        <v>0</v>
      </c>
      <c r="I4" s="2">
        <f>IFERROR(__xludf.DUMMYFUNCTION("""COMPUTED_VALUE"""),3)</f>
        <v>3</v>
      </c>
      <c r="J4" s="2">
        <f>IFERROR(__xludf.DUMMYFUNCTION("""COMPUTED_VALUE"""),3)</f>
        <v>3</v>
      </c>
      <c r="K4" s="2" t="str">
        <f>IFERROR(__xludf.DUMMYFUNCTION("""COMPUTED_VALUE"""),"CGPA")</f>
        <v>CGPA</v>
      </c>
      <c r="L4" s="18" t="str">
        <f>IFERROR(__xludf.DUMMYFUNCTION("""COMPUTED_VALUE"""),"Practical (10 Expts)")</f>
        <v>Practical (10 Expts)</v>
      </c>
      <c r="M4" s="19" t="str">
        <f>IFERROR(__xludf.DUMMYFUNCTION("""COMPUTED_VALUE"""),"BS")</f>
        <v>BS</v>
      </c>
      <c r="N4" s="2">
        <f>IFERROR(__xludf.DUMMYFUNCTION("""COMPUTED_VALUE"""),25)</f>
        <v>25</v>
      </c>
      <c r="O4" s="20">
        <f>IFERROR(__xludf.DUMMYFUNCTION("""COMPUTED_VALUE"""),18)</f>
        <v>18</v>
      </c>
      <c r="P4" s="19"/>
      <c r="Q4" s="2"/>
      <c r="R4" s="20"/>
    </row>
    <row r="5" ht="48" customHeight="1" spans="1:18">
      <c r="A5" s="2">
        <f>IFERROR(__xludf.DUMMYFUNCTION("""COMPUTED_VALUE"""),3)</f>
        <v>3</v>
      </c>
      <c r="B5" s="2" t="str">
        <f>IFERROR(__xludf.DUMMYFUNCTION("""COMPUTED_VALUE"""),"Any 1")</f>
        <v>Any 1</v>
      </c>
      <c r="C5" s="2" t="str">
        <f>IFERROR(__xludf.DUMMYFUNCTION("""COMPUTED_VALUE"""),"HS")</f>
        <v>HS</v>
      </c>
      <c r="D5" s="2" t="str">
        <f>IFERROR(__xludf.DUMMYFUNCTION("""COMPUTED_VALUE"""),"SH1101")</f>
        <v>SH1101</v>
      </c>
      <c r="E5" s="2" t="str">
        <f>IFERROR(__xludf.DUMMYFUNCTION("""COMPUTED_VALUE"""),"19EN101")</f>
        <v>19EN101</v>
      </c>
      <c r="F5" s="7" t="str">
        <f>IFERROR(__xludf.DUMMYFUNCTION("""COMPUTED_VALUE"""),"Communicative English")</f>
        <v>Communicative English</v>
      </c>
      <c r="G5" s="2" t="str">
        <f>IFERROR(__xludf.DUMMYFUNCTION("""COMPUTED_VALUE"""),"-")</f>
        <v>-</v>
      </c>
      <c r="H5" s="2">
        <f>IFERROR(__xludf.DUMMYFUNCTION("""COMPUTED_VALUE"""),3)</f>
        <v>3</v>
      </c>
      <c r="I5" s="2">
        <f>IFERROR(__xludf.DUMMYFUNCTION("""COMPUTED_VALUE"""),1)</f>
        <v>1</v>
      </c>
      <c r="J5" s="2">
        <f>IFERROR(__xludf.DUMMYFUNCTION("""COMPUTED_VALUE"""),4)</f>
        <v>4</v>
      </c>
      <c r="K5" s="2" t="str">
        <f>IFERROR(__xludf.DUMMYFUNCTION("""COMPUTED_VALUE"""),"CGPA")</f>
        <v>CGPA</v>
      </c>
      <c r="L5" s="18" t="str">
        <f>IFERROR(__xludf.DUMMYFUNCTION("""COMPUTED_VALUE"""),"TIP (6 Expts)")</f>
        <v>TIP (6 Expts)</v>
      </c>
      <c r="M5" s="19" t="str">
        <f>IFERROR(__xludf.DUMMYFUNCTION("""COMPUTED_VALUE"""),"ES")</f>
        <v>ES</v>
      </c>
      <c r="N5" s="2">
        <f>IFERROR(__xludf.DUMMYFUNCTION("""COMPUTED_VALUE"""),28)</f>
        <v>28</v>
      </c>
      <c r="O5" s="20">
        <f>IFERROR(__xludf.DUMMYFUNCTION("""COMPUTED_VALUE"""),12)</f>
        <v>12</v>
      </c>
      <c r="P5" s="19"/>
      <c r="Q5" s="2"/>
      <c r="R5" s="20"/>
    </row>
    <row r="6" ht="48" customHeight="1" spans="1:18">
      <c r="A6" s="2">
        <f>IFERROR(__xludf.DUMMYFUNCTION("""COMPUTED_VALUE"""),4)</f>
        <v>4</v>
      </c>
      <c r="B6" s="2" t="str">
        <f>IFERROR(__xludf.DUMMYFUNCTION("""COMPUTED_VALUE"""),"Exempted for LE , Any 2 for Regular")</f>
        <v>Exempted for LE , Any 2 for Regular</v>
      </c>
      <c r="C6" s="2" t="str">
        <f>IFERROR(__xludf.DUMMYFUNCTION("""COMPUTED_VALUE"""),"HS")</f>
        <v>HS</v>
      </c>
      <c r="D6" s="2" t="str">
        <f>IFERROR(__xludf.DUMMYFUNCTION("""COMPUTED_VALUE"""),"SH9154")</f>
        <v>SH9154</v>
      </c>
      <c r="E6" s="2" t="str">
        <f>IFERROR(__xludf.DUMMYFUNCTION("""COMPUTED_VALUE"""),"19MS154")</f>
        <v>19MS154</v>
      </c>
      <c r="F6" s="7" t="str">
        <f>IFERROR(__xludf.DUMMYFUNCTION("""COMPUTED_VALUE"""),"Basic Financial Accounting")</f>
        <v>Basic Financial Accounting</v>
      </c>
      <c r="G6" s="2" t="str">
        <f>IFERROR(__xludf.DUMMYFUNCTION("""COMPUTED_VALUE"""),"-")</f>
        <v>-</v>
      </c>
      <c r="H6" s="2">
        <f>IFERROR(__xludf.DUMMYFUNCTION("""COMPUTED_VALUE"""),3)</f>
        <v>3</v>
      </c>
      <c r="I6" s="2">
        <f>IFERROR(__xludf.DUMMYFUNCTION("""COMPUTED_VALUE"""),0)</f>
        <v>0</v>
      </c>
      <c r="J6" s="2">
        <f>IFERROR(__xludf.DUMMYFUNCTION("""COMPUTED_VALUE"""),3)</f>
        <v>3</v>
      </c>
      <c r="K6" s="2" t="str">
        <f>IFERROR(__xludf.DUMMYFUNCTION("""COMPUTED_VALUE"""),"CGPA")</f>
        <v>CGPA</v>
      </c>
      <c r="L6" s="18" t="str">
        <f>IFERROR(__xludf.DUMMYFUNCTION("""COMPUTED_VALUE"""),"Theory")</f>
        <v>Theory</v>
      </c>
      <c r="M6" s="19" t="str">
        <f>IFERROR(__xludf.DUMMYFUNCTION("""COMPUTED_VALUE"""),"PC")</f>
        <v>PC</v>
      </c>
      <c r="N6" s="2">
        <f>IFERROR(__xludf.DUMMYFUNCTION("""COMPUTED_VALUE"""),56)</f>
        <v>56</v>
      </c>
      <c r="O6" s="20">
        <f>IFERROR(__xludf.DUMMYFUNCTION("""COMPUTED_VALUE"""),47)</f>
        <v>47</v>
      </c>
      <c r="P6" s="19"/>
      <c r="Q6" s="2"/>
      <c r="R6" s="20"/>
    </row>
    <row r="7" ht="48" customHeight="1" spans="1:18">
      <c r="A7" s="2">
        <f>IFERROR(__xludf.DUMMYFUNCTION("""COMPUTED_VALUE"""),5)</f>
        <v>5</v>
      </c>
      <c r="B7" s="2" t="str">
        <f>IFERROR(__xludf.DUMMYFUNCTION("""COMPUTED_VALUE"""),"Exempted for LE , Any 2 for Regular")</f>
        <v>Exempted for LE , Any 2 for Regular</v>
      </c>
      <c r="C7" s="2" t="str">
        <f>IFERROR(__xludf.DUMMYFUNCTION("""COMPUTED_VALUE"""),"HS")</f>
        <v>HS</v>
      </c>
      <c r="D7" s="2" t="str">
        <f>IFERROR(__xludf.DUMMYFUNCTION("""COMPUTED_VALUE"""),"SH9156")</f>
        <v>SH9156</v>
      </c>
      <c r="E7" s="2" t="str">
        <f>IFERROR(__xludf.DUMMYFUNCTION("""COMPUTED_VALUE"""),"19MS156")</f>
        <v>19MS156</v>
      </c>
      <c r="F7" s="7" t="str">
        <f>IFERROR(__xludf.DUMMYFUNCTION("""COMPUTED_VALUE"""),"Human Resource Management and Team Building")</f>
        <v>Human Resource Management and Team Building</v>
      </c>
      <c r="G7" s="2" t="str">
        <f>IFERROR(__xludf.DUMMYFUNCTION("""COMPUTED_VALUE"""),"-")</f>
        <v>-</v>
      </c>
      <c r="H7" s="2">
        <f>IFERROR(__xludf.DUMMYFUNCTION("""COMPUTED_VALUE"""),3)</f>
        <v>3</v>
      </c>
      <c r="I7" s="2">
        <f>IFERROR(__xludf.DUMMYFUNCTION("""COMPUTED_VALUE"""),0)</f>
        <v>0</v>
      </c>
      <c r="J7" s="2">
        <f>IFERROR(__xludf.DUMMYFUNCTION("""COMPUTED_VALUE"""),3)</f>
        <v>3</v>
      </c>
      <c r="K7" s="2" t="str">
        <f>IFERROR(__xludf.DUMMYFUNCTION("""COMPUTED_VALUE"""),"CGPA")</f>
        <v>CGPA</v>
      </c>
      <c r="L7" s="18" t="str">
        <f>IFERROR(__xludf.DUMMYFUNCTION("""COMPUTED_VALUE"""),"Theory")</f>
        <v>Theory</v>
      </c>
      <c r="M7" s="19" t="str">
        <f>IFERROR(__xludf.DUMMYFUNCTION("""COMPUTED_VALUE"""),"PE")</f>
        <v>PE</v>
      </c>
      <c r="N7" s="2">
        <f>IFERROR(__xludf.DUMMYFUNCTION("""COMPUTED_VALUE"""),16)</f>
        <v>16</v>
      </c>
      <c r="O7" s="20">
        <f>IFERROR(__xludf.DUMMYFUNCTION("""COMPUTED_VALUE"""),16)</f>
        <v>16</v>
      </c>
      <c r="P7" s="19"/>
      <c r="Q7" s="2"/>
      <c r="R7" s="20"/>
    </row>
    <row r="8" ht="48" customHeight="1" spans="1:18">
      <c r="A8" s="2">
        <f>IFERROR(__xludf.DUMMYFUNCTION("""COMPUTED_VALUE"""),6)</f>
        <v>6</v>
      </c>
      <c r="B8" s="2" t="str">
        <f>IFERROR(__xludf.DUMMYFUNCTION("""COMPUTED_VALUE"""),"Exempted for LE , Any 2 for Regular")</f>
        <v>Exempted for LE , Any 2 for Regular</v>
      </c>
      <c r="C8" s="2" t="str">
        <f>IFERROR(__xludf.DUMMYFUNCTION("""COMPUTED_VALUE"""),"HS")</f>
        <v>HS</v>
      </c>
      <c r="D8" s="2" t="str">
        <f>IFERROR(__xludf.DUMMYFUNCTION("""COMPUTED_VALUE"""),"SH9155")</f>
        <v>SH9155</v>
      </c>
      <c r="E8" s="2" t="str">
        <f>IFERROR(__xludf.DUMMYFUNCTION("""COMPUTED_VALUE"""),"19MS155")</f>
        <v>19MS155</v>
      </c>
      <c r="F8" s="7" t="str">
        <f>IFERROR(__xludf.DUMMYFUNCTION("""COMPUTED_VALUE"""),"Stock Market and Company Operations")</f>
        <v>Stock Market and Company Operations</v>
      </c>
      <c r="G8" s="2" t="str">
        <f>IFERROR(__xludf.DUMMYFUNCTION("""COMPUTED_VALUE"""),"-")</f>
        <v>-</v>
      </c>
      <c r="H8" s="2">
        <f>IFERROR(__xludf.DUMMYFUNCTION("""COMPUTED_VALUE"""),3)</f>
        <v>3</v>
      </c>
      <c r="I8" s="2">
        <f>IFERROR(__xludf.DUMMYFUNCTION("""COMPUTED_VALUE"""),0)</f>
        <v>0</v>
      </c>
      <c r="J8" s="2">
        <f>IFERROR(__xludf.DUMMYFUNCTION("""COMPUTED_VALUE"""),3)</f>
        <v>3</v>
      </c>
      <c r="K8" s="2" t="str">
        <f>IFERROR(__xludf.DUMMYFUNCTION("""COMPUTED_VALUE"""),"CGPA")</f>
        <v>CGPA</v>
      </c>
      <c r="L8" s="18" t="str">
        <f>IFERROR(__xludf.DUMMYFUNCTION("""COMPUTED_VALUE"""),"Theory")</f>
        <v>Theory</v>
      </c>
      <c r="M8" s="19" t="str">
        <f>IFERROR(__xludf.DUMMYFUNCTION("""COMPUTED_VALUE"""),"OE")</f>
        <v>OE</v>
      </c>
      <c r="N8" s="2">
        <f>IFERROR(__xludf.DUMMYFUNCTION("""COMPUTED_VALUE"""),12)</f>
        <v>12</v>
      </c>
      <c r="O8" s="20">
        <f>IFERROR(__xludf.DUMMYFUNCTION("""COMPUTED_VALUE"""),12)</f>
        <v>12</v>
      </c>
      <c r="P8" s="19"/>
      <c r="Q8" s="2"/>
      <c r="R8" s="20"/>
    </row>
    <row r="9" ht="48" customHeight="1" spans="1:18">
      <c r="A9" s="2">
        <f>IFERROR(__xludf.DUMMYFUNCTION("""COMPUTED_VALUE"""),7)</f>
        <v>7</v>
      </c>
      <c r="B9" s="2" t="str">
        <f>IFERROR(__xludf.DUMMYFUNCTION("""COMPUTED_VALUE"""),"Exempted for LE")</f>
        <v>Exempted for LE</v>
      </c>
      <c r="C9" s="2" t="str">
        <f>IFERROR(__xludf.DUMMYFUNCTION("""COMPUTED_VALUE"""),"HS")</f>
        <v>HS</v>
      </c>
      <c r="D9" s="2" t="str">
        <f>IFERROR(__xludf.DUMMYFUNCTION("""COMPUTED_VALUE"""),"SH7101")</f>
        <v>SH7101</v>
      </c>
      <c r="E9" s="2" t="str">
        <f>IFERROR(__xludf.DUMMYFUNCTION("""COMPUTED_VALUE"""),"22HS101")</f>
        <v>22HS101</v>
      </c>
      <c r="F9" s="7" t="str">
        <f>IFERROR(__xludf.DUMMYFUNCTION("""COMPUTED_VALUE"""),"தமிழர் மரபு/ Heritage of Tamils")</f>
        <v>தமிழர் மரபு/ Heritage of Tamils</v>
      </c>
      <c r="G9" s="2" t="str">
        <f>IFERROR(__xludf.DUMMYFUNCTION("""COMPUTED_VALUE"""),"-")</f>
        <v>-</v>
      </c>
      <c r="H9" s="2">
        <f>IFERROR(__xludf.DUMMYFUNCTION("""COMPUTED_VALUE"""),1)</f>
        <v>1</v>
      </c>
      <c r="I9" s="2">
        <f>IFERROR(__xludf.DUMMYFUNCTION("""COMPUTED_VALUE"""),0)</f>
        <v>0</v>
      </c>
      <c r="J9" s="2">
        <f>IFERROR(__xludf.DUMMYFUNCTION("""COMPUTED_VALUE"""),1)</f>
        <v>1</v>
      </c>
      <c r="K9" s="2" t="str">
        <f>IFERROR(__xludf.DUMMYFUNCTION("""COMPUTED_VALUE"""),"CGPA")</f>
        <v>CGPA</v>
      </c>
      <c r="L9" s="18" t="str">
        <f>IFERROR(__xludf.DUMMYFUNCTION("""COMPUTED_VALUE"""),"Theory (Int Only)")</f>
        <v>Theory (Int Only)</v>
      </c>
      <c r="M9" s="19" t="str">
        <f>IFERROR(__xludf.DUMMYFUNCTION("""COMPUTED_VALUE"""),"EEC")</f>
        <v>EEC</v>
      </c>
      <c r="N9" s="2">
        <f>IFERROR(__xludf.DUMMYFUNCTION("""COMPUTED_VALUE"""),16)</f>
        <v>16</v>
      </c>
      <c r="O9" s="20">
        <f>IFERROR(__xludf.DUMMYFUNCTION("""COMPUTED_VALUE"""),16)</f>
        <v>16</v>
      </c>
      <c r="P9" s="19"/>
      <c r="Q9" s="2"/>
      <c r="R9" s="20"/>
    </row>
    <row r="10" ht="48" customHeight="1" spans="1:18">
      <c r="A10" s="2">
        <f>IFERROR(__xludf.DUMMYFUNCTION("""COMPUTED_VALUE"""),8)</f>
        <v>8</v>
      </c>
      <c r="B10" s="2" t="str">
        <f>IFERROR(__xludf.DUMMYFUNCTION("""COMPUTED_VALUE"""),"Exempted for LE")</f>
        <v>Exempted for LE</v>
      </c>
      <c r="C10" s="2" t="str">
        <f>IFERROR(__xludf.DUMMYFUNCTION("""COMPUTED_VALUE"""),"HS")</f>
        <v>HS</v>
      </c>
      <c r="D10" s="2" t="str">
        <f>IFERROR(__xludf.DUMMYFUNCTION("""COMPUTED_VALUE"""),"SH7102")</f>
        <v>SH7102</v>
      </c>
      <c r="E10" s="2" t="str">
        <f>IFERROR(__xludf.DUMMYFUNCTION("""COMPUTED_VALUE"""),"22HS102")</f>
        <v>22HS102</v>
      </c>
      <c r="F10" s="7" t="str">
        <f>IFERROR(__xludf.DUMMYFUNCTION("""COMPUTED_VALUE"""),"தமிழரும் தொழில்நுட்பமும்/ Tamils and Technology")</f>
        <v>தமிழரும் தொழில்நுட்பமும்/ Tamils and Technology</v>
      </c>
      <c r="G10" s="2" t="str">
        <f>IFERROR(__xludf.DUMMYFUNCTION("""COMPUTED_VALUE"""),"-")</f>
        <v>-</v>
      </c>
      <c r="H10" s="2">
        <f>IFERROR(__xludf.DUMMYFUNCTION("""COMPUTED_VALUE"""),1)</f>
        <v>1</v>
      </c>
      <c r="I10" s="2">
        <f>IFERROR(__xludf.DUMMYFUNCTION("""COMPUTED_VALUE"""),0)</f>
        <v>0</v>
      </c>
      <c r="J10" s="2">
        <f>IFERROR(__xludf.DUMMYFUNCTION("""COMPUTED_VALUE"""),1)</f>
        <v>1</v>
      </c>
      <c r="K10" s="2" t="str">
        <f>IFERROR(__xludf.DUMMYFUNCTION("""COMPUTED_VALUE"""),"CGPA")</f>
        <v>CGPA</v>
      </c>
      <c r="L10" s="18" t="str">
        <f>IFERROR(__xludf.DUMMYFUNCTION("""COMPUTED_VALUE"""),"Theory (Int Only)")</f>
        <v>Theory (Int Only)</v>
      </c>
      <c r="M10" s="19" t="str">
        <f>IFERROR(__xludf.DUMMYFUNCTION("""COMPUTED_VALUE"""),"MC")</f>
        <v>MC</v>
      </c>
      <c r="N10" s="2">
        <f>IFERROR(__xludf.DUMMYFUNCTION("""COMPUTED_VALUE"""),4)</f>
        <v>4</v>
      </c>
      <c r="O10" s="20">
        <f>IFERROR(__xludf.DUMMYFUNCTION("""COMPUTED_VALUE"""),4)</f>
        <v>4</v>
      </c>
      <c r="P10" s="19"/>
      <c r="Q10" s="2"/>
      <c r="R10" s="20"/>
    </row>
    <row r="11" ht="48" customHeight="1" spans="1:18">
      <c r="A11" s="2">
        <f>IFERROR(__xludf.DUMMYFUNCTION("""COMPUTED_VALUE"""),9)</f>
        <v>9</v>
      </c>
      <c r="B11" s="2" t="str">
        <f>IFERROR(__xludf.DUMMYFUNCTION("""COMPUTED_VALUE"""),"Exempted for LE")</f>
        <v>Exempted for LE</v>
      </c>
      <c r="C11" s="2" t="str">
        <f>IFERROR(__xludf.DUMMYFUNCTION("""COMPUTED_VALUE"""),"BS")</f>
        <v>BS</v>
      </c>
      <c r="D11" s="2" t="str">
        <f>IFERROR(__xludf.DUMMYFUNCTION("""COMPUTED_VALUE"""),"SH7801")</f>
        <v>SH7801</v>
      </c>
      <c r="E11" s="2" t="str">
        <f>IFERROR(__xludf.DUMMYFUNCTION("""COMPUTED_VALUE"""),"NA")</f>
        <v>NA</v>
      </c>
      <c r="F11" s="7" t="str">
        <f>IFERROR(__xludf.DUMMYFUNCTION("""COMPUTED_VALUE"""),"Human Values and Professional Ethics")</f>
        <v>Human Values and Professional Ethics</v>
      </c>
      <c r="G11" s="2" t="str">
        <f>IFERROR(__xludf.DUMMYFUNCTION("""COMPUTED_VALUE"""),"-")</f>
        <v>-</v>
      </c>
      <c r="H11" s="2">
        <f>IFERROR(__xludf.DUMMYFUNCTION("""COMPUTED_VALUE"""),2)</f>
        <v>2</v>
      </c>
      <c r="I11" s="2">
        <f>IFERROR(__xludf.DUMMYFUNCTION("""COMPUTED_VALUE"""),0)</f>
        <v>0</v>
      </c>
      <c r="J11" s="2">
        <f>IFERROR(__xludf.DUMMYFUNCTION("""COMPUTED_VALUE"""),2)</f>
        <v>2</v>
      </c>
      <c r="K11" s="2" t="str">
        <f>IFERROR(__xludf.DUMMYFUNCTION("""COMPUTED_VALUE"""),"CGPA")</f>
        <v>CGPA</v>
      </c>
      <c r="L11" s="18" t="str">
        <f>IFERROR(__xludf.DUMMYFUNCTION("""COMPUTED_VALUE"""),"Theory")</f>
        <v>Theory</v>
      </c>
      <c r="M11" s="21" t="str">
        <f>IFERROR(__xludf.DUMMYFUNCTION("""COMPUTED_VALUE"""),"TOTAL")</f>
        <v>TOTAL</v>
      </c>
      <c r="N11" s="22">
        <f>IFERROR(__xludf.DUMMYFUNCTION("""COMPUTED_VALUE"""),171)</f>
        <v>171</v>
      </c>
      <c r="O11" s="23">
        <f>IFERROR(__xludf.DUMMYFUNCTION("""COMPUTED_VALUE"""),128)</f>
        <v>128</v>
      </c>
      <c r="P11" s="21"/>
      <c r="Q11" s="22"/>
      <c r="R11" s="23"/>
    </row>
    <row r="12" ht="48" customHeight="1" spans="1:18">
      <c r="A12" s="2">
        <f>IFERROR(__xludf.DUMMYFUNCTION("""COMPUTED_VALUE"""),10)</f>
        <v>10</v>
      </c>
      <c r="B12" s="2"/>
      <c r="C12" s="2" t="str">
        <f>IFERROR(__xludf.DUMMYFUNCTION("""COMPUTED_VALUE"""),"BS")</f>
        <v>BS</v>
      </c>
      <c r="D12" s="2" t="str">
        <f>IFERROR(__xludf.DUMMYFUNCTION("""COMPUTED_VALUE"""),"SH2222")</f>
        <v>SH2222</v>
      </c>
      <c r="E12" s="2" t="str">
        <f>IFERROR(__xludf.DUMMYFUNCTION("""COMPUTED_VALUE"""),"19MA222")</f>
        <v>19MA222</v>
      </c>
      <c r="F12" s="7" t="str">
        <f>IFERROR(__xludf.DUMMYFUNCTION("""COMPUTED_VALUE"""),"Probability and Queueing Models")</f>
        <v>Probability and Queueing Models</v>
      </c>
      <c r="G12" s="2" t="str">
        <f>IFERROR(__xludf.DUMMYFUNCTION("""COMPUTED_VALUE"""),"-")</f>
        <v>-</v>
      </c>
      <c r="H12" s="2">
        <f>IFERROR(__xludf.DUMMYFUNCTION("""COMPUTED_VALUE"""),3)</f>
        <v>3</v>
      </c>
      <c r="I12" s="2">
        <f>IFERROR(__xludf.DUMMYFUNCTION("""COMPUTED_VALUE"""),1)</f>
        <v>1</v>
      </c>
      <c r="J12" s="2">
        <f>IFERROR(__xludf.DUMMYFUNCTION("""COMPUTED_VALUE"""),4)</f>
        <v>4</v>
      </c>
      <c r="K12" s="2" t="str">
        <f>IFERROR(__xludf.DUMMYFUNCTION("""COMPUTED_VALUE"""),"CGPA")</f>
        <v>CGPA</v>
      </c>
      <c r="L12" s="2" t="str">
        <f>IFERROR(__xludf.DUMMYFUNCTION("""COMPUTED_VALUE"""),"TIP (6 Expts)")</f>
        <v>TIP (6 Expts)</v>
      </c>
      <c r="M12" s="9"/>
      <c r="N12" s="9"/>
      <c r="O12" s="9"/>
      <c r="P12" s="9"/>
      <c r="Q12" s="9"/>
      <c r="R12" s="9"/>
    </row>
    <row r="13" ht="48" customHeight="1" spans="1:18">
      <c r="A13" s="2">
        <f>IFERROR(__xludf.DUMMYFUNCTION("""COMPUTED_VALUE"""),11)</f>
        <v>11</v>
      </c>
      <c r="B13" s="2"/>
      <c r="C13" s="2" t="str">
        <f>IFERROR(__xludf.DUMMYFUNCTION("""COMPUTED_VALUE"""),"BS")</f>
        <v>BS</v>
      </c>
      <c r="D13" s="2" t="str">
        <f>IFERROR(__xludf.DUMMYFUNCTION("""COMPUTED_VALUE"""),"SH2212")</f>
        <v>SH2212</v>
      </c>
      <c r="E13" s="2" t="str">
        <f>IFERROR(__xludf.DUMMYFUNCTION("""COMPUTED_VALUE"""),"19MA212")</f>
        <v>19MA212</v>
      </c>
      <c r="F13" s="7" t="str">
        <f>IFERROR(__xludf.DUMMYFUNCTION("""COMPUTED_VALUE"""),"Algebra and Number Theory")</f>
        <v>Algebra and Number Theory</v>
      </c>
      <c r="G13" s="2" t="str">
        <f>IFERROR(__xludf.DUMMYFUNCTION("""COMPUTED_VALUE"""),"19MA201")</f>
        <v>19MA201</v>
      </c>
      <c r="H13" s="2">
        <f>IFERROR(__xludf.DUMMYFUNCTION("""COMPUTED_VALUE"""),4)</f>
        <v>4</v>
      </c>
      <c r="I13" s="2">
        <f>IFERROR(__xludf.DUMMYFUNCTION("""COMPUTED_VALUE"""),0)</f>
        <v>0</v>
      </c>
      <c r="J13" s="2">
        <f>IFERROR(__xludf.DUMMYFUNCTION("""COMPUTED_VALUE"""),4)</f>
        <v>4</v>
      </c>
      <c r="K13" s="2" t="str">
        <f>IFERROR(__xludf.DUMMYFUNCTION("""COMPUTED_VALUE"""),"CGPA")</f>
        <v>CGPA</v>
      </c>
      <c r="L13" s="2" t="str">
        <f>IFERROR(__xludf.DUMMYFUNCTION("""COMPUTED_VALUE"""),"Theory")</f>
        <v>Theory</v>
      </c>
      <c r="M13" s="9"/>
      <c r="N13" s="9"/>
      <c r="O13" s="9"/>
      <c r="P13" s="9"/>
      <c r="Q13" s="9"/>
      <c r="R13" s="9"/>
    </row>
    <row r="14" ht="48" customHeight="1" spans="1:18">
      <c r="A14" s="2">
        <f>IFERROR(__xludf.DUMMYFUNCTION("""COMPUTED_VALUE"""),12)</f>
        <v>12</v>
      </c>
      <c r="B14" s="2"/>
      <c r="C14" s="2" t="str">
        <f>IFERROR(__xludf.DUMMYFUNCTION("""COMPUTED_VALUE"""),"BS")</f>
        <v>BS</v>
      </c>
      <c r="D14" s="2" t="str">
        <f>IFERROR(__xludf.DUMMYFUNCTION("""COMPUTED_VALUE"""),"SH2220")</f>
        <v>SH2220</v>
      </c>
      <c r="E14" s="2" t="str">
        <f>IFERROR(__xludf.DUMMYFUNCTION("""COMPUTED_VALUE"""),"19MA220")</f>
        <v>19MA220</v>
      </c>
      <c r="F14" s="7" t="str">
        <f>IFERROR(__xludf.DUMMYFUNCTION("""COMPUTED_VALUE"""),"Mathematics for Artificial Intelligence")</f>
        <v>Mathematics for Artificial Intelligence</v>
      </c>
      <c r="G14" s="2" t="str">
        <f>IFERROR(__xludf.DUMMYFUNCTION("""COMPUTED_VALUE"""),"-")</f>
        <v>-</v>
      </c>
      <c r="H14" s="2">
        <f>IFERROR(__xludf.DUMMYFUNCTION("""COMPUTED_VALUE"""),4)</f>
        <v>4</v>
      </c>
      <c r="I14" s="2">
        <f>IFERROR(__xludf.DUMMYFUNCTION("""COMPUTED_VALUE"""),0)</f>
        <v>0</v>
      </c>
      <c r="J14" s="2">
        <f>IFERROR(__xludf.DUMMYFUNCTION("""COMPUTED_VALUE"""),4)</f>
        <v>4</v>
      </c>
      <c r="K14" s="2" t="str">
        <f>IFERROR(__xludf.DUMMYFUNCTION("""COMPUTED_VALUE"""),"CGPA")</f>
        <v>CGPA</v>
      </c>
      <c r="L14" s="2" t="str">
        <f>IFERROR(__xludf.DUMMYFUNCTION("""COMPUTED_VALUE"""),"Theory")</f>
        <v>Theory</v>
      </c>
      <c r="M14" s="9"/>
      <c r="N14" s="9"/>
      <c r="O14" s="9"/>
      <c r="P14" s="9"/>
      <c r="Q14" s="9"/>
      <c r="R14" s="9"/>
    </row>
    <row r="15" ht="48" customHeight="1" spans="1:18">
      <c r="A15" s="2">
        <f>IFERROR(__xludf.DUMMYFUNCTION("""COMPUTED_VALUE"""),13)</f>
        <v>13</v>
      </c>
      <c r="B15" s="2"/>
      <c r="C15" s="2" t="str">
        <f>IFERROR(__xludf.DUMMYFUNCTION("""COMPUTED_VALUE"""),"BS")</f>
        <v>BS</v>
      </c>
      <c r="D15" s="2" t="str">
        <f>IFERROR(__xludf.DUMMYFUNCTION("""COMPUTED_VALUE"""),"SH2221")</f>
        <v>SH2221</v>
      </c>
      <c r="E15" s="2" t="str">
        <f>IFERROR(__xludf.DUMMYFUNCTION("""COMPUTED_VALUE"""),"19MA221")</f>
        <v>19MA221</v>
      </c>
      <c r="F15" s="7" t="str">
        <f>IFERROR(__xludf.DUMMYFUNCTION("""COMPUTED_VALUE"""),"Linear Algebra Laboratory")</f>
        <v>Linear Algebra Laboratory</v>
      </c>
      <c r="G15" s="2" t="str">
        <f>IFERROR(__xludf.DUMMYFUNCTION("""COMPUTED_VALUE"""),"-")</f>
        <v>-</v>
      </c>
      <c r="H15" s="2">
        <f>IFERROR(__xludf.DUMMYFUNCTION("""COMPUTED_VALUE"""),0)</f>
        <v>0</v>
      </c>
      <c r="I15" s="2">
        <f>IFERROR(__xludf.DUMMYFUNCTION("""COMPUTED_VALUE"""),2)</f>
        <v>2</v>
      </c>
      <c r="J15" s="2">
        <f>IFERROR(__xludf.DUMMYFUNCTION("""COMPUTED_VALUE"""),2)</f>
        <v>2</v>
      </c>
      <c r="K15" s="2" t="str">
        <f>IFERROR(__xludf.DUMMYFUNCTION("""COMPUTED_VALUE"""),"CGPA")</f>
        <v>CGPA</v>
      </c>
      <c r="L15" s="2" t="str">
        <f>IFERROR(__xludf.DUMMYFUNCTION("""COMPUTED_VALUE"""),"Practical (10 Expts)")</f>
        <v>Practical (10 Expts)</v>
      </c>
      <c r="M15" s="9"/>
      <c r="N15" s="9"/>
      <c r="O15" s="9"/>
      <c r="P15" s="9"/>
      <c r="Q15" s="9"/>
      <c r="R15" s="9"/>
    </row>
    <row r="16" ht="48" customHeight="1" spans="1:18">
      <c r="A16" s="2">
        <f>IFERROR(__xludf.DUMMYFUNCTION("""COMPUTED_VALUE"""),14)</f>
        <v>14</v>
      </c>
      <c r="B16" s="2"/>
      <c r="C16" s="2" t="str">
        <f>IFERROR(__xludf.DUMMYFUNCTION("""COMPUTED_VALUE"""),"BS")</f>
        <v>BS</v>
      </c>
      <c r="D16" s="2" t="str">
        <f>IFERROR(__xludf.DUMMYFUNCTION("""COMPUTED_VALUE"""),"SH2211")</f>
        <v>SH2211</v>
      </c>
      <c r="E16" s="2" t="str">
        <f>IFERROR(__xludf.DUMMYFUNCTION("""COMPUTED_VALUE"""),"19MA211")</f>
        <v>19MA211</v>
      </c>
      <c r="F16" s="7" t="str">
        <f>IFERROR(__xludf.DUMMYFUNCTION("""COMPUTED_VALUE"""),"Statistics and Numerical Methods")</f>
        <v>Statistics and Numerical Methods</v>
      </c>
      <c r="G16" s="2" t="str">
        <f>IFERROR(__xludf.DUMMYFUNCTION("""COMPUTED_VALUE"""),"-")</f>
        <v>-</v>
      </c>
      <c r="H16" s="2">
        <f>IFERROR(__xludf.DUMMYFUNCTION("""COMPUTED_VALUE"""),3)</f>
        <v>3</v>
      </c>
      <c r="I16" s="2">
        <f>IFERROR(__xludf.DUMMYFUNCTION("""COMPUTED_VALUE"""),1)</f>
        <v>1</v>
      </c>
      <c r="J16" s="2">
        <f>IFERROR(__xludf.DUMMYFUNCTION("""COMPUTED_VALUE"""),4)</f>
        <v>4</v>
      </c>
      <c r="K16" s="2" t="str">
        <f>IFERROR(__xludf.DUMMYFUNCTION("""COMPUTED_VALUE"""),"CGPA")</f>
        <v>CGPA</v>
      </c>
      <c r="L16" s="2" t="str">
        <f>IFERROR(__xludf.DUMMYFUNCTION("""COMPUTED_VALUE"""),"TIP (6 Expts)")</f>
        <v>TIP (6 Expts)</v>
      </c>
      <c r="M16" s="9"/>
      <c r="N16" s="9"/>
      <c r="O16" s="9"/>
      <c r="P16" s="9"/>
      <c r="Q16" s="9"/>
      <c r="R16" s="9"/>
    </row>
    <row r="17" ht="48" customHeight="1" spans="1:18">
      <c r="A17" s="2">
        <f>IFERROR(__xludf.DUMMYFUNCTION("""COMPUTED_VALUE"""),15)</f>
        <v>15</v>
      </c>
      <c r="B17" s="2" t="str">
        <f>IFERROR(__xludf.DUMMYFUNCTION("""COMPUTED_VALUE"""),"Exempted for LE")</f>
        <v>Exempted for LE</v>
      </c>
      <c r="C17" s="2" t="str">
        <f>IFERROR(__xludf.DUMMYFUNCTION("""COMPUTED_VALUE"""),"BS")</f>
        <v>BS</v>
      </c>
      <c r="D17" s="2" t="str">
        <f>IFERROR(__xludf.DUMMYFUNCTION("""COMPUTED_VALUE"""),"SH4205")</f>
        <v>SH4205</v>
      </c>
      <c r="E17" s="2" t="str">
        <f>IFERROR(__xludf.DUMMYFUNCTION("""COMPUTED_VALUE"""),"19CY205")</f>
        <v>19CY205</v>
      </c>
      <c r="F17" s="7" t="str">
        <f>IFERROR(__xludf.DUMMYFUNCTION("""COMPUTED_VALUE"""),"Principles of Chemistry in Engineering")</f>
        <v>Principles of Chemistry in Engineering</v>
      </c>
      <c r="G17" s="2" t="str">
        <f>IFERROR(__xludf.DUMMYFUNCTION("""COMPUTED_VALUE"""),"-")</f>
        <v>-</v>
      </c>
      <c r="H17" s="2">
        <f>IFERROR(__xludf.DUMMYFUNCTION("""COMPUTED_VALUE"""),3)</f>
        <v>3</v>
      </c>
      <c r="I17" s="2">
        <f>IFERROR(__xludf.DUMMYFUNCTION("""COMPUTED_VALUE"""),1)</f>
        <v>1</v>
      </c>
      <c r="J17" s="2">
        <f>IFERROR(__xludf.DUMMYFUNCTION("""COMPUTED_VALUE"""),4)</f>
        <v>4</v>
      </c>
      <c r="K17" s="2" t="str">
        <f>IFERROR(__xludf.DUMMYFUNCTION("""COMPUTED_VALUE"""),"CGPA")</f>
        <v>CGPA</v>
      </c>
      <c r="L17" s="2" t="str">
        <f>IFERROR(__xludf.DUMMYFUNCTION("""COMPUTED_VALUE"""),"TIP (6 Expts)")</f>
        <v>TIP (6 Expts)</v>
      </c>
      <c r="M17" s="9"/>
      <c r="N17" s="9"/>
      <c r="O17" s="9"/>
      <c r="P17" s="9"/>
      <c r="Q17" s="9"/>
      <c r="R17" s="9"/>
    </row>
    <row r="18" ht="48" customHeight="1" spans="1:18">
      <c r="A18" s="2">
        <f>IFERROR(__xludf.DUMMYFUNCTION("""COMPUTED_VALUE"""),16)</f>
        <v>16</v>
      </c>
      <c r="B18" s="2" t="str">
        <f>IFERROR(__xludf.DUMMYFUNCTION("""COMPUTED_VALUE"""),"Exempted for LE")</f>
        <v>Exempted for LE</v>
      </c>
      <c r="C18" s="2" t="str">
        <f>IFERROR(__xludf.DUMMYFUNCTION("""COMPUTED_VALUE"""),"ES")</f>
        <v>ES</v>
      </c>
      <c r="D18" s="2" t="str">
        <f>IFERROR(__xludf.DUMMYFUNCTION("""COMPUTED_VALUE"""),"SH4801")</f>
        <v>SH4801</v>
      </c>
      <c r="E18" s="2" t="str">
        <f>IFERROR(__xludf.DUMMYFUNCTION("""COMPUTED_VALUE"""),"NA")</f>
        <v>NA</v>
      </c>
      <c r="F18" s="7" t="str">
        <f>IFERROR(__xludf.DUMMYFUNCTION("""COMPUTED_VALUE"""),"Environmental Sciences and Sustainability")</f>
        <v>Environmental Sciences and Sustainability</v>
      </c>
      <c r="G18" s="2" t="str">
        <f>IFERROR(__xludf.DUMMYFUNCTION("""COMPUTED_VALUE"""),"-")</f>
        <v>-</v>
      </c>
      <c r="H18" s="2">
        <f>IFERROR(__xludf.DUMMYFUNCTION("""COMPUTED_VALUE"""),2)</f>
        <v>2</v>
      </c>
      <c r="I18" s="2">
        <f>IFERROR(__xludf.DUMMYFUNCTION("""COMPUTED_VALUE"""),0)</f>
        <v>0</v>
      </c>
      <c r="J18" s="2">
        <f>IFERROR(__xludf.DUMMYFUNCTION("""COMPUTED_VALUE"""),2)</f>
        <v>2</v>
      </c>
      <c r="K18" s="2" t="str">
        <f>IFERROR(__xludf.DUMMYFUNCTION("""COMPUTED_VALUE"""),"CGPA")</f>
        <v>CGPA</v>
      </c>
      <c r="L18" s="2" t="str">
        <f>IFERROR(__xludf.DUMMYFUNCTION("""COMPUTED_VALUE"""),"Theory")</f>
        <v>Theory</v>
      </c>
      <c r="M18" s="9"/>
      <c r="N18" s="9"/>
      <c r="O18" s="9"/>
      <c r="P18" s="9"/>
      <c r="Q18" s="9"/>
      <c r="R18" s="9"/>
    </row>
    <row r="19" ht="48" customHeight="1" spans="1:18">
      <c r="A19" s="2">
        <f>IFERROR(__xludf.DUMMYFUNCTION("""COMPUTED_VALUE"""),17)</f>
        <v>17</v>
      </c>
      <c r="B19" s="2" t="str">
        <f>IFERROR(__xludf.DUMMYFUNCTION("""COMPUTED_VALUE"""),"Exempted for LE")</f>
        <v>Exempted for LE</v>
      </c>
      <c r="C19" s="2" t="str">
        <f>IFERROR(__xludf.DUMMYFUNCTION("""COMPUTED_VALUE"""),"ES")</f>
        <v>ES</v>
      </c>
      <c r="D19" s="2" t="str">
        <f>IFERROR(__xludf.DUMMYFUNCTION("""COMPUTED_VALUE"""),"SH3214")</f>
        <v>SH3214</v>
      </c>
      <c r="E19" s="2" t="str">
        <f>IFERROR(__xludf.DUMMYFUNCTION("""COMPUTED_VALUE"""),"NA")</f>
        <v>NA</v>
      </c>
      <c r="F19" s="7" t="str">
        <f>IFERROR(__xludf.DUMMYFUNCTION("""COMPUTED_VALUE"""),"Physics for Quantum Computing")</f>
        <v>Physics for Quantum Computing</v>
      </c>
      <c r="G19" s="2" t="str">
        <f>IFERROR(__xludf.DUMMYFUNCTION("""COMPUTED_VALUE"""),"-")</f>
        <v>-</v>
      </c>
      <c r="H19" s="2">
        <f>IFERROR(__xludf.DUMMYFUNCTION("""COMPUTED_VALUE"""),2)</f>
        <v>2</v>
      </c>
      <c r="I19" s="2">
        <f>IFERROR(__xludf.DUMMYFUNCTION("""COMPUTED_VALUE"""),1)</f>
        <v>1</v>
      </c>
      <c r="J19" s="2">
        <f>IFERROR(__xludf.DUMMYFUNCTION("""COMPUTED_VALUE"""),3)</f>
        <v>3</v>
      </c>
      <c r="K19" s="2" t="str">
        <f>IFERROR(__xludf.DUMMYFUNCTION("""COMPUTED_VALUE"""),"CGPA")</f>
        <v>CGPA</v>
      </c>
      <c r="L19" s="2" t="str">
        <f>IFERROR(__xludf.DUMMYFUNCTION("""COMPUTED_VALUE"""),"TIP (6 Expts)")</f>
        <v>TIP (6 Expts)</v>
      </c>
      <c r="M19" s="9"/>
      <c r="N19" s="9"/>
      <c r="O19" s="9"/>
      <c r="P19" s="9"/>
      <c r="Q19" s="9"/>
      <c r="R19" s="9"/>
    </row>
    <row r="20" ht="48" customHeight="1" spans="1:18">
      <c r="A20" s="2">
        <f>IFERROR(__xludf.DUMMYFUNCTION("""COMPUTED_VALUE"""),18)</f>
        <v>18</v>
      </c>
      <c r="B20" s="2"/>
      <c r="C20" s="2" t="str">
        <f>IFERROR(__xludf.DUMMYFUNCTION("""COMPUTED_VALUE"""),"ES")</f>
        <v>ES</v>
      </c>
      <c r="D20" s="2" t="str">
        <f>IFERROR(__xludf.DUMMYFUNCTION("""COMPUTED_VALUE"""),"CS3301")</f>
        <v>CS3301</v>
      </c>
      <c r="E20" s="2" t="str">
        <f>IFERROR(__xludf.DUMMYFUNCTION("""COMPUTED_VALUE"""),"19AI301")</f>
        <v>19AI301</v>
      </c>
      <c r="F20" s="7" t="str">
        <f>IFERROR(__xludf.DUMMYFUNCTION("""COMPUTED_VALUE"""),"Python Programming")</f>
        <v>Python Programming</v>
      </c>
      <c r="G20" s="2" t="str">
        <f>IFERROR(__xludf.DUMMYFUNCTION("""COMPUTED_VALUE"""),"-")</f>
        <v>-</v>
      </c>
      <c r="H20" s="2">
        <f>IFERROR(__xludf.DUMMYFUNCTION("""COMPUTED_VALUE"""),2)</f>
        <v>2</v>
      </c>
      <c r="I20" s="2">
        <f>IFERROR(__xludf.DUMMYFUNCTION("""COMPUTED_VALUE"""),1)</f>
        <v>1</v>
      </c>
      <c r="J20" s="2">
        <f>IFERROR(__xludf.DUMMYFUNCTION("""COMPUTED_VALUE"""),3)</f>
        <v>3</v>
      </c>
      <c r="K20" s="2" t="str">
        <f>IFERROR(__xludf.DUMMYFUNCTION("""COMPUTED_VALUE"""),"CGPA")</f>
        <v>CGPA</v>
      </c>
      <c r="L20" s="2" t="str">
        <f>IFERROR(__xludf.DUMMYFUNCTION("""COMPUTED_VALUE"""),"TIP (6 Expts)")</f>
        <v>TIP (6 Expts)</v>
      </c>
      <c r="M20" s="9"/>
      <c r="N20" s="9"/>
      <c r="O20" s="9"/>
      <c r="P20" s="9"/>
      <c r="Q20" s="9"/>
      <c r="R20" s="9"/>
    </row>
    <row r="21" ht="48" customHeight="1" spans="1:18">
      <c r="A21" s="2">
        <f>IFERROR(__xludf.DUMMYFUNCTION("""COMPUTED_VALUE"""),19)</f>
        <v>19</v>
      </c>
      <c r="B21" s="2" t="str">
        <f>IFERROR(__xludf.DUMMYFUNCTION("""COMPUTED_VALUE"""),"Exempted for LE")</f>
        <v>Exempted for LE</v>
      </c>
      <c r="C21" s="2" t="str">
        <f>IFERROR(__xludf.DUMMYFUNCTION("""COMPUTED_VALUE"""),"ES")</f>
        <v>ES</v>
      </c>
      <c r="D21" s="2" t="str">
        <f>IFERROR(__xludf.DUMMYFUNCTION("""COMPUTED_VALUE"""),"CS3302")</f>
        <v>CS3302</v>
      </c>
      <c r="E21" s="2" t="str">
        <f>IFERROR(__xludf.DUMMYFUNCTION("""COMPUTED_VALUE"""),"19AI302")</f>
        <v>19AI302</v>
      </c>
      <c r="F21" s="7" t="str">
        <f>IFERROR(__xludf.DUMMYFUNCTION("""COMPUTED_VALUE"""),"Engineering Design and Modelling")</f>
        <v>Engineering Design and Modelling</v>
      </c>
      <c r="G21" s="2" t="str">
        <f>IFERROR(__xludf.DUMMYFUNCTION("""COMPUTED_VALUE"""),"-")</f>
        <v>-</v>
      </c>
      <c r="H21" s="2">
        <f>IFERROR(__xludf.DUMMYFUNCTION("""COMPUTED_VALUE"""),0)</f>
        <v>0</v>
      </c>
      <c r="I21" s="2">
        <f>IFERROR(__xludf.DUMMYFUNCTION("""COMPUTED_VALUE"""),3)</f>
        <v>3</v>
      </c>
      <c r="J21" s="2">
        <f>IFERROR(__xludf.DUMMYFUNCTION("""COMPUTED_VALUE"""),3)</f>
        <v>3</v>
      </c>
      <c r="K21" s="2" t="str">
        <f>IFERROR(__xludf.DUMMYFUNCTION("""COMPUTED_VALUE"""),"CGPA")</f>
        <v>CGPA</v>
      </c>
      <c r="L21" s="2" t="str">
        <f>IFERROR(__xludf.DUMMYFUNCTION("""COMPUTED_VALUE"""),"Practical (10 Expts)")</f>
        <v>Practical (10 Expts)</v>
      </c>
      <c r="M21" s="9"/>
      <c r="N21" s="9"/>
      <c r="O21" s="9"/>
      <c r="P21" s="9"/>
      <c r="Q21" s="9"/>
      <c r="R21" s="9"/>
    </row>
    <row r="22" ht="48" customHeight="1" spans="1:18">
      <c r="A22" s="2">
        <f>IFERROR(__xludf.DUMMYFUNCTION("""COMPUTED_VALUE"""),20)</f>
        <v>20</v>
      </c>
      <c r="B22" s="2" t="str">
        <f>IFERROR(__xludf.DUMMYFUNCTION("""COMPUTED_VALUE"""),"Exempted for LE")</f>
        <v>Exempted for LE</v>
      </c>
      <c r="C22" s="2" t="str">
        <f>IFERROR(__xludf.DUMMYFUNCTION("""COMPUTED_VALUE"""),"ES")</f>
        <v>ES</v>
      </c>
      <c r="D22" s="2" t="str">
        <f>IFERROR(__xludf.DUMMYFUNCTION("""COMPUTED_VALUE"""),"CS3303")</f>
        <v>CS3303</v>
      </c>
      <c r="E22" s="2" t="str">
        <f>IFERROR(__xludf.DUMMYFUNCTION("""COMPUTED_VALUE"""),"19AI303")</f>
        <v>19AI303</v>
      </c>
      <c r="F22" s="7" t="str">
        <f>IFERROR(__xludf.DUMMYFUNCTION("""COMPUTED_VALUE"""),"Engineering Mechanics and Product Development")</f>
        <v>Engineering Mechanics and Product Development</v>
      </c>
      <c r="G22" s="2" t="str">
        <f>IFERROR(__xludf.DUMMYFUNCTION("""COMPUTED_VALUE"""),"-")</f>
        <v>-</v>
      </c>
      <c r="H22" s="2">
        <f>IFERROR(__xludf.DUMMYFUNCTION("""COMPUTED_VALUE"""),2)</f>
        <v>2</v>
      </c>
      <c r="I22" s="2">
        <f>IFERROR(__xludf.DUMMYFUNCTION("""COMPUTED_VALUE"""),1)</f>
        <v>1</v>
      </c>
      <c r="J22" s="2">
        <f>IFERROR(__xludf.DUMMYFUNCTION("""COMPUTED_VALUE"""),3)</f>
        <v>3</v>
      </c>
      <c r="K22" s="2" t="str">
        <f>IFERROR(__xludf.DUMMYFUNCTION("""COMPUTED_VALUE"""),"CGPA")</f>
        <v>CGPA</v>
      </c>
      <c r="L22" s="2" t="str">
        <f>IFERROR(__xludf.DUMMYFUNCTION("""COMPUTED_VALUE"""),"TIP (6 Expts)")</f>
        <v>TIP (6 Expts)</v>
      </c>
      <c r="M22" s="9"/>
      <c r="N22" s="9"/>
      <c r="O22" s="9"/>
      <c r="P22" s="9"/>
      <c r="Q22" s="9"/>
      <c r="R22" s="9"/>
    </row>
    <row r="23" ht="48" customHeight="1" spans="1:18">
      <c r="A23" s="2">
        <f>IFERROR(__xludf.DUMMYFUNCTION("""COMPUTED_VALUE"""),21)</f>
        <v>21</v>
      </c>
      <c r="B23" s="2"/>
      <c r="C23" s="2" t="str">
        <f>IFERROR(__xludf.DUMMYFUNCTION("""COMPUTED_VALUE"""),"ES")</f>
        <v>ES</v>
      </c>
      <c r="D23" s="2" t="str">
        <f>IFERROR(__xludf.DUMMYFUNCTION("""COMPUTED_VALUE"""),"CS3306")</f>
        <v>CS3306</v>
      </c>
      <c r="E23" s="2" t="str">
        <f>IFERROR(__xludf.DUMMYFUNCTION("""COMPUTED_VALUE"""),"19AI306")</f>
        <v>19AI306</v>
      </c>
      <c r="F23" s="7" t="str">
        <f>IFERROR(__xludf.DUMMYFUNCTION("""COMPUTED_VALUE"""),"Object Oriented Programming using C++")</f>
        <v>Object Oriented Programming using C++</v>
      </c>
      <c r="G23" s="2" t="str">
        <f>IFERROR(__xludf.DUMMYFUNCTION("""COMPUTED_VALUE"""),"-")</f>
        <v>-</v>
      </c>
      <c r="H23" s="2">
        <f>IFERROR(__xludf.DUMMYFUNCTION("""COMPUTED_VALUE"""),2)</f>
        <v>2</v>
      </c>
      <c r="I23" s="2">
        <f>IFERROR(__xludf.DUMMYFUNCTION("""COMPUTED_VALUE"""),1)</f>
        <v>1</v>
      </c>
      <c r="J23" s="2">
        <f>IFERROR(__xludf.DUMMYFUNCTION("""COMPUTED_VALUE"""),3)</f>
        <v>3</v>
      </c>
      <c r="K23" s="2" t="str">
        <f>IFERROR(__xludf.DUMMYFUNCTION("""COMPUTED_VALUE"""),"CGPA")</f>
        <v>CGPA</v>
      </c>
      <c r="L23" s="2" t="str">
        <f>IFERROR(__xludf.DUMMYFUNCTION("""COMPUTED_VALUE"""),"TIP (6 Expts)")</f>
        <v>TIP (6 Expts)</v>
      </c>
      <c r="M23" s="9"/>
      <c r="N23" s="9"/>
      <c r="O23" s="9"/>
      <c r="P23" s="9"/>
      <c r="Q23" s="9"/>
      <c r="R23" s="9"/>
    </row>
    <row r="24" ht="48" customHeight="1" spans="1:18">
      <c r="A24" s="2">
        <f>IFERROR(__xludf.DUMMYFUNCTION("""COMPUTED_VALUE"""),22)</f>
        <v>22</v>
      </c>
      <c r="B24" s="2"/>
      <c r="C24" s="2" t="str">
        <f>IFERROR(__xludf.DUMMYFUNCTION("""COMPUTED_VALUE"""),"ES")</f>
        <v>ES</v>
      </c>
      <c r="D24" s="2" t="str">
        <f>IFERROR(__xludf.DUMMYFUNCTION("""COMPUTED_VALUE"""),"CS3307")</f>
        <v>CS3307</v>
      </c>
      <c r="E24" s="2" t="str">
        <f>IFERROR(__xludf.DUMMYFUNCTION("""COMPUTED_VALUE"""),"19AI307")</f>
        <v>19AI307</v>
      </c>
      <c r="F24" s="7" t="str">
        <f>IFERROR(__xludf.DUMMYFUNCTION("""COMPUTED_VALUE"""),"Object Oriented Programming using Java")</f>
        <v>Object Oriented Programming using Java</v>
      </c>
      <c r="G24" s="2" t="str">
        <f>IFERROR(__xludf.DUMMYFUNCTION("""COMPUTED_VALUE"""),"19AI304")</f>
        <v>19AI304</v>
      </c>
      <c r="H24" s="2">
        <f>IFERROR(__xludf.DUMMYFUNCTION("""COMPUTED_VALUE"""),2)</f>
        <v>2</v>
      </c>
      <c r="I24" s="2">
        <f>IFERROR(__xludf.DUMMYFUNCTION("""COMPUTED_VALUE"""),1)</f>
        <v>1</v>
      </c>
      <c r="J24" s="2">
        <f>IFERROR(__xludf.DUMMYFUNCTION("""COMPUTED_VALUE"""),3)</f>
        <v>3</v>
      </c>
      <c r="K24" s="2" t="str">
        <f>IFERROR(__xludf.DUMMYFUNCTION("""COMPUTED_VALUE"""),"CGPA")</f>
        <v>CGPA</v>
      </c>
      <c r="L24" s="2" t="str">
        <f>IFERROR(__xludf.DUMMYFUNCTION("""COMPUTED_VALUE"""),"TIP (6 Expts)")</f>
        <v>TIP (6 Expts)</v>
      </c>
      <c r="M24" s="9"/>
      <c r="N24" s="9"/>
      <c r="O24" s="9"/>
      <c r="P24" s="9"/>
      <c r="Q24" s="9"/>
      <c r="R24" s="9"/>
    </row>
    <row r="25" ht="48" customHeight="1" spans="1:18">
      <c r="A25" s="2">
        <f>IFERROR(__xludf.DUMMYFUNCTION("""COMPUTED_VALUE"""),23)</f>
        <v>23</v>
      </c>
      <c r="B25" s="2"/>
      <c r="C25" s="2" t="str">
        <f>IFERROR(__xludf.DUMMYFUNCTION("""COMPUTED_VALUE"""),"ES")</f>
        <v>ES</v>
      </c>
      <c r="D25" s="2" t="str">
        <f>IFERROR(__xludf.DUMMYFUNCTION("""COMPUTED_VALUE"""),"CS3308")</f>
        <v>CS3308</v>
      </c>
      <c r="E25" s="2" t="str">
        <f>IFERROR(__xludf.DUMMYFUNCTION("""COMPUTED_VALUE"""),"19AI308")</f>
        <v>19AI308</v>
      </c>
      <c r="F25" s="7" t="str">
        <f>IFERROR(__xludf.DUMMYFUNCTION("""COMPUTED_VALUE"""),"Object Oriented Programming using C#")</f>
        <v>Object Oriented Programming using C#</v>
      </c>
      <c r="G25" s="2" t="str">
        <f>IFERROR(__xludf.DUMMYFUNCTION("""COMPUTED_VALUE"""),"-")</f>
        <v>-</v>
      </c>
      <c r="H25" s="2">
        <f>IFERROR(__xludf.DUMMYFUNCTION("""COMPUTED_VALUE"""),2)</f>
        <v>2</v>
      </c>
      <c r="I25" s="2">
        <f>IFERROR(__xludf.DUMMYFUNCTION("""COMPUTED_VALUE"""),1)</f>
        <v>1</v>
      </c>
      <c r="J25" s="2">
        <f>IFERROR(__xludf.DUMMYFUNCTION("""COMPUTED_VALUE"""),3)</f>
        <v>3</v>
      </c>
      <c r="K25" s="2" t="str">
        <f>IFERROR(__xludf.DUMMYFUNCTION("""COMPUTED_VALUE"""),"CGPA")</f>
        <v>CGPA</v>
      </c>
      <c r="L25" s="2" t="str">
        <f>IFERROR(__xludf.DUMMYFUNCTION("""COMPUTED_VALUE"""),"TIP (6 Expts)")</f>
        <v>TIP (6 Expts)</v>
      </c>
      <c r="M25" s="9"/>
      <c r="N25" s="9"/>
      <c r="O25" s="9"/>
      <c r="P25" s="9"/>
      <c r="Q25" s="9"/>
      <c r="R25" s="9"/>
    </row>
    <row r="26" ht="48" customHeight="1" spans="1:18">
      <c r="A26" s="2">
        <f>IFERROR(__xludf.DUMMYFUNCTION("""COMPUTED_VALUE"""),24)</f>
        <v>24</v>
      </c>
      <c r="B26" s="2" t="str">
        <f>IFERROR(__xludf.DUMMYFUNCTION("""COMPUTED_VALUE"""),"Exempted for LE")</f>
        <v>Exempted for LE</v>
      </c>
      <c r="C26" s="2" t="str">
        <f>IFERROR(__xludf.DUMMYFUNCTION("""COMPUTED_VALUE"""),"ES")</f>
        <v>ES</v>
      </c>
      <c r="D26" s="2" t="str">
        <f>IFERROR(__xludf.DUMMYFUNCTION("""COMPUTED_VALUE"""),"EC2404")</f>
        <v>EC2404</v>
      </c>
      <c r="E26" s="2" t="str">
        <f>IFERROR(__xludf.DUMMYFUNCTION("""COMPUTED_VALUE"""),"19EE404")</f>
        <v>19EE404</v>
      </c>
      <c r="F26" s="7" t="str">
        <f>IFERROR(__xludf.DUMMYFUNCTION("""COMPUTED_VALUE"""),"Digital Electronics")</f>
        <v>Digital Electronics</v>
      </c>
      <c r="G26" s="2" t="str">
        <f>IFERROR(__xludf.DUMMYFUNCTION("""COMPUTED_VALUE"""),"-")</f>
        <v>-</v>
      </c>
      <c r="H26" s="2">
        <f>IFERROR(__xludf.DUMMYFUNCTION("""COMPUTED_VALUE"""),3)</f>
        <v>3</v>
      </c>
      <c r="I26" s="2">
        <f>IFERROR(__xludf.DUMMYFUNCTION("""COMPUTED_VALUE"""),1)</f>
        <v>1</v>
      </c>
      <c r="J26" s="2">
        <f>IFERROR(__xludf.DUMMYFUNCTION("""COMPUTED_VALUE"""),4)</f>
        <v>4</v>
      </c>
      <c r="K26" s="2" t="str">
        <f>IFERROR(__xludf.DUMMYFUNCTION("""COMPUTED_VALUE"""),"CGPA")</f>
        <v>CGPA</v>
      </c>
      <c r="L26" s="2" t="str">
        <f>IFERROR(__xludf.DUMMYFUNCTION("""COMPUTED_VALUE"""),"TIP (6 Expts)")</f>
        <v>TIP (6 Expts)</v>
      </c>
      <c r="M26" s="9"/>
      <c r="N26" s="9"/>
      <c r="O26" s="9"/>
      <c r="P26" s="9"/>
      <c r="Q26" s="9"/>
      <c r="R26" s="9"/>
    </row>
    <row r="27" ht="48" customHeight="1" spans="1:18">
      <c r="A27" s="2">
        <f>IFERROR(__xludf.DUMMYFUNCTION("""COMPUTED_VALUE"""),25)</f>
        <v>25</v>
      </c>
      <c r="B27" s="2" t="str">
        <f>IFERROR(__xludf.DUMMYFUNCTION("""COMPUTED_VALUE"""),"Exempted for LE")</f>
        <v>Exempted for LE</v>
      </c>
      <c r="C27" s="2" t="str">
        <f>IFERROR(__xludf.DUMMYFUNCTION("""COMPUTED_VALUE"""),"ES")</f>
        <v>ES</v>
      </c>
      <c r="D27" s="2" t="str">
        <f>IFERROR(__xludf.DUMMYFUNCTION("""COMPUTED_VALUE"""),"EC2305")</f>
        <v>EC2305</v>
      </c>
      <c r="E27" s="2" t="str">
        <f>IFERROR(__xludf.DUMMYFUNCTION("""COMPUTED_VALUE"""),"19EE305")</f>
        <v>19EE305</v>
      </c>
      <c r="F27" s="7" t="str">
        <f>IFERROR(__xludf.DUMMYFUNCTION("""COMPUTED_VALUE"""),"Basic Electrical, Electronics and Measurement Engineering")</f>
        <v>Basic Electrical, Electronics and Measurement Engineering</v>
      </c>
      <c r="G27" s="2" t="str">
        <f>IFERROR(__xludf.DUMMYFUNCTION("""COMPUTED_VALUE"""),"-")</f>
        <v>-</v>
      </c>
      <c r="H27" s="2">
        <f>IFERROR(__xludf.DUMMYFUNCTION("""COMPUTED_VALUE"""),2)</f>
        <v>2</v>
      </c>
      <c r="I27" s="2">
        <f>IFERROR(__xludf.DUMMYFUNCTION("""COMPUTED_VALUE"""),1)</f>
        <v>1</v>
      </c>
      <c r="J27" s="2">
        <f>IFERROR(__xludf.DUMMYFUNCTION("""COMPUTED_VALUE"""),3)</f>
        <v>3</v>
      </c>
      <c r="K27" s="2" t="str">
        <f>IFERROR(__xludf.DUMMYFUNCTION("""COMPUTED_VALUE"""),"CGPA")</f>
        <v>CGPA</v>
      </c>
      <c r="L27" s="2" t="str">
        <f>IFERROR(__xludf.DUMMYFUNCTION("""COMPUTED_VALUE"""),"TIP (6 Expts)")</f>
        <v>TIP (6 Expts)</v>
      </c>
      <c r="M27" s="9"/>
      <c r="N27" s="9"/>
      <c r="O27" s="9"/>
      <c r="P27" s="9"/>
      <c r="Q27" s="9"/>
      <c r="R27" s="9"/>
    </row>
    <row r="28" ht="48" customHeight="1" spans="1:18">
      <c r="A28" s="2">
        <f>IFERROR(__xludf.DUMMYFUNCTION("""COMPUTED_VALUE"""),26)</f>
        <v>26</v>
      </c>
      <c r="B28" s="2" t="str">
        <f>IFERROR(__xludf.DUMMYFUNCTION("""COMPUTED_VALUE"""),"Exempted for LE")</f>
        <v>Exempted for LE</v>
      </c>
      <c r="C28" s="2" t="str">
        <f>IFERROR(__xludf.DUMMYFUNCTION("""COMPUTED_VALUE"""),"ES")</f>
        <v>ES</v>
      </c>
      <c r="D28" s="2" t="str">
        <f>IFERROR(__xludf.DUMMYFUNCTION("""COMPUTED_VALUE"""),"EC2309")</f>
        <v>EC2309</v>
      </c>
      <c r="E28" s="2" t="str">
        <f>IFERROR(__xludf.DUMMYFUNCTION("""COMPUTED_VALUE"""),"19EE309")</f>
        <v>19EE309</v>
      </c>
      <c r="F28" s="7" t="str">
        <f>IFERROR(__xludf.DUMMYFUNCTION("""COMPUTED_VALUE"""),"Programming Microcontrollers")</f>
        <v>Programming Microcontrollers</v>
      </c>
      <c r="G28" s="2" t="str">
        <f>IFERROR(__xludf.DUMMYFUNCTION("""COMPUTED_VALUE"""),"-")</f>
        <v>-</v>
      </c>
      <c r="H28" s="2">
        <f>IFERROR(__xludf.DUMMYFUNCTION("""COMPUTED_VALUE"""),2)</f>
        <v>2</v>
      </c>
      <c r="I28" s="2">
        <f>IFERROR(__xludf.DUMMYFUNCTION("""COMPUTED_VALUE"""),1)</f>
        <v>1</v>
      </c>
      <c r="J28" s="2">
        <f>IFERROR(__xludf.DUMMYFUNCTION("""COMPUTED_VALUE"""),3)</f>
        <v>3</v>
      </c>
      <c r="K28" s="2" t="str">
        <f>IFERROR(__xludf.DUMMYFUNCTION("""COMPUTED_VALUE"""),"CGPA")</f>
        <v>CGPA</v>
      </c>
      <c r="L28" s="2" t="str">
        <f>IFERROR(__xludf.DUMMYFUNCTION("""COMPUTED_VALUE"""),"TIP (6 Expts)")</f>
        <v>TIP (6 Expts)</v>
      </c>
      <c r="M28" s="9"/>
      <c r="N28" s="9"/>
      <c r="O28" s="9"/>
      <c r="P28" s="9"/>
      <c r="Q28" s="9"/>
      <c r="R28" s="9"/>
    </row>
    <row r="29" ht="48" customHeight="1" spans="1:18">
      <c r="A29" s="2">
        <f>IFERROR(__xludf.DUMMYFUNCTION("""COMPUTED_VALUE"""),27)</f>
        <v>27</v>
      </c>
      <c r="B29" s="2"/>
      <c r="C29" s="2" t="str">
        <f>IFERROR(__xludf.DUMMYFUNCTION("""COMPUTED_VALUE"""),"PC")</f>
        <v>PC</v>
      </c>
      <c r="D29" s="2" t="str">
        <f>IFERROR(__xludf.DUMMYFUNCTION("""COMPUTED_VALUE"""),"CS3304")</f>
        <v>CS3304</v>
      </c>
      <c r="E29" s="2" t="str">
        <f>IFERROR(__xludf.DUMMYFUNCTION("""COMPUTED_VALUE"""),"19AI304")</f>
        <v>19AI304</v>
      </c>
      <c r="F29" s="7" t="str">
        <f>IFERROR(__xludf.DUMMYFUNCTION("""COMPUTED_VALUE"""),"Fundamentals of C Programming")</f>
        <v>Fundamentals of C Programming</v>
      </c>
      <c r="G29" s="2" t="str">
        <f>IFERROR(__xludf.DUMMYFUNCTION("""COMPUTED_VALUE"""),"-")</f>
        <v>-</v>
      </c>
      <c r="H29" s="2">
        <f>IFERROR(__xludf.DUMMYFUNCTION("""COMPUTED_VALUE"""),2)</f>
        <v>2</v>
      </c>
      <c r="I29" s="2">
        <f>IFERROR(__xludf.DUMMYFUNCTION("""COMPUTED_VALUE"""),1)</f>
        <v>1</v>
      </c>
      <c r="J29" s="2">
        <f>IFERROR(__xludf.DUMMYFUNCTION("""COMPUTED_VALUE"""),3)</f>
        <v>3</v>
      </c>
      <c r="K29" s="2" t="str">
        <f>IFERROR(__xludf.DUMMYFUNCTION("""COMPUTED_VALUE"""),"CGPA")</f>
        <v>CGPA</v>
      </c>
      <c r="L29" s="2" t="str">
        <f>IFERROR(__xludf.DUMMYFUNCTION("""COMPUTED_VALUE"""),"TIP (6 Expts)")</f>
        <v>TIP (6 Expts)</v>
      </c>
      <c r="M29" s="9"/>
      <c r="N29" s="9"/>
      <c r="O29" s="9"/>
      <c r="P29" s="9"/>
      <c r="Q29" s="9"/>
      <c r="R29" s="9"/>
    </row>
    <row r="30" ht="48" customHeight="1" spans="1:18">
      <c r="A30" s="2">
        <f>IFERROR(__xludf.DUMMYFUNCTION("""COMPUTED_VALUE"""),28)</f>
        <v>28</v>
      </c>
      <c r="B30" s="2"/>
      <c r="C30" s="2" t="str">
        <f>IFERROR(__xludf.DUMMYFUNCTION("""COMPUTED_VALUE"""),"PC")</f>
        <v>PC</v>
      </c>
      <c r="D30" s="2" t="str">
        <f>IFERROR(__xludf.DUMMYFUNCTION("""COMPUTED_VALUE"""),"CS3305")</f>
        <v>CS3305</v>
      </c>
      <c r="E30" s="2" t="str">
        <f>IFERROR(__xludf.DUMMYFUNCTION("""COMPUTED_VALUE"""),"19AI305")</f>
        <v>19AI305</v>
      </c>
      <c r="F30" s="7" t="str">
        <f>IFERROR(__xludf.DUMMYFUNCTION("""COMPUTED_VALUE"""),"Advanced C Programming")</f>
        <v>Advanced C Programming</v>
      </c>
      <c r="G30" s="2" t="str">
        <f>IFERROR(__xludf.DUMMYFUNCTION("""COMPUTED_VALUE"""),"19AI304 / CS3304")</f>
        <v>19AI304 / CS3304</v>
      </c>
      <c r="H30" s="2">
        <f>IFERROR(__xludf.DUMMYFUNCTION("""COMPUTED_VALUE"""),2)</f>
        <v>2</v>
      </c>
      <c r="I30" s="2">
        <f>IFERROR(__xludf.DUMMYFUNCTION("""COMPUTED_VALUE"""),1)</f>
        <v>1</v>
      </c>
      <c r="J30" s="2">
        <f>IFERROR(__xludf.DUMMYFUNCTION("""COMPUTED_VALUE"""),3)</f>
        <v>3</v>
      </c>
      <c r="K30" s="2" t="str">
        <f>IFERROR(__xludf.DUMMYFUNCTION("""COMPUTED_VALUE"""),"CGPA")</f>
        <v>CGPA</v>
      </c>
      <c r="L30" s="2" t="str">
        <f>IFERROR(__xludf.DUMMYFUNCTION("""COMPUTED_VALUE"""),"TIP (6 Expts)")</f>
        <v>TIP (6 Expts)</v>
      </c>
      <c r="M30" s="9"/>
      <c r="N30" s="9"/>
      <c r="O30" s="9"/>
      <c r="P30" s="9"/>
      <c r="Q30" s="9"/>
      <c r="R30" s="9"/>
    </row>
    <row r="31" ht="48" customHeight="1" spans="1:18">
      <c r="A31" s="2">
        <f>IFERROR(__xludf.DUMMYFUNCTION("""COMPUTED_VALUE"""),29)</f>
        <v>29</v>
      </c>
      <c r="B31" s="2"/>
      <c r="C31" s="2" t="str">
        <f>IFERROR(__xludf.DUMMYFUNCTION("""COMPUTED_VALUE"""),"PC")</f>
        <v>PC</v>
      </c>
      <c r="D31" s="2" t="str">
        <f>IFERROR(__xludf.DUMMYFUNCTION("""COMPUTED_VALUE"""),"CS3414")</f>
        <v>CS3414</v>
      </c>
      <c r="E31" s="2" t="str">
        <f>IFERROR(__xludf.DUMMYFUNCTION("""COMPUTED_VALUE"""),"19AI414")</f>
        <v>19AI414</v>
      </c>
      <c r="F31" s="7" t="str">
        <f>IFERROR(__xludf.DUMMYFUNCTION("""COMPUTED_VALUE"""),"Fundamentals of Web Application Development")</f>
        <v>Fundamentals of Web Application Development</v>
      </c>
      <c r="G31" s="2" t="str">
        <f>IFERROR(__xludf.DUMMYFUNCTION("""COMPUTED_VALUE"""),"-")</f>
        <v>-</v>
      </c>
      <c r="H31" s="2">
        <f>IFERROR(__xludf.DUMMYFUNCTION("""COMPUTED_VALUE"""),3)</f>
        <v>3</v>
      </c>
      <c r="I31" s="2">
        <f>IFERROR(__xludf.DUMMYFUNCTION("""COMPUTED_VALUE"""),2)</f>
        <v>2</v>
      </c>
      <c r="J31" s="2">
        <f>IFERROR(__xludf.DUMMYFUNCTION("""COMPUTED_VALUE"""),5)</f>
        <v>5</v>
      </c>
      <c r="K31" s="2" t="str">
        <f>IFERROR(__xludf.DUMMYFUNCTION("""COMPUTED_VALUE"""),"CGPA")</f>
        <v>CGPA</v>
      </c>
      <c r="L31" s="2" t="str">
        <f>IFERROR(__xludf.DUMMYFUNCTION("""COMPUTED_VALUE"""),"TIP (10 Expts)")</f>
        <v>TIP (10 Expts)</v>
      </c>
      <c r="M31" s="9"/>
      <c r="N31" s="9"/>
      <c r="O31" s="9"/>
      <c r="P31" s="9"/>
      <c r="Q31" s="9"/>
      <c r="R31" s="9"/>
    </row>
    <row r="32" ht="48" customHeight="1" spans="1:18">
      <c r="A32" s="2">
        <f>IFERROR(__xludf.DUMMYFUNCTION("""COMPUTED_VALUE"""),30)</f>
        <v>30</v>
      </c>
      <c r="B32" s="2" t="str">
        <f>IFERROR(__xludf.DUMMYFUNCTION("""COMPUTED_VALUE"""),"Exempted for LE")</f>
        <v>Exempted for LE</v>
      </c>
      <c r="C32" s="2" t="str">
        <f>IFERROR(__xludf.DUMMYFUNCTION("""COMPUTED_VALUE"""),"PC")</f>
        <v>PC</v>
      </c>
      <c r="D32" s="2" t="str">
        <f>IFERROR(__xludf.DUMMYFUNCTION("""COMPUTED_VALUE"""),"CS1405")</f>
        <v>CS1405</v>
      </c>
      <c r="E32" s="2" t="str">
        <f>IFERROR(__xludf.DUMMYFUNCTION("""COMPUTED_VALUE"""),"19CS405")</f>
        <v>19CS405</v>
      </c>
      <c r="F32" s="7" t="str">
        <f>IFERROR(__xludf.DUMMYFUNCTION("""COMPUTED_VALUE"""),"Operating System")</f>
        <v>Operating System</v>
      </c>
      <c r="G32" s="2" t="str">
        <f>IFERROR(__xludf.DUMMYFUNCTION("""COMPUTED_VALUE"""),"-")</f>
        <v>-</v>
      </c>
      <c r="H32" s="2">
        <f>IFERROR(__xludf.DUMMYFUNCTION("""COMPUTED_VALUE"""),3)</f>
        <v>3</v>
      </c>
      <c r="I32" s="2">
        <f>IFERROR(__xludf.DUMMYFUNCTION("""COMPUTED_VALUE"""),1)</f>
        <v>1</v>
      </c>
      <c r="J32" s="2">
        <f>IFERROR(__xludf.DUMMYFUNCTION("""COMPUTED_VALUE"""),4)</f>
        <v>4</v>
      </c>
      <c r="K32" s="2" t="str">
        <f>IFERROR(__xludf.DUMMYFUNCTION("""COMPUTED_VALUE"""),"CGPA")</f>
        <v>CGPA</v>
      </c>
      <c r="L32" s="2" t="str">
        <f>IFERROR(__xludf.DUMMYFUNCTION("""COMPUTED_VALUE"""),"TIP (6 Expts)")</f>
        <v>TIP (6 Expts)</v>
      </c>
      <c r="M32" s="9"/>
      <c r="N32" s="9"/>
      <c r="O32" s="9"/>
      <c r="P32" s="9"/>
      <c r="Q32" s="9"/>
      <c r="R32" s="9"/>
    </row>
    <row r="33" ht="48" customHeight="1" spans="1:18">
      <c r="A33" s="2">
        <f>IFERROR(__xludf.DUMMYFUNCTION("""COMPUTED_VALUE"""),31)</f>
        <v>31</v>
      </c>
      <c r="B33" s="2" t="str">
        <f>IFERROR(__xludf.DUMMYFUNCTION("""COMPUTED_VALUE"""),"Exempted for LE")</f>
        <v>Exempted for LE</v>
      </c>
      <c r="C33" s="2" t="str">
        <f>IFERROR(__xludf.DUMMYFUNCTION("""COMPUTED_VALUE"""),"PC")</f>
        <v>PC</v>
      </c>
      <c r="D33" s="2" t="str">
        <f>IFERROR(__xludf.DUMMYFUNCTION("""COMPUTED_VALUE"""),"CS1406")</f>
        <v>CS1406</v>
      </c>
      <c r="E33" s="2" t="str">
        <f>IFERROR(__xludf.DUMMYFUNCTION("""COMPUTED_VALUE"""),"19CS406")</f>
        <v>19CS406</v>
      </c>
      <c r="F33" s="7" t="str">
        <f>IFERROR(__xludf.DUMMYFUNCTION("""COMPUTED_VALUE"""),"Computer Networks")</f>
        <v>Computer Networks</v>
      </c>
      <c r="G33" s="2" t="str">
        <f>IFERROR(__xludf.DUMMYFUNCTION("""COMPUTED_VALUE"""),"-")</f>
        <v>-</v>
      </c>
      <c r="H33" s="2">
        <f>IFERROR(__xludf.DUMMYFUNCTION("""COMPUTED_VALUE"""),3)</f>
        <v>3</v>
      </c>
      <c r="I33" s="2">
        <f>IFERROR(__xludf.DUMMYFUNCTION("""COMPUTED_VALUE"""),1)</f>
        <v>1</v>
      </c>
      <c r="J33" s="2">
        <f>IFERROR(__xludf.DUMMYFUNCTION("""COMPUTED_VALUE"""),4)</f>
        <v>4</v>
      </c>
      <c r="K33" s="2" t="str">
        <f>IFERROR(__xludf.DUMMYFUNCTION("""COMPUTED_VALUE"""),"CGPA")</f>
        <v>CGPA</v>
      </c>
      <c r="L33" s="2" t="str">
        <f>IFERROR(__xludf.DUMMYFUNCTION("""COMPUTED_VALUE"""),"TIP (6 Expts)")</f>
        <v>TIP (6 Expts)</v>
      </c>
      <c r="M33" s="9"/>
      <c r="N33" s="9"/>
      <c r="O33" s="9"/>
      <c r="P33" s="9"/>
      <c r="Q33" s="9"/>
      <c r="R33" s="9"/>
    </row>
    <row r="34" ht="48" customHeight="1" spans="1:18">
      <c r="A34" s="2">
        <f>IFERROR(__xludf.DUMMYFUNCTION("""COMPUTED_VALUE"""),32)</f>
        <v>32</v>
      </c>
      <c r="B34" s="2"/>
      <c r="C34" s="2" t="str">
        <f>IFERROR(__xludf.DUMMYFUNCTION("""COMPUTED_VALUE"""),"PC")</f>
        <v>PC</v>
      </c>
      <c r="D34" s="2" t="str">
        <f>IFERROR(__xludf.DUMMYFUNCTION("""COMPUTED_VALUE"""),"CS1404")</f>
        <v>CS1404</v>
      </c>
      <c r="E34" s="2" t="str">
        <f>IFERROR(__xludf.DUMMYFUNCTION("""COMPUTED_VALUE"""),"19CS404")</f>
        <v>19CS404</v>
      </c>
      <c r="F34" s="3" t="str">
        <f>IFERROR(__xludf.DUMMYFUNCTION("""COMPUTED_VALUE"""),"Database Management System and its Applications")</f>
        <v>Database Management System and its Applications</v>
      </c>
      <c r="G34" s="2" t="str">
        <f>IFERROR(__xludf.DUMMYFUNCTION("""COMPUTED_VALUE"""),"19AI301/19AI304/19CS301/19CS302/19CS303")</f>
        <v>19AI301/19AI304/19CS301/19CS302/19CS303</v>
      </c>
      <c r="H34" s="2">
        <f>IFERROR(__xludf.DUMMYFUNCTION("""COMPUTED_VALUE"""),3)</f>
        <v>3</v>
      </c>
      <c r="I34" s="2">
        <f>IFERROR(__xludf.DUMMYFUNCTION("""COMPUTED_VALUE"""),1)</f>
        <v>1</v>
      </c>
      <c r="J34" s="2">
        <f>IFERROR(__xludf.DUMMYFUNCTION("""COMPUTED_VALUE"""),4)</f>
        <v>4</v>
      </c>
      <c r="K34" s="2" t="str">
        <f>IFERROR(__xludf.DUMMYFUNCTION("""COMPUTED_VALUE"""),"CGPA")</f>
        <v>CGPA</v>
      </c>
      <c r="L34" s="2" t="str">
        <f>IFERROR(__xludf.DUMMYFUNCTION("""COMPUTED_VALUE"""),"TIP (6 Expts)")</f>
        <v>TIP (6 Expts)</v>
      </c>
      <c r="M34" s="9"/>
      <c r="N34" s="9"/>
      <c r="O34" s="9"/>
      <c r="P34" s="9"/>
      <c r="Q34" s="9"/>
      <c r="R34" s="9"/>
    </row>
    <row r="35" ht="48" customHeight="1" spans="1:18">
      <c r="A35" s="2">
        <f>IFERROR(__xludf.DUMMYFUNCTION("""COMPUTED_VALUE"""),33)</f>
        <v>33</v>
      </c>
      <c r="B35" s="2"/>
      <c r="C35" s="2" t="str">
        <f>IFERROR(__xludf.DUMMYFUNCTION("""COMPUTED_VALUE"""),"PC")</f>
        <v>PC</v>
      </c>
      <c r="D35" s="2" t="str">
        <f>IFERROR(__xludf.DUMMYFUNCTION("""COMPUTED_VALUE"""),"CS3408")</f>
        <v>CS3408</v>
      </c>
      <c r="E35" s="2" t="str">
        <f>IFERROR(__xludf.DUMMYFUNCTION("""COMPUTED_VALUE"""),"19AI408")</f>
        <v>19AI408</v>
      </c>
      <c r="F35" s="7" t="str">
        <f>IFERROR(__xludf.DUMMYFUNCTION("""COMPUTED_VALUE"""),"Data Structures")</f>
        <v>Data Structures</v>
      </c>
      <c r="G35" s="2" t="str">
        <f>IFERROR(__xludf.DUMMYFUNCTION("""COMPUTED_VALUE"""),"19AI304 / CS3304")</f>
        <v>19AI304 / CS3304</v>
      </c>
      <c r="H35" s="2">
        <f>IFERROR(__xludf.DUMMYFUNCTION("""COMPUTED_VALUE"""),2)</f>
        <v>2</v>
      </c>
      <c r="I35" s="2">
        <f>IFERROR(__xludf.DUMMYFUNCTION("""COMPUTED_VALUE"""),1)</f>
        <v>1</v>
      </c>
      <c r="J35" s="2">
        <f>IFERROR(__xludf.DUMMYFUNCTION("""COMPUTED_VALUE"""),3)</f>
        <v>3</v>
      </c>
      <c r="K35" s="2" t="str">
        <f>IFERROR(__xludf.DUMMYFUNCTION("""COMPUTED_VALUE"""),"CGPA")</f>
        <v>CGPA</v>
      </c>
      <c r="L35" s="2" t="str">
        <f>IFERROR(__xludf.DUMMYFUNCTION("""COMPUTED_VALUE"""),"TIP (6 Expts)")</f>
        <v>TIP (6 Expts)</v>
      </c>
      <c r="M35" s="9"/>
      <c r="N35" s="9"/>
      <c r="O35" s="9"/>
      <c r="P35" s="9"/>
      <c r="Q35" s="9"/>
      <c r="R35" s="9"/>
    </row>
    <row r="36" ht="48" customHeight="1" spans="1:18">
      <c r="A36" s="2">
        <f>IFERROR(__xludf.DUMMYFUNCTION("""COMPUTED_VALUE"""),34)</f>
        <v>34</v>
      </c>
      <c r="B36" s="2"/>
      <c r="C36" s="2" t="str">
        <f>IFERROR(__xludf.DUMMYFUNCTION("""COMPUTED_VALUE"""),"PC")</f>
        <v>PC</v>
      </c>
      <c r="D36" s="2" t="str">
        <f>IFERROR(__xludf.DUMMYFUNCTION("""COMPUTED_VALUE"""),"CS3404")</f>
        <v>CS3404</v>
      </c>
      <c r="E36" s="2" t="str">
        <f>IFERROR(__xludf.DUMMYFUNCTION("""COMPUTED_VALUE"""),"19AI404")</f>
        <v>19AI404</v>
      </c>
      <c r="F36" s="7" t="str">
        <f>IFERROR(__xludf.DUMMYFUNCTION("""COMPUTED_VALUE"""),"Analysis of Algorithms")</f>
        <v>Analysis of Algorithms</v>
      </c>
      <c r="G36" s="2" t="str">
        <f>IFERROR(__xludf.DUMMYFUNCTION("""COMPUTED_VALUE"""),"19AI301")</f>
        <v>19AI301</v>
      </c>
      <c r="H36" s="2">
        <f>IFERROR(__xludf.DUMMYFUNCTION("""COMPUTED_VALUE"""),2)</f>
        <v>2</v>
      </c>
      <c r="I36" s="2">
        <f>IFERROR(__xludf.DUMMYFUNCTION("""COMPUTED_VALUE"""),1)</f>
        <v>1</v>
      </c>
      <c r="J36" s="2">
        <f>IFERROR(__xludf.DUMMYFUNCTION("""COMPUTED_VALUE"""),3)</f>
        <v>3</v>
      </c>
      <c r="K36" s="2" t="str">
        <f>IFERROR(__xludf.DUMMYFUNCTION("""COMPUTED_VALUE"""),"CGPA")</f>
        <v>CGPA</v>
      </c>
      <c r="L36" s="2" t="str">
        <f>IFERROR(__xludf.DUMMYFUNCTION("""COMPUTED_VALUE"""),"TIP (6 Expts)")</f>
        <v>TIP (6 Expts)</v>
      </c>
      <c r="M36" s="9"/>
      <c r="N36" s="9"/>
      <c r="O36" s="9"/>
      <c r="P36" s="9"/>
      <c r="Q36" s="9"/>
      <c r="R36" s="9"/>
    </row>
    <row r="37" ht="48" customHeight="1" spans="1:18">
      <c r="A37" s="2">
        <f>IFERROR(__xludf.DUMMYFUNCTION("""COMPUTED_VALUE"""),35)</f>
        <v>35</v>
      </c>
      <c r="B37" s="2"/>
      <c r="C37" s="2" t="str">
        <f>IFERROR(__xludf.DUMMYFUNCTION("""COMPUTED_VALUE"""),"PC")</f>
        <v>PC</v>
      </c>
      <c r="D37" s="2" t="str">
        <f>IFERROR(__xludf.DUMMYFUNCTION("""COMPUTED_VALUE"""),"CS1407")</f>
        <v>CS1407</v>
      </c>
      <c r="E37" s="2" t="str">
        <f>IFERROR(__xludf.DUMMYFUNCTION("""COMPUTED_VALUE"""),"19CS407")</f>
        <v>19CS407</v>
      </c>
      <c r="F37" s="7" t="str">
        <f>IFERROR(__xludf.DUMMYFUNCTION("""COMPUTED_VALUE"""),"Theory of Computation")</f>
        <v>Theory of Computation</v>
      </c>
      <c r="G37" s="2" t="str">
        <f>IFERROR(__xludf.DUMMYFUNCTION("""COMPUTED_VALUE"""),"19MA206")</f>
        <v>19MA206</v>
      </c>
      <c r="H37" s="2">
        <f>IFERROR(__xludf.DUMMYFUNCTION("""COMPUTED_VALUE"""),3)</f>
        <v>3</v>
      </c>
      <c r="I37" s="2">
        <f>IFERROR(__xludf.DUMMYFUNCTION("""COMPUTED_VALUE"""),0)</f>
        <v>0</v>
      </c>
      <c r="J37" s="2">
        <f>IFERROR(__xludf.DUMMYFUNCTION("""COMPUTED_VALUE"""),3)</f>
        <v>3</v>
      </c>
      <c r="K37" s="2" t="str">
        <f>IFERROR(__xludf.DUMMYFUNCTION("""COMPUTED_VALUE"""),"CGPA")</f>
        <v>CGPA</v>
      </c>
      <c r="L37" s="2" t="str">
        <f>IFERROR(__xludf.DUMMYFUNCTION("""COMPUTED_VALUE"""),"Theory")</f>
        <v>Theory</v>
      </c>
      <c r="M37" s="9"/>
      <c r="N37" s="9"/>
      <c r="O37" s="9"/>
      <c r="P37" s="9"/>
      <c r="Q37" s="9"/>
      <c r="R37" s="9"/>
    </row>
    <row r="38" ht="48" customHeight="1" spans="1:18">
      <c r="A38" s="2">
        <f>IFERROR(__xludf.DUMMYFUNCTION("""COMPUTED_VALUE"""),36)</f>
        <v>36</v>
      </c>
      <c r="B38" s="2"/>
      <c r="C38" s="2" t="str">
        <f>IFERROR(__xludf.DUMMYFUNCTION("""COMPUTED_VALUE"""),"PC")</f>
        <v>PC</v>
      </c>
      <c r="D38" s="2" t="str">
        <f>IFERROR(__xludf.DUMMYFUNCTION("""COMPUTED_VALUE"""),"CS1408")</f>
        <v>CS1408</v>
      </c>
      <c r="E38" s="2" t="str">
        <f>IFERROR(__xludf.DUMMYFUNCTION("""COMPUTED_VALUE"""),"19CS408")</f>
        <v>19CS408</v>
      </c>
      <c r="F38" s="7" t="str">
        <f>IFERROR(__xludf.DUMMYFUNCTION("""COMPUTED_VALUE"""),"Software Engineering")</f>
        <v>Software Engineering</v>
      </c>
      <c r="G38" s="2" t="str">
        <f>IFERROR(__xludf.DUMMYFUNCTION("""COMPUTED_VALUE"""),"-")</f>
        <v>-</v>
      </c>
      <c r="H38" s="2">
        <f>IFERROR(__xludf.DUMMYFUNCTION("""COMPUTED_VALUE"""),3)</f>
        <v>3</v>
      </c>
      <c r="I38" s="2">
        <f>IFERROR(__xludf.DUMMYFUNCTION("""COMPUTED_VALUE"""),1)</f>
        <v>1</v>
      </c>
      <c r="J38" s="2">
        <f>IFERROR(__xludf.DUMMYFUNCTION("""COMPUTED_VALUE"""),4)</f>
        <v>4</v>
      </c>
      <c r="K38" s="2" t="str">
        <f>IFERROR(__xludf.DUMMYFUNCTION("""COMPUTED_VALUE"""),"CGPA")</f>
        <v>CGPA</v>
      </c>
      <c r="L38" s="2" t="str">
        <f>IFERROR(__xludf.DUMMYFUNCTION("""COMPUTED_VALUE"""),"TIP (6 Expts)")</f>
        <v>TIP (6 Expts)</v>
      </c>
      <c r="M38" s="9"/>
      <c r="N38" s="9"/>
      <c r="O38" s="9"/>
      <c r="P38" s="9"/>
      <c r="Q38" s="9"/>
      <c r="R38" s="9"/>
    </row>
    <row r="39" ht="48" customHeight="1" spans="1:18">
      <c r="A39" s="2">
        <f>IFERROR(__xludf.DUMMYFUNCTION("""COMPUTED_VALUE"""),37)</f>
        <v>37</v>
      </c>
      <c r="B39" s="2"/>
      <c r="C39" s="2" t="str">
        <f>IFERROR(__xludf.DUMMYFUNCTION("""COMPUTED_VALUE"""),"PC")</f>
        <v>PC</v>
      </c>
      <c r="D39" s="2" t="str">
        <f>IFERROR(__xludf.DUMMYFUNCTION("""COMPUTED_VALUE"""),"CS3405")</f>
        <v>CS3405</v>
      </c>
      <c r="E39" s="2" t="str">
        <f>IFERROR(__xludf.DUMMYFUNCTION("""COMPUTED_VALUE"""),"19AI405")</f>
        <v>19AI405</v>
      </c>
      <c r="F39" s="7" t="str">
        <f>IFERROR(__xludf.DUMMYFUNCTION("""COMPUTED_VALUE"""),"Fundamentals of Artificial Intelligence")</f>
        <v>Fundamentals of Artificial Intelligence</v>
      </c>
      <c r="G39" s="2" t="str">
        <f>IFERROR(__xludf.DUMMYFUNCTION("""COMPUTED_VALUE"""),"19CS301")</f>
        <v>19CS301</v>
      </c>
      <c r="H39" s="2">
        <f>IFERROR(__xludf.DUMMYFUNCTION("""COMPUTED_VALUE"""),2)</f>
        <v>2</v>
      </c>
      <c r="I39" s="2">
        <f>IFERROR(__xludf.DUMMYFUNCTION("""COMPUTED_VALUE"""),1)</f>
        <v>1</v>
      </c>
      <c r="J39" s="2">
        <f>IFERROR(__xludf.DUMMYFUNCTION("""COMPUTED_VALUE"""),3)</f>
        <v>3</v>
      </c>
      <c r="K39" s="2" t="str">
        <f>IFERROR(__xludf.DUMMYFUNCTION("""COMPUTED_VALUE"""),"CGPA")</f>
        <v>CGPA</v>
      </c>
      <c r="L39" s="2" t="str">
        <f>IFERROR(__xludf.DUMMYFUNCTION("""COMPUTED_VALUE"""),"TIP (6 Expts)")</f>
        <v>TIP (6 Expts)</v>
      </c>
      <c r="M39" s="9"/>
      <c r="N39" s="9"/>
      <c r="O39" s="9"/>
      <c r="P39" s="9"/>
      <c r="Q39" s="9"/>
      <c r="R39" s="9"/>
    </row>
    <row r="40" ht="48" customHeight="1" spans="1:18">
      <c r="A40" s="2">
        <f>IFERROR(__xludf.DUMMYFUNCTION("""COMPUTED_VALUE"""),38)</f>
        <v>38</v>
      </c>
      <c r="B40" s="2"/>
      <c r="C40" s="2" t="str">
        <f>IFERROR(__xludf.DUMMYFUNCTION("""COMPUTED_VALUE"""),"PC")</f>
        <v>PC</v>
      </c>
      <c r="D40" s="2" t="str">
        <f>IFERROR(__xludf.DUMMYFUNCTION("""COMPUTED_VALUE"""),"CS3541")</f>
        <v>CS3541</v>
      </c>
      <c r="E40" s="2" t="str">
        <f>IFERROR(__xludf.DUMMYFUNCTION("""COMPUTED_VALUE"""),"19AI541")</f>
        <v>19AI541</v>
      </c>
      <c r="F40" s="7" t="str">
        <f>IFERROR(__xludf.DUMMYFUNCTION("""COMPUTED_VALUE"""),"Cloud Computing")</f>
        <v>Cloud Computing</v>
      </c>
      <c r="G40" s="2" t="str">
        <f>IFERROR(__xludf.DUMMYFUNCTION("""COMPUTED_VALUE"""),"19CS406")</f>
        <v>19CS406</v>
      </c>
      <c r="H40" s="2">
        <f>IFERROR(__xludf.DUMMYFUNCTION("""COMPUTED_VALUE"""),3)</f>
        <v>3</v>
      </c>
      <c r="I40" s="2">
        <f>IFERROR(__xludf.DUMMYFUNCTION("""COMPUTED_VALUE"""),1)</f>
        <v>1</v>
      </c>
      <c r="J40" s="2">
        <f>IFERROR(__xludf.DUMMYFUNCTION("""COMPUTED_VALUE"""),4)</f>
        <v>4</v>
      </c>
      <c r="K40" s="2" t="str">
        <f>IFERROR(__xludf.DUMMYFUNCTION("""COMPUTED_VALUE"""),"CGPA")</f>
        <v>CGPA</v>
      </c>
      <c r="L40" s="2" t="str">
        <f>IFERROR(__xludf.DUMMYFUNCTION("""COMPUTED_VALUE"""),"TIP (6 Expts)")</f>
        <v>TIP (6 Expts)</v>
      </c>
      <c r="M40" s="9"/>
      <c r="N40" s="9"/>
      <c r="O40" s="9"/>
      <c r="P40" s="9"/>
      <c r="Q40" s="9"/>
      <c r="R40" s="9"/>
    </row>
    <row r="41" ht="48" customHeight="1" spans="1:18">
      <c r="A41" s="2">
        <f>IFERROR(__xludf.DUMMYFUNCTION("""COMPUTED_VALUE"""),39)</f>
        <v>39</v>
      </c>
      <c r="B41" s="2"/>
      <c r="C41" s="2" t="str">
        <f>IFERROR(__xludf.DUMMYFUNCTION("""COMPUTED_VALUE"""),"PC")</f>
        <v>PC</v>
      </c>
      <c r="D41" s="2" t="str">
        <f>IFERROR(__xludf.DUMMYFUNCTION("""COMPUTED_VALUE"""),"CS1415")</f>
        <v>CS1415</v>
      </c>
      <c r="E41" s="2" t="str">
        <f>IFERROR(__xludf.DUMMYFUNCTION("""COMPUTED_VALUE"""),"19CS415")</f>
        <v>19CS415</v>
      </c>
      <c r="F41" s="7" t="str">
        <f>IFERROR(__xludf.DUMMYFUNCTION("""COMPUTED_VALUE"""),"Cryptography")</f>
        <v>Cryptography</v>
      </c>
      <c r="G41" s="2" t="str">
        <f>IFERROR(__xludf.DUMMYFUNCTION("""COMPUTED_VALUE"""),"-")</f>
        <v>-</v>
      </c>
      <c r="H41" s="2">
        <f>IFERROR(__xludf.DUMMYFUNCTION("""COMPUTED_VALUE"""),2)</f>
        <v>2</v>
      </c>
      <c r="I41" s="2">
        <f>IFERROR(__xludf.DUMMYFUNCTION("""COMPUTED_VALUE"""),1)</f>
        <v>1</v>
      </c>
      <c r="J41" s="2">
        <f>IFERROR(__xludf.DUMMYFUNCTION("""COMPUTED_VALUE"""),3)</f>
        <v>3</v>
      </c>
      <c r="K41" s="2" t="str">
        <f>IFERROR(__xludf.DUMMYFUNCTION("""COMPUTED_VALUE"""),"CGPA")</f>
        <v>CGPA</v>
      </c>
      <c r="L41" s="2" t="str">
        <f>IFERROR(__xludf.DUMMYFUNCTION("""COMPUTED_VALUE"""),"TIP (6 Expts)")</f>
        <v>TIP (6 Expts)</v>
      </c>
      <c r="M41" s="9"/>
      <c r="N41" s="9"/>
      <c r="O41" s="9"/>
      <c r="P41" s="9"/>
      <c r="Q41" s="9"/>
      <c r="R41" s="9"/>
    </row>
    <row r="42" ht="48" customHeight="1" spans="1:18">
      <c r="A42" s="2">
        <f>IFERROR(__xludf.DUMMYFUNCTION("""COMPUTED_VALUE"""),40)</f>
        <v>40</v>
      </c>
      <c r="B42" s="2"/>
      <c r="C42" s="2" t="str">
        <f>IFERROR(__xludf.DUMMYFUNCTION("""COMPUTED_VALUE"""),"PC")</f>
        <v>PC</v>
      </c>
      <c r="D42" s="2" t="str">
        <f>IFERROR(__xludf.DUMMYFUNCTION("""COMPUTED_VALUE"""),"CS3547")</f>
        <v>CS3547</v>
      </c>
      <c r="E42" s="2" t="str">
        <f>IFERROR(__xludf.DUMMYFUNCTION("""COMPUTED_VALUE"""),"19AI547")</f>
        <v>19AI547</v>
      </c>
      <c r="F42" s="7" t="str">
        <f>IFERROR(__xludf.DUMMYFUNCTION("""COMPUTED_VALUE"""),"Blockchain for Business")</f>
        <v>Blockchain for Business</v>
      </c>
      <c r="G42" s="2" t="str">
        <f>IFERROR(__xludf.DUMMYFUNCTION("""COMPUTED_VALUE"""),"19CS301")</f>
        <v>19CS301</v>
      </c>
      <c r="H42" s="2">
        <f>IFERROR(__xludf.DUMMYFUNCTION("""COMPUTED_VALUE"""),2)</f>
        <v>2</v>
      </c>
      <c r="I42" s="2">
        <f>IFERROR(__xludf.DUMMYFUNCTION("""COMPUTED_VALUE"""),1)</f>
        <v>1</v>
      </c>
      <c r="J42" s="2">
        <f>IFERROR(__xludf.DUMMYFUNCTION("""COMPUTED_VALUE"""),3)</f>
        <v>3</v>
      </c>
      <c r="K42" s="2" t="str">
        <f>IFERROR(__xludf.DUMMYFUNCTION("""COMPUTED_VALUE"""),"CGPA")</f>
        <v>CGPA</v>
      </c>
      <c r="L42" s="2" t="str">
        <f>IFERROR(__xludf.DUMMYFUNCTION("""COMPUTED_VALUE"""),"TIP (6 Expts)")</f>
        <v>TIP (6 Expts)</v>
      </c>
      <c r="M42" s="9"/>
      <c r="N42" s="9"/>
      <c r="O42" s="9"/>
      <c r="P42" s="9"/>
      <c r="Q42" s="9"/>
      <c r="R42" s="9"/>
    </row>
    <row r="43" ht="48" customHeight="1" spans="1:18">
      <c r="A43" s="2">
        <f>IFERROR(__xludf.DUMMYFUNCTION("""COMPUTED_VALUE"""),41)</f>
        <v>41</v>
      </c>
      <c r="B43" s="2"/>
      <c r="C43" s="2" t="str">
        <f>IFERROR(__xludf.DUMMYFUNCTION("""COMPUTED_VALUE"""),"PC")</f>
        <v>PC</v>
      </c>
      <c r="D43" s="2" t="str">
        <f>IFERROR(__xludf.DUMMYFUNCTION("""COMPUTED_VALUE"""),"CS1416")</f>
        <v>CS1416</v>
      </c>
      <c r="E43" s="2" t="str">
        <f>IFERROR(__xludf.DUMMYFUNCTION("""COMPUTED_VALUE"""),"19CS416")</f>
        <v>19CS416</v>
      </c>
      <c r="F43" s="7" t="str">
        <f>IFERROR(__xludf.DUMMYFUNCTION("""COMPUTED_VALUE"""),"Cloud Security")</f>
        <v>Cloud Security</v>
      </c>
      <c r="G43" s="2" t="str">
        <f>IFERROR(__xludf.DUMMYFUNCTION("""COMPUTED_VALUE"""),"-")</f>
        <v>-</v>
      </c>
      <c r="H43" s="2">
        <f>IFERROR(__xludf.DUMMYFUNCTION("""COMPUTED_VALUE"""),2)</f>
        <v>2</v>
      </c>
      <c r="I43" s="2">
        <f>IFERROR(__xludf.DUMMYFUNCTION("""COMPUTED_VALUE"""),1)</f>
        <v>1</v>
      </c>
      <c r="J43" s="2">
        <f>IFERROR(__xludf.DUMMYFUNCTION("""COMPUTED_VALUE"""),3)</f>
        <v>3</v>
      </c>
      <c r="K43" s="2" t="str">
        <f>IFERROR(__xludf.DUMMYFUNCTION("""COMPUTED_VALUE"""),"CGPA")</f>
        <v>CGPA</v>
      </c>
      <c r="L43" s="2" t="str">
        <f>IFERROR(__xludf.DUMMYFUNCTION("""COMPUTED_VALUE"""),"TIP (6 Expts)")</f>
        <v>TIP (6 Expts)</v>
      </c>
      <c r="M43" s="9"/>
      <c r="N43" s="9"/>
      <c r="O43" s="9"/>
      <c r="P43" s="9"/>
      <c r="Q43" s="9"/>
      <c r="R43" s="9"/>
    </row>
    <row r="44" ht="48" customHeight="1" spans="1:18">
      <c r="A44" s="2">
        <f>IFERROR(__xludf.DUMMYFUNCTION("""COMPUTED_VALUE"""),42)</f>
        <v>42</v>
      </c>
      <c r="B44" s="2"/>
      <c r="C44" s="2" t="str">
        <f>IFERROR(__xludf.DUMMYFUNCTION("""COMPUTED_VALUE"""),"PC")</f>
        <v>PC</v>
      </c>
      <c r="D44" s="2" t="str">
        <f>IFERROR(__xludf.DUMMYFUNCTION("""COMPUTED_VALUE"""),"CS1417")</f>
        <v>CS1417</v>
      </c>
      <c r="E44" s="2" t="str">
        <f>IFERROR(__xludf.DUMMYFUNCTION("""COMPUTED_VALUE"""),"19CS417")</f>
        <v>19CS417</v>
      </c>
      <c r="F44" s="7" t="str">
        <f>IFERROR(__xludf.DUMMYFUNCTION("""COMPUTED_VALUE"""),"Ethical Hacking Techniques")</f>
        <v>Ethical Hacking Techniques</v>
      </c>
      <c r="G44" s="2" t="str">
        <f>IFERROR(__xludf.DUMMYFUNCTION("""COMPUTED_VALUE"""),"-")</f>
        <v>-</v>
      </c>
      <c r="H44" s="2">
        <f>IFERROR(__xludf.DUMMYFUNCTION("""COMPUTED_VALUE"""),2)</f>
        <v>2</v>
      </c>
      <c r="I44" s="2">
        <f>IFERROR(__xludf.DUMMYFUNCTION("""COMPUTED_VALUE"""),1)</f>
        <v>1</v>
      </c>
      <c r="J44" s="2">
        <f>IFERROR(__xludf.DUMMYFUNCTION("""COMPUTED_VALUE"""),3)</f>
        <v>3</v>
      </c>
      <c r="K44" s="2" t="str">
        <f>IFERROR(__xludf.DUMMYFUNCTION("""COMPUTED_VALUE"""),"CGPA")</f>
        <v>CGPA</v>
      </c>
      <c r="L44" s="2" t="str">
        <f>IFERROR(__xludf.DUMMYFUNCTION("""COMPUTED_VALUE"""),"TIP (6 Expts)")</f>
        <v>TIP (6 Expts)</v>
      </c>
      <c r="M44" s="9"/>
      <c r="N44" s="9"/>
      <c r="O44" s="9"/>
      <c r="P44" s="9"/>
      <c r="Q44" s="9"/>
      <c r="R44" s="9"/>
    </row>
    <row r="45" ht="48" customHeight="1" spans="1:18">
      <c r="A45" s="2">
        <f>IFERROR(__xludf.DUMMYFUNCTION("""COMPUTED_VALUE"""),43)</f>
        <v>43</v>
      </c>
      <c r="B45" s="2"/>
      <c r="C45" s="2" t="str">
        <f>IFERROR(__xludf.DUMMYFUNCTION("""COMPUTED_VALUE"""),"PC")</f>
        <v>PC</v>
      </c>
      <c r="D45" s="2" t="str">
        <f>IFERROR(__xludf.DUMMYFUNCTION("""COMPUTED_VALUE"""),"CS1418")</f>
        <v>CS1418</v>
      </c>
      <c r="E45" s="2" t="str">
        <f>IFERROR(__xludf.DUMMYFUNCTION("""COMPUTED_VALUE"""),"19CS418")</f>
        <v>19CS418</v>
      </c>
      <c r="F45" s="7" t="str">
        <f>IFERROR(__xludf.DUMMYFUNCTION("""COMPUTED_VALUE"""),"Cyber Law and Compliance")</f>
        <v>Cyber Law and Compliance</v>
      </c>
      <c r="G45" s="2" t="str">
        <f>IFERROR(__xludf.DUMMYFUNCTION("""COMPUTED_VALUE"""),"-")</f>
        <v>-</v>
      </c>
      <c r="H45" s="2">
        <f>IFERROR(__xludf.DUMMYFUNCTION("""COMPUTED_VALUE"""),3)</f>
        <v>3</v>
      </c>
      <c r="I45" s="2">
        <f>IFERROR(__xludf.DUMMYFUNCTION("""COMPUTED_VALUE"""),0)</f>
        <v>0</v>
      </c>
      <c r="J45" s="2">
        <f>IFERROR(__xludf.DUMMYFUNCTION("""COMPUTED_VALUE"""),3)</f>
        <v>3</v>
      </c>
      <c r="K45" s="2" t="str">
        <f>IFERROR(__xludf.DUMMYFUNCTION("""COMPUTED_VALUE"""),"CGPA")</f>
        <v>CGPA</v>
      </c>
      <c r="L45" s="2" t="str">
        <f>IFERROR(__xludf.DUMMYFUNCTION("""COMPUTED_VALUE"""),"Theory")</f>
        <v>Theory</v>
      </c>
      <c r="M45" s="9"/>
      <c r="N45" s="9"/>
      <c r="O45" s="9"/>
      <c r="P45" s="9"/>
      <c r="Q45" s="9"/>
      <c r="R45" s="9"/>
    </row>
    <row r="46" ht="48" customHeight="1" spans="1:18">
      <c r="A46" s="2">
        <f>IFERROR(__xludf.DUMMYFUNCTION("""COMPUTED_VALUE"""),44)</f>
        <v>44</v>
      </c>
      <c r="B46" s="2"/>
      <c r="C46" s="2" t="str">
        <f>IFERROR(__xludf.DUMMYFUNCTION("""COMPUTED_VALUE"""),"PC")</f>
        <v>PC</v>
      </c>
      <c r="D46" s="2" t="str">
        <f>IFERROR(__xludf.DUMMYFUNCTION("""COMPUTED_VALUE"""),"CS1419")</f>
        <v>CS1419</v>
      </c>
      <c r="E46" s="2" t="str">
        <f>IFERROR(__xludf.DUMMYFUNCTION("""COMPUTED_VALUE"""),"19CS419")</f>
        <v>19CS419</v>
      </c>
      <c r="F46" s="7" t="str">
        <f>IFERROR(__xludf.DUMMYFUNCTION("""COMPUTED_VALUE"""),"Digital Forensics and Digital Investigations")</f>
        <v>Digital Forensics and Digital Investigations</v>
      </c>
      <c r="G46" s="2" t="str">
        <f>IFERROR(__xludf.DUMMYFUNCTION("""COMPUTED_VALUE"""),"-")</f>
        <v>-</v>
      </c>
      <c r="H46" s="2">
        <f>IFERROR(__xludf.DUMMYFUNCTION("""COMPUTED_VALUE"""),2)</f>
        <v>2</v>
      </c>
      <c r="I46" s="2">
        <f>IFERROR(__xludf.DUMMYFUNCTION("""COMPUTED_VALUE"""),1)</f>
        <v>1</v>
      </c>
      <c r="J46" s="2">
        <f>IFERROR(__xludf.DUMMYFUNCTION("""COMPUTED_VALUE"""),3)</f>
        <v>3</v>
      </c>
      <c r="K46" s="2" t="str">
        <f>IFERROR(__xludf.DUMMYFUNCTION("""COMPUTED_VALUE"""),"CGPA")</f>
        <v>CGPA</v>
      </c>
      <c r="L46" s="2" t="str">
        <f>IFERROR(__xludf.DUMMYFUNCTION("""COMPUTED_VALUE"""),"TIP (6 Expts)")</f>
        <v>TIP (6 Expts)</v>
      </c>
      <c r="M46" s="9"/>
      <c r="N46" s="9"/>
      <c r="O46" s="9"/>
      <c r="P46" s="9"/>
      <c r="Q46" s="9"/>
      <c r="R46" s="9"/>
    </row>
    <row r="47" ht="48" customHeight="1" spans="1:18">
      <c r="A47" s="2">
        <f>IFERROR(__xludf.DUMMYFUNCTION("""COMPUTED_VALUE"""),45)</f>
        <v>45</v>
      </c>
      <c r="B47" s="2"/>
      <c r="C47" s="2" t="str">
        <f>IFERROR(__xludf.DUMMYFUNCTION("""COMPUTED_VALUE"""),"PE 
")</f>
        <v>PE 
</v>
      </c>
      <c r="D47" s="2" t="str">
        <f>IFERROR(__xludf.DUMMYFUNCTION("""COMPUTED_VALUE"""),"CS1565")</f>
        <v>CS1565</v>
      </c>
      <c r="E47" s="2" t="str">
        <f>IFERROR(__xludf.DUMMYFUNCTION("""COMPUTED_VALUE"""),"19CS565")</f>
        <v>19CS565</v>
      </c>
      <c r="F47" s="7" t="str">
        <f>IFERROR(__xludf.DUMMYFUNCTION("""COMPUTED_VALUE"""),"Robotic Process Automation")</f>
        <v>Robotic Process Automation</v>
      </c>
      <c r="G47" s="2" t="str">
        <f>IFERROR(__xludf.DUMMYFUNCTION("""COMPUTED_VALUE"""),"-")</f>
        <v>-</v>
      </c>
      <c r="H47" s="2">
        <f>IFERROR(__xludf.DUMMYFUNCTION("""COMPUTED_VALUE"""),2)</f>
        <v>2</v>
      </c>
      <c r="I47" s="2">
        <f>IFERROR(__xludf.DUMMYFUNCTION("""COMPUTED_VALUE"""),1)</f>
        <v>1</v>
      </c>
      <c r="J47" s="2">
        <f>IFERROR(__xludf.DUMMYFUNCTION("""COMPUTED_VALUE"""),3)</f>
        <v>3</v>
      </c>
      <c r="K47" s="2" t="str">
        <f>IFERROR(__xludf.DUMMYFUNCTION("""COMPUTED_VALUE"""),"CGPA")</f>
        <v>CGPA</v>
      </c>
      <c r="L47" s="2" t="str">
        <f>IFERROR(__xludf.DUMMYFUNCTION("""COMPUTED_VALUE"""),"TIP (6 Expts)")</f>
        <v>TIP (6 Expts)</v>
      </c>
      <c r="M47" s="9"/>
      <c r="N47" s="9"/>
      <c r="O47" s="9"/>
      <c r="P47" s="9"/>
      <c r="Q47" s="9"/>
      <c r="R47" s="9"/>
    </row>
    <row r="48" ht="48" customHeight="1" spans="1:18">
      <c r="A48" s="2">
        <f>IFERROR(__xludf.DUMMYFUNCTION("""COMPUTED_VALUE"""),46)</f>
        <v>46</v>
      </c>
      <c r="B48" s="2"/>
      <c r="C48" s="2" t="str">
        <f>IFERROR(__xludf.DUMMYFUNCTION("""COMPUTED_VALUE"""),"PE 
")</f>
        <v>PE 
</v>
      </c>
      <c r="D48" s="2" t="str">
        <f>IFERROR(__xludf.DUMMYFUNCTION("""COMPUTED_VALUE"""),"CS1566")</f>
        <v>CS1566</v>
      </c>
      <c r="E48" s="2" t="str">
        <f>IFERROR(__xludf.DUMMYFUNCTION("""COMPUTED_VALUE"""),"19CS566")</f>
        <v>19CS566</v>
      </c>
      <c r="F48" s="7" t="str">
        <f>IFERROR(__xludf.DUMMYFUNCTION("""COMPUTED_VALUE"""),"Software Project Management and Version Control")</f>
        <v>Software Project Management and Version Control</v>
      </c>
      <c r="G48" s="2" t="str">
        <f>IFERROR(__xludf.DUMMYFUNCTION("""COMPUTED_VALUE"""),"-")</f>
        <v>-</v>
      </c>
      <c r="H48" s="2">
        <f>IFERROR(__xludf.DUMMYFUNCTION("""COMPUTED_VALUE"""),3)</f>
        <v>3</v>
      </c>
      <c r="I48" s="2">
        <f>IFERROR(__xludf.DUMMYFUNCTION("""COMPUTED_VALUE"""),0)</f>
        <v>0</v>
      </c>
      <c r="J48" s="2">
        <f>IFERROR(__xludf.DUMMYFUNCTION("""COMPUTED_VALUE"""),3)</f>
        <v>3</v>
      </c>
      <c r="K48" s="2" t="str">
        <f>IFERROR(__xludf.DUMMYFUNCTION("""COMPUTED_VALUE"""),"CGPA")</f>
        <v>CGPA</v>
      </c>
      <c r="L48" s="2" t="str">
        <f>IFERROR(__xludf.DUMMYFUNCTION("""COMPUTED_VALUE"""),"Theory")</f>
        <v>Theory</v>
      </c>
      <c r="M48" s="9"/>
      <c r="N48" s="9"/>
      <c r="O48" s="9"/>
      <c r="P48" s="9"/>
      <c r="Q48" s="9"/>
      <c r="R48" s="9"/>
    </row>
    <row r="49" ht="48" customHeight="1" spans="1:18">
      <c r="A49" s="2">
        <f>IFERROR(__xludf.DUMMYFUNCTION("""COMPUTED_VALUE"""),47)</f>
        <v>47</v>
      </c>
      <c r="B49" s="2"/>
      <c r="C49" s="2" t="str">
        <f>IFERROR(__xludf.DUMMYFUNCTION("""COMPUTED_VALUE"""),"PE 
")</f>
        <v>PE 
</v>
      </c>
      <c r="D49" s="2" t="str">
        <f>IFERROR(__xludf.DUMMYFUNCTION("""COMPUTED_VALUE"""),"CS1579")</f>
        <v>CS1579</v>
      </c>
      <c r="E49" s="2" t="str">
        <f>IFERROR(__xludf.DUMMYFUNCTION("""COMPUTED_VALUE"""),"19CS579")</f>
        <v>19CS579</v>
      </c>
      <c r="F49" s="7" t="str">
        <f>IFERROR(__xludf.DUMMYFUNCTION("""COMPUTED_VALUE"""),"Generative AI Application Development")</f>
        <v>Generative AI Application Development</v>
      </c>
      <c r="G49" s="2" t="str">
        <f>IFERROR(__xludf.DUMMYFUNCTION("""COMPUTED_VALUE"""),"-")</f>
        <v>-</v>
      </c>
      <c r="H49" s="2">
        <f>IFERROR(__xludf.DUMMYFUNCTION("""COMPUTED_VALUE"""),2)</f>
        <v>2</v>
      </c>
      <c r="I49" s="2">
        <f>IFERROR(__xludf.DUMMYFUNCTION("""COMPUTED_VALUE"""),1)</f>
        <v>1</v>
      </c>
      <c r="J49" s="2">
        <f>IFERROR(__xludf.DUMMYFUNCTION("""COMPUTED_VALUE"""),3)</f>
        <v>3</v>
      </c>
      <c r="K49" s="2" t="str">
        <f>IFERROR(__xludf.DUMMYFUNCTION("""COMPUTED_VALUE"""),"CGPA")</f>
        <v>CGPA</v>
      </c>
      <c r="L49" s="2" t="str">
        <f>IFERROR(__xludf.DUMMYFUNCTION("""COMPUTED_VALUE"""),"TIP (6 Expts)")</f>
        <v>TIP (6 Expts)</v>
      </c>
      <c r="M49" s="9"/>
      <c r="N49" s="9"/>
      <c r="O49" s="9"/>
      <c r="P49" s="9"/>
      <c r="Q49" s="9"/>
      <c r="R49" s="9"/>
    </row>
    <row r="50" ht="48" customHeight="1" spans="1:18">
      <c r="A50" s="2">
        <f>IFERROR(__xludf.DUMMYFUNCTION("""COMPUTED_VALUE"""),48)</f>
        <v>48</v>
      </c>
      <c r="B50" s="2"/>
      <c r="C50" s="2" t="str">
        <f>IFERROR(__xludf.DUMMYFUNCTION("""COMPUTED_VALUE"""),"PE 
")</f>
        <v>PE 
</v>
      </c>
      <c r="D50" s="2" t="str">
        <f>IFERROR(__xludf.DUMMYFUNCTION("""COMPUTED_VALUE"""),"CS1568")</f>
        <v>CS1568</v>
      </c>
      <c r="E50" s="2" t="str">
        <f>IFERROR(__xludf.DUMMYFUNCTION("""COMPUTED_VALUE"""),"19CS568")</f>
        <v>19CS568</v>
      </c>
      <c r="F50" s="7" t="str">
        <f>IFERROR(__xludf.DUMMYFUNCTION("""COMPUTED_VALUE"""),"Fine Tuning Large Language Models")</f>
        <v>Fine Tuning Large Language Models</v>
      </c>
      <c r="G50" s="2" t="str">
        <f>IFERROR(__xludf.DUMMYFUNCTION("""COMPUTED_VALUE"""),"-")</f>
        <v>-</v>
      </c>
      <c r="H50" s="2">
        <f>IFERROR(__xludf.DUMMYFUNCTION("""COMPUTED_VALUE"""),3)</f>
        <v>3</v>
      </c>
      <c r="I50" s="2">
        <f>IFERROR(__xludf.DUMMYFUNCTION("""COMPUTED_VALUE"""),0)</f>
        <v>0</v>
      </c>
      <c r="J50" s="2">
        <f>IFERROR(__xludf.DUMMYFUNCTION("""COMPUTED_VALUE"""),3)</f>
        <v>3</v>
      </c>
      <c r="K50" s="2" t="str">
        <f>IFERROR(__xludf.DUMMYFUNCTION("""COMPUTED_VALUE"""),"CGPA")</f>
        <v>CGPA</v>
      </c>
      <c r="L50" s="2" t="str">
        <f>IFERROR(__xludf.DUMMYFUNCTION("""COMPUTED_VALUE"""),"Theory")</f>
        <v>Theory</v>
      </c>
      <c r="M50" s="9"/>
      <c r="N50" s="9"/>
      <c r="O50" s="9"/>
      <c r="P50" s="9"/>
      <c r="Q50" s="9"/>
      <c r="R50" s="9"/>
    </row>
    <row r="51" ht="48" customHeight="1" spans="1:18">
      <c r="A51" s="2">
        <f>IFERROR(__xludf.DUMMYFUNCTION("""COMPUTED_VALUE"""),49)</f>
        <v>49</v>
      </c>
      <c r="B51" s="2"/>
      <c r="C51" s="2" t="str">
        <f>IFERROR(__xludf.DUMMYFUNCTION("""COMPUTED_VALUE"""),"PE 
")</f>
        <v>PE 
</v>
      </c>
      <c r="D51" s="2" t="str">
        <f>IFERROR(__xludf.DUMMYFUNCTION("""COMPUTED_VALUE"""),"CS1569")</f>
        <v>CS1569</v>
      </c>
      <c r="E51" s="2" t="str">
        <f>IFERROR(__xludf.DUMMYFUNCTION("""COMPUTED_VALUE"""),"19CS569")</f>
        <v>19CS569</v>
      </c>
      <c r="F51" s="7" t="str">
        <f>IFERROR(__xludf.DUMMYFUNCTION("""COMPUTED_VALUE"""),"Applied Data Science")</f>
        <v>Applied Data Science</v>
      </c>
      <c r="G51" s="2" t="str">
        <f>IFERROR(__xludf.DUMMYFUNCTION("""COMPUTED_VALUE"""),"-")</f>
        <v>-</v>
      </c>
      <c r="H51" s="2">
        <f>IFERROR(__xludf.DUMMYFUNCTION("""COMPUTED_VALUE"""),2)</f>
        <v>2</v>
      </c>
      <c r="I51" s="2">
        <f>IFERROR(__xludf.DUMMYFUNCTION("""COMPUTED_VALUE"""),1)</f>
        <v>1</v>
      </c>
      <c r="J51" s="2">
        <f>IFERROR(__xludf.DUMMYFUNCTION("""COMPUTED_VALUE"""),3)</f>
        <v>3</v>
      </c>
      <c r="K51" s="2" t="str">
        <f>IFERROR(__xludf.DUMMYFUNCTION("""COMPUTED_VALUE"""),"CGPA")</f>
        <v>CGPA</v>
      </c>
      <c r="L51" s="2" t="str">
        <f>IFERROR(__xludf.DUMMYFUNCTION("""COMPUTED_VALUE"""),"TIP (6 Expts)")</f>
        <v>TIP (6 Expts)</v>
      </c>
      <c r="M51" s="9"/>
      <c r="N51" s="9"/>
      <c r="O51" s="9"/>
      <c r="P51" s="9"/>
      <c r="Q51" s="9"/>
      <c r="R51" s="9"/>
    </row>
    <row r="52" ht="48" customHeight="1" spans="1:18">
      <c r="A52" s="2">
        <f>IFERROR(__xludf.DUMMYFUNCTION("""COMPUTED_VALUE"""),50)</f>
        <v>50</v>
      </c>
      <c r="B52" s="2"/>
      <c r="C52" s="2" t="str">
        <f>IFERROR(__xludf.DUMMYFUNCTION("""COMPUTED_VALUE"""),"PE 
")</f>
        <v>PE 
</v>
      </c>
      <c r="D52" s="2" t="str">
        <f>IFERROR(__xludf.DUMMYFUNCTION("""COMPUTED_VALUE"""),"CS1570")</f>
        <v>CS1570</v>
      </c>
      <c r="E52" s="2" t="str">
        <f>IFERROR(__xludf.DUMMYFUNCTION("""COMPUTED_VALUE"""),"19CS570")</f>
        <v>19CS570</v>
      </c>
      <c r="F52" s="7" t="str">
        <f>IFERROR(__xludf.DUMMYFUNCTION("""COMPUTED_VALUE"""),"Entrepreneurship and Small Business Development")</f>
        <v>Entrepreneurship and Small Business Development</v>
      </c>
      <c r="G52" s="2" t="str">
        <f>IFERROR(__xludf.DUMMYFUNCTION("""COMPUTED_VALUE"""),"-")</f>
        <v>-</v>
      </c>
      <c r="H52" s="2">
        <f>IFERROR(__xludf.DUMMYFUNCTION("""COMPUTED_VALUE"""),2)</f>
        <v>2</v>
      </c>
      <c r="I52" s="2">
        <f>IFERROR(__xludf.DUMMYFUNCTION("""COMPUTED_VALUE"""),1)</f>
        <v>1</v>
      </c>
      <c r="J52" s="2">
        <f>IFERROR(__xludf.DUMMYFUNCTION("""COMPUTED_VALUE"""),3)</f>
        <v>3</v>
      </c>
      <c r="K52" s="2" t="str">
        <f>IFERROR(__xludf.DUMMYFUNCTION("""COMPUTED_VALUE"""),"CGPA")</f>
        <v>CGPA</v>
      </c>
      <c r="L52" s="2" t="str">
        <f>IFERROR(__xludf.DUMMYFUNCTION("""COMPUTED_VALUE"""),"TIP (6 Expts)")</f>
        <v>TIP (6 Expts)</v>
      </c>
      <c r="M52" s="9"/>
      <c r="N52" s="9"/>
      <c r="O52" s="9"/>
      <c r="P52" s="9"/>
      <c r="Q52" s="9"/>
      <c r="R52" s="9"/>
    </row>
    <row r="53" ht="48" customHeight="1" spans="1:18">
      <c r="A53" s="2">
        <f>IFERROR(__xludf.DUMMYFUNCTION("""COMPUTED_VALUE"""),51)</f>
        <v>51</v>
      </c>
      <c r="B53" s="2"/>
      <c r="C53" s="2" t="str">
        <f>IFERROR(__xludf.DUMMYFUNCTION("""COMPUTED_VALUE"""),"PE 
")</f>
        <v>PE 
</v>
      </c>
      <c r="D53" s="2" t="str">
        <f>IFERROR(__xludf.DUMMYFUNCTION("""COMPUTED_VALUE"""),"CS1571")</f>
        <v>CS1571</v>
      </c>
      <c r="E53" s="2" t="str">
        <f>IFERROR(__xludf.DUMMYFUNCTION("""COMPUTED_VALUE"""),"19CS571")</f>
        <v>19CS571</v>
      </c>
      <c r="F53" s="7" t="str">
        <f>IFERROR(__xludf.DUMMYFUNCTION("""COMPUTED_VALUE"""),"Software Development and Operations")</f>
        <v>Software Development and Operations</v>
      </c>
      <c r="G53" s="2" t="str">
        <f>IFERROR(__xludf.DUMMYFUNCTION("""COMPUTED_VALUE"""),"-")</f>
        <v>-</v>
      </c>
      <c r="H53" s="2">
        <f>IFERROR(__xludf.DUMMYFUNCTION("""COMPUTED_VALUE"""),3)</f>
        <v>3</v>
      </c>
      <c r="I53" s="2">
        <f>IFERROR(__xludf.DUMMYFUNCTION("""COMPUTED_VALUE"""),0)</f>
        <v>0</v>
      </c>
      <c r="J53" s="2">
        <f>IFERROR(__xludf.DUMMYFUNCTION("""COMPUTED_VALUE"""),3)</f>
        <v>3</v>
      </c>
      <c r="K53" s="2" t="str">
        <f>IFERROR(__xludf.DUMMYFUNCTION("""COMPUTED_VALUE"""),"CGPA")</f>
        <v>CGPA</v>
      </c>
      <c r="L53" s="2" t="str">
        <f>IFERROR(__xludf.DUMMYFUNCTION("""COMPUTED_VALUE"""),"Theory")</f>
        <v>Theory</v>
      </c>
      <c r="M53" s="9"/>
      <c r="N53" s="9"/>
      <c r="O53" s="9"/>
      <c r="P53" s="9"/>
      <c r="Q53" s="9"/>
      <c r="R53" s="9"/>
    </row>
    <row r="54" ht="48" customHeight="1" spans="1:18">
      <c r="A54" s="2">
        <f>IFERROR(__xludf.DUMMYFUNCTION("""COMPUTED_VALUE"""),52)</f>
        <v>52</v>
      </c>
      <c r="B54" s="2"/>
      <c r="C54" s="2" t="str">
        <f>IFERROR(__xludf.DUMMYFUNCTION("""COMPUTED_VALUE"""),"PE 
")</f>
        <v>PE 
</v>
      </c>
      <c r="D54" s="2" t="str">
        <f>IFERROR(__xludf.DUMMYFUNCTION("""COMPUTED_VALUE"""),"CS1572")</f>
        <v>CS1572</v>
      </c>
      <c r="E54" s="2" t="str">
        <f>IFERROR(__xludf.DUMMYFUNCTION("""COMPUTED_VALUE"""),"19CS572")</f>
        <v>19CS572</v>
      </c>
      <c r="F54" s="7" t="str">
        <f>IFERROR(__xludf.DUMMYFUNCTION("""COMPUTED_VALUE"""),"Serverless App Development")</f>
        <v>Serverless App Development</v>
      </c>
      <c r="G54" s="2" t="str">
        <f>IFERROR(__xludf.DUMMYFUNCTION("""COMPUTED_VALUE"""),"-")</f>
        <v>-</v>
      </c>
      <c r="H54" s="2">
        <f>IFERROR(__xludf.DUMMYFUNCTION("""COMPUTED_VALUE"""),3)</f>
        <v>3</v>
      </c>
      <c r="I54" s="2">
        <f>IFERROR(__xludf.DUMMYFUNCTION("""COMPUTED_VALUE"""),0)</f>
        <v>0</v>
      </c>
      <c r="J54" s="2">
        <f>IFERROR(__xludf.DUMMYFUNCTION("""COMPUTED_VALUE"""),3)</f>
        <v>3</v>
      </c>
      <c r="K54" s="2" t="str">
        <f>IFERROR(__xludf.DUMMYFUNCTION("""COMPUTED_VALUE"""),"CGPA")</f>
        <v>CGPA</v>
      </c>
      <c r="L54" s="2" t="str">
        <f>IFERROR(__xludf.DUMMYFUNCTION("""COMPUTED_VALUE"""),"Theory")</f>
        <v>Theory</v>
      </c>
      <c r="M54" s="9"/>
      <c r="N54" s="9"/>
      <c r="O54" s="9"/>
      <c r="P54" s="9"/>
      <c r="Q54" s="9"/>
      <c r="R54" s="9"/>
    </row>
    <row r="55" ht="48" customHeight="1" spans="1:18">
      <c r="A55" s="2">
        <f>IFERROR(__xludf.DUMMYFUNCTION("""COMPUTED_VALUE"""),53)</f>
        <v>53</v>
      </c>
      <c r="B55" s="2"/>
      <c r="C55" s="2" t="str">
        <f>IFERROR(__xludf.DUMMYFUNCTION("""COMPUTED_VALUE"""),"PE 
")</f>
        <v>PE 
</v>
      </c>
      <c r="D55" s="2" t="str">
        <f>IFERROR(__xludf.DUMMYFUNCTION("""COMPUTED_VALUE"""),"CS1573")</f>
        <v>CS1573</v>
      </c>
      <c r="E55" s="2" t="str">
        <f>IFERROR(__xludf.DUMMYFUNCTION("""COMPUTED_VALUE"""),"19CS573")</f>
        <v>19CS573</v>
      </c>
      <c r="F55" s="7" t="str">
        <f>IFERROR(__xludf.DUMMYFUNCTION("""COMPUTED_VALUE"""),"Enterprise Cloud Architecture")</f>
        <v>Enterprise Cloud Architecture</v>
      </c>
      <c r="G55" s="2" t="str">
        <f>IFERROR(__xludf.DUMMYFUNCTION("""COMPUTED_VALUE"""),"-")</f>
        <v>-</v>
      </c>
      <c r="H55" s="2">
        <f>IFERROR(__xludf.DUMMYFUNCTION("""COMPUTED_VALUE"""),3)</f>
        <v>3</v>
      </c>
      <c r="I55" s="2">
        <f>IFERROR(__xludf.DUMMYFUNCTION("""COMPUTED_VALUE"""),0)</f>
        <v>0</v>
      </c>
      <c r="J55" s="2">
        <f>IFERROR(__xludf.DUMMYFUNCTION("""COMPUTED_VALUE"""),3)</f>
        <v>3</v>
      </c>
      <c r="K55" s="2" t="str">
        <f>IFERROR(__xludf.DUMMYFUNCTION("""COMPUTED_VALUE"""),"CGPA")</f>
        <v>CGPA</v>
      </c>
      <c r="L55" s="2" t="str">
        <f>IFERROR(__xludf.DUMMYFUNCTION("""COMPUTED_VALUE"""),"Theory")</f>
        <v>Theory</v>
      </c>
      <c r="M55" s="9"/>
      <c r="N55" s="9"/>
      <c r="O55" s="9"/>
      <c r="P55" s="9"/>
      <c r="Q55" s="9"/>
      <c r="R55" s="9"/>
    </row>
    <row r="56" ht="48" customHeight="1" spans="1:18">
      <c r="A56" s="2">
        <f>IFERROR(__xludf.DUMMYFUNCTION("""COMPUTED_VALUE"""),54)</f>
        <v>54</v>
      </c>
      <c r="B56" s="2"/>
      <c r="C56" s="2" t="str">
        <f>IFERROR(__xludf.DUMMYFUNCTION("""COMPUTED_VALUE"""),"PE 
")</f>
        <v>PE 
</v>
      </c>
      <c r="D56" s="2" t="str">
        <f>IFERROR(__xludf.DUMMYFUNCTION("""COMPUTED_VALUE"""),"CS1574")</f>
        <v>CS1574</v>
      </c>
      <c r="E56" s="2" t="str">
        <f>IFERROR(__xludf.DUMMYFUNCTION("""COMPUTED_VALUE"""),"19CS574")</f>
        <v>19CS574</v>
      </c>
      <c r="F56" s="7" t="str">
        <f>IFERROR(__xludf.DUMMYFUNCTION("""COMPUTED_VALUE"""),"Advanced Class Design and Object-Oriented Techniques")</f>
        <v>Advanced Class Design and Object-Oriented Techniques</v>
      </c>
      <c r="G56" s="2" t="str">
        <f>IFERROR(__xludf.DUMMYFUNCTION("""COMPUTED_VALUE"""),"-")</f>
        <v>-</v>
      </c>
      <c r="H56" s="2">
        <f>IFERROR(__xludf.DUMMYFUNCTION("""COMPUTED_VALUE"""),3)</f>
        <v>3</v>
      </c>
      <c r="I56" s="2">
        <f>IFERROR(__xludf.DUMMYFUNCTION("""COMPUTED_VALUE"""),0)</f>
        <v>0</v>
      </c>
      <c r="J56" s="2">
        <f>IFERROR(__xludf.DUMMYFUNCTION("""COMPUTED_VALUE"""),3)</f>
        <v>3</v>
      </c>
      <c r="K56" s="2" t="str">
        <f>IFERROR(__xludf.DUMMYFUNCTION("""COMPUTED_VALUE"""),"CGPA")</f>
        <v>CGPA</v>
      </c>
      <c r="L56" s="2" t="str">
        <f>IFERROR(__xludf.DUMMYFUNCTION("""COMPUTED_VALUE"""),"Theory")</f>
        <v>Theory</v>
      </c>
      <c r="M56" s="9"/>
      <c r="N56" s="9"/>
      <c r="O56" s="9"/>
      <c r="P56" s="9"/>
      <c r="Q56" s="9"/>
      <c r="R56" s="9"/>
    </row>
    <row r="57" ht="48" customHeight="1" spans="1:18">
      <c r="A57" s="2">
        <f>IFERROR(__xludf.DUMMYFUNCTION("""COMPUTED_VALUE"""),55)</f>
        <v>55</v>
      </c>
      <c r="B57" s="2"/>
      <c r="C57" s="2" t="str">
        <f>IFERROR(__xludf.DUMMYFUNCTION("""COMPUTED_VALUE"""),"PE 
")</f>
        <v>PE 
</v>
      </c>
      <c r="D57" s="2" t="str">
        <f>IFERROR(__xludf.DUMMYFUNCTION("""COMPUTED_VALUE"""),"CS1575")</f>
        <v>CS1575</v>
      </c>
      <c r="E57" s="2" t="str">
        <f>IFERROR(__xludf.DUMMYFUNCTION("""COMPUTED_VALUE"""),"19CS575")</f>
        <v>19CS575</v>
      </c>
      <c r="F57" s="7" t="str">
        <f>IFERROR(__xludf.DUMMYFUNCTION("""COMPUTED_VALUE"""),"Low-Code App Development")</f>
        <v>Low-Code App Development</v>
      </c>
      <c r="G57" s="2" t="str">
        <f>IFERROR(__xludf.DUMMYFUNCTION("""COMPUTED_VALUE"""),"-")</f>
        <v>-</v>
      </c>
      <c r="H57" s="2">
        <f>IFERROR(__xludf.DUMMYFUNCTION("""COMPUTED_VALUE"""),3)</f>
        <v>3</v>
      </c>
      <c r="I57" s="2">
        <f>IFERROR(__xludf.DUMMYFUNCTION("""COMPUTED_VALUE"""),0)</f>
        <v>0</v>
      </c>
      <c r="J57" s="2">
        <f>IFERROR(__xludf.DUMMYFUNCTION("""COMPUTED_VALUE"""),3)</f>
        <v>3</v>
      </c>
      <c r="K57" s="2" t="str">
        <f>IFERROR(__xludf.DUMMYFUNCTION("""COMPUTED_VALUE"""),"CGPA")</f>
        <v>CGPA</v>
      </c>
      <c r="L57" s="2" t="str">
        <f>IFERROR(__xludf.DUMMYFUNCTION("""COMPUTED_VALUE"""),"Theory")</f>
        <v>Theory</v>
      </c>
      <c r="M57" s="9"/>
      <c r="N57" s="9"/>
      <c r="O57" s="9"/>
      <c r="P57" s="9"/>
      <c r="Q57" s="9"/>
      <c r="R57" s="9"/>
    </row>
    <row r="58" ht="48" customHeight="1" spans="1:18">
      <c r="A58" s="2">
        <f>IFERROR(__xludf.DUMMYFUNCTION("""COMPUTED_VALUE"""),56)</f>
        <v>56</v>
      </c>
      <c r="B58" s="2"/>
      <c r="C58" s="2" t="str">
        <f>IFERROR(__xludf.DUMMYFUNCTION("""COMPUTED_VALUE"""),"PE 
")</f>
        <v>PE 
</v>
      </c>
      <c r="D58" s="2" t="str">
        <f>IFERROR(__xludf.DUMMYFUNCTION("""COMPUTED_VALUE"""),"CS1577")</f>
        <v>CS1577</v>
      </c>
      <c r="E58" s="2" t="str">
        <f>IFERROR(__xludf.DUMMYFUNCTION("""COMPUTED_VALUE"""),"19CS577")</f>
        <v>19CS577</v>
      </c>
      <c r="F58" s="7" t="str">
        <f>IFERROR(__xludf.DUMMYFUNCTION("""COMPUTED_VALUE"""),"Cloud System Administration")</f>
        <v>Cloud System Administration</v>
      </c>
      <c r="G58" s="2" t="str">
        <f>IFERROR(__xludf.DUMMYFUNCTION("""COMPUTED_VALUE"""),"-")</f>
        <v>-</v>
      </c>
      <c r="H58" s="2">
        <f>IFERROR(__xludf.DUMMYFUNCTION("""COMPUTED_VALUE"""),3)</f>
        <v>3</v>
      </c>
      <c r="I58" s="2">
        <f>IFERROR(__xludf.DUMMYFUNCTION("""COMPUTED_VALUE"""),0)</f>
        <v>0</v>
      </c>
      <c r="J58" s="2">
        <f>IFERROR(__xludf.DUMMYFUNCTION("""COMPUTED_VALUE"""),3)</f>
        <v>3</v>
      </c>
      <c r="K58" s="2" t="str">
        <f>IFERROR(__xludf.DUMMYFUNCTION("""COMPUTED_VALUE"""),"CGPA")</f>
        <v>CGPA</v>
      </c>
      <c r="L58" s="2" t="str">
        <f>IFERROR(__xludf.DUMMYFUNCTION("""COMPUTED_VALUE"""),"Theory")</f>
        <v>Theory</v>
      </c>
      <c r="M58" s="9"/>
      <c r="N58" s="9"/>
      <c r="O58" s="9"/>
      <c r="P58" s="9"/>
      <c r="Q58" s="9"/>
      <c r="R58" s="9"/>
    </row>
    <row r="59" ht="48" customHeight="1" spans="1:18">
      <c r="A59" s="2">
        <f>IFERROR(__xludf.DUMMYFUNCTION("""COMPUTED_VALUE"""),57)</f>
        <v>57</v>
      </c>
      <c r="B59" s="2"/>
      <c r="C59" s="2" t="str">
        <f>IFERROR(__xludf.DUMMYFUNCTION("""COMPUTED_VALUE"""),"PE 
")</f>
        <v>PE 
</v>
      </c>
      <c r="D59" s="2" t="str">
        <f>IFERROR(__xludf.DUMMYFUNCTION("""COMPUTED_VALUE"""),"CS1578")</f>
        <v>CS1578</v>
      </c>
      <c r="E59" s="2" t="str">
        <f>IFERROR(__xludf.DUMMYFUNCTION("""COMPUTED_VALUE"""),"19CS578")</f>
        <v>19CS578</v>
      </c>
      <c r="F59" s="7" t="str">
        <f>IFERROR(__xludf.DUMMYFUNCTION("""COMPUTED_VALUE"""),"Machine Learning Operations")</f>
        <v>Machine Learning Operations</v>
      </c>
      <c r="G59" s="2" t="str">
        <f>IFERROR(__xludf.DUMMYFUNCTION("""COMPUTED_VALUE"""),"-")</f>
        <v>-</v>
      </c>
      <c r="H59" s="2">
        <f>IFERROR(__xludf.DUMMYFUNCTION("""COMPUTED_VALUE"""),3)</f>
        <v>3</v>
      </c>
      <c r="I59" s="2">
        <f>IFERROR(__xludf.DUMMYFUNCTION("""COMPUTED_VALUE"""),0)</f>
        <v>0</v>
      </c>
      <c r="J59" s="2">
        <f>IFERROR(__xludf.DUMMYFUNCTION("""COMPUTED_VALUE"""),3)</f>
        <v>3</v>
      </c>
      <c r="K59" s="2" t="str">
        <f>IFERROR(__xludf.DUMMYFUNCTION("""COMPUTED_VALUE"""),"CGPA")</f>
        <v>CGPA</v>
      </c>
      <c r="L59" s="2" t="str">
        <f>IFERROR(__xludf.DUMMYFUNCTION("""COMPUTED_VALUE"""),"Theory")</f>
        <v>Theory</v>
      </c>
      <c r="M59" s="9"/>
      <c r="N59" s="9"/>
      <c r="O59" s="9"/>
      <c r="P59" s="9"/>
      <c r="Q59" s="9"/>
      <c r="R59" s="9"/>
    </row>
    <row r="60" ht="48" customHeight="1" spans="1:18">
      <c r="A60" s="2">
        <f>IFERROR(__xludf.DUMMYFUNCTION("""COMPUTED_VALUE"""),58)</f>
        <v>58</v>
      </c>
      <c r="B60" s="2"/>
      <c r="C60" s="2" t="str">
        <f>IFERROR(__xludf.DUMMYFUNCTION("""COMPUTED_VALUE"""),"PE 
")</f>
        <v>PE 
</v>
      </c>
      <c r="D60" s="2" t="str">
        <f>IFERROR(__xludf.DUMMYFUNCTION("""COMPUTED_VALUE"""),"CS1547")</f>
        <v>CS1547</v>
      </c>
      <c r="E60" s="2" t="str">
        <f>IFERROR(__xludf.DUMMYFUNCTION("""COMPUTED_VALUE"""),"19CS547")</f>
        <v>19CS547</v>
      </c>
      <c r="F60" s="7" t="str">
        <f>IFERROR(__xludf.DUMMYFUNCTION("""COMPUTED_VALUE"""),"Fundamentals of Cryptocurrency")</f>
        <v>Fundamentals of Cryptocurrency</v>
      </c>
      <c r="G60" s="2" t="str">
        <f>IFERROR(__xludf.DUMMYFUNCTION("""COMPUTED_VALUE"""),"-")</f>
        <v>-</v>
      </c>
      <c r="H60" s="2">
        <f>IFERROR(__xludf.DUMMYFUNCTION("""COMPUTED_VALUE"""),3)</f>
        <v>3</v>
      </c>
      <c r="I60" s="2">
        <f>IFERROR(__xludf.DUMMYFUNCTION("""COMPUTED_VALUE"""),0)</f>
        <v>0</v>
      </c>
      <c r="J60" s="2">
        <f>IFERROR(__xludf.DUMMYFUNCTION("""COMPUTED_VALUE"""),3)</f>
        <v>3</v>
      </c>
      <c r="K60" s="2" t="str">
        <f>IFERROR(__xludf.DUMMYFUNCTION("""COMPUTED_VALUE"""),"CGPA")</f>
        <v>CGPA</v>
      </c>
      <c r="L60" s="2" t="str">
        <f>IFERROR(__xludf.DUMMYFUNCTION("""COMPUTED_VALUE"""),"Theory")</f>
        <v>Theory</v>
      </c>
      <c r="M60" s="9"/>
      <c r="N60" s="9"/>
      <c r="O60" s="9"/>
      <c r="P60" s="9"/>
      <c r="Q60" s="9"/>
      <c r="R60" s="9"/>
    </row>
    <row r="61" ht="48" customHeight="1" spans="1:18">
      <c r="A61" s="2">
        <f>IFERROR(__xludf.DUMMYFUNCTION("""COMPUTED_VALUE"""),59)</f>
        <v>59</v>
      </c>
      <c r="B61" s="2"/>
      <c r="C61" s="2" t="str">
        <f>IFERROR(__xludf.DUMMYFUNCTION("""COMPUTED_VALUE"""),"PE 
")</f>
        <v>PE 
</v>
      </c>
      <c r="D61" s="2" t="str">
        <f>IFERROR(__xludf.DUMMYFUNCTION("""COMPUTED_VALUE"""),"CS1305")</f>
        <v>CS1305</v>
      </c>
      <c r="E61" s="2" t="str">
        <f>IFERROR(__xludf.DUMMYFUNCTION("""COMPUTED_VALUE"""),"19CS305")</f>
        <v>19CS305</v>
      </c>
      <c r="F61" s="7" t="str">
        <f>IFERROR(__xludf.DUMMYFUNCTION("""COMPUTED_VALUE"""),"Computer Architecture")</f>
        <v>Computer Architecture</v>
      </c>
      <c r="G61" s="2" t="str">
        <f>IFERROR(__xludf.DUMMYFUNCTION("""COMPUTED_VALUE"""),"-")</f>
        <v>-</v>
      </c>
      <c r="H61" s="2">
        <f>IFERROR(__xludf.DUMMYFUNCTION("""COMPUTED_VALUE"""),3)</f>
        <v>3</v>
      </c>
      <c r="I61" s="2">
        <f>IFERROR(__xludf.DUMMYFUNCTION("""COMPUTED_VALUE"""),0)</f>
        <v>0</v>
      </c>
      <c r="J61" s="2">
        <f>IFERROR(__xludf.DUMMYFUNCTION("""COMPUTED_VALUE"""),3)</f>
        <v>3</v>
      </c>
      <c r="K61" s="2" t="str">
        <f>IFERROR(__xludf.DUMMYFUNCTION("""COMPUTED_VALUE"""),"CGPA")</f>
        <v>CGPA</v>
      </c>
      <c r="L61" s="2" t="str">
        <f>IFERROR(__xludf.DUMMYFUNCTION("""COMPUTED_VALUE"""),"Theory")</f>
        <v>Theory</v>
      </c>
      <c r="M61" s="9"/>
      <c r="N61" s="9"/>
      <c r="O61" s="9"/>
      <c r="P61" s="9"/>
      <c r="Q61" s="9"/>
      <c r="R61" s="9"/>
    </row>
    <row r="62" ht="48" customHeight="1" spans="1:18">
      <c r="A62" s="2">
        <f>IFERROR(__xludf.DUMMYFUNCTION("""COMPUTED_VALUE"""),60)</f>
        <v>60</v>
      </c>
      <c r="B62" s="2"/>
      <c r="C62" s="2" t="str">
        <f>IFERROR(__xludf.DUMMYFUNCTION("""COMPUTED_VALUE"""),"PE 
")</f>
        <v>PE 
</v>
      </c>
      <c r="D62" s="2" t="str">
        <f>IFERROR(__xludf.DUMMYFUNCTION("""COMPUTED_VALUE"""),"CS1533")</f>
        <v>CS1533</v>
      </c>
      <c r="E62" s="2" t="str">
        <f>IFERROR(__xludf.DUMMYFUNCTION("""COMPUTED_VALUE"""),"19CS533")</f>
        <v>19CS533</v>
      </c>
      <c r="F62" s="7" t="str">
        <f>IFERROR(__xludf.DUMMYFUNCTION("""COMPUTED_VALUE"""),"Information Security Intelligence and Analytics using Big Data")</f>
        <v>Information Security Intelligence and Analytics using Big Data</v>
      </c>
      <c r="G62" s="2" t="str">
        <f>IFERROR(__xludf.DUMMYFUNCTION("""COMPUTED_VALUE"""),"-")</f>
        <v>-</v>
      </c>
      <c r="H62" s="2">
        <f>IFERROR(__xludf.DUMMYFUNCTION("""COMPUTED_VALUE"""),2)</f>
        <v>2</v>
      </c>
      <c r="I62" s="2">
        <f>IFERROR(__xludf.DUMMYFUNCTION("""COMPUTED_VALUE"""),1)</f>
        <v>1</v>
      </c>
      <c r="J62" s="2">
        <f>IFERROR(__xludf.DUMMYFUNCTION("""COMPUTED_VALUE"""),3)</f>
        <v>3</v>
      </c>
      <c r="K62" s="2" t="str">
        <f>IFERROR(__xludf.DUMMYFUNCTION("""COMPUTED_VALUE"""),"CGPA")</f>
        <v>CGPA</v>
      </c>
      <c r="L62" s="2" t="str">
        <f>IFERROR(__xludf.DUMMYFUNCTION("""COMPUTED_VALUE"""),"TIP (6 Expts)")</f>
        <v>TIP (6 Expts)</v>
      </c>
      <c r="M62" s="9"/>
      <c r="N62" s="9"/>
      <c r="O62" s="9"/>
      <c r="P62" s="9"/>
      <c r="Q62" s="9"/>
      <c r="R62" s="9"/>
    </row>
    <row r="63" ht="48" customHeight="1" spans="1:18">
      <c r="A63" s="2">
        <f>IFERROR(__xludf.DUMMYFUNCTION("""COMPUTED_VALUE"""),61)</f>
        <v>61</v>
      </c>
      <c r="B63" s="2"/>
      <c r="C63" s="2" t="str">
        <f>IFERROR(__xludf.DUMMYFUNCTION("""COMPUTED_VALUE"""),"PE 
")</f>
        <v>PE 
</v>
      </c>
      <c r="D63" s="2" t="str">
        <f>IFERROR(__xludf.DUMMYFUNCTION("""COMPUTED_VALUE"""),"CS1534")</f>
        <v>CS1534</v>
      </c>
      <c r="E63" s="2" t="str">
        <f>IFERROR(__xludf.DUMMYFUNCTION("""COMPUTED_VALUE"""),"19CS534")</f>
        <v>19CS534</v>
      </c>
      <c r="F63" s="7" t="str">
        <f>IFERROR(__xludf.DUMMYFUNCTION("""COMPUTED_VALUE"""),"Prevention Methodology for Cybersecurity")</f>
        <v>Prevention Methodology for Cybersecurity</v>
      </c>
      <c r="G63" s="2" t="str">
        <f>IFERROR(__xludf.DUMMYFUNCTION("""COMPUTED_VALUE"""),"-")</f>
        <v>-</v>
      </c>
      <c r="H63" s="2">
        <f>IFERROR(__xludf.DUMMYFUNCTION("""COMPUTED_VALUE"""),2)</f>
        <v>2</v>
      </c>
      <c r="I63" s="2">
        <f>IFERROR(__xludf.DUMMYFUNCTION("""COMPUTED_VALUE"""),1)</f>
        <v>1</v>
      </c>
      <c r="J63" s="2">
        <f>IFERROR(__xludf.DUMMYFUNCTION("""COMPUTED_VALUE"""),3)</f>
        <v>3</v>
      </c>
      <c r="K63" s="2" t="str">
        <f>IFERROR(__xludf.DUMMYFUNCTION("""COMPUTED_VALUE"""),"CGPA")</f>
        <v>CGPA</v>
      </c>
      <c r="L63" s="2" t="str">
        <f>IFERROR(__xludf.DUMMYFUNCTION("""COMPUTED_VALUE"""),"TIP (6 Expts)")</f>
        <v>TIP (6 Expts)</v>
      </c>
      <c r="M63" s="9"/>
      <c r="N63" s="9"/>
      <c r="O63" s="9"/>
      <c r="P63" s="9"/>
      <c r="Q63" s="9"/>
      <c r="R63" s="9"/>
    </row>
    <row r="64" ht="48" customHeight="1" spans="1:18">
      <c r="A64" s="2">
        <f>IFERROR(__xludf.DUMMYFUNCTION("""COMPUTED_VALUE"""),62)</f>
        <v>62</v>
      </c>
      <c r="B64" s="2"/>
      <c r="C64" s="2" t="str">
        <f>IFERROR(__xludf.DUMMYFUNCTION("""COMPUTED_VALUE"""),"PE 
")</f>
        <v>PE 
</v>
      </c>
      <c r="D64" s="2" t="str">
        <f>IFERROR(__xludf.DUMMYFUNCTION("""COMPUTED_VALUE"""),"CS1535")</f>
        <v>CS1535</v>
      </c>
      <c r="E64" s="2" t="str">
        <f>IFERROR(__xludf.DUMMYFUNCTION("""COMPUTED_VALUE"""),"19CS535")</f>
        <v>19CS535</v>
      </c>
      <c r="F64" s="7" t="str">
        <f>IFERROR(__xludf.DUMMYFUNCTION("""COMPUTED_VALUE"""),"Trusted Network Systems")</f>
        <v>Trusted Network Systems</v>
      </c>
      <c r="G64" s="2" t="str">
        <f>IFERROR(__xludf.DUMMYFUNCTION("""COMPUTED_VALUE"""),"-")</f>
        <v>-</v>
      </c>
      <c r="H64" s="2">
        <f>IFERROR(__xludf.DUMMYFUNCTION("""COMPUTED_VALUE"""),3)</f>
        <v>3</v>
      </c>
      <c r="I64" s="2">
        <f>IFERROR(__xludf.DUMMYFUNCTION("""COMPUTED_VALUE"""),0)</f>
        <v>0</v>
      </c>
      <c r="J64" s="2">
        <f>IFERROR(__xludf.DUMMYFUNCTION("""COMPUTED_VALUE"""),3)</f>
        <v>3</v>
      </c>
      <c r="K64" s="2" t="str">
        <f>IFERROR(__xludf.DUMMYFUNCTION("""COMPUTED_VALUE"""),"CGPA")</f>
        <v>CGPA</v>
      </c>
      <c r="L64" s="2" t="str">
        <f>IFERROR(__xludf.DUMMYFUNCTION("""COMPUTED_VALUE"""),"Theory")</f>
        <v>Theory</v>
      </c>
      <c r="M64" s="9"/>
      <c r="N64" s="9"/>
      <c r="O64" s="9"/>
      <c r="P64" s="9"/>
      <c r="Q64" s="9"/>
      <c r="R64" s="9"/>
    </row>
    <row r="65" ht="48" customHeight="1" spans="1:18">
      <c r="A65" s="2">
        <f>IFERROR(__xludf.DUMMYFUNCTION("""COMPUTED_VALUE"""),63)</f>
        <v>63</v>
      </c>
      <c r="B65" s="2"/>
      <c r="C65" s="2" t="str">
        <f>IFERROR(__xludf.DUMMYFUNCTION("""COMPUTED_VALUE"""),"PE 
")</f>
        <v>PE 
</v>
      </c>
      <c r="D65" s="2" t="str">
        <f>IFERROR(__xludf.DUMMYFUNCTION("""COMPUTED_VALUE"""),"CS3526")</f>
        <v>CS3526</v>
      </c>
      <c r="E65" s="2" t="str">
        <f>IFERROR(__xludf.DUMMYFUNCTION("""COMPUTED_VALUE"""),"19AI526")</f>
        <v>19AI526</v>
      </c>
      <c r="F65" s="7" t="str">
        <f>IFERROR(__xludf.DUMMYFUNCTION("""COMPUTED_VALUE"""),"Information Security and Access Control")</f>
        <v>Information Security and Access Control</v>
      </c>
      <c r="G65" s="2" t="str">
        <f>IFERROR(__xludf.DUMMYFUNCTION("""COMPUTED_VALUE"""),"19AI527")</f>
        <v>19AI527</v>
      </c>
      <c r="H65" s="2">
        <f>IFERROR(__xludf.DUMMYFUNCTION("""COMPUTED_VALUE"""),2)</f>
        <v>2</v>
      </c>
      <c r="I65" s="2">
        <f>IFERROR(__xludf.DUMMYFUNCTION("""COMPUTED_VALUE"""),1)</f>
        <v>1</v>
      </c>
      <c r="J65" s="2">
        <f>IFERROR(__xludf.DUMMYFUNCTION("""COMPUTED_VALUE"""),3)</f>
        <v>3</v>
      </c>
      <c r="K65" s="2" t="str">
        <f>IFERROR(__xludf.DUMMYFUNCTION("""COMPUTED_VALUE"""),"CGPA")</f>
        <v>CGPA</v>
      </c>
      <c r="L65" s="2" t="str">
        <f>IFERROR(__xludf.DUMMYFUNCTION("""COMPUTED_VALUE"""),"TIP (6 Expts)")</f>
        <v>TIP (6 Expts)</v>
      </c>
      <c r="M65" s="9"/>
      <c r="N65" s="9"/>
      <c r="O65" s="9"/>
      <c r="P65" s="9"/>
      <c r="Q65" s="9"/>
      <c r="R65" s="9"/>
    </row>
    <row r="66" ht="48" customHeight="1" spans="1:18">
      <c r="A66" s="2">
        <f>IFERROR(__xludf.DUMMYFUNCTION("""COMPUTED_VALUE"""),64)</f>
        <v>64</v>
      </c>
      <c r="B66" s="2"/>
      <c r="C66" s="2" t="str">
        <f>IFERROR(__xludf.DUMMYFUNCTION("""COMPUTED_VALUE"""),"PE 
")</f>
        <v>PE 
</v>
      </c>
      <c r="D66" s="2" t="str">
        <f>IFERROR(__xludf.DUMMYFUNCTION("""COMPUTED_VALUE"""),"CS1536")</f>
        <v>CS1536</v>
      </c>
      <c r="E66" s="2" t="str">
        <f>IFERROR(__xludf.DUMMYFUNCTION("""COMPUTED_VALUE"""),"19CS536")</f>
        <v>19CS536</v>
      </c>
      <c r="F66" s="7" t="str">
        <f>IFERROR(__xludf.DUMMYFUNCTION("""COMPUTED_VALUE"""),"Firewalls and Intrusion Detection System")</f>
        <v>Firewalls and Intrusion Detection System</v>
      </c>
      <c r="G66" s="2" t="str">
        <f>IFERROR(__xludf.DUMMYFUNCTION("""COMPUTED_VALUE"""),"-")</f>
        <v>-</v>
      </c>
      <c r="H66" s="2">
        <f>IFERROR(__xludf.DUMMYFUNCTION("""COMPUTED_VALUE"""),2)</f>
        <v>2</v>
      </c>
      <c r="I66" s="2">
        <f>IFERROR(__xludf.DUMMYFUNCTION("""COMPUTED_VALUE"""),1)</f>
        <v>1</v>
      </c>
      <c r="J66" s="2">
        <f>IFERROR(__xludf.DUMMYFUNCTION("""COMPUTED_VALUE"""),3)</f>
        <v>3</v>
      </c>
      <c r="K66" s="2" t="str">
        <f>IFERROR(__xludf.DUMMYFUNCTION("""COMPUTED_VALUE"""),"CGPA")</f>
        <v>CGPA</v>
      </c>
      <c r="L66" s="2" t="str">
        <f>IFERROR(__xludf.DUMMYFUNCTION("""COMPUTED_VALUE"""),"TIP (6 Expts)")</f>
        <v>TIP (6 Expts)</v>
      </c>
      <c r="M66" s="9"/>
      <c r="N66" s="9"/>
      <c r="O66" s="9"/>
      <c r="P66" s="9"/>
      <c r="Q66" s="9"/>
      <c r="R66" s="9"/>
    </row>
    <row r="67" ht="48" customHeight="1" spans="1:18">
      <c r="A67" s="2">
        <f>IFERROR(__xludf.DUMMYFUNCTION("""COMPUTED_VALUE"""),65)</f>
        <v>65</v>
      </c>
      <c r="B67" s="2"/>
      <c r="C67" s="2" t="str">
        <f>IFERROR(__xludf.DUMMYFUNCTION("""COMPUTED_VALUE"""),"PE 
")</f>
        <v>PE 
</v>
      </c>
      <c r="D67" s="2" t="str">
        <f>IFERROR(__xludf.DUMMYFUNCTION("""COMPUTED_VALUE"""),"CS3527")</f>
        <v>CS3527</v>
      </c>
      <c r="E67" s="2" t="str">
        <f>IFERROR(__xludf.DUMMYFUNCTION("""COMPUTED_VALUE"""),"19AI527")</f>
        <v>19AI527</v>
      </c>
      <c r="F67" s="7" t="str">
        <f>IFERROR(__xludf.DUMMYFUNCTION("""COMPUTED_VALUE"""),"Security Assessment and Risk Analysis")</f>
        <v>Security Assessment and Risk Analysis</v>
      </c>
      <c r="G67" s="2" t="str">
        <f>IFERROR(__xludf.DUMMYFUNCTION("""COMPUTED_VALUE"""),"-")</f>
        <v>-</v>
      </c>
      <c r="H67" s="2">
        <f>IFERROR(__xludf.DUMMYFUNCTION("""COMPUTED_VALUE"""),3)</f>
        <v>3</v>
      </c>
      <c r="I67" s="2">
        <f>IFERROR(__xludf.DUMMYFUNCTION("""COMPUTED_VALUE"""),1)</f>
        <v>1</v>
      </c>
      <c r="J67" s="2">
        <f>IFERROR(__xludf.DUMMYFUNCTION("""COMPUTED_VALUE"""),4)</f>
        <v>4</v>
      </c>
      <c r="K67" s="2" t="str">
        <f>IFERROR(__xludf.DUMMYFUNCTION("""COMPUTED_VALUE"""),"CGPA")</f>
        <v>CGPA</v>
      </c>
      <c r="L67" s="2" t="str">
        <f>IFERROR(__xludf.DUMMYFUNCTION("""COMPUTED_VALUE"""),"TIP (6 Expts)")</f>
        <v>TIP (6 Expts)</v>
      </c>
      <c r="M67" s="9"/>
      <c r="N67" s="9"/>
      <c r="O67" s="9"/>
      <c r="P67" s="9"/>
      <c r="Q67" s="9"/>
      <c r="R67" s="9"/>
    </row>
    <row r="68" ht="48" customHeight="1" spans="1:18">
      <c r="A68" s="2">
        <f>IFERROR(__xludf.DUMMYFUNCTION("""COMPUTED_VALUE"""),66)</f>
        <v>66</v>
      </c>
      <c r="B68" s="2"/>
      <c r="C68" s="2" t="str">
        <f>IFERROR(__xludf.DUMMYFUNCTION("""COMPUTED_VALUE"""),"PE 
")</f>
        <v>PE 
</v>
      </c>
      <c r="D68" s="2" t="str">
        <f>IFERROR(__xludf.DUMMYFUNCTION("""COMPUTED_VALUE"""),"CS3536")</f>
        <v>CS3536</v>
      </c>
      <c r="E68" s="2" t="str">
        <f>IFERROR(__xludf.DUMMYFUNCTION("""COMPUTED_VALUE"""),"19AI536")</f>
        <v>19AI536</v>
      </c>
      <c r="F68" s="7" t="str">
        <f>IFERROR(__xludf.DUMMYFUNCTION("""COMPUTED_VALUE"""),"Steganography and Digital Watermarking")</f>
        <v>Steganography and Digital Watermarking</v>
      </c>
      <c r="G68" s="2" t="str">
        <f>IFERROR(__xludf.DUMMYFUNCTION("""COMPUTED_VALUE"""),"-")</f>
        <v>-</v>
      </c>
      <c r="H68" s="2">
        <f>IFERROR(__xludf.DUMMYFUNCTION("""COMPUTED_VALUE"""),2)</f>
        <v>2</v>
      </c>
      <c r="I68" s="2">
        <f>IFERROR(__xludf.DUMMYFUNCTION("""COMPUTED_VALUE"""),1)</f>
        <v>1</v>
      </c>
      <c r="J68" s="2">
        <f>IFERROR(__xludf.DUMMYFUNCTION("""COMPUTED_VALUE"""),3)</f>
        <v>3</v>
      </c>
      <c r="K68" s="2" t="str">
        <f>IFERROR(__xludf.DUMMYFUNCTION("""COMPUTED_VALUE"""),"CGPA")</f>
        <v>CGPA</v>
      </c>
      <c r="L68" s="2" t="str">
        <f>IFERROR(__xludf.DUMMYFUNCTION("""COMPUTED_VALUE"""),"TIP (6 Expts)")</f>
        <v>TIP (6 Expts)</v>
      </c>
      <c r="M68" s="9"/>
      <c r="N68" s="9"/>
      <c r="O68" s="9"/>
      <c r="P68" s="9"/>
      <c r="Q68" s="9"/>
      <c r="R68" s="9"/>
    </row>
    <row r="69" ht="48" customHeight="1" spans="1:18">
      <c r="A69" s="2">
        <f>IFERROR(__xludf.DUMMYFUNCTION("""COMPUTED_VALUE"""),67)</f>
        <v>67</v>
      </c>
      <c r="B69" s="2"/>
      <c r="C69" s="2" t="str">
        <f>IFERROR(__xludf.DUMMYFUNCTION("""COMPUTED_VALUE"""),"PE 
")</f>
        <v>PE 
</v>
      </c>
      <c r="D69" s="2" t="str">
        <f>IFERROR(__xludf.DUMMYFUNCTION("""COMPUTED_VALUE"""),"CS1537")</f>
        <v>CS1537</v>
      </c>
      <c r="E69" s="2" t="str">
        <f>IFERROR(__xludf.DUMMYFUNCTION("""COMPUTED_VALUE"""),"19CS537")</f>
        <v>19CS537</v>
      </c>
      <c r="F69" s="7" t="str">
        <f>IFERROR(__xludf.DUMMYFUNCTION("""COMPUTED_VALUE"""),"Secure Software Engineering")</f>
        <v>Secure Software Engineering</v>
      </c>
      <c r="G69" s="2" t="str">
        <f>IFERROR(__xludf.DUMMYFUNCTION("""COMPUTED_VALUE"""),"-")</f>
        <v>-</v>
      </c>
      <c r="H69" s="2">
        <f>IFERROR(__xludf.DUMMYFUNCTION("""COMPUTED_VALUE"""),2)</f>
        <v>2</v>
      </c>
      <c r="I69" s="2">
        <f>IFERROR(__xludf.DUMMYFUNCTION("""COMPUTED_VALUE"""),1)</f>
        <v>1</v>
      </c>
      <c r="J69" s="2">
        <f>IFERROR(__xludf.DUMMYFUNCTION("""COMPUTED_VALUE"""),3)</f>
        <v>3</v>
      </c>
      <c r="K69" s="2" t="str">
        <f>IFERROR(__xludf.DUMMYFUNCTION("""COMPUTED_VALUE"""),"CGPA")</f>
        <v>CGPA</v>
      </c>
      <c r="L69" s="2" t="str">
        <f>IFERROR(__xludf.DUMMYFUNCTION("""COMPUTED_VALUE"""),"TIP (6 Expts)")</f>
        <v>TIP (6 Expts)</v>
      </c>
      <c r="M69" s="9"/>
      <c r="N69" s="9"/>
      <c r="O69" s="9"/>
      <c r="P69" s="9"/>
      <c r="Q69" s="9"/>
      <c r="R69" s="9"/>
    </row>
    <row r="70" ht="48" customHeight="1" spans="1:18">
      <c r="A70" s="2">
        <f>IFERROR(__xludf.DUMMYFUNCTION("""COMPUTED_VALUE"""),68)</f>
        <v>68</v>
      </c>
      <c r="B70" s="2"/>
      <c r="C70" s="2" t="str">
        <f>IFERROR(__xludf.DUMMYFUNCTION("""COMPUTED_VALUE"""),"PE 
")</f>
        <v>PE 
</v>
      </c>
      <c r="D70" s="2" t="str">
        <f>IFERROR(__xludf.DUMMYFUNCTION("""COMPUTED_VALUE"""),"CS1538")</f>
        <v>CS1538</v>
      </c>
      <c r="E70" s="2" t="str">
        <f>IFERROR(__xludf.DUMMYFUNCTION("""COMPUTED_VALUE"""),"19CS538")</f>
        <v>19CS538</v>
      </c>
      <c r="F70" s="7" t="str">
        <f>IFERROR(__xludf.DUMMYFUNCTION("""COMPUTED_VALUE"""),"System Security")</f>
        <v>System Security</v>
      </c>
      <c r="G70" s="2" t="str">
        <f>IFERROR(__xludf.DUMMYFUNCTION("""COMPUTED_VALUE"""),"-")</f>
        <v>-</v>
      </c>
      <c r="H70" s="2">
        <f>IFERROR(__xludf.DUMMYFUNCTION("""COMPUTED_VALUE"""),3)</f>
        <v>3</v>
      </c>
      <c r="I70" s="2">
        <f>IFERROR(__xludf.DUMMYFUNCTION("""COMPUTED_VALUE"""),0)</f>
        <v>0</v>
      </c>
      <c r="J70" s="2">
        <f>IFERROR(__xludf.DUMMYFUNCTION("""COMPUTED_VALUE"""),3)</f>
        <v>3</v>
      </c>
      <c r="K70" s="2" t="str">
        <f>IFERROR(__xludf.DUMMYFUNCTION("""COMPUTED_VALUE"""),"CGPA")</f>
        <v>CGPA</v>
      </c>
      <c r="L70" s="2" t="str">
        <f>IFERROR(__xludf.DUMMYFUNCTION("""COMPUTED_VALUE"""),"Theory")</f>
        <v>Theory</v>
      </c>
      <c r="M70" s="9"/>
      <c r="N70" s="9"/>
      <c r="O70" s="9"/>
      <c r="P70" s="9"/>
      <c r="Q70" s="9"/>
      <c r="R70" s="9"/>
    </row>
    <row r="71" ht="48" customHeight="1" spans="1:18">
      <c r="A71" s="2">
        <f>IFERROR(__xludf.DUMMYFUNCTION("""COMPUTED_VALUE"""),69)</f>
        <v>69</v>
      </c>
      <c r="B71" s="2"/>
      <c r="C71" s="2" t="str">
        <f>IFERROR(__xludf.DUMMYFUNCTION("""COMPUTED_VALUE"""),"PE 
")</f>
        <v>PE 
</v>
      </c>
      <c r="D71" s="2" t="str">
        <f>IFERROR(__xludf.DUMMYFUNCTION("""COMPUTED_VALUE"""),"CS1539")</f>
        <v>CS1539</v>
      </c>
      <c r="E71" s="2" t="str">
        <f>IFERROR(__xludf.DUMMYFUNCTION("""COMPUTED_VALUE"""),"19CS539")</f>
        <v>19CS539</v>
      </c>
      <c r="F71" s="7" t="str">
        <f>IFERROR(__xludf.DUMMYFUNCTION("""COMPUTED_VALUE"""),"Hardware Security")</f>
        <v>Hardware Security</v>
      </c>
      <c r="G71" s="2" t="str">
        <f>IFERROR(__xludf.DUMMYFUNCTION("""COMPUTED_VALUE"""),"-")</f>
        <v>-</v>
      </c>
      <c r="H71" s="2">
        <f>IFERROR(__xludf.DUMMYFUNCTION("""COMPUTED_VALUE"""),3)</f>
        <v>3</v>
      </c>
      <c r="I71" s="2">
        <f>IFERROR(__xludf.DUMMYFUNCTION("""COMPUTED_VALUE"""),0)</f>
        <v>0</v>
      </c>
      <c r="J71" s="2">
        <f>IFERROR(__xludf.DUMMYFUNCTION("""COMPUTED_VALUE"""),3)</f>
        <v>3</v>
      </c>
      <c r="K71" s="2" t="str">
        <f>IFERROR(__xludf.DUMMYFUNCTION("""COMPUTED_VALUE"""),"CGPA")</f>
        <v>CGPA</v>
      </c>
      <c r="L71" s="2" t="str">
        <f>IFERROR(__xludf.DUMMYFUNCTION("""COMPUTED_VALUE"""),"Theory")</f>
        <v>Theory</v>
      </c>
      <c r="M71" s="9"/>
      <c r="N71" s="9"/>
      <c r="O71" s="9"/>
      <c r="P71" s="9"/>
      <c r="Q71" s="9"/>
      <c r="R71" s="9"/>
    </row>
    <row r="72" ht="48" customHeight="1" spans="1:18">
      <c r="A72" s="2">
        <f>IFERROR(__xludf.DUMMYFUNCTION("""COMPUTED_VALUE"""),70)</f>
        <v>70</v>
      </c>
      <c r="B72" s="2"/>
      <c r="C72" s="2" t="str">
        <f>IFERROR(__xludf.DUMMYFUNCTION("""COMPUTED_VALUE"""),"PE 
")</f>
        <v>PE 
</v>
      </c>
      <c r="D72" s="2" t="str">
        <f>IFERROR(__xludf.DUMMYFUNCTION("""COMPUTED_VALUE"""),"CS3409")</f>
        <v>CS3409</v>
      </c>
      <c r="E72" s="2" t="str">
        <f>IFERROR(__xludf.DUMMYFUNCTION("""COMPUTED_VALUE"""),"19AI409")</f>
        <v>19AI409</v>
      </c>
      <c r="F72" s="7" t="str">
        <f>IFERROR(__xludf.DUMMYFUNCTION("""COMPUTED_VALUE"""),"Applied Artificial Intelligence")</f>
        <v>Applied Artificial Intelligence</v>
      </c>
      <c r="G72" s="2" t="str">
        <f>IFERROR(__xludf.DUMMYFUNCTION("""COMPUTED_VALUE"""),"19AI405/19CS301")</f>
        <v>19AI405/19CS301</v>
      </c>
      <c r="H72" s="2">
        <f>IFERROR(__xludf.DUMMYFUNCTION("""COMPUTED_VALUE"""),2)</f>
        <v>2</v>
      </c>
      <c r="I72" s="2">
        <f>IFERROR(__xludf.DUMMYFUNCTION("""COMPUTED_VALUE"""),1)</f>
        <v>1</v>
      </c>
      <c r="J72" s="2">
        <f>IFERROR(__xludf.DUMMYFUNCTION("""COMPUTED_VALUE"""),3)</f>
        <v>3</v>
      </c>
      <c r="K72" s="2" t="str">
        <f>IFERROR(__xludf.DUMMYFUNCTION("""COMPUTED_VALUE"""),"CGPA")</f>
        <v>CGPA</v>
      </c>
      <c r="L72" s="2" t="str">
        <f>IFERROR(__xludf.DUMMYFUNCTION("""COMPUTED_VALUE"""),"TIP (6 Expts)")</f>
        <v>TIP (6 Expts)</v>
      </c>
      <c r="M72" s="9"/>
      <c r="N72" s="9"/>
      <c r="O72" s="9"/>
      <c r="P72" s="9"/>
      <c r="Q72" s="9"/>
      <c r="R72" s="9"/>
    </row>
    <row r="73" ht="48" customHeight="1" spans="1:18">
      <c r="A73" s="2">
        <f>IFERROR(__xludf.DUMMYFUNCTION("""COMPUTED_VALUE"""),71)</f>
        <v>71</v>
      </c>
      <c r="B73" s="2"/>
      <c r="C73" s="2" t="str">
        <f>IFERROR(__xludf.DUMMYFUNCTION("""COMPUTED_VALUE"""),"PE 
")</f>
        <v>PE 
</v>
      </c>
      <c r="D73" s="2" t="str">
        <f>IFERROR(__xludf.DUMMYFUNCTION("""COMPUTED_VALUE"""),"CS3501")</f>
        <v>CS3501</v>
      </c>
      <c r="E73" s="2" t="str">
        <f>IFERROR(__xludf.DUMMYFUNCTION("""COMPUTED_VALUE"""),"19AI501")</f>
        <v>19AI501</v>
      </c>
      <c r="F73" s="3" t="str">
        <f>IFERROR(__xludf.DUMMYFUNCTION("""COMPUTED_VALUE"""),"Applications of Artificial Intelligence")</f>
        <v>Applications of Artificial Intelligence</v>
      </c>
      <c r="G73" s="2" t="str">
        <f>IFERROR(__xludf.DUMMYFUNCTION("""COMPUTED_VALUE"""),"-")</f>
        <v>-</v>
      </c>
      <c r="H73" s="2">
        <f>IFERROR(__xludf.DUMMYFUNCTION("""COMPUTED_VALUE"""),2)</f>
        <v>2</v>
      </c>
      <c r="I73" s="2">
        <f>IFERROR(__xludf.DUMMYFUNCTION("""COMPUTED_VALUE"""),1)</f>
        <v>1</v>
      </c>
      <c r="J73" s="2">
        <f>IFERROR(__xludf.DUMMYFUNCTION("""COMPUTED_VALUE"""),3)</f>
        <v>3</v>
      </c>
      <c r="K73" s="2" t="str">
        <f>IFERROR(__xludf.DUMMYFUNCTION("""COMPUTED_VALUE"""),"CGPA")</f>
        <v>CGPA</v>
      </c>
      <c r="L73" s="2" t="str">
        <f>IFERROR(__xludf.DUMMYFUNCTION("""COMPUTED_VALUE"""),"TIP (6 Expts)")</f>
        <v>TIP (6 Expts)</v>
      </c>
      <c r="M73" s="9"/>
      <c r="N73" s="9"/>
      <c r="O73" s="9"/>
      <c r="P73" s="9"/>
      <c r="Q73" s="9"/>
      <c r="R73" s="9"/>
    </row>
    <row r="74" ht="48" customHeight="1" spans="1:18">
      <c r="A74" s="2">
        <f>IFERROR(__xludf.DUMMYFUNCTION("""COMPUTED_VALUE"""),72)</f>
        <v>72</v>
      </c>
      <c r="B74" s="2"/>
      <c r="C74" s="2" t="str">
        <f>IFERROR(__xludf.DUMMYFUNCTION("""COMPUTED_VALUE"""),"PE 
")</f>
        <v>PE 
</v>
      </c>
      <c r="D74" s="2" t="str">
        <f>IFERROR(__xludf.DUMMYFUNCTION("""COMPUTED_VALUE"""),"CS3507")</f>
        <v>CS3507</v>
      </c>
      <c r="E74" s="2" t="str">
        <f>IFERROR(__xludf.DUMMYFUNCTION("""COMPUTED_VALUE"""),"19AI507")</f>
        <v>19AI507</v>
      </c>
      <c r="F74" s="7" t="str">
        <f>IFERROR(__xludf.DUMMYFUNCTION("""COMPUTED_VALUE"""),"Special Topics in Artificial Intelligence")</f>
        <v>Special Topics in Artificial Intelligence</v>
      </c>
      <c r="G74" s="2" t="str">
        <f>IFERROR(__xludf.DUMMYFUNCTION("""COMPUTED_VALUE"""),"-")</f>
        <v>-</v>
      </c>
      <c r="H74" s="2">
        <f>IFERROR(__xludf.DUMMYFUNCTION("""COMPUTED_VALUE"""),2)</f>
        <v>2</v>
      </c>
      <c r="I74" s="2">
        <f>IFERROR(__xludf.DUMMYFUNCTION("""COMPUTED_VALUE"""),1)</f>
        <v>1</v>
      </c>
      <c r="J74" s="2">
        <f>IFERROR(__xludf.DUMMYFUNCTION("""COMPUTED_VALUE"""),3)</f>
        <v>3</v>
      </c>
      <c r="K74" s="2" t="str">
        <f>IFERROR(__xludf.DUMMYFUNCTION("""COMPUTED_VALUE"""),"CGPA")</f>
        <v>CGPA</v>
      </c>
      <c r="L74" s="2" t="str">
        <f>IFERROR(__xludf.DUMMYFUNCTION("""COMPUTED_VALUE"""),"TIP (6 Expts)")</f>
        <v>TIP (6 Expts)</v>
      </c>
      <c r="M74" s="9"/>
      <c r="N74" s="9"/>
      <c r="O74" s="9"/>
      <c r="P74" s="9"/>
      <c r="Q74" s="9"/>
      <c r="R74" s="9"/>
    </row>
    <row r="75" ht="48" customHeight="1" spans="1:18">
      <c r="A75" s="2">
        <f>IFERROR(__xludf.DUMMYFUNCTION("""COMPUTED_VALUE"""),73)</f>
        <v>73</v>
      </c>
      <c r="B75" s="2"/>
      <c r="C75" s="2" t="str">
        <f>IFERROR(__xludf.DUMMYFUNCTION("""COMPUTED_VALUE"""),"PE 
")</f>
        <v>PE 
</v>
      </c>
      <c r="D75" s="2" t="str">
        <f>IFERROR(__xludf.DUMMYFUNCTION("""COMPUTED_VALUE"""),"CS3503")</f>
        <v>CS3503</v>
      </c>
      <c r="E75" s="2" t="str">
        <f>IFERROR(__xludf.DUMMYFUNCTION("""COMPUTED_VALUE"""),"19AI503")</f>
        <v>19AI503</v>
      </c>
      <c r="F75" s="7" t="str">
        <f>IFERROR(__xludf.DUMMYFUNCTION("""COMPUTED_VALUE"""),"Computer Vision")</f>
        <v>Computer Vision</v>
      </c>
      <c r="G75" s="2" t="str">
        <f>IFERROR(__xludf.DUMMYFUNCTION("""COMPUTED_VALUE"""),"19CS301")</f>
        <v>19CS301</v>
      </c>
      <c r="H75" s="2">
        <f>IFERROR(__xludf.DUMMYFUNCTION("""COMPUTED_VALUE"""),2)</f>
        <v>2</v>
      </c>
      <c r="I75" s="2">
        <f>IFERROR(__xludf.DUMMYFUNCTION("""COMPUTED_VALUE"""),1)</f>
        <v>1</v>
      </c>
      <c r="J75" s="2">
        <f>IFERROR(__xludf.DUMMYFUNCTION("""COMPUTED_VALUE"""),3)</f>
        <v>3</v>
      </c>
      <c r="K75" s="2" t="str">
        <f>IFERROR(__xludf.DUMMYFUNCTION("""COMPUTED_VALUE"""),"CGPA")</f>
        <v>CGPA</v>
      </c>
      <c r="L75" s="2" t="str">
        <f>IFERROR(__xludf.DUMMYFUNCTION("""COMPUTED_VALUE"""),"TIP (6 Expts)")</f>
        <v>TIP (6 Expts)</v>
      </c>
      <c r="M75" s="9"/>
      <c r="N75" s="9"/>
      <c r="O75" s="9"/>
      <c r="P75" s="9"/>
      <c r="Q75" s="9"/>
      <c r="R75" s="9"/>
    </row>
    <row r="76" ht="48" customHeight="1" spans="1:18">
      <c r="A76" s="2">
        <f>IFERROR(__xludf.DUMMYFUNCTION("""COMPUTED_VALUE"""),74)</f>
        <v>74</v>
      </c>
      <c r="B76" s="2"/>
      <c r="C76" s="2" t="str">
        <f>IFERROR(__xludf.DUMMYFUNCTION("""COMPUTED_VALUE"""),"PE 
")</f>
        <v>PE 
</v>
      </c>
      <c r="D76" s="2" t="str">
        <f>IFERROR(__xludf.DUMMYFUNCTION("""COMPUTED_VALUE"""),"CS3514")</f>
        <v>CS3514</v>
      </c>
      <c r="E76" s="2" t="str">
        <f>IFERROR(__xludf.DUMMYFUNCTION("""COMPUTED_VALUE"""),"19AI514")</f>
        <v>19AI514</v>
      </c>
      <c r="F76" s="7" t="str">
        <f>IFERROR(__xludf.DUMMYFUNCTION("""COMPUTED_VALUE"""),"Self Driving Car")</f>
        <v>Self Driving Car</v>
      </c>
      <c r="G76" s="2" t="str">
        <f>IFERROR(__xludf.DUMMYFUNCTION("""COMPUTED_VALUE"""),"19CS301/19AI410")</f>
        <v>19CS301/19AI410</v>
      </c>
      <c r="H76" s="2">
        <f>IFERROR(__xludf.DUMMYFUNCTION("""COMPUTED_VALUE"""),2)</f>
        <v>2</v>
      </c>
      <c r="I76" s="2">
        <f>IFERROR(__xludf.DUMMYFUNCTION("""COMPUTED_VALUE"""),2)</f>
        <v>2</v>
      </c>
      <c r="J76" s="2">
        <f>IFERROR(__xludf.DUMMYFUNCTION("""COMPUTED_VALUE"""),4)</f>
        <v>4</v>
      </c>
      <c r="K76" s="2" t="str">
        <f>IFERROR(__xludf.DUMMYFUNCTION("""COMPUTED_VALUE"""),"CGPA")</f>
        <v>CGPA</v>
      </c>
      <c r="L76" s="2" t="str">
        <f>IFERROR(__xludf.DUMMYFUNCTION("""COMPUTED_VALUE"""),"TIP (10 Expts)")</f>
        <v>TIP (10 Expts)</v>
      </c>
      <c r="M76" s="9"/>
      <c r="N76" s="9"/>
      <c r="O76" s="9"/>
      <c r="P76" s="9"/>
      <c r="Q76" s="9"/>
      <c r="R76" s="9"/>
    </row>
    <row r="77" ht="48" customHeight="1" spans="1:18">
      <c r="A77" s="2">
        <f>IFERROR(__xludf.DUMMYFUNCTION("""COMPUTED_VALUE"""),75)</f>
        <v>75</v>
      </c>
      <c r="B77" s="2"/>
      <c r="C77" s="2" t="str">
        <f>IFERROR(__xludf.DUMMYFUNCTION("""COMPUTED_VALUE"""),"PE 
")</f>
        <v>PE 
</v>
      </c>
      <c r="D77" s="2" t="str">
        <f>IFERROR(__xludf.DUMMYFUNCTION("""COMPUTED_VALUE"""),"CS3522")</f>
        <v>CS3522</v>
      </c>
      <c r="E77" s="2" t="str">
        <f>IFERROR(__xludf.DUMMYFUNCTION("""COMPUTED_VALUE"""),"19AI522")</f>
        <v>19AI522</v>
      </c>
      <c r="F77" s="7" t="str">
        <f>IFERROR(__xludf.DUMMYFUNCTION("""COMPUTED_VALUE"""),"Knowledge Engineering")</f>
        <v>Knowledge Engineering</v>
      </c>
      <c r="G77" s="2" t="str">
        <f>IFERROR(__xludf.DUMMYFUNCTION("""COMPUTED_VALUE"""),"19CS410")</f>
        <v>19CS410</v>
      </c>
      <c r="H77" s="2">
        <f>IFERROR(__xludf.DUMMYFUNCTION("""COMPUTED_VALUE"""),3)</f>
        <v>3</v>
      </c>
      <c r="I77" s="2">
        <f>IFERROR(__xludf.DUMMYFUNCTION("""COMPUTED_VALUE"""),0)</f>
        <v>0</v>
      </c>
      <c r="J77" s="2">
        <f>IFERROR(__xludf.DUMMYFUNCTION("""COMPUTED_VALUE"""),3)</f>
        <v>3</v>
      </c>
      <c r="K77" s="2" t="str">
        <f>IFERROR(__xludf.DUMMYFUNCTION("""COMPUTED_VALUE"""),"CGPA")</f>
        <v>CGPA</v>
      </c>
      <c r="L77" s="2" t="str">
        <f>IFERROR(__xludf.DUMMYFUNCTION("""COMPUTED_VALUE"""),"Theory")</f>
        <v>Theory</v>
      </c>
      <c r="M77" s="9"/>
      <c r="N77" s="9"/>
      <c r="O77" s="9"/>
      <c r="P77" s="9"/>
      <c r="Q77" s="9"/>
      <c r="R77" s="9"/>
    </row>
    <row r="78" ht="48" customHeight="1" spans="1:18">
      <c r="A78" s="2">
        <f>IFERROR(__xludf.DUMMYFUNCTION("""COMPUTED_VALUE"""),76)</f>
        <v>76</v>
      </c>
      <c r="B78" s="2"/>
      <c r="C78" s="2" t="str">
        <f>IFERROR(__xludf.DUMMYFUNCTION("""COMPUTED_VALUE"""),"PE 
")</f>
        <v>PE 
</v>
      </c>
      <c r="D78" s="2" t="str">
        <f>IFERROR(__xludf.DUMMYFUNCTION("""COMPUTED_VALUE"""),"CS3502")</f>
        <v>CS3502</v>
      </c>
      <c r="E78" s="2" t="str">
        <f>IFERROR(__xludf.DUMMYFUNCTION("""COMPUTED_VALUE"""),"19AI502")</f>
        <v>19AI502</v>
      </c>
      <c r="F78" s="7" t="str">
        <f>IFERROR(__xludf.DUMMYFUNCTION("""COMPUTED_VALUE"""),"Applied Natural Language Processing")</f>
        <v>Applied Natural Language Processing</v>
      </c>
      <c r="G78" s="2" t="str">
        <f>IFERROR(__xludf.DUMMYFUNCTION("""COMPUTED_VALUE"""),"-")</f>
        <v>-</v>
      </c>
      <c r="H78" s="2">
        <f>IFERROR(__xludf.DUMMYFUNCTION("""COMPUTED_VALUE"""),2)</f>
        <v>2</v>
      </c>
      <c r="I78" s="2">
        <f>IFERROR(__xludf.DUMMYFUNCTION("""COMPUTED_VALUE"""),1)</f>
        <v>1</v>
      </c>
      <c r="J78" s="2">
        <f>IFERROR(__xludf.DUMMYFUNCTION("""COMPUTED_VALUE"""),3)</f>
        <v>3</v>
      </c>
      <c r="K78" s="2" t="str">
        <f>IFERROR(__xludf.DUMMYFUNCTION("""COMPUTED_VALUE"""),"CGPA")</f>
        <v>CGPA</v>
      </c>
      <c r="L78" s="2" t="str">
        <f>IFERROR(__xludf.DUMMYFUNCTION("""COMPUTED_VALUE"""),"TIP (6 Expts)")</f>
        <v>TIP (6 Expts)</v>
      </c>
      <c r="M78" s="9"/>
      <c r="N78" s="9"/>
      <c r="O78" s="9"/>
      <c r="P78" s="9"/>
      <c r="Q78" s="9"/>
      <c r="R78" s="9"/>
    </row>
    <row r="79" ht="48" customHeight="1" spans="1:18">
      <c r="A79" s="2">
        <f>IFERROR(__xludf.DUMMYFUNCTION("""COMPUTED_VALUE"""),77)</f>
        <v>77</v>
      </c>
      <c r="B79" s="2"/>
      <c r="C79" s="2" t="str">
        <f>IFERROR(__xludf.DUMMYFUNCTION("""COMPUTED_VALUE"""),"PE 
")</f>
        <v>PE 
</v>
      </c>
      <c r="D79" s="2" t="str">
        <f>IFERROR(__xludf.DUMMYFUNCTION("""COMPUTED_VALUE"""),"CS3410")</f>
        <v>CS3410</v>
      </c>
      <c r="E79" s="2" t="str">
        <f>IFERROR(__xludf.DUMMYFUNCTION("""COMPUTED_VALUE"""),"19AI410")</f>
        <v>19AI410</v>
      </c>
      <c r="F79" s="7" t="str">
        <f>IFERROR(__xludf.DUMMYFUNCTION("""COMPUTED_VALUE"""),"Introduction to Machine Learning")</f>
        <v>Introduction to Machine Learning</v>
      </c>
      <c r="G79" s="2" t="str">
        <f>IFERROR(__xludf.DUMMYFUNCTION("""COMPUTED_VALUE"""),"-")</f>
        <v>-</v>
      </c>
      <c r="H79" s="2">
        <f>IFERROR(__xludf.DUMMYFUNCTION("""COMPUTED_VALUE"""),2)</f>
        <v>2</v>
      </c>
      <c r="I79" s="2">
        <f>IFERROR(__xludf.DUMMYFUNCTION("""COMPUTED_VALUE"""),1)</f>
        <v>1</v>
      </c>
      <c r="J79" s="2">
        <f>IFERROR(__xludf.DUMMYFUNCTION("""COMPUTED_VALUE"""),3)</f>
        <v>3</v>
      </c>
      <c r="K79" s="2" t="str">
        <f>IFERROR(__xludf.DUMMYFUNCTION("""COMPUTED_VALUE"""),"CGPA")</f>
        <v>CGPA</v>
      </c>
      <c r="L79" s="2" t="str">
        <f>IFERROR(__xludf.DUMMYFUNCTION("""COMPUTED_VALUE"""),"TIP (6 Expts)")</f>
        <v>TIP (6 Expts)</v>
      </c>
      <c r="M79" s="9"/>
      <c r="N79" s="9"/>
      <c r="O79" s="9"/>
      <c r="P79" s="9"/>
      <c r="Q79" s="9"/>
      <c r="R79" s="9"/>
    </row>
    <row r="80" ht="48" customHeight="1" spans="1:18">
      <c r="A80" s="2">
        <f>IFERROR(__xludf.DUMMYFUNCTION("""COMPUTED_VALUE"""),78)</f>
        <v>78</v>
      </c>
      <c r="B80" s="2"/>
      <c r="C80" s="2" t="str">
        <f>IFERROR(__xludf.DUMMYFUNCTION("""COMPUTED_VALUE"""),"PE 
")</f>
        <v>PE 
</v>
      </c>
      <c r="D80" s="2" t="str">
        <f>IFERROR(__xludf.DUMMYFUNCTION("""COMPUTED_VALUE"""),"CS3411")</f>
        <v>CS3411</v>
      </c>
      <c r="E80" s="2" t="str">
        <f>IFERROR(__xludf.DUMMYFUNCTION("""COMPUTED_VALUE"""),"19AI411")</f>
        <v>19AI411</v>
      </c>
      <c r="F80" s="7" t="str">
        <f>IFERROR(__xludf.DUMMYFUNCTION("""COMPUTED_VALUE"""),"Neural Networks")</f>
        <v>Neural Networks</v>
      </c>
      <c r="G80" s="2" t="str">
        <f>IFERROR(__xludf.DUMMYFUNCTION("""COMPUTED_VALUE"""),"-")</f>
        <v>-</v>
      </c>
      <c r="H80" s="2">
        <f>IFERROR(__xludf.DUMMYFUNCTION("""COMPUTED_VALUE"""),2)</f>
        <v>2</v>
      </c>
      <c r="I80" s="2">
        <f>IFERROR(__xludf.DUMMYFUNCTION("""COMPUTED_VALUE"""),1)</f>
        <v>1</v>
      </c>
      <c r="J80" s="2">
        <f>IFERROR(__xludf.DUMMYFUNCTION("""COMPUTED_VALUE"""),3)</f>
        <v>3</v>
      </c>
      <c r="K80" s="2" t="str">
        <f>IFERROR(__xludf.DUMMYFUNCTION("""COMPUTED_VALUE"""),"CGPA")</f>
        <v>CGPA</v>
      </c>
      <c r="L80" s="2" t="str">
        <f>IFERROR(__xludf.DUMMYFUNCTION("""COMPUTED_VALUE"""),"TIP (6 Expts)")</f>
        <v>TIP (6 Expts)</v>
      </c>
      <c r="M80" s="9"/>
      <c r="N80" s="9"/>
      <c r="O80" s="9"/>
      <c r="P80" s="9"/>
      <c r="Q80" s="9"/>
      <c r="R80" s="9"/>
    </row>
    <row r="81" ht="48" customHeight="1" spans="1:18">
      <c r="A81" s="2">
        <f>IFERROR(__xludf.DUMMYFUNCTION("""COMPUTED_VALUE"""),79)</f>
        <v>79</v>
      </c>
      <c r="B81" s="2"/>
      <c r="C81" s="2" t="str">
        <f>IFERROR(__xludf.DUMMYFUNCTION("""COMPUTED_VALUE"""),"PE 
")</f>
        <v>PE 
</v>
      </c>
      <c r="D81" s="2" t="str">
        <f>IFERROR(__xludf.DUMMYFUNCTION("""COMPUTED_VALUE"""),"CS3506")</f>
        <v>CS3506</v>
      </c>
      <c r="E81" s="2" t="str">
        <f>IFERROR(__xludf.DUMMYFUNCTION("""COMPUTED_VALUE"""),"19AI506")</f>
        <v>19AI506</v>
      </c>
      <c r="F81" s="3" t="str">
        <f>IFERROR(__xludf.DUMMYFUNCTION("""COMPUTED_VALUE"""),"Speech Analysis and Processing")</f>
        <v>Speech Analysis and Processing</v>
      </c>
      <c r="G81" s="2" t="str">
        <f>IFERROR(__xludf.DUMMYFUNCTION("""COMPUTED_VALUE"""),"-")</f>
        <v>-</v>
      </c>
      <c r="H81" s="2">
        <f>IFERROR(__xludf.DUMMYFUNCTION("""COMPUTED_VALUE"""),2)</f>
        <v>2</v>
      </c>
      <c r="I81" s="2">
        <f>IFERROR(__xludf.DUMMYFUNCTION("""COMPUTED_VALUE"""),1)</f>
        <v>1</v>
      </c>
      <c r="J81" s="2">
        <f>IFERROR(__xludf.DUMMYFUNCTION("""COMPUTED_VALUE"""),3)</f>
        <v>3</v>
      </c>
      <c r="K81" s="2" t="str">
        <f>IFERROR(__xludf.DUMMYFUNCTION("""COMPUTED_VALUE"""),"CGPA")</f>
        <v>CGPA</v>
      </c>
      <c r="L81" s="2" t="str">
        <f>IFERROR(__xludf.DUMMYFUNCTION("""COMPUTED_VALUE"""),"TIP (6 Expts)")</f>
        <v>TIP (6 Expts)</v>
      </c>
      <c r="M81" s="9"/>
      <c r="N81" s="9"/>
      <c r="O81" s="9"/>
      <c r="P81" s="9"/>
      <c r="Q81" s="9"/>
      <c r="R81" s="9"/>
    </row>
    <row r="82" ht="48" customHeight="1" spans="1:18">
      <c r="A82" s="2">
        <f>IFERROR(__xludf.DUMMYFUNCTION("""COMPUTED_VALUE"""),80)</f>
        <v>80</v>
      </c>
      <c r="B82" s="2"/>
      <c r="C82" s="2" t="str">
        <f>IFERROR(__xludf.DUMMYFUNCTION("""COMPUTED_VALUE"""),"PE 
")</f>
        <v>PE 
</v>
      </c>
      <c r="D82" s="2" t="str">
        <f>IFERROR(__xludf.DUMMYFUNCTION("""COMPUTED_VALUE"""),"CS3413")</f>
        <v>CS3413</v>
      </c>
      <c r="E82" s="2" t="str">
        <f>IFERROR(__xludf.DUMMYFUNCTION("""COMPUTED_VALUE"""),"19AI413")</f>
        <v>19AI413</v>
      </c>
      <c r="F82" s="7" t="str">
        <f>IFERROR(__xludf.DUMMYFUNCTION("""COMPUTED_VALUE"""),"Deep Learning and its Applications")</f>
        <v>Deep Learning and its Applications</v>
      </c>
      <c r="G82" s="2" t="str">
        <f>IFERROR(__xludf.DUMMYFUNCTION("""COMPUTED_VALUE"""),"-")</f>
        <v>-</v>
      </c>
      <c r="H82" s="2">
        <f>IFERROR(__xludf.DUMMYFUNCTION("""COMPUTED_VALUE"""),2)</f>
        <v>2</v>
      </c>
      <c r="I82" s="2">
        <f>IFERROR(__xludf.DUMMYFUNCTION("""COMPUTED_VALUE"""),1)</f>
        <v>1</v>
      </c>
      <c r="J82" s="2">
        <f>IFERROR(__xludf.DUMMYFUNCTION("""COMPUTED_VALUE"""),3)</f>
        <v>3</v>
      </c>
      <c r="K82" s="2" t="str">
        <f>IFERROR(__xludf.DUMMYFUNCTION("""COMPUTED_VALUE"""),"CGPA")</f>
        <v>CGPA</v>
      </c>
      <c r="L82" s="2" t="str">
        <f>IFERROR(__xludf.DUMMYFUNCTION("""COMPUTED_VALUE"""),"TIP (6 Expts)")</f>
        <v>TIP (6 Expts)</v>
      </c>
      <c r="M82" s="9"/>
      <c r="N82" s="9"/>
      <c r="O82" s="9"/>
      <c r="P82" s="9"/>
      <c r="Q82" s="9"/>
      <c r="R82" s="9"/>
    </row>
    <row r="83" ht="48" customHeight="1" spans="1:18">
      <c r="A83" s="2">
        <f>IFERROR(__xludf.DUMMYFUNCTION("""COMPUTED_VALUE"""),81)</f>
        <v>81</v>
      </c>
      <c r="B83" s="2"/>
      <c r="C83" s="2" t="str">
        <f>IFERROR(__xludf.DUMMYFUNCTION("""COMPUTED_VALUE"""),"PE 
")</f>
        <v>PE 
</v>
      </c>
      <c r="D83" s="2" t="str">
        <f>IFERROR(__xludf.DUMMYFUNCTION("""COMPUTED_VALUE"""),"CS3521")</f>
        <v>CS3521</v>
      </c>
      <c r="E83" s="2" t="str">
        <f>IFERROR(__xludf.DUMMYFUNCTION("""COMPUTED_VALUE"""),"19AI521")</f>
        <v>19AI521</v>
      </c>
      <c r="F83" s="7" t="str">
        <f>IFERROR(__xludf.DUMMYFUNCTION("""COMPUTED_VALUE"""),"Expert Systems")</f>
        <v>Expert Systems</v>
      </c>
      <c r="G83" s="2" t="str">
        <f>IFERROR(__xludf.DUMMYFUNCTION("""COMPUTED_VALUE"""),"-")</f>
        <v>-</v>
      </c>
      <c r="H83" s="2">
        <f>IFERROR(__xludf.DUMMYFUNCTION("""COMPUTED_VALUE"""),3)</f>
        <v>3</v>
      </c>
      <c r="I83" s="2">
        <f>IFERROR(__xludf.DUMMYFUNCTION("""COMPUTED_VALUE"""),0)</f>
        <v>0</v>
      </c>
      <c r="J83" s="2">
        <f>IFERROR(__xludf.DUMMYFUNCTION("""COMPUTED_VALUE"""),3)</f>
        <v>3</v>
      </c>
      <c r="K83" s="2" t="str">
        <f>IFERROR(__xludf.DUMMYFUNCTION("""COMPUTED_VALUE"""),"CGPA")</f>
        <v>CGPA</v>
      </c>
      <c r="L83" s="2" t="str">
        <f>IFERROR(__xludf.DUMMYFUNCTION("""COMPUTED_VALUE"""),"Theory")</f>
        <v>Theory</v>
      </c>
      <c r="M83" s="9"/>
      <c r="N83" s="9"/>
      <c r="O83" s="9"/>
      <c r="P83" s="9"/>
      <c r="Q83" s="9"/>
      <c r="R83" s="9"/>
    </row>
    <row r="84" ht="48" customHeight="1" spans="1:18">
      <c r="A84" s="2">
        <f>IFERROR(__xludf.DUMMYFUNCTION("""COMPUTED_VALUE"""),82)</f>
        <v>82</v>
      </c>
      <c r="B84" s="2"/>
      <c r="C84" s="2" t="str">
        <f>IFERROR(__xludf.DUMMYFUNCTION("""COMPUTED_VALUE"""),"PE 
")</f>
        <v>PE 
</v>
      </c>
      <c r="D84" s="2" t="str">
        <f>IFERROR(__xludf.DUMMYFUNCTION("""COMPUTED_VALUE"""),"CS3505")</f>
        <v>CS3505</v>
      </c>
      <c r="E84" s="2" t="str">
        <f>IFERROR(__xludf.DUMMYFUNCTION("""COMPUTED_VALUE"""),"19AI505")</f>
        <v>19AI505</v>
      </c>
      <c r="F84" s="3" t="str">
        <f>IFERROR(__xludf.DUMMYFUNCTION("""COMPUTED_VALUE"""),"Reinforcement Learning")</f>
        <v>Reinforcement Learning</v>
      </c>
      <c r="G84" s="2" t="str">
        <f>IFERROR(__xludf.DUMMYFUNCTION("""COMPUTED_VALUE"""),"19CS301")</f>
        <v>19CS301</v>
      </c>
      <c r="H84" s="2">
        <f>IFERROR(__xludf.DUMMYFUNCTION("""COMPUTED_VALUE"""),2)</f>
        <v>2</v>
      </c>
      <c r="I84" s="2">
        <f>IFERROR(__xludf.DUMMYFUNCTION("""COMPUTED_VALUE"""),1)</f>
        <v>1</v>
      </c>
      <c r="J84" s="2">
        <f>IFERROR(__xludf.DUMMYFUNCTION("""COMPUTED_VALUE"""),3)</f>
        <v>3</v>
      </c>
      <c r="K84" s="2" t="str">
        <f>IFERROR(__xludf.DUMMYFUNCTION("""COMPUTED_VALUE"""),"CGPA")</f>
        <v>CGPA</v>
      </c>
      <c r="L84" s="2" t="str">
        <f>IFERROR(__xludf.DUMMYFUNCTION("""COMPUTED_VALUE"""),"TIP (6 Expts)")</f>
        <v>TIP (6 Expts)</v>
      </c>
      <c r="M84" s="9"/>
      <c r="N84" s="9"/>
      <c r="O84" s="9"/>
      <c r="P84" s="9"/>
      <c r="Q84" s="9"/>
      <c r="R84" s="9"/>
    </row>
    <row r="85" ht="48" customHeight="1" spans="1:18">
      <c r="A85" s="2">
        <f>IFERROR(__xludf.DUMMYFUNCTION("""COMPUTED_VALUE"""),83)</f>
        <v>83</v>
      </c>
      <c r="B85" s="2"/>
      <c r="C85" s="2" t="str">
        <f>IFERROR(__xludf.DUMMYFUNCTION("""COMPUTED_VALUE"""),"PE 
")</f>
        <v>PE 
</v>
      </c>
      <c r="D85" s="2" t="str">
        <f>IFERROR(__xludf.DUMMYFUNCTION("""COMPUTED_VALUE"""),"CS4501")</f>
        <v>CS4501</v>
      </c>
      <c r="E85" s="2" t="str">
        <f>IFERROR(__xludf.DUMMYFUNCTION("""COMPUTED_VALUE"""),"19AM501")</f>
        <v>19AM501</v>
      </c>
      <c r="F85" s="3" t="str">
        <f>IFERROR(__xludf.DUMMYFUNCTION("""COMPUTED_VALUE"""),"Machine Learning for Bioinformatics")</f>
        <v>Machine Learning for Bioinformatics</v>
      </c>
      <c r="G85" s="2" t="str">
        <f>IFERROR(__xludf.DUMMYFUNCTION("""COMPUTED_VALUE"""),"-")</f>
        <v>-</v>
      </c>
      <c r="H85" s="2">
        <f>IFERROR(__xludf.DUMMYFUNCTION("""COMPUTED_VALUE"""),3)</f>
        <v>3</v>
      </c>
      <c r="I85" s="2">
        <f>IFERROR(__xludf.DUMMYFUNCTION("""COMPUTED_VALUE"""),0)</f>
        <v>0</v>
      </c>
      <c r="J85" s="2">
        <f>IFERROR(__xludf.DUMMYFUNCTION("""COMPUTED_VALUE"""),3)</f>
        <v>3</v>
      </c>
      <c r="K85" s="2" t="str">
        <f>IFERROR(__xludf.DUMMYFUNCTION("""COMPUTED_VALUE"""),"CGPA")</f>
        <v>CGPA</v>
      </c>
      <c r="L85" s="2" t="str">
        <f>IFERROR(__xludf.DUMMYFUNCTION("""COMPUTED_VALUE"""),"Theory")</f>
        <v>Theory</v>
      </c>
      <c r="M85" s="9"/>
      <c r="N85" s="9"/>
      <c r="O85" s="9"/>
      <c r="P85" s="9"/>
      <c r="Q85" s="9"/>
      <c r="R85" s="9"/>
    </row>
    <row r="86" ht="48" customHeight="1" spans="1:18">
      <c r="A86" s="2">
        <f>IFERROR(__xludf.DUMMYFUNCTION("""COMPUTED_VALUE"""),84)</f>
        <v>84</v>
      </c>
      <c r="B86" s="2"/>
      <c r="C86" s="2" t="str">
        <f>IFERROR(__xludf.DUMMYFUNCTION("""COMPUTED_VALUE"""),"PE 
")</f>
        <v>PE 
</v>
      </c>
      <c r="D86" s="2" t="str">
        <f>IFERROR(__xludf.DUMMYFUNCTION("""COMPUTED_VALUE"""),"CS4502")</f>
        <v>CS4502</v>
      </c>
      <c r="E86" s="2" t="str">
        <f>IFERROR(__xludf.DUMMYFUNCTION("""COMPUTED_VALUE"""),"19AM502")</f>
        <v>19AM502</v>
      </c>
      <c r="F86" s="7" t="str">
        <f>IFERROR(__xludf.DUMMYFUNCTION("""COMPUTED_VALUE"""),"Genetic Algorithms")</f>
        <v>Genetic Algorithms</v>
      </c>
      <c r="G86" s="2" t="str">
        <f>IFERROR(__xludf.DUMMYFUNCTION("""COMPUTED_VALUE"""),"-")</f>
        <v>-</v>
      </c>
      <c r="H86" s="2">
        <f>IFERROR(__xludf.DUMMYFUNCTION("""COMPUTED_VALUE"""),2)</f>
        <v>2</v>
      </c>
      <c r="I86" s="2">
        <f>IFERROR(__xludf.DUMMYFUNCTION("""COMPUTED_VALUE"""),1)</f>
        <v>1</v>
      </c>
      <c r="J86" s="2">
        <f>IFERROR(__xludf.DUMMYFUNCTION("""COMPUTED_VALUE"""),3)</f>
        <v>3</v>
      </c>
      <c r="K86" s="2" t="str">
        <f>IFERROR(__xludf.DUMMYFUNCTION("""COMPUTED_VALUE"""),"CGPA")</f>
        <v>CGPA</v>
      </c>
      <c r="L86" s="2" t="str">
        <f>IFERROR(__xludf.DUMMYFUNCTION("""COMPUTED_VALUE"""),"TIP (6 Expts)")</f>
        <v>TIP (6 Expts)</v>
      </c>
      <c r="M86" s="9"/>
      <c r="N86" s="9"/>
      <c r="O86" s="9"/>
      <c r="P86" s="9"/>
      <c r="Q86" s="9"/>
      <c r="R86" s="9"/>
    </row>
    <row r="87" ht="48" customHeight="1" spans="1:18">
      <c r="A87" s="2">
        <f>IFERROR(__xludf.DUMMYFUNCTION("""COMPUTED_VALUE"""),85)</f>
        <v>85</v>
      </c>
      <c r="B87" s="2"/>
      <c r="C87" s="2" t="str">
        <f>IFERROR(__xludf.DUMMYFUNCTION("""COMPUTED_VALUE"""),"PE 
")</f>
        <v>PE 
</v>
      </c>
      <c r="D87" s="2" t="str">
        <f>IFERROR(__xludf.DUMMYFUNCTION("""COMPUTED_VALUE"""),"CS4505")</f>
        <v>CS4505</v>
      </c>
      <c r="E87" s="2" t="str">
        <f>IFERROR(__xludf.DUMMYFUNCTION("""COMPUTED_VALUE"""),"19AM505")</f>
        <v>19AM505</v>
      </c>
      <c r="F87" s="7" t="str">
        <f>IFERROR(__xludf.DUMMYFUNCTION("""COMPUTED_VALUE"""),"Statistical Learning Theory")</f>
        <v>Statistical Learning Theory</v>
      </c>
      <c r="G87" s="2" t="str">
        <f>IFERROR(__xludf.DUMMYFUNCTION("""COMPUTED_VALUE"""),"-")</f>
        <v>-</v>
      </c>
      <c r="H87" s="2">
        <f>IFERROR(__xludf.DUMMYFUNCTION("""COMPUTED_VALUE"""),2)</f>
        <v>2</v>
      </c>
      <c r="I87" s="2">
        <f>IFERROR(__xludf.DUMMYFUNCTION("""COMPUTED_VALUE"""),1)</f>
        <v>1</v>
      </c>
      <c r="J87" s="2">
        <f>IFERROR(__xludf.DUMMYFUNCTION("""COMPUTED_VALUE"""),3)</f>
        <v>3</v>
      </c>
      <c r="K87" s="2" t="str">
        <f>IFERROR(__xludf.DUMMYFUNCTION("""COMPUTED_VALUE"""),"CGPA")</f>
        <v>CGPA</v>
      </c>
      <c r="L87" s="2" t="str">
        <f>IFERROR(__xludf.DUMMYFUNCTION("""COMPUTED_VALUE"""),"TIP (6 Expts)")</f>
        <v>TIP (6 Expts)</v>
      </c>
      <c r="M87" s="9"/>
      <c r="N87" s="9"/>
      <c r="O87" s="9"/>
      <c r="P87" s="9"/>
      <c r="Q87" s="9"/>
      <c r="R87" s="9"/>
    </row>
    <row r="88" ht="48" customHeight="1" spans="1:18">
      <c r="A88" s="2">
        <f>IFERROR(__xludf.DUMMYFUNCTION("""COMPUTED_VALUE"""),86)</f>
        <v>86</v>
      </c>
      <c r="B88" s="2"/>
      <c r="C88" s="2" t="str">
        <f>IFERROR(__xludf.DUMMYFUNCTION("""COMPUTED_VALUE"""),"PE 
")</f>
        <v>PE 
</v>
      </c>
      <c r="D88" s="2" t="str">
        <f>IFERROR(__xludf.DUMMYFUNCTION("""COMPUTED_VALUE"""),"CS3533")</f>
        <v>CS3533</v>
      </c>
      <c r="E88" s="2" t="str">
        <f>IFERROR(__xludf.DUMMYFUNCTION("""COMPUTED_VALUE"""),"19AI533")</f>
        <v>19AI533</v>
      </c>
      <c r="F88" s="7" t="str">
        <f>IFERROR(__xludf.DUMMYFUNCTION("""COMPUTED_VALUE"""),"Introduction to Robotics")</f>
        <v>Introduction to Robotics</v>
      </c>
      <c r="G88" s="2" t="str">
        <f>IFERROR(__xludf.DUMMYFUNCTION("""COMPUTED_VALUE"""),"-")</f>
        <v>-</v>
      </c>
      <c r="H88" s="2">
        <f>IFERROR(__xludf.DUMMYFUNCTION("""COMPUTED_VALUE"""),2)</f>
        <v>2</v>
      </c>
      <c r="I88" s="2">
        <f>IFERROR(__xludf.DUMMYFUNCTION("""COMPUTED_VALUE"""),1)</f>
        <v>1</v>
      </c>
      <c r="J88" s="2">
        <f>IFERROR(__xludf.DUMMYFUNCTION("""COMPUTED_VALUE"""),3)</f>
        <v>3</v>
      </c>
      <c r="K88" s="2" t="str">
        <f>IFERROR(__xludf.DUMMYFUNCTION("""COMPUTED_VALUE"""),"CGPA")</f>
        <v>CGPA</v>
      </c>
      <c r="L88" s="2" t="str">
        <f>IFERROR(__xludf.DUMMYFUNCTION("""COMPUTED_VALUE"""),"TIP (6 Expts)")</f>
        <v>TIP (6 Expts)</v>
      </c>
      <c r="M88" s="9"/>
      <c r="N88" s="9"/>
      <c r="O88" s="9"/>
      <c r="P88" s="9"/>
      <c r="Q88" s="9"/>
      <c r="R88" s="9"/>
    </row>
    <row r="89" ht="48" customHeight="1" spans="1:18">
      <c r="A89" s="2">
        <f>IFERROR(__xludf.DUMMYFUNCTION("""COMPUTED_VALUE"""),87)</f>
        <v>87</v>
      </c>
      <c r="B89" s="2"/>
      <c r="C89" s="2" t="str">
        <f>IFERROR(__xludf.DUMMYFUNCTION("""COMPUTED_VALUE"""),"PE 
")</f>
        <v>PE 
</v>
      </c>
      <c r="D89" s="2" t="str">
        <f>IFERROR(__xludf.DUMMYFUNCTION("""COMPUTED_VALUE"""),"CS3534")</f>
        <v>CS3534</v>
      </c>
      <c r="E89" s="2" t="str">
        <f>IFERROR(__xludf.DUMMYFUNCTION("""COMPUTED_VALUE"""),"19AI534")</f>
        <v>19AI534</v>
      </c>
      <c r="F89" s="7" t="str">
        <f>IFERROR(__xludf.DUMMYFUNCTION("""COMPUTED_VALUE"""),"Kinematics and Dynamics of Robots")</f>
        <v>Kinematics and Dynamics of Robots</v>
      </c>
      <c r="G89" s="2" t="str">
        <f>IFERROR(__xludf.DUMMYFUNCTION("""COMPUTED_VALUE"""),"-")</f>
        <v>-</v>
      </c>
      <c r="H89" s="2">
        <f>IFERROR(__xludf.DUMMYFUNCTION("""COMPUTED_VALUE"""),2)</f>
        <v>2</v>
      </c>
      <c r="I89" s="2">
        <f>IFERROR(__xludf.DUMMYFUNCTION("""COMPUTED_VALUE"""),1)</f>
        <v>1</v>
      </c>
      <c r="J89" s="2">
        <f>IFERROR(__xludf.DUMMYFUNCTION("""COMPUTED_VALUE"""),3)</f>
        <v>3</v>
      </c>
      <c r="K89" s="2" t="str">
        <f>IFERROR(__xludf.DUMMYFUNCTION("""COMPUTED_VALUE"""),"CGPA")</f>
        <v>CGPA</v>
      </c>
      <c r="L89" s="2" t="str">
        <f>IFERROR(__xludf.DUMMYFUNCTION("""COMPUTED_VALUE"""),"TIP (6 Expts)")</f>
        <v>TIP (6 Expts)</v>
      </c>
      <c r="M89" s="9"/>
      <c r="N89" s="9"/>
      <c r="O89" s="9"/>
      <c r="P89" s="9"/>
      <c r="Q89" s="9"/>
      <c r="R89" s="9"/>
    </row>
    <row r="90" ht="48" customHeight="1" spans="1:18">
      <c r="A90" s="2">
        <f>IFERROR(__xludf.DUMMYFUNCTION("""COMPUTED_VALUE"""),88)</f>
        <v>88</v>
      </c>
      <c r="B90" s="2"/>
      <c r="C90" s="2" t="str">
        <f>IFERROR(__xludf.DUMMYFUNCTION("""COMPUTED_VALUE"""),"PE 
")</f>
        <v>PE 
</v>
      </c>
      <c r="D90" s="2" t="str">
        <f>IFERROR(__xludf.DUMMYFUNCTION("""COMPUTED_VALUE"""),"CS3535")</f>
        <v>CS3535</v>
      </c>
      <c r="E90" s="2" t="str">
        <f>IFERROR(__xludf.DUMMYFUNCTION("""COMPUTED_VALUE"""),"19AI535")</f>
        <v>19AI535</v>
      </c>
      <c r="F90" s="7" t="str">
        <f>IFERROR(__xludf.DUMMYFUNCTION("""COMPUTED_VALUE"""),"Robotic Sensors")</f>
        <v>Robotic Sensors</v>
      </c>
      <c r="G90" s="2" t="str">
        <f>IFERROR(__xludf.DUMMYFUNCTION("""COMPUTED_VALUE"""),"-")</f>
        <v>-</v>
      </c>
      <c r="H90" s="2">
        <f>IFERROR(__xludf.DUMMYFUNCTION("""COMPUTED_VALUE"""),2)</f>
        <v>2</v>
      </c>
      <c r="I90" s="2">
        <f>IFERROR(__xludf.DUMMYFUNCTION("""COMPUTED_VALUE"""),1)</f>
        <v>1</v>
      </c>
      <c r="J90" s="2">
        <f>IFERROR(__xludf.DUMMYFUNCTION("""COMPUTED_VALUE"""),3)</f>
        <v>3</v>
      </c>
      <c r="K90" s="2" t="str">
        <f>IFERROR(__xludf.DUMMYFUNCTION("""COMPUTED_VALUE"""),"CGPA")</f>
        <v>CGPA</v>
      </c>
      <c r="L90" s="2" t="str">
        <f>IFERROR(__xludf.DUMMYFUNCTION("""COMPUTED_VALUE"""),"TIP (6 Expts)")</f>
        <v>TIP (6 Expts)</v>
      </c>
      <c r="M90" s="9"/>
      <c r="N90" s="9"/>
      <c r="O90" s="9"/>
      <c r="P90" s="9"/>
      <c r="Q90" s="9"/>
      <c r="R90" s="9"/>
    </row>
    <row r="91" ht="48" customHeight="1" spans="1:18">
      <c r="A91" s="2">
        <f>IFERROR(__xludf.DUMMYFUNCTION("""COMPUTED_VALUE"""),89)</f>
        <v>89</v>
      </c>
      <c r="B91" s="2"/>
      <c r="C91" s="2" t="str">
        <f>IFERROR(__xludf.DUMMYFUNCTION("""COMPUTED_VALUE"""),"PE 
")</f>
        <v>PE 
</v>
      </c>
      <c r="D91" s="2" t="str">
        <f>IFERROR(__xludf.DUMMYFUNCTION("""COMPUTED_VALUE"""),"CS3530")</f>
        <v>CS3530</v>
      </c>
      <c r="E91" s="2" t="str">
        <f>IFERROR(__xludf.DUMMYFUNCTION("""COMPUTED_VALUE"""),"19AI530")</f>
        <v>19AI530</v>
      </c>
      <c r="F91" s="7" t="str">
        <f>IFERROR(__xludf.DUMMYFUNCTION("""COMPUTED_VALUE"""),"Control of Robotic Systems")</f>
        <v>Control of Robotic Systems</v>
      </c>
      <c r="G91" s="2" t="str">
        <f>IFERROR(__xludf.DUMMYFUNCTION("""COMPUTED_VALUE"""),"-")</f>
        <v>-</v>
      </c>
      <c r="H91" s="2">
        <f>IFERROR(__xludf.DUMMYFUNCTION("""COMPUTED_VALUE"""),2)</f>
        <v>2</v>
      </c>
      <c r="I91" s="2">
        <f>IFERROR(__xludf.DUMMYFUNCTION("""COMPUTED_VALUE"""),1)</f>
        <v>1</v>
      </c>
      <c r="J91" s="2">
        <f>IFERROR(__xludf.DUMMYFUNCTION("""COMPUTED_VALUE"""),3)</f>
        <v>3</v>
      </c>
      <c r="K91" s="2" t="str">
        <f>IFERROR(__xludf.DUMMYFUNCTION("""COMPUTED_VALUE"""),"CGPA")</f>
        <v>CGPA</v>
      </c>
      <c r="L91" s="2" t="str">
        <f>IFERROR(__xludf.DUMMYFUNCTION("""COMPUTED_VALUE"""),"TIP (6 Expts)")</f>
        <v>TIP (6 Expts)</v>
      </c>
      <c r="M91" s="9"/>
      <c r="N91" s="9"/>
      <c r="O91" s="9"/>
      <c r="P91" s="9"/>
      <c r="Q91" s="9"/>
      <c r="R91" s="9"/>
    </row>
    <row r="92" ht="48" customHeight="1" spans="1:18">
      <c r="A92" s="2">
        <f>IFERROR(__xludf.DUMMYFUNCTION("""COMPUTED_VALUE"""),90)</f>
        <v>90</v>
      </c>
      <c r="B92" s="2"/>
      <c r="C92" s="2" t="str">
        <f>IFERROR(__xludf.DUMMYFUNCTION("""COMPUTED_VALUE"""),"PE 
")</f>
        <v>PE 
</v>
      </c>
      <c r="D92" s="2" t="str">
        <f>IFERROR(__xludf.DUMMYFUNCTION("""COMPUTED_VALUE"""),"CS3509")</f>
        <v>CS3509</v>
      </c>
      <c r="E92" s="2" t="str">
        <f>IFERROR(__xludf.DUMMYFUNCTION("""COMPUTED_VALUE"""),"19AI509")</f>
        <v>19AI509</v>
      </c>
      <c r="F92" s="7" t="str">
        <f>IFERROR(__xludf.DUMMYFUNCTION("""COMPUTED_VALUE"""),"Concepts of Virtual And Augmented Reality")</f>
        <v>Concepts of Virtual And Augmented Reality</v>
      </c>
      <c r="G92" s="2" t="str">
        <f>IFERROR(__xludf.DUMMYFUNCTION("""COMPUTED_VALUE"""),"-")</f>
        <v>-</v>
      </c>
      <c r="H92" s="2">
        <f>IFERROR(__xludf.DUMMYFUNCTION("""COMPUTED_VALUE"""),2)</f>
        <v>2</v>
      </c>
      <c r="I92" s="2">
        <f>IFERROR(__xludf.DUMMYFUNCTION("""COMPUTED_VALUE"""),1)</f>
        <v>1</v>
      </c>
      <c r="J92" s="2">
        <f>IFERROR(__xludf.DUMMYFUNCTION("""COMPUTED_VALUE"""),3)</f>
        <v>3</v>
      </c>
      <c r="K92" s="2" t="str">
        <f>IFERROR(__xludf.DUMMYFUNCTION("""COMPUTED_VALUE"""),"CGPA")</f>
        <v>CGPA</v>
      </c>
      <c r="L92" s="2" t="str">
        <f>IFERROR(__xludf.DUMMYFUNCTION("""COMPUTED_VALUE"""),"TIP (6 Expts)")</f>
        <v>TIP (6 Expts)</v>
      </c>
      <c r="M92" s="9"/>
      <c r="N92" s="9"/>
      <c r="O92" s="9"/>
      <c r="P92" s="9"/>
      <c r="Q92" s="9"/>
      <c r="R92" s="9"/>
    </row>
    <row r="93" ht="48" customHeight="1" spans="1:18">
      <c r="A93" s="2">
        <f>IFERROR(__xludf.DUMMYFUNCTION("""COMPUTED_VALUE"""),91)</f>
        <v>91</v>
      </c>
      <c r="B93" s="2"/>
      <c r="C93" s="2" t="str">
        <f>IFERROR(__xludf.DUMMYFUNCTION("""COMPUTED_VALUE"""),"PE 
")</f>
        <v>PE 
</v>
      </c>
      <c r="D93" s="2" t="str">
        <f>IFERROR(__xludf.DUMMYFUNCTION("""COMPUTED_VALUE"""),"CS3510")</f>
        <v>CS3510</v>
      </c>
      <c r="E93" s="2" t="str">
        <f>IFERROR(__xludf.DUMMYFUNCTION("""COMPUTED_VALUE"""),"19AI510")</f>
        <v>19AI510</v>
      </c>
      <c r="F93" s="7" t="str">
        <f>IFERROR(__xludf.DUMMYFUNCTION("""COMPUTED_VALUE"""),"Mobile VR And AI In Unity")</f>
        <v>Mobile VR And AI In Unity</v>
      </c>
      <c r="G93" s="2" t="str">
        <f>IFERROR(__xludf.DUMMYFUNCTION("""COMPUTED_VALUE"""),"19AI410/19CS302")</f>
        <v>19AI410/19CS302</v>
      </c>
      <c r="H93" s="2">
        <f>IFERROR(__xludf.DUMMYFUNCTION("""COMPUTED_VALUE"""),2)</f>
        <v>2</v>
      </c>
      <c r="I93" s="2">
        <f>IFERROR(__xludf.DUMMYFUNCTION("""COMPUTED_VALUE"""),1)</f>
        <v>1</v>
      </c>
      <c r="J93" s="2">
        <f>IFERROR(__xludf.DUMMYFUNCTION("""COMPUTED_VALUE"""),3)</f>
        <v>3</v>
      </c>
      <c r="K93" s="2" t="str">
        <f>IFERROR(__xludf.DUMMYFUNCTION("""COMPUTED_VALUE"""),"CGPA")</f>
        <v>CGPA</v>
      </c>
      <c r="L93" s="2" t="str">
        <f>IFERROR(__xludf.DUMMYFUNCTION("""COMPUTED_VALUE"""),"TIP (6 Expts)")</f>
        <v>TIP (6 Expts)</v>
      </c>
      <c r="M93" s="9"/>
      <c r="N93" s="9"/>
      <c r="O93" s="9"/>
      <c r="P93" s="9"/>
      <c r="Q93" s="9"/>
      <c r="R93" s="9"/>
    </row>
    <row r="94" ht="48" customHeight="1" spans="1:18">
      <c r="A94" s="2">
        <f>IFERROR(__xludf.DUMMYFUNCTION("""COMPUTED_VALUE"""),92)</f>
        <v>92</v>
      </c>
      <c r="B94" s="2"/>
      <c r="C94" s="2" t="str">
        <f>IFERROR(__xludf.DUMMYFUNCTION("""COMPUTED_VALUE"""),"PE 
")</f>
        <v>PE 
</v>
      </c>
      <c r="D94" s="2" t="str">
        <f>IFERROR(__xludf.DUMMYFUNCTION("""COMPUTED_VALUE"""),"CS3513")</f>
        <v>CS3513</v>
      </c>
      <c r="E94" s="2" t="str">
        <f>IFERROR(__xludf.DUMMYFUNCTION("""COMPUTED_VALUE"""),"19AI513")</f>
        <v>19AI513</v>
      </c>
      <c r="F94" s="7" t="str">
        <f>IFERROR(__xludf.DUMMYFUNCTION("""COMPUTED_VALUE"""),"Game Programming")</f>
        <v>Game Programming</v>
      </c>
      <c r="G94" s="2" t="str">
        <f>IFERROR(__xludf.DUMMYFUNCTION("""COMPUTED_VALUE"""),"19CS401")</f>
        <v>19CS401</v>
      </c>
      <c r="H94" s="2">
        <f>IFERROR(__xludf.DUMMYFUNCTION("""COMPUTED_VALUE"""),2)</f>
        <v>2</v>
      </c>
      <c r="I94" s="2">
        <f>IFERROR(__xludf.DUMMYFUNCTION("""COMPUTED_VALUE"""),2)</f>
        <v>2</v>
      </c>
      <c r="J94" s="2">
        <f>IFERROR(__xludf.DUMMYFUNCTION("""COMPUTED_VALUE"""),4)</f>
        <v>4</v>
      </c>
      <c r="K94" s="2" t="str">
        <f>IFERROR(__xludf.DUMMYFUNCTION("""COMPUTED_VALUE"""),"CGPA")</f>
        <v>CGPA</v>
      </c>
      <c r="L94" s="2" t="str">
        <f>IFERROR(__xludf.DUMMYFUNCTION("""COMPUTED_VALUE"""),"TIP (10 Expts)")</f>
        <v>TIP (10 Expts)</v>
      </c>
      <c r="M94" s="9"/>
      <c r="N94" s="9"/>
      <c r="O94" s="9"/>
      <c r="P94" s="9"/>
      <c r="Q94" s="9"/>
      <c r="R94" s="9"/>
    </row>
    <row r="95" ht="48" customHeight="1" spans="1:18">
      <c r="A95" s="2">
        <f>IFERROR(__xludf.DUMMYFUNCTION("""COMPUTED_VALUE"""),93)</f>
        <v>93</v>
      </c>
      <c r="B95" s="2"/>
      <c r="C95" s="2" t="str">
        <f>IFERROR(__xludf.DUMMYFUNCTION("""COMPUTED_VALUE"""),"PE 
")</f>
        <v>PE 
</v>
      </c>
      <c r="D95" s="2" t="str">
        <f>IFERROR(__xludf.DUMMYFUNCTION("""COMPUTED_VALUE"""),"CS3537")</f>
        <v>CS3537</v>
      </c>
      <c r="E95" s="2" t="str">
        <f>IFERROR(__xludf.DUMMYFUNCTION("""COMPUTED_VALUE"""),"19AI537")</f>
        <v>19AI537</v>
      </c>
      <c r="F95" s="7" t="str">
        <f>IFERROR(__xludf.DUMMYFUNCTION("""COMPUTED_VALUE"""),"Computer Graphics for Virtual Reality")</f>
        <v>Computer Graphics for Virtual Reality</v>
      </c>
      <c r="G95" s="2" t="str">
        <f>IFERROR(__xludf.DUMMYFUNCTION("""COMPUTED_VALUE"""),"-")</f>
        <v>-</v>
      </c>
      <c r="H95" s="2">
        <f>IFERROR(__xludf.DUMMYFUNCTION("""COMPUTED_VALUE"""),2)</f>
        <v>2</v>
      </c>
      <c r="I95" s="2">
        <f>IFERROR(__xludf.DUMMYFUNCTION("""COMPUTED_VALUE"""),1)</f>
        <v>1</v>
      </c>
      <c r="J95" s="2">
        <f>IFERROR(__xludf.DUMMYFUNCTION("""COMPUTED_VALUE"""),3)</f>
        <v>3</v>
      </c>
      <c r="K95" s="2" t="str">
        <f>IFERROR(__xludf.DUMMYFUNCTION("""COMPUTED_VALUE"""),"CGPA")</f>
        <v>CGPA</v>
      </c>
      <c r="L95" s="2" t="str">
        <f>IFERROR(__xludf.DUMMYFUNCTION("""COMPUTED_VALUE"""),"TIP (6 Expts)")</f>
        <v>TIP (6 Expts)</v>
      </c>
      <c r="M95" s="9"/>
      <c r="N95" s="9"/>
      <c r="O95" s="9"/>
      <c r="P95" s="9"/>
      <c r="Q95" s="9"/>
      <c r="R95" s="9"/>
    </row>
    <row r="96" ht="48" customHeight="1" spans="1:18">
      <c r="A96" s="2">
        <f>IFERROR(__xludf.DUMMYFUNCTION("""COMPUTED_VALUE"""),94)</f>
        <v>94</v>
      </c>
      <c r="B96" s="2"/>
      <c r="C96" s="2" t="str">
        <f>IFERROR(__xludf.DUMMYFUNCTION("""COMPUTED_VALUE"""),"PE 
")</f>
        <v>PE 
</v>
      </c>
      <c r="D96" s="2" t="str">
        <f>IFERROR(__xludf.DUMMYFUNCTION("""COMPUTED_VALUE"""),"CS4514")</f>
        <v>CS4514</v>
      </c>
      <c r="E96" s="2" t="str">
        <f>IFERROR(__xludf.DUMMYFUNCTION("""COMPUTED_VALUE"""),"19AM514")</f>
        <v>19AM514</v>
      </c>
      <c r="F96" s="7" t="str">
        <f>IFERROR(__xludf.DUMMYFUNCTION("""COMPUTED_VALUE"""),"Motion Planning Techniques")</f>
        <v>Motion Planning Techniques</v>
      </c>
      <c r="G96" s="2" t="str">
        <f>IFERROR(__xludf.DUMMYFUNCTION("""COMPUTED_VALUE"""),"-")</f>
        <v>-</v>
      </c>
      <c r="H96" s="2">
        <f>IFERROR(__xludf.DUMMYFUNCTION("""COMPUTED_VALUE"""),2)</f>
        <v>2</v>
      </c>
      <c r="I96" s="2">
        <f>IFERROR(__xludf.DUMMYFUNCTION("""COMPUTED_VALUE"""),1)</f>
        <v>1</v>
      </c>
      <c r="J96" s="2">
        <f>IFERROR(__xludf.DUMMYFUNCTION("""COMPUTED_VALUE"""),3)</f>
        <v>3</v>
      </c>
      <c r="K96" s="2" t="str">
        <f>IFERROR(__xludf.DUMMYFUNCTION("""COMPUTED_VALUE"""),"CGPA")</f>
        <v>CGPA</v>
      </c>
      <c r="L96" s="2" t="str">
        <f>IFERROR(__xludf.DUMMYFUNCTION("""COMPUTED_VALUE"""),"TIP (6 Expts)")</f>
        <v>TIP (6 Expts)</v>
      </c>
      <c r="M96" s="9"/>
      <c r="N96" s="9"/>
      <c r="O96" s="9"/>
      <c r="P96" s="9"/>
      <c r="Q96" s="9"/>
      <c r="R96" s="9"/>
    </row>
    <row r="97" ht="48" customHeight="1" spans="1:18">
      <c r="A97" s="2">
        <f>IFERROR(__xludf.DUMMYFUNCTION("""COMPUTED_VALUE"""),95)</f>
        <v>95</v>
      </c>
      <c r="B97" s="2"/>
      <c r="C97" s="2" t="str">
        <f>IFERROR(__xludf.DUMMYFUNCTION("""COMPUTED_VALUE"""),"PE 
")</f>
        <v>PE 
</v>
      </c>
      <c r="D97" s="2" t="str">
        <f>IFERROR(__xludf.DUMMYFUNCTION("""COMPUTED_VALUE"""),"CS3548")</f>
        <v>CS3548</v>
      </c>
      <c r="E97" s="2" t="str">
        <f>IFERROR(__xludf.DUMMYFUNCTION("""COMPUTED_VALUE"""),"19AI548")</f>
        <v>19AI548</v>
      </c>
      <c r="F97" s="7" t="str">
        <f>IFERROR(__xludf.DUMMYFUNCTION("""COMPUTED_VALUE"""),"Robot Programming")</f>
        <v>Robot Programming</v>
      </c>
      <c r="G97" s="2" t="str">
        <f>IFERROR(__xludf.DUMMYFUNCTION("""COMPUTED_VALUE"""),"-")</f>
        <v>-</v>
      </c>
      <c r="H97" s="2">
        <f>IFERROR(__xludf.DUMMYFUNCTION("""COMPUTED_VALUE"""),2)</f>
        <v>2</v>
      </c>
      <c r="I97" s="2">
        <f>IFERROR(__xludf.DUMMYFUNCTION("""COMPUTED_VALUE"""),1)</f>
        <v>1</v>
      </c>
      <c r="J97" s="2">
        <f>IFERROR(__xludf.DUMMYFUNCTION("""COMPUTED_VALUE"""),3)</f>
        <v>3</v>
      </c>
      <c r="K97" s="2" t="str">
        <f>IFERROR(__xludf.DUMMYFUNCTION("""COMPUTED_VALUE"""),"CGPA")</f>
        <v>CGPA</v>
      </c>
      <c r="L97" s="2" t="str">
        <f>IFERROR(__xludf.DUMMYFUNCTION("""COMPUTED_VALUE"""),"TIP (6 Expts)")</f>
        <v>TIP (6 Expts)</v>
      </c>
      <c r="M97" s="9"/>
      <c r="N97" s="9"/>
      <c r="O97" s="9"/>
      <c r="P97" s="9"/>
      <c r="Q97" s="9"/>
      <c r="R97" s="9"/>
    </row>
    <row r="98" ht="48" customHeight="1" spans="1:18">
      <c r="A98" s="2">
        <f>IFERROR(__xludf.DUMMYFUNCTION("""COMPUTED_VALUE"""),96)</f>
        <v>96</v>
      </c>
      <c r="B98" s="2"/>
      <c r="C98" s="2" t="str">
        <f>IFERROR(__xludf.DUMMYFUNCTION("""COMPUTED_VALUE"""),"PE 
")</f>
        <v>PE 
</v>
      </c>
      <c r="D98" s="2" t="str">
        <f>IFERROR(__xludf.DUMMYFUNCTION("""COMPUTED_VALUE"""),"CS3549")</f>
        <v>CS3549</v>
      </c>
      <c r="E98" s="2" t="str">
        <f>IFERROR(__xludf.DUMMYFUNCTION("""COMPUTED_VALUE"""),"19AI549")</f>
        <v>19AI549</v>
      </c>
      <c r="F98" s="7" t="str">
        <f>IFERROR(__xludf.DUMMYFUNCTION("""COMPUTED_VALUE"""),"Drone Assembly and Applications")</f>
        <v>Drone Assembly and Applications</v>
      </c>
      <c r="G98" s="2" t="str">
        <f>IFERROR(__xludf.DUMMYFUNCTION("""COMPUTED_VALUE"""),"-")</f>
        <v>-</v>
      </c>
      <c r="H98" s="2">
        <f>IFERROR(__xludf.DUMMYFUNCTION("""COMPUTED_VALUE"""),2)</f>
        <v>2</v>
      </c>
      <c r="I98" s="2">
        <f>IFERROR(__xludf.DUMMYFUNCTION("""COMPUTED_VALUE"""),1)</f>
        <v>1</v>
      </c>
      <c r="J98" s="2">
        <f>IFERROR(__xludf.DUMMYFUNCTION("""COMPUTED_VALUE"""),3)</f>
        <v>3</v>
      </c>
      <c r="K98" s="2" t="str">
        <f>IFERROR(__xludf.DUMMYFUNCTION("""COMPUTED_VALUE"""),"CGPA")</f>
        <v>CGPA</v>
      </c>
      <c r="L98" s="2" t="str">
        <f>IFERROR(__xludf.DUMMYFUNCTION("""COMPUTED_VALUE"""),"TIP (6 Expts)")</f>
        <v>TIP (6 Expts)</v>
      </c>
      <c r="M98" s="9"/>
      <c r="N98" s="9"/>
      <c r="O98" s="9"/>
      <c r="P98" s="9"/>
      <c r="Q98" s="9"/>
      <c r="R98" s="9"/>
    </row>
    <row r="99" ht="48" customHeight="1" spans="1:18">
      <c r="A99" s="2">
        <f>IFERROR(__xludf.DUMMYFUNCTION("""COMPUTED_VALUE"""),97)</f>
        <v>97</v>
      </c>
      <c r="B99" s="2"/>
      <c r="C99" s="2" t="str">
        <f>IFERROR(__xludf.DUMMYFUNCTION("""COMPUTED_VALUE"""),"PE 
")</f>
        <v>PE 
</v>
      </c>
      <c r="D99" s="2" t="str">
        <f>IFERROR(__xludf.DUMMYFUNCTION("""COMPUTED_VALUE"""),"CS3550")</f>
        <v>CS3550</v>
      </c>
      <c r="E99" s="2" t="str">
        <f>IFERROR(__xludf.DUMMYFUNCTION("""COMPUTED_VALUE"""),"19AI550")</f>
        <v>19AI550</v>
      </c>
      <c r="F99" s="7" t="str">
        <f>IFERROR(__xludf.DUMMYFUNCTION("""COMPUTED_VALUE"""),"Artificial Intelligence for Games")</f>
        <v>Artificial Intelligence for Games</v>
      </c>
      <c r="G99" s="2" t="str">
        <f>IFERROR(__xludf.DUMMYFUNCTION("""COMPUTED_VALUE"""),"-")</f>
        <v>-</v>
      </c>
      <c r="H99" s="2">
        <f>IFERROR(__xludf.DUMMYFUNCTION("""COMPUTED_VALUE"""),2)</f>
        <v>2</v>
      </c>
      <c r="I99" s="2">
        <f>IFERROR(__xludf.DUMMYFUNCTION("""COMPUTED_VALUE"""),1)</f>
        <v>1</v>
      </c>
      <c r="J99" s="2">
        <f>IFERROR(__xludf.DUMMYFUNCTION("""COMPUTED_VALUE"""),3)</f>
        <v>3</v>
      </c>
      <c r="K99" s="2" t="str">
        <f>IFERROR(__xludf.DUMMYFUNCTION("""COMPUTED_VALUE"""),"CGPA")</f>
        <v>CGPA</v>
      </c>
      <c r="L99" s="2" t="str">
        <f>IFERROR(__xludf.DUMMYFUNCTION("""COMPUTED_VALUE"""),"TIP (6 Expts)")</f>
        <v>TIP (6 Expts)</v>
      </c>
      <c r="M99" s="9"/>
      <c r="N99" s="9"/>
      <c r="O99" s="9"/>
      <c r="P99" s="9"/>
      <c r="Q99" s="9"/>
      <c r="R99" s="9"/>
    </row>
    <row r="100" ht="48" customHeight="1" spans="1:18">
      <c r="A100" s="2">
        <f>IFERROR(__xludf.DUMMYFUNCTION("""COMPUTED_VALUE"""),98)</f>
        <v>98</v>
      </c>
      <c r="B100" s="2"/>
      <c r="C100" s="2" t="str">
        <f>IFERROR(__xludf.DUMMYFUNCTION("""COMPUTED_VALUE"""),"PE 
")</f>
        <v>PE 
</v>
      </c>
      <c r="D100" s="2" t="str">
        <f>IFERROR(__xludf.DUMMYFUNCTION("""COMPUTED_VALUE"""),"CS3551")</f>
        <v>CS3551</v>
      </c>
      <c r="E100" s="2" t="str">
        <f>IFERROR(__xludf.DUMMYFUNCTION("""COMPUTED_VALUE"""),"19AI551")</f>
        <v>19AI551</v>
      </c>
      <c r="F100" s="7" t="str">
        <f>IFERROR(__xludf.DUMMYFUNCTION("""COMPUTED_VALUE"""),"Drone Design and Control")</f>
        <v>Drone Design and Control</v>
      </c>
      <c r="G100" s="2" t="str">
        <f>IFERROR(__xludf.DUMMYFUNCTION("""COMPUTED_VALUE"""),"-")</f>
        <v>-</v>
      </c>
      <c r="H100" s="2">
        <f>IFERROR(__xludf.DUMMYFUNCTION("""COMPUTED_VALUE"""),2)</f>
        <v>2</v>
      </c>
      <c r="I100" s="2">
        <f>IFERROR(__xludf.DUMMYFUNCTION("""COMPUTED_VALUE"""),1)</f>
        <v>1</v>
      </c>
      <c r="J100" s="2">
        <f>IFERROR(__xludf.DUMMYFUNCTION("""COMPUTED_VALUE"""),3)</f>
        <v>3</v>
      </c>
      <c r="K100" s="2" t="str">
        <f>IFERROR(__xludf.DUMMYFUNCTION("""COMPUTED_VALUE"""),"CGPA")</f>
        <v>CGPA</v>
      </c>
      <c r="L100" s="2" t="str">
        <f>IFERROR(__xludf.DUMMYFUNCTION("""COMPUTED_VALUE"""),"TIP (6 Expts)")</f>
        <v>TIP (6 Expts)</v>
      </c>
      <c r="M100" s="9"/>
      <c r="N100" s="9"/>
      <c r="O100" s="9"/>
      <c r="P100" s="9"/>
      <c r="Q100" s="9"/>
      <c r="R100" s="9"/>
    </row>
    <row r="101" ht="48" customHeight="1" spans="1:18">
      <c r="A101" s="2">
        <f>IFERROR(__xludf.DUMMYFUNCTION("""COMPUTED_VALUE"""),99)</f>
        <v>99</v>
      </c>
      <c r="B101" s="2"/>
      <c r="C101" s="2" t="str">
        <f>IFERROR(__xludf.DUMMYFUNCTION("""COMPUTED_VALUE"""),"PE 
")</f>
        <v>PE 
</v>
      </c>
      <c r="D101" s="2" t="str">
        <f>IFERROR(__xludf.DUMMYFUNCTION("""COMPUTED_VALUE"""),"CS3539")</f>
        <v>CS3539</v>
      </c>
      <c r="E101" s="2" t="str">
        <f>IFERROR(__xludf.DUMMYFUNCTION("""COMPUTED_VALUE"""),"19AI539")</f>
        <v>19AI539</v>
      </c>
      <c r="F101" s="7" t="str">
        <f>IFERROR(__xludf.DUMMYFUNCTION("""COMPUTED_VALUE"""),"Mobile User Interface Development")</f>
        <v>Mobile User Interface Development</v>
      </c>
      <c r="G101" s="2" t="str">
        <f>IFERROR(__xludf.DUMMYFUNCTION("""COMPUTED_VALUE"""),"19CS401")</f>
        <v>19CS401</v>
      </c>
      <c r="H101" s="2">
        <f>IFERROR(__xludf.DUMMYFUNCTION("""COMPUTED_VALUE"""),2)</f>
        <v>2</v>
      </c>
      <c r="I101" s="2">
        <f>IFERROR(__xludf.DUMMYFUNCTION("""COMPUTED_VALUE"""),1)</f>
        <v>1</v>
      </c>
      <c r="J101" s="2">
        <f>IFERROR(__xludf.DUMMYFUNCTION("""COMPUTED_VALUE"""),3)</f>
        <v>3</v>
      </c>
      <c r="K101" s="2" t="str">
        <f>IFERROR(__xludf.DUMMYFUNCTION("""COMPUTED_VALUE"""),"CGPA")</f>
        <v>CGPA</v>
      </c>
      <c r="L101" s="2" t="str">
        <f>IFERROR(__xludf.DUMMYFUNCTION("""COMPUTED_VALUE"""),"TIP (6 Expts)")</f>
        <v>TIP (6 Expts)</v>
      </c>
      <c r="M101" s="9"/>
      <c r="N101" s="9"/>
      <c r="O101" s="9"/>
      <c r="P101" s="9"/>
      <c r="Q101" s="9"/>
      <c r="R101" s="9"/>
    </row>
    <row r="102" ht="48" customHeight="1" spans="1:18">
      <c r="A102" s="2">
        <f>IFERROR(__xludf.DUMMYFUNCTION("""COMPUTED_VALUE"""),100)</f>
        <v>100</v>
      </c>
      <c r="B102" s="2"/>
      <c r="C102" s="2" t="str">
        <f>IFERROR(__xludf.DUMMYFUNCTION("""COMPUTED_VALUE"""),"PE 
")</f>
        <v>PE 
</v>
      </c>
      <c r="D102" s="2" t="str">
        <f>IFERROR(__xludf.DUMMYFUNCTION("""COMPUTED_VALUE"""),"CS3540")</f>
        <v>CS3540</v>
      </c>
      <c r="E102" s="2" t="str">
        <f>IFERROR(__xludf.DUMMYFUNCTION("""COMPUTED_VALUE"""),"19AI540")</f>
        <v>19AI540</v>
      </c>
      <c r="F102" s="7" t="str">
        <f>IFERROR(__xludf.DUMMYFUNCTION("""COMPUTED_VALUE"""),"Programming Mobile Devices")</f>
        <v>Programming Mobile Devices</v>
      </c>
      <c r="G102" s="2" t="str">
        <f>IFERROR(__xludf.DUMMYFUNCTION("""COMPUTED_VALUE"""),"19CS401")</f>
        <v>19CS401</v>
      </c>
      <c r="H102" s="2">
        <f>IFERROR(__xludf.DUMMYFUNCTION("""COMPUTED_VALUE"""),2)</f>
        <v>2</v>
      </c>
      <c r="I102" s="2">
        <f>IFERROR(__xludf.DUMMYFUNCTION("""COMPUTED_VALUE"""),1)</f>
        <v>1</v>
      </c>
      <c r="J102" s="2">
        <f>IFERROR(__xludf.DUMMYFUNCTION("""COMPUTED_VALUE"""),3)</f>
        <v>3</v>
      </c>
      <c r="K102" s="2" t="str">
        <f>IFERROR(__xludf.DUMMYFUNCTION("""COMPUTED_VALUE"""),"CGPA")</f>
        <v>CGPA</v>
      </c>
      <c r="L102" s="2" t="str">
        <f>IFERROR(__xludf.DUMMYFUNCTION("""COMPUTED_VALUE"""),"TIP (6 Expts)")</f>
        <v>TIP (6 Expts)</v>
      </c>
      <c r="M102" s="9"/>
      <c r="N102" s="9"/>
      <c r="O102" s="9"/>
      <c r="P102" s="9"/>
      <c r="Q102" s="9"/>
      <c r="R102" s="9"/>
    </row>
    <row r="103" ht="48" customHeight="1" spans="1:18">
      <c r="A103" s="2">
        <f>IFERROR(__xludf.DUMMYFUNCTION("""COMPUTED_VALUE"""),101)</f>
        <v>101</v>
      </c>
      <c r="B103" s="2"/>
      <c r="C103" s="2" t="str">
        <f>IFERROR(__xludf.DUMMYFUNCTION("""COMPUTED_VALUE"""),"PE 
")</f>
        <v>PE 
</v>
      </c>
      <c r="D103" s="2" t="str">
        <f>IFERROR(__xludf.DUMMYFUNCTION("""COMPUTED_VALUE"""),"CS3545")</f>
        <v>CS3545</v>
      </c>
      <c r="E103" s="2" t="str">
        <f>IFERROR(__xludf.DUMMYFUNCTION("""COMPUTED_VALUE"""),"19AI545")</f>
        <v>19AI545</v>
      </c>
      <c r="F103" s="7" t="str">
        <f>IFERROR(__xludf.DUMMYFUNCTION("""COMPUTED_VALUE"""),"Modern Web Application Development")</f>
        <v>Modern Web Application Development</v>
      </c>
      <c r="G103" s="2" t="str">
        <f>IFERROR(__xludf.DUMMYFUNCTION("""COMPUTED_VALUE"""),"19CS410")</f>
        <v>19CS410</v>
      </c>
      <c r="H103" s="2">
        <f>IFERROR(__xludf.DUMMYFUNCTION("""COMPUTED_VALUE"""),2)</f>
        <v>2</v>
      </c>
      <c r="I103" s="2">
        <f>IFERROR(__xludf.DUMMYFUNCTION("""COMPUTED_VALUE"""),1)</f>
        <v>1</v>
      </c>
      <c r="J103" s="2">
        <f>IFERROR(__xludf.DUMMYFUNCTION("""COMPUTED_VALUE"""),3)</f>
        <v>3</v>
      </c>
      <c r="K103" s="2" t="str">
        <f>IFERROR(__xludf.DUMMYFUNCTION("""COMPUTED_VALUE"""),"CGPA")</f>
        <v>CGPA</v>
      </c>
      <c r="L103" s="2" t="str">
        <f>IFERROR(__xludf.DUMMYFUNCTION("""COMPUTED_VALUE"""),"TIP (6 Expts)")</f>
        <v>TIP (6 Expts)</v>
      </c>
      <c r="M103" s="9"/>
      <c r="N103" s="9"/>
      <c r="O103" s="9"/>
      <c r="P103" s="9"/>
      <c r="Q103" s="9"/>
      <c r="R103" s="9"/>
    </row>
    <row r="104" ht="48" customHeight="1" spans="1:18">
      <c r="A104" s="2">
        <f>IFERROR(__xludf.DUMMYFUNCTION("""COMPUTED_VALUE"""),102)</f>
        <v>102</v>
      </c>
      <c r="B104" s="2"/>
      <c r="C104" s="2" t="str">
        <f>IFERROR(__xludf.DUMMYFUNCTION("""COMPUTED_VALUE"""),"PE 
")</f>
        <v>PE 
</v>
      </c>
      <c r="D104" s="2" t="str">
        <f>IFERROR(__xludf.DUMMYFUNCTION("""COMPUTED_VALUE"""),"CS3546")</f>
        <v>CS3546</v>
      </c>
      <c r="E104" s="2" t="str">
        <f>IFERROR(__xludf.DUMMYFUNCTION("""COMPUTED_VALUE"""),"19AI546")</f>
        <v>19AI546</v>
      </c>
      <c r="F104" s="7" t="str">
        <f>IFERROR(__xludf.DUMMYFUNCTION("""COMPUTED_VALUE"""),"Web Server Programming")</f>
        <v>Web Server Programming</v>
      </c>
      <c r="G104" s="2" t="str">
        <f>IFERROR(__xludf.DUMMYFUNCTION("""COMPUTED_VALUE"""),"19CS401")</f>
        <v>19CS401</v>
      </c>
      <c r="H104" s="2">
        <f>IFERROR(__xludf.DUMMYFUNCTION("""COMPUTED_VALUE"""),2)</f>
        <v>2</v>
      </c>
      <c r="I104" s="2">
        <f>IFERROR(__xludf.DUMMYFUNCTION("""COMPUTED_VALUE"""),1)</f>
        <v>1</v>
      </c>
      <c r="J104" s="2">
        <f>IFERROR(__xludf.DUMMYFUNCTION("""COMPUTED_VALUE"""),3)</f>
        <v>3</v>
      </c>
      <c r="K104" s="2" t="str">
        <f>IFERROR(__xludf.DUMMYFUNCTION("""COMPUTED_VALUE"""),"CGPA")</f>
        <v>CGPA</v>
      </c>
      <c r="L104" s="2" t="str">
        <f>IFERROR(__xludf.DUMMYFUNCTION("""COMPUTED_VALUE"""),"TIP (6 Expts)")</f>
        <v>TIP (6 Expts)</v>
      </c>
      <c r="M104" s="9"/>
      <c r="N104" s="9"/>
      <c r="O104" s="9"/>
      <c r="P104" s="9"/>
      <c r="Q104" s="9"/>
      <c r="R104" s="9"/>
    </row>
    <row r="105" ht="48" customHeight="1" spans="1:18">
      <c r="A105" s="2">
        <f>IFERROR(__xludf.DUMMYFUNCTION("""COMPUTED_VALUE"""),103)</f>
        <v>103</v>
      </c>
      <c r="B105" s="2"/>
      <c r="C105" s="2" t="str">
        <f>IFERROR(__xludf.DUMMYFUNCTION("""COMPUTED_VALUE"""),"PE 
")</f>
        <v>PE 
</v>
      </c>
      <c r="D105" s="2" t="str">
        <f>IFERROR(__xludf.DUMMYFUNCTION("""COMPUTED_VALUE"""),"CS3552")</f>
        <v>CS3552</v>
      </c>
      <c r="E105" s="2" t="str">
        <f>IFERROR(__xludf.DUMMYFUNCTION("""COMPUTED_VALUE"""),"19AI552")</f>
        <v>19AI552</v>
      </c>
      <c r="F105" s="7" t="str">
        <f>IFERROR(__xludf.DUMMYFUNCTION("""COMPUTED_VALUE"""),"Web Application User Interface Development")</f>
        <v>Web Application User Interface Development</v>
      </c>
      <c r="G105" s="2" t="str">
        <f>IFERROR(__xludf.DUMMYFUNCTION("""COMPUTED_VALUE"""),"-")</f>
        <v>-</v>
      </c>
      <c r="H105" s="2">
        <f>IFERROR(__xludf.DUMMYFUNCTION("""COMPUTED_VALUE"""),2)</f>
        <v>2</v>
      </c>
      <c r="I105" s="2">
        <f>IFERROR(__xludf.DUMMYFUNCTION("""COMPUTED_VALUE"""),1)</f>
        <v>1</v>
      </c>
      <c r="J105" s="2">
        <f>IFERROR(__xludf.DUMMYFUNCTION("""COMPUTED_VALUE"""),3)</f>
        <v>3</v>
      </c>
      <c r="K105" s="2" t="str">
        <f>IFERROR(__xludf.DUMMYFUNCTION("""COMPUTED_VALUE"""),"CGPA")</f>
        <v>CGPA</v>
      </c>
      <c r="L105" s="2" t="str">
        <f>IFERROR(__xludf.DUMMYFUNCTION("""COMPUTED_VALUE"""),"TIP (6 Expts)")</f>
        <v>TIP (6 Expts)</v>
      </c>
      <c r="M105" s="9"/>
      <c r="N105" s="9"/>
      <c r="O105" s="9"/>
      <c r="P105" s="9"/>
      <c r="Q105" s="9"/>
      <c r="R105" s="9"/>
    </row>
    <row r="106" ht="48" customHeight="1" spans="1:18">
      <c r="A106" s="2">
        <f>IFERROR(__xludf.DUMMYFUNCTION("""COMPUTED_VALUE"""),104)</f>
        <v>104</v>
      </c>
      <c r="B106" s="2"/>
      <c r="C106" s="2" t="str">
        <f>IFERROR(__xludf.DUMMYFUNCTION("""COMPUTED_VALUE"""),"PE 
")</f>
        <v>PE 
</v>
      </c>
      <c r="D106" s="2" t="str">
        <f>IFERROR(__xludf.DUMMYFUNCTION("""COMPUTED_VALUE"""),"CS3553")</f>
        <v>CS3553</v>
      </c>
      <c r="E106" s="2" t="str">
        <f>IFERROR(__xludf.DUMMYFUNCTION("""COMPUTED_VALUE"""),"19AI553")</f>
        <v>19AI553</v>
      </c>
      <c r="F106" s="7" t="str">
        <f>IFERROR(__xludf.DUMMYFUNCTION("""COMPUTED_VALUE"""),"Advanced Java Web Applications")</f>
        <v>Advanced Java Web Applications</v>
      </c>
      <c r="G106" s="2" t="str">
        <f>IFERROR(__xludf.DUMMYFUNCTION("""COMPUTED_VALUE"""),"19AI307")</f>
        <v>19AI307</v>
      </c>
      <c r="H106" s="2">
        <f>IFERROR(__xludf.DUMMYFUNCTION("""COMPUTED_VALUE"""),2)</f>
        <v>2</v>
      </c>
      <c r="I106" s="2">
        <f>IFERROR(__xludf.DUMMYFUNCTION("""COMPUTED_VALUE"""),1)</f>
        <v>1</v>
      </c>
      <c r="J106" s="2">
        <f>IFERROR(__xludf.DUMMYFUNCTION("""COMPUTED_VALUE"""),3)</f>
        <v>3</v>
      </c>
      <c r="K106" s="2" t="str">
        <f>IFERROR(__xludf.DUMMYFUNCTION("""COMPUTED_VALUE"""),"CGPA")</f>
        <v>CGPA</v>
      </c>
      <c r="L106" s="2" t="str">
        <f>IFERROR(__xludf.DUMMYFUNCTION("""COMPUTED_VALUE"""),"TIP (6 Expts)")</f>
        <v>TIP (6 Expts)</v>
      </c>
      <c r="M106" s="9"/>
      <c r="N106" s="9"/>
      <c r="O106" s="9"/>
      <c r="P106" s="9"/>
      <c r="Q106" s="9"/>
      <c r="R106" s="9"/>
    </row>
    <row r="107" ht="48" customHeight="1" spans="1:18">
      <c r="A107" s="2">
        <f>IFERROR(__xludf.DUMMYFUNCTION("""COMPUTED_VALUE"""),105)</f>
        <v>105</v>
      </c>
      <c r="B107" s="2"/>
      <c r="C107" s="2" t="str">
        <f>IFERROR(__xludf.DUMMYFUNCTION("""COMPUTED_VALUE"""),"PE 
")</f>
        <v>PE 
</v>
      </c>
      <c r="D107" s="2" t="str">
        <f>IFERROR(__xludf.DUMMYFUNCTION("""COMPUTED_VALUE"""),"CS3403")</f>
        <v>CS3403</v>
      </c>
      <c r="E107" s="2" t="str">
        <f>IFERROR(__xludf.DUMMYFUNCTION("""COMPUTED_VALUE"""),"19AI403")</f>
        <v>19AI403</v>
      </c>
      <c r="F107" s="7" t="str">
        <f>IFERROR(__xludf.DUMMYFUNCTION("""COMPUTED_VALUE"""),"Introduction to Data Science")</f>
        <v>Introduction to Data Science</v>
      </c>
      <c r="G107" s="2" t="str">
        <f>IFERROR(__xludf.DUMMYFUNCTION("""COMPUTED_VALUE"""),"19CS301")</f>
        <v>19CS301</v>
      </c>
      <c r="H107" s="2">
        <f>IFERROR(__xludf.DUMMYFUNCTION("""COMPUTED_VALUE"""),2)</f>
        <v>2</v>
      </c>
      <c r="I107" s="2">
        <f>IFERROR(__xludf.DUMMYFUNCTION("""COMPUTED_VALUE"""),1)</f>
        <v>1</v>
      </c>
      <c r="J107" s="2">
        <f>IFERROR(__xludf.DUMMYFUNCTION("""COMPUTED_VALUE"""),3)</f>
        <v>3</v>
      </c>
      <c r="K107" s="2" t="str">
        <f>IFERROR(__xludf.DUMMYFUNCTION("""COMPUTED_VALUE"""),"CGPA")</f>
        <v>CGPA</v>
      </c>
      <c r="L107" s="2" t="str">
        <f>IFERROR(__xludf.DUMMYFUNCTION("""COMPUTED_VALUE"""),"TIP (6 Expts)")</f>
        <v>TIP (6 Expts)</v>
      </c>
      <c r="M107" s="9"/>
      <c r="N107" s="9"/>
      <c r="O107" s="9"/>
      <c r="P107" s="9"/>
      <c r="Q107" s="9"/>
      <c r="R107" s="9"/>
    </row>
    <row r="108" ht="48" customHeight="1" spans="1:18">
      <c r="A108" s="2">
        <f>IFERROR(__xludf.DUMMYFUNCTION("""COMPUTED_VALUE"""),106)</f>
        <v>106</v>
      </c>
      <c r="B108" s="2"/>
      <c r="C108" s="2" t="str">
        <f>IFERROR(__xludf.DUMMYFUNCTION("""COMPUTED_VALUE"""),"PE 
")</f>
        <v>PE 
</v>
      </c>
      <c r="D108" s="2" t="str">
        <f>IFERROR(__xludf.DUMMYFUNCTION("""COMPUTED_VALUE"""),"CS3511")</f>
        <v>CS3511</v>
      </c>
      <c r="E108" s="2" t="str">
        <f>IFERROR(__xludf.DUMMYFUNCTION("""COMPUTED_VALUE"""),"19AI511")</f>
        <v>19AI511</v>
      </c>
      <c r="F108" s="7" t="str">
        <f>IFERROR(__xludf.DUMMYFUNCTION("""COMPUTED_VALUE"""),"Scientific and Engineering Data Visualization")</f>
        <v>Scientific and Engineering Data Visualization</v>
      </c>
      <c r="G108" s="2" t="str">
        <f>IFERROR(__xludf.DUMMYFUNCTION("""COMPUTED_VALUE"""),"-")</f>
        <v>-</v>
      </c>
      <c r="H108" s="2">
        <f>IFERROR(__xludf.DUMMYFUNCTION("""COMPUTED_VALUE"""),2)</f>
        <v>2</v>
      </c>
      <c r="I108" s="2">
        <f>IFERROR(__xludf.DUMMYFUNCTION("""COMPUTED_VALUE"""),1)</f>
        <v>1</v>
      </c>
      <c r="J108" s="2">
        <f>IFERROR(__xludf.DUMMYFUNCTION("""COMPUTED_VALUE"""),3)</f>
        <v>3</v>
      </c>
      <c r="K108" s="2" t="str">
        <f>IFERROR(__xludf.DUMMYFUNCTION("""COMPUTED_VALUE"""),"CGPA")</f>
        <v>CGPA</v>
      </c>
      <c r="L108" s="2" t="str">
        <f>IFERROR(__xludf.DUMMYFUNCTION("""COMPUTED_VALUE"""),"TIP (6 Expts)")</f>
        <v>TIP (6 Expts)</v>
      </c>
      <c r="M108" s="9"/>
      <c r="N108" s="9"/>
      <c r="O108" s="9"/>
      <c r="P108" s="9"/>
      <c r="Q108" s="9"/>
      <c r="R108" s="9"/>
    </row>
    <row r="109" ht="48" customHeight="1" spans="1:18">
      <c r="A109" s="2">
        <f>IFERROR(__xludf.DUMMYFUNCTION("""COMPUTED_VALUE"""),107)</f>
        <v>107</v>
      </c>
      <c r="B109" s="2"/>
      <c r="C109" s="2" t="str">
        <f>IFERROR(__xludf.DUMMYFUNCTION("""COMPUTED_VALUE"""),"PE 
")</f>
        <v>PE 
</v>
      </c>
      <c r="D109" s="2" t="str">
        <f>IFERROR(__xludf.DUMMYFUNCTION("""COMPUTED_VALUE"""),"CS3516")</f>
        <v>CS3516</v>
      </c>
      <c r="E109" s="2" t="str">
        <f>IFERROR(__xludf.DUMMYFUNCTION("""COMPUTED_VALUE"""),"19AI516")</f>
        <v>19AI516</v>
      </c>
      <c r="F109" s="7" t="str">
        <f>IFERROR(__xludf.DUMMYFUNCTION("""COMPUTED_VALUE"""),"Big Data Mining and Analysis")</f>
        <v>Big Data Mining and Analysis</v>
      </c>
      <c r="G109" s="2" t="str">
        <f>IFERROR(__xludf.DUMMYFUNCTION("""COMPUTED_VALUE"""),"19AI408/ 19CS410/19IT405")</f>
        <v>19AI408/ 19CS410/19IT405</v>
      </c>
      <c r="H109" s="2">
        <f>IFERROR(__xludf.DUMMYFUNCTION("""COMPUTED_VALUE"""),2)</f>
        <v>2</v>
      </c>
      <c r="I109" s="2">
        <f>IFERROR(__xludf.DUMMYFUNCTION("""COMPUTED_VALUE"""),1)</f>
        <v>1</v>
      </c>
      <c r="J109" s="2">
        <f>IFERROR(__xludf.DUMMYFUNCTION("""COMPUTED_VALUE"""),3)</f>
        <v>3</v>
      </c>
      <c r="K109" s="2" t="str">
        <f>IFERROR(__xludf.DUMMYFUNCTION("""COMPUTED_VALUE"""),"CGPA")</f>
        <v>CGPA</v>
      </c>
      <c r="L109" s="2" t="str">
        <f>IFERROR(__xludf.DUMMYFUNCTION("""COMPUTED_VALUE"""),"TIP (6 Expts)")</f>
        <v>TIP (6 Expts)</v>
      </c>
      <c r="M109" s="9"/>
      <c r="N109" s="9"/>
      <c r="O109" s="9"/>
      <c r="P109" s="9"/>
      <c r="Q109" s="9"/>
      <c r="R109" s="9"/>
    </row>
    <row r="110" ht="48" customHeight="1" spans="1:18">
      <c r="A110" s="2">
        <f>IFERROR(__xludf.DUMMYFUNCTION("""COMPUTED_VALUE"""),108)</f>
        <v>108</v>
      </c>
      <c r="B110" s="2"/>
      <c r="C110" s="2" t="str">
        <f>IFERROR(__xludf.DUMMYFUNCTION("""COMPUTED_VALUE"""),"PE 
")</f>
        <v>PE 
</v>
      </c>
      <c r="D110" s="2" t="str">
        <f>IFERROR(__xludf.DUMMYFUNCTION("""COMPUTED_VALUE"""),"CS3517")</f>
        <v>CS3517</v>
      </c>
      <c r="E110" s="2" t="str">
        <f>IFERROR(__xludf.DUMMYFUNCTION("""COMPUTED_VALUE"""),"19AI517")</f>
        <v>19AI517</v>
      </c>
      <c r="F110" s="7" t="str">
        <f>IFERROR(__xludf.DUMMYFUNCTION("""COMPUTED_VALUE"""),"Business Analytics")</f>
        <v>Business Analytics</v>
      </c>
      <c r="G110" s="2" t="str">
        <f>IFERROR(__xludf.DUMMYFUNCTION("""COMPUTED_VALUE"""),"-")</f>
        <v>-</v>
      </c>
      <c r="H110" s="2">
        <f>IFERROR(__xludf.DUMMYFUNCTION("""COMPUTED_VALUE"""),2)</f>
        <v>2</v>
      </c>
      <c r="I110" s="2">
        <f>IFERROR(__xludf.DUMMYFUNCTION("""COMPUTED_VALUE"""),1)</f>
        <v>1</v>
      </c>
      <c r="J110" s="2">
        <f>IFERROR(__xludf.DUMMYFUNCTION("""COMPUTED_VALUE"""),3)</f>
        <v>3</v>
      </c>
      <c r="K110" s="2" t="str">
        <f>IFERROR(__xludf.DUMMYFUNCTION("""COMPUTED_VALUE"""),"CGPA")</f>
        <v>CGPA</v>
      </c>
      <c r="L110" s="2" t="str">
        <f>IFERROR(__xludf.DUMMYFUNCTION("""COMPUTED_VALUE"""),"TIP (6 Expts)")</f>
        <v>TIP (6 Expts)</v>
      </c>
      <c r="M110" s="9"/>
      <c r="N110" s="9"/>
      <c r="O110" s="9"/>
      <c r="P110" s="9"/>
      <c r="Q110" s="9"/>
      <c r="R110" s="9"/>
    </row>
    <row r="111" ht="48" customHeight="1" spans="1:18">
      <c r="A111" s="2">
        <f>IFERROR(__xludf.DUMMYFUNCTION("""COMPUTED_VALUE"""),109)</f>
        <v>109</v>
      </c>
      <c r="B111" s="2"/>
      <c r="C111" s="2" t="str">
        <f>IFERROR(__xludf.DUMMYFUNCTION("""COMPUTED_VALUE"""),"PE 
")</f>
        <v>PE 
</v>
      </c>
      <c r="D111" s="2" t="str">
        <f>IFERROR(__xludf.DUMMYFUNCTION("""COMPUTED_VALUE"""),"CS4503")</f>
        <v>CS4503</v>
      </c>
      <c r="E111" s="2" t="str">
        <f>IFERROR(__xludf.DUMMYFUNCTION("""COMPUTED_VALUE"""),"19AM503")</f>
        <v>19AM503</v>
      </c>
      <c r="F111" s="3" t="str">
        <f>IFERROR(__xludf.DUMMYFUNCTION("""COMPUTED_VALUE"""),"Data Modeling")</f>
        <v>Data Modeling</v>
      </c>
      <c r="G111" s="2" t="str">
        <f>IFERROR(__xludf.DUMMYFUNCTION("""COMPUTED_VALUE"""),"-")</f>
        <v>-</v>
      </c>
      <c r="H111" s="2">
        <f>IFERROR(__xludf.DUMMYFUNCTION("""COMPUTED_VALUE"""),3)</f>
        <v>3</v>
      </c>
      <c r="I111" s="2">
        <f>IFERROR(__xludf.DUMMYFUNCTION("""COMPUTED_VALUE"""),0)</f>
        <v>0</v>
      </c>
      <c r="J111" s="2">
        <f>IFERROR(__xludf.DUMMYFUNCTION("""COMPUTED_VALUE"""),3)</f>
        <v>3</v>
      </c>
      <c r="K111" s="2" t="str">
        <f>IFERROR(__xludf.DUMMYFUNCTION("""COMPUTED_VALUE"""),"CGPA")</f>
        <v>CGPA</v>
      </c>
      <c r="L111" s="2" t="str">
        <f>IFERROR(__xludf.DUMMYFUNCTION("""COMPUTED_VALUE"""),"Theory")</f>
        <v>Theory</v>
      </c>
      <c r="M111" s="9"/>
      <c r="N111" s="9"/>
      <c r="O111" s="9"/>
      <c r="P111" s="9"/>
      <c r="Q111" s="9"/>
      <c r="R111" s="9"/>
    </row>
    <row r="112" ht="48" customHeight="1" spans="1:18">
      <c r="A112" s="2">
        <f>IFERROR(__xludf.DUMMYFUNCTION("""COMPUTED_VALUE"""),110)</f>
        <v>110</v>
      </c>
      <c r="B112" s="2"/>
      <c r="C112" s="2" t="str">
        <f>IFERROR(__xludf.DUMMYFUNCTION("""COMPUTED_VALUE"""),"PE 
")</f>
        <v>PE 
</v>
      </c>
      <c r="D112" s="2" t="str">
        <f>IFERROR(__xludf.DUMMYFUNCTION("""COMPUTED_VALUE"""),"CS4508")</f>
        <v>CS4508</v>
      </c>
      <c r="E112" s="2" t="str">
        <f>IFERROR(__xludf.DUMMYFUNCTION("""COMPUTED_VALUE"""),"19AM508")</f>
        <v>19AM508</v>
      </c>
      <c r="F112" s="7" t="str">
        <f>IFERROR(__xludf.DUMMYFUNCTION("""COMPUTED_VALUE"""),"Introduction to IoT")</f>
        <v>Introduction to IoT</v>
      </c>
      <c r="G112" s="2" t="str">
        <f>IFERROR(__xludf.DUMMYFUNCTION("""COMPUTED_VALUE"""),"-")</f>
        <v>-</v>
      </c>
      <c r="H112" s="2">
        <f>IFERROR(__xludf.DUMMYFUNCTION("""COMPUTED_VALUE"""),2)</f>
        <v>2</v>
      </c>
      <c r="I112" s="2">
        <f>IFERROR(__xludf.DUMMYFUNCTION("""COMPUTED_VALUE"""),1)</f>
        <v>1</v>
      </c>
      <c r="J112" s="2">
        <f>IFERROR(__xludf.DUMMYFUNCTION("""COMPUTED_VALUE"""),3)</f>
        <v>3</v>
      </c>
      <c r="K112" s="2" t="str">
        <f>IFERROR(__xludf.DUMMYFUNCTION("""COMPUTED_VALUE"""),"CGPA")</f>
        <v>CGPA</v>
      </c>
      <c r="L112" s="2" t="str">
        <f>IFERROR(__xludf.DUMMYFUNCTION("""COMPUTED_VALUE"""),"TIP (6 Expts)")</f>
        <v>TIP (6 Expts)</v>
      </c>
      <c r="M112" s="9"/>
      <c r="N112" s="9"/>
      <c r="O112" s="9"/>
      <c r="P112" s="9"/>
      <c r="Q112" s="9"/>
      <c r="R112" s="9"/>
    </row>
    <row r="113" ht="48" customHeight="1" spans="1:18">
      <c r="A113" s="2">
        <f>IFERROR(__xludf.DUMMYFUNCTION("""COMPUTED_VALUE"""),111)</f>
        <v>111</v>
      </c>
      <c r="B113" s="2"/>
      <c r="C113" s="2" t="str">
        <f>IFERROR(__xludf.DUMMYFUNCTION("""COMPUTED_VALUE"""),"PE 
")</f>
        <v>PE 
</v>
      </c>
      <c r="D113" s="2" t="str">
        <f>IFERROR(__xludf.DUMMYFUNCTION("""COMPUTED_VALUE"""),"CS1420")</f>
        <v>CS1420</v>
      </c>
      <c r="E113" s="2" t="str">
        <f>IFERROR(__xludf.DUMMYFUNCTION("""COMPUTED_VALUE"""),"19CS420")</f>
        <v>19CS420</v>
      </c>
      <c r="F113" s="7" t="str">
        <f>IFERROR(__xludf.DUMMYFUNCTION("""COMPUTED_VALUE"""),"Prototyping of IoT Systems")</f>
        <v>Prototyping of IoT Systems</v>
      </c>
      <c r="G113" s="2" t="str">
        <f>IFERROR(__xludf.DUMMYFUNCTION("""COMPUTED_VALUE"""),"-")</f>
        <v>-</v>
      </c>
      <c r="H113" s="2">
        <f>IFERROR(__xludf.DUMMYFUNCTION("""COMPUTED_VALUE"""),2)</f>
        <v>2</v>
      </c>
      <c r="I113" s="2">
        <f>IFERROR(__xludf.DUMMYFUNCTION("""COMPUTED_VALUE"""),1)</f>
        <v>1</v>
      </c>
      <c r="J113" s="2">
        <f>IFERROR(__xludf.DUMMYFUNCTION("""COMPUTED_VALUE"""),3)</f>
        <v>3</v>
      </c>
      <c r="K113" s="2" t="str">
        <f>IFERROR(__xludf.DUMMYFUNCTION("""COMPUTED_VALUE"""),"CGPA")</f>
        <v>CGPA</v>
      </c>
      <c r="L113" s="2" t="str">
        <f>IFERROR(__xludf.DUMMYFUNCTION("""COMPUTED_VALUE"""),"TIP (6 Expts)")</f>
        <v>TIP (6 Expts)</v>
      </c>
      <c r="M113" s="9"/>
      <c r="N113" s="9"/>
      <c r="O113" s="9"/>
      <c r="P113" s="9"/>
      <c r="Q113" s="9"/>
      <c r="R113" s="9"/>
    </row>
    <row r="114" ht="48" customHeight="1" spans="1:18">
      <c r="A114" s="2">
        <f>IFERROR(__xludf.DUMMYFUNCTION("""COMPUTED_VALUE"""),112)</f>
        <v>112</v>
      </c>
      <c r="B114" s="2"/>
      <c r="C114" s="2" t="str">
        <f>IFERROR(__xludf.DUMMYFUNCTION("""COMPUTED_VALUE"""),"PE 
")</f>
        <v>PE 
</v>
      </c>
      <c r="D114" s="2" t="str">
        <f>IFERROR(__xludf.DUMMYFUNCTION("""COMPUTED_VALUE"""),"CS1421")</f>
        <v>CS1421</v>
      </c>
      <c r="E114" s="2" t="str">
        <f>IFERROR(__xludf.DUMMYFUNCTION("""COMPUTED_VALUE"""),"19CS421")</f>
        <v>19CS421</v>
      </c>
      <c r="F114" s="7" t="str">
        <f>IFERROR(__xludf.DUMMYFUNCTION("""COMPUTED_VALUE"""),"Edge Computing")</f>
        <v>Edge Computing</v>
      </c>
      <c r="G114" s="2" t="str">
        <f>IFERROR(__xludf.DUMMYFUNCTION("""COMPUTED_VALUE"""),"-")</f>
        <v>-</v>
      </c>
      <c r="H114" s="2">
        <f>IFERROR(__xludf.DUMMYFUNCTION("""COMPUTED_VALUE"""),2)</f>
        <v>2</v>
      </c>
      <c r="I114" s="2">
        <f>IFERROR(__xludf.DUMMYFUNCTION("""COMPUTED_VALUE"""),1)</f>
        <v>1</v>
      </c>
      <c r="J114" s="2">
        <f>IFERROR(__xludf.DUMMYFUNCTION("""COMPUTED_VALUE"""),3)</f>
        <v>3</v>
      </c>
      <c r="K114" s="2" t="str">
        <f>IFERROR(__xludf.DUMMYFUNCTION("""COMPUTED_VALUE"""),"CGPA")</f>
        <v>CGPA</v>
      </c>
      <c r="L114" s="2" t="str">
        <f>IFERROR(__xludf.DUMMYFUNCTION("""COMPUTED_VALUE"""),"TIP (6 Expts)")</f>
        <v>TIP (6 Expts)</v>
      </c>
      <c r="M114" s="9"/>
      <c r="N114" s="9"/>
      <c r="O114" s="9"/>
      <c r="P114" s="9"/>
      <c r="Q114" s="9"/>
      <c r="R114" s="9"/>
    </row>
    <row r="115" ht="48" customHeight="1" spans="1:18">
      <c r="A115" s="2">
        <f>IFERROR(__xludf.DUMMYFUNCTION("""COMPUTED_VALUE"""),113)</f>
        <v>113</v>
      </c>
      <c r="B115" s="2"/>
      <c r="C115" s="2" t="str">
        <f>IFERROR(__xludf.DUMMYFUNCTION("""COMPUTED_VALUE"""),"PE 
")</f>
        <v>PE 
</v>
      </c>
      <c r="D115" s="2" t="str">
        <f>IFERROR(__xludf.DUMMYFUNCTION("""COMPUTED_VALUE"""),"CS4509")</f>
        <v>CS4509</v>
      </c>
      <c r="E115" s="2" t="str">
        <f>IFERROR(__xludf.DUMMYFUNCTION("""COMPUTED_VALUE"""),"19AM509")</f>
        <v>19AM509</v>
      </c>
      <c r="F115" s="7" t="str">
        <f>IFERROR(__xludf.DUMMYFUNCTION("""COMPUTED_VALUE"""),"Industrial Internet of Things")</f>
        <v>Industrial Internet of Things</v>
      </c>
      <c r="G115" s="2" t="str">
        <f>IFERROR(__xludf.DUMMYFUNCTION("""COMPUTED_VALUE"""),"-")</f>
        <v>-</v>
      </c>
      <c r="H115" s="2">
        <f>IFERROR(__xludf.DUMMYFUNCTION("""COMPUTED_VALUE"""),2)</f>
        <v>2</v>
      </c>
      <c r="I115" s="2">
        <f>IFERROR(__xludf.DUMMYFUNCTION("""COMPUTED_VALUE"""),1)</f>
        <v>1</v>
      </c>
      <c r="J115" s="2">
        <f>IFERROR(__xludf.DUMMYFUNCTION("""COMPUTED_VALUE"""),3)</f>
        <v>3</v>
      </c>
      <c r="K115" s="2" t="str">
        <f>IFERROR(__xludf.DUMMYFUNCTION("""COMPUTED_VALUE"""),"CGPA")</f>
        <v>CGPA</v>
      </c>
      <c r="L115" s="2" t="str">
        <f>IFERROR(__xludf.DUMMYFUNCTION("""COMPUTED_VALUE"""),"TIP (6 Expts)")</f>
        <v>TIP (6 Expts)</v>
      </c>
      <c r="M115" s="9"/>
      <c r="N115" s="9"/>
      <c r="O115" s="9"/>
      <c r="P115" s="9"/>
      <c r="Q115" s="9"/>
      <c r="R115" s="9"/>
    </row>
    <row r="116" ht="48" customHeight="1" spans="1:18">
      <c r="A116" s="2">
        <f>IFERROR(__xludf.DUMMYFUNCTION("""COMPUTED_VALUE"""),114)</f>
        <v>114</v>
      </c>
      <c r="B116" s="2"/>
      <c r="C116" s="2" t="str">
        <f>IFERROR(__xludf.DUMMYFUNCTION("""COMPUTED_VALUE"""),"PE 
")</f>
        <v>PE 
</v>
      </c>
      <c r="D116" s="2" t="str">
        <f>IFERROR(__xludf.DUMMYFUNCTION("""COMPUTED_VALUE"""),"CS1422")</f>
        <v>CS1422</v>
      </c>
      <c r="E116" s="2" t="str">
        <f>IFERROR(__xludf.DUMMYFUNCTION("""COMPUTED_VALUE"""),"19CS422")</f>
        <v>19CS422</v>
      </c>
      <c r="F116" s="7" t="str">
        <f>IFERROR(__xludf.DUMMYFUNCTION("""COMPUTED_VALUE"""),"Security for IoT Systems")</f>
        <v>Security for IoT Systems</v>
      </c>
      <c r="G116" s="2" t="str">
        <f>IFERROR(__xludf.DUMMYFUNCTION("""COMPUTED_VALUE"""),"-")</f>
        <v>-</v>
      </c>
      <c r="H116" s="2">
        <f>IFERROR(__xludf.DUMMYFUNCTION("""COMPUTED_VALUE"""),3)</f>
        <v>3</v>
      </c>
      <c r="I116" s="2">
        <f>IFERROR(__xludf.DUMMYFUNCTION("""COMPUTED_VALUE"""),0)</f>
        <v>0</v>
      </c>
      <c r="J116" s="2">
        <f>IFERROR(__xludf.DUMMYFUNCTION("""COMPUTED_VALUE"""),3)</f>
        <v>3</v>
      </c>
      <c r="K116" s="2" t="str">
        <f>IFERROR(__xludf.DUMMYFUNCTION("""COMPUTED_VALUE"""),"CGPA")</f>
        <v>CGPA</v>
      </c>
      <c r="L116" s="2" t="str">
        <f>IFERROR(__xludf.DUMMYFUNCTION("""COMPUTED_VALUE"""),"Theory")</f>
        <v>Theory</v>
      </c>
      <c r="M116" s="9"/>
      <c r="N116" s="9"/>
      <c r="O116" s="9"/>
      <c r="P116" s="9"/>
      <c r="Q116" s="9"/>
      <c r="R116" s="9"/>
    </row>
    <row r="117" ht="48" customHeight="1" spans="1:18">
      <c r="A117" s="2">
        <f>IFERROR(__xludf.DUMMYFUNCTION("""COMPUTED_VALUE"""),115)</f>
        <v>115</v>
      </c>
      <c r="B117" s="2"/>
      <c r="C117" s="2" t="str">
        <f>IFERROR(__xludf.DUMMYFUNCTION("""COMPUTED_VALUE"""),"PE")</f>
        <v>PE</v>
      </c>
      <c r="D117" s="2" t="str">
        <f>IFERROR(__xludf.DUMMYFUNCTION("""COMPUTED_VALUE"""),"NA")</f>
        <v>NA</v>
      </c>
      <c r="E117" s="2" t="str">
        <f>IFERROR(__xludf.DUMMYFUNCTION("""COMPUTED_VALUE"""),"19EC508")</f>
        <v>19EC508</v>
      </c>
      <c r="F117" s="7" t="str">
        <f>IFERROR(__xludf.DUMMYFUNCTION("""COMPUTED_VALUE"""),"Ad Hoc and Wireless Sensor Networks")</f>
        <v>Ad Hoc and Wireless Sensor Networks</v>
      </c>
      <c r="G117" s="2" t="str">
        <f>IFERROR(__xludf.DUMMYFUNCTION("""COMPUTED_VALUE"""),"19EC412")</f>
        <v>19EC412</v>
      </c>
      <c r="H117" s="2">
        <f>IFERROR(__xludf.DUMMYFUNCTION("""COMPUTED_VALUE"""),3)</f>
        <v>3</v>
      </c>
      <c r="I117" s="2">
        <f>IFERROR(__xludf.DUMMYFUNCTION("""COMPUTED_VALUE"""),0)</f>
        <v>0</v>
      </c>
      <c r="J117" s="2">
        <f>IFERROR(__xludf.DUMMYFUNCTION("""COMPUTED_VALUE"""),3)</f>
        <v>3</v>
      </c>
      <c r="K117" s="2" t="str">
        <f>IFERROR(__xludf.DUMMYFUNCTION("""COMPUTED_VALUE"""),"CGPA")</f>
        <v>CGPA</v>
      </c>
      <c r="L117" s="2" t="str">
        <f>IFERROR(__xludf.DUMMYFUNCTION("""COMPUTED_VALUE"""),"Theory")</f>
        <v>Theory</v>
      </c>
      <c r="M117" s="9"/>
      <c r="N117" s="9"/>
      <c r="O117" s="9"/>
      <c r="P117" s="9"/>
      <c r="Q117" s="9"/>
      <c r="R117" s="9"/>
    </row>
    <row r="118" ht="48" customHeight="1" spans="1:18">
      <c r="A118" s="2">
        <f>IFERROR(__xludf.DUMMYFUNCTION("""COMPUTED_VALUE"""),116)</f>
        <v>116</v>
      </c>
      <c r="B118" s="2"/>
      <c r="C118" s="2" t="str">
        <f>IFERROR(__xludf.DUMMYFUNCTION("""COMPUTED_VALUE"""),"PE 
")</f>
        <v>PE 
</v>
      </c>
      <c r="D118" s="2" t="str">
        <f>IFERROR(__xludf.DUMMYFUNCTION("""COMPUTED_VALUE"""),"CS1540")</f>
        <v>CS1540</v>
      </c>
      <c r="E118" s="2" t="str">
        <f>IFERROR(__xludf.DUMMYFUNCTION("""COMPUTED_VALUE"""),"19CS540")</f>
        <v>19CS540</v>
      </c>
      <c r="F118" s="7" t="str">
        <f>IFERROR(__xludf.DUMMYFUNCTION("""COMPUTED_VALUE"""),"Fog Computing")</f>
        <v>Fog Computing</v>
      </c>
      <c r="G118" s="2" t="str">
        <f>IFERROR(__xludf.DUMMYFUNCTION("""COMPUTED_VALUE"""),"-")</f>
        <v>-</v>
      </c>
      <c r="H118" s="2">
        <f>IFERROR(__xludf.DUMMYFUNCTION("""COMPUTED_VALUE"""),3)</f>
        <v>3</v>
      </c>
      <c r="I118" s="2">
        <f>IFERROR(__xludf.DUMMYFUNCTION("""COMPUTED_VALUE"""),0)</f>
        <v>0</v>
      </c>
      <c r="J118" s="2">
        <f>IFERROR(__xludf.DUMMYFUNCTION("""COMPUTED_VALUE"""),3)</f>
        <v>3</v>
      </c>
      <c r="K118" s="2" t="str">
        <f>IFERROR(__xludf.DUMMYFUNCTION("""COMPUTED_VALUE"""),"CGPA")</f>
        <v>CGPA</v>
      </c>
      <c r="L118" s="2" t="str">
        <f>IFERROR(__xludf.DUMMYFUNCTION("""COMPUTED_VALUE"""),"Theory")</f>
        <v>Theory</v>
      </c>
      <c r="M118" s="9"/>
      <c r="N118" s="9"/>
      <c r="O118" s="9"/>
      <c r="P118" s="9"/>
      <c r="Q118" s="9"/>
      <c r="R118" s="9"/>
    </row>
    <row r="119" ht="48" customHeight="1" spans="1:18">
      <c r="A119" s="2">
        <f>IFERROR(__xludf.DUMMYFUNCTION("""COMPUTED_VALUE"""),117)</f>
        <v>117</v>
      </c>
      <c r="B119" s="2"/>
      <c r="C119" s="2" t="str">
        <f>IFERROR(__xludf.DUMMYFUNCTION("""COMPUTED_VALUE"""),"PE 
")</f>
        <v>PE 
</v>
      </c>
      <c r="D119" s="2" t="str">
        <f>IFERROR(__xludf.DUMMYFUNCTION("""COMPUTED_VALUE"""),"CS4506")</f>
        <v>CS4506</v>
      </c>
      <c r="E119" s="2" t="str">
        <f>IFERROR(__xludf.DUMMYFUNCTION("""COMPUTED_VALUE"""),"19AM506")</f>
        <v>19AM506</v>
      </c>
      <c r="F119" s="7" t="str">
        <f>IFERROR(__xludf.DUMMYFUNCTION("""COMPUTED_VALUE"""),"Sensors and Actuators for IoT")</f>
        <v>Sensors and Actuators for IoT</v>
      </c>
      <c r="G119" s="2" t="str">
        <f>IFERROR(__xludf.DUMMYFUNCTION("""COMPUTED_VALUE"""),"-")</f>
        <v>-</v>
      </c>
      <c r="H119" s="2">
        <f>IFERROR(__xludf.DUMMYFUNCTION("""COMPUTED_VALUE"""),2)</f>
        <v>2</v>
      </c>
      <c r="I119" s="2">
        <f>IFERROR(__xludf.DUMMYFUNCTION("""COMPUTED_VALUE"""),1)</f>
        <v>1</v>
      </c>
      <c r="J119" s="2">
        <f>IFERROR(__xludf.DUMMYFUNCTION("""COMPUTED_VALUE"""),3)</f>
        <v>3</v>
      </c>
      <c r="K119" s="2" t="str">
        <f>IFERROR(__xludf.DUMMYFUNCTION("""COMPUTED_VALUE"""),"CGPA")</f>
        <v>CGPA</v>
      </c>
      <c r="L119" s="2" t="str">
        <f>IFERROR(__xludf.DUMMYFUNCTION("""COMPUTED_VALUE"""),"TIP (6 Expts)")</f>
        <v>TIP (6 Expts)</v>
      </c>
      <c r="M119" s="9"/>
      <c r="N119" s="9"/>
      <c r="O119" s="9"/>
      <c r="P119" s="9"/>
      <c r="Q119" s="9"/>
      <c r="R119" s="9"/>
    </row>
    <row r="120" ht="48" customHeight="1" spans="1:18">
      <c r="A120" s="2">
        <f>IFERROR(__xludf.DUMMYFUNCTION("""COMPUTED_VALUE"""),118)</f>
        <v>118</v>
      </c>
      <c r="B120" s="2"/>
      <c r="C120" s="2" t="str">
        <f>IFERROR(__xludf.DUMMYFUNCTION("""COMPUTED_VALUE"""),"PE")</f>
        <v>PE</v>
      </c>
      <c r="D120" s="2" t="str">
        <f>IFERROR(__xludf.DUMMYFUNCTION("""COMPUTED_VALUE"""),"CS1542")</f>
        <v>CS1542</v>
      </c>
      <c r="E120" s="2" t="str">
        <f>IFERROR(__xludf.DUMMYFUNCTION("""COMPUTED_VALUE"""),"19CS542")</f>
        <v>19CS542</v>
      </c>
      <c r="F120" s="7" t="str">
        <f>IFERROR(__xludf.DUMMYFUNCTION("""COMPUTED_VALUE"""),"Embedded Board Design")</f>
        <v>Embedded Board Design</v>
      </c>
      <c r="G120" s="2" t="str">
        <f>IFERROR(__xludf.DUMMYFUNCTION("""COMPUTED_VALUE"""),"-")</f>
        <v>-</v>
      </c>
      <c r="H120" s="2">
        <f>IFERROR(__xludf.DUMMYFUNCTION("""COMPUTED_VALUE"""),2)</f>
        <v>2</v>
      </c>
      <c r="I120" s="2">
        <f>IFERROR(__xludf.DUMMYFUNCTION("""COMPUTED_VALUE"""),1)</f>
        <v>1</v>
      </c>
      <c r="J120" s="2">
        <f>IFERROR(__xludf.DUMMYFUNCTION("""COMPUTED_VALUE"""),3)</f>
        <v>3</v>
      </c>
      <c r="K120" s="2" t="str">
        <f>IFERROR(__xludf.DUMMYFUNCTION("""COMPUTED_VALUE"""),"CGPA")</f>
        <v>CGPA</v>
      </c>
      <c r="L120" s="2" t="str">
        <f>IFERROR(__xludf.DUMMYFUNCTION("""COMPUTED_VALUE"""),"TIP (6 Expts)")</f>
        <v>TIP (6 Expts)</v>
      </c>
      <c r="M120" s="9"/>
      <c r="N120" s="9"/>
      <c r="O120" s="9"/>
      <c r="P120" s="9"/>
      <c r="Q120" s="9"/>
      <c r="R120" s="9"/>
    </row>
    <row r="121" ht="48" customHeight="1" spans="1:18">
      <c r="A121" s="2">
        <f>IFERROR(__xludf.DUMMYFUNCTION("""COMPUTED_VALUE"""),119)</f>
        <v>119</v>
      </c>
      <c r="B121" s="2"/>
      <c r="C121" s="2" t="str">
        <f>IFERROR(__xludf.DUMMYFUNCTION("""COMPUTED_VALUE"""),"PE")</f>
        <v>PE</v>
      </c>
      <c r="D121" s="2" t="str">
        <f>IFERROR(__xludf.DUMMYFUNCTION("""COMPUTED_VALUE"""),"CS1543")</f>
        <v>CS1543</v>
      </c>
      <c r="E121" s="2" t="str">
        <f>IFERROR(__xludf.DUMMYFUNCTION("""COMPUTED_VALUE"""),"19CS543")</f>
        <v>19CS543</v>
      </c>
      <c r="F121" s="7" t="str">
        <f>IFERROR(__xludf.DUMMYFUNCTION("""COMPUTED_VALUE"""),"Embedded Board Manufacturing")</f>
        <v>Embedded Board Manufacturing</v>
      </c>
      <c r="G121" s="2" t="str">
        <f>IFERROR(__xludf.DUMMYFUNCTION("""COMPUTED_VALUE"""),"-")</f>
        <v>-</v>
      </c>
      <c r="H121" s="2">
        <f>IFERROR(__xludf.DUMMYFUNCTION("""COMPUTED_VALUE"""),2)</f>
        <v>2</v>
      </c>
      <c r="I121" s="2">
        <f>IFERROR(__xludf.DUMMYFUNCTION("""COMPUTED_VALUE"""),1)</f>
        <v>1</v>
      </c>
      <c r="J121" s="2">
        <f>IFERROR(__xludf.DUMMYFUNCTION("""COMPUTED_VALUE"""),3)</f>
        <v>3</v>
      </c>
      <c r="K121" s="2" t="str">
        <f>IFERROR(__xludf.DUMMYFUNCTION("""COMPUTED_VALUE"""),"CGPA")</f>
        <v>CGPA</v>
      </c>
      <c r="L121" s="2" t="str">
        <f>IFERROR(__xludf.DUMMYFUNCTION("""COMPUTED_VALUE"""),"TIP (6 Expts)")</f>
        <v>TIP (6 Expts)</v>
      </c>
      <c r="M121" s="9"/>
      <c r="N121" s="9"/>
      <c r="O121" s="9"/>
      <c r="P121" s="9"/>
      <c r="Q121" s="9"/>
      <c r="R121" s="9"/>
    </row>
    <row r="122" ht="48" customHeight="1" spans="1:18">
      <c r="A122" s="2">
        <f>IFERROR(__xludf.DUMMYFUNCTION("""COMPUTED_VALUE"""),120)</f>
        <v>120</v>
      </c>
      <c r="B122" s="2"/>
      <c r="C122" s="2" t="str">
        <f>IFERROR(__xludf.DUMMYFUNCTION("""COMPUTED_VALUE"""),"PE")</f>
        <v>PE</v>
      </c>
      <c r="D122" s="2" t="str">
        <f>IFERROR(__xludf.DUMMYFUNCTION("""COMPUTED_VALUE"""),"CS1544")</f>
        <v>CS1544</v>
      </c>
      <c r="E122" s="2" t="str">
        <f>IFERROR(__xludf.DUMMYFUNCTION("""COMPUTED_VALUE"""),"19CS544")</f>
        <v>19CS544</v>
      </c>
      <c r="F122" s="7" t="str">
        <f>IFERROR(__xludf.DUMMYFUNCTION("""COMPUTED_VALUE"""),"Realtime Operating System")</f>
        <v>Realtime Operating System</v>
      </c>
      <c r="G122" s="2" t="str">
        <f>IFERROR(__xludf.DUMMYFUNCTION("""COMPUTED_VALUE"""),"-")</f>
        <v>-</v>
      </c>
      <c r="H122" s="2">
        <f>IFERROR(__xludf.DUMMYFUNCTION("""COMPUTED_VALUE"""),2)</f>
        <v>2</v>
      </c>
      <c r="I122" s="2">
        <f>IFERROR(__xludf.DUMMYFUNCTION("""COMPUTED_VALUE"""),1)</f>
        <v>1</v>
      </c>
      <c r="J122" s="2">
        <f>IFERROR(__xludf.DUMMYFUNCTION("""COMPUTED_VALUE"""),3)</f>
        <v>3</v>
      </c>
      <c r="K122" s="2" t="str">
        <f>IFERROR(__xludf.DUMMYFUNCTION("""COMPUTED_VALUE"""),"CGPA")</f>
        <v>CGPA</v>
      </c>
      <c r="L122" s="2" t="str">
        <f>IFERROR(__xludf.DUMMYFUNCTION("""COMPUTED_VALUE"""),"TIP (6 Expts)")</f>
        <v>TIP (6 Expts)</v>
      </c>
      <c r="M122" s="9"/>
      <c r="N122" s="9"/>
      <c r="O122" s="9"/>
      <c r="P122" s="9"/>
      <c r="Q122" s="9"/>
      <c r="R122" s="9"/>
    </row>
    <row r="123" ht="13.2" spans="1:15">
      <c r="A123" s="26">
        <f>IFERROR(__xludf.DUMMYFUNCTION("""COMPUTED_VALUE"""),121)</f>
        <v>121</v>
      </c>
      <c r="B123" s="26"/>
      <c r="C123" s="26" t="str">
        <f>IFERROR(__xludf.DUMMYFUNCTION("""COMPUTED_VALUE"""),"PE")</f>
        <v>PE</v>
      </c>
      <c r="D123" s="26" t="str">
        <f>IFERROR(__xludf.DUMMYFUNCTION("""COMPUTED_VALUE"""),"CS1545")</f>
        <v>CS1545</v>
      </c>
      <c r="E123" s="26" t="str">
        <f>IFERROR(__xludf.DUMMYFUNCTION("""COMPUTED_VALUE"""),"19CS545")</f>
        <v>19CS545</v>
      </c>
      <c r="F123" s="27" t="str">
        <f>IFERROR(__xludf.DUMMYFUNCTION("""COMPUTED_VALUE"""),"Open Source Operating System")</f>
        <v>Open Source Operating System</v>
      </c>
      <c r="G123" s="26" t="str">
        <f>IFERROR(__xludf.DUMMYFUNCTION("""COMPUTED_VALUE"""),"-")</f>
        <v>-</v>
      </c>
      <c r="H123" s="26">
        <f>IFERROR(__xludf.DUMMYFUNCTION("""COMPUTED_VALUE"""),2)</f>
        <v>2</v>
      </c>
      <c r="I123" s="26">
        <f>IFERROR(__xludf.DUMMYFUNCTION("""COMPUTED_VALUE"""),1)</f>
        <v>1</v>
      </c>
      <c r="J123" s="26">
        <f>IFERROR(__xludf.DUMMYFUNCTION("""COMPUTED_VALUE"""),3)</f>
        <v>3</v>
      </c>
      <c r="K123" s="26" t="str">
        <f>IFERROR(__xludf.DUMMYFUNCTION("""COMPUTED_VALUE"""),"CGPA")</f>
        <v>CGPA</v>
      </c>
      <c r="L123" s="26" t="str">
        <f>IFERROR(__xludf.DUMMYFUNCTION("""COMPUTED_VALUE"""),"TIP (6 Expts)")</f>
        <v>TIP (6 Expts)</v>
      </c>
      <c r="M123" s="26"/>
      <c r="N123" s="26"/>
      <c r="O123" s="26"/>
    </row>
    <row r="124" ht="13.2" spans="1:15">
      <c r="A124" s="26">
        <f>IFERROR(__xludf.DUMMYFUNCTION("""COMPUTED_VALUE"""),122)</f>
        <v>122</v>
      </c>
      <c r="B124" s="26"/>
      <c r="C124" s="26" t="str">
        <f>IFERROR(__xludf.DUMMYFUNCTION("""COMPUTED_VALUE"""),"PE")</f>
        <v>PE</v>
      </c>
      <c r="D124" s="26" t="str">
        <f>IFERROR(__xludf.DUMMYFUNCTION("""COMPUTED_VALUE"""),"CS1546")</f>
        <v>CS1546</v>
      </c>
      <c r="E124" s="26" t="str">
        <f>IFERROR(__xludf.DUMMYFUNCTION("""COMPUTED_VALUE"""),"19CS546")</f>
        <v>19CS546</v>
      </c>
      <c r="F124" s="27" t="str">
        <f>IFERROR(__xludf.DUMMYFUNCTION("""COMPUTED_VALUE"""),"Kernel Programming")</f>
        <v>Kernel Programming</v>
      </c>
      <c r="G124" s="26" t="str">
        <f>IFERROR(__xludf.DUMMYFUNCTION("""COMPUTED_VALUE"""),"-")</f>
        <v>-</v>
      </c>
      <c r="H124" s="26">
        <f>IFERROR(__xludf.DUMMYFUNCTION("""COMPUTED_VALUE"""),2)</f>
        <v>2</v>
      </c>
      <c r="I124" s="26">
        <f>IFERROR(__xludf.DUMMYFUNCTION("""COMPUTED_VALUE"""),1)</f>
        <v>1</v>
      </c>
      <c r="J124" s="26">
        <f>IFERROR(__xludf.DUMMYFUNCTION("""COMPUTED_VALUE"""),3)</f>
        <v>3</v>
      </c>
      <c r="K124" s="26" t="str">
        <f>IFERROR(__xludf.DUMMYFUNCTION("""COMPUTED_VALUE"""),"CGPA")</f>
        <v>CGPA</v>
      </c>
      <c r="L124" s="26" t="str">
        <f>IFERROR(__xludf.DUMMYFUNCTION("""COMPUTED_VALUE"""),"TIP (6 Expts)")</f>
        <v>TIP (6 Expts)</v>
      </c>
      <c r="M124" s="26"/>
      <c r="N124" s="26"/>
      <c r="O124" s="26"/>
    </row>
    <row r="125" ht="13.2" spans="1:15">
      <c r="A125" s="26">
        <f>IFERROR(__xludf.DUMMYFUNCTION("""COMPUTED_VALUE"""),123)</f>
        <v>123</v>
      </c>
      <c r="B125" s="26"/>
      <c r="C125" s="26" t="str">
        <f>IFERROR(__xludf.DUMMYFUNCTION("""COMPUTED_VALUE"""),"PE")</f>
        <v>PE</v>
      </c>
      <c r="D125" s="26" t="str">
        <f>IFERROR(__xludf.DUMMYFUNCTION("""COMPUTED_VALUE"""),"CS3538")</f>
        <v>CS3538</v>
      </c>
      <c r="E125" s="26" t="str">
        <f>IFERROR(__xludf.DUMMYFUNCTION("""COMPUTED_VALUE"""),"19AI538")</f>
        <v>19AI538</v>
      </c>
      <c r="F125" s="27" t="str">
        <f>IFERROR(__xludf.DUMMYFUNCTION("""COMPUTED_VALUE"""),"Mathematical Modelling and Computer Aided Engineering")</f>
        <v>Mathematical Modelling and Computer Aided Engineering</v>
      </c>
      <c r="G125" s="26" t="str">
        <f>IFERROR(__xludf.DUMMYFUNCTION("""COMPUTED_VALUE"""),"-")</f>
        <v>-</v>
      </c>
      <c r="H125" s="26">
        <f>IFERROR(__xludf.DUMMYFUNCTION("""COMPUTED_VALUE"""),2)</f>
        <v>2</v>
      </c>
      <c r="I125" s="26">
        <f>IFERROR(__xludf.DUMMYFUNCTION("""COMPUTED_VALUE"""),1)</f>
        <v>1</v>
      </c>
      <c r="J125" s="26">
        <f>IFERROR(__xludf.DUMMYFUNCTION("""COMPUTED_VALUE"""),3)</f>
        <v>3</v>
      </c>
      <c r="K125" s="26" t="str">
        <f>IFERROR(__xludf.DUMMYFUNCTION("""COMPUTED_VALUE"""),"CGPA")</f>
        <v>CGPA</v>
      </c>
      <c r="L125" s="26" t="str">
        <f>IFERROR(__xludf.DUMMYFUNCTION("""COMPUTED_VALUE"""),"TIP (6 Expts)")</f>
        <v>TIP (6 Expts)</v>
      </c>
      <c r="M125" s="26"/>
      <c r="N125" s="26"/>
      <c r="O125" s="26"/>
    </row>
    <row r="126" ht="13.2" spans="1:15">
      <c r="A126" s="26">
        <f>IFERROR(__xludf.DUMMYFUNCTION("""COMPUTED_VALUE"""),124)</f>
        <v>124</v>
      </c>
      <c r="B126" s="26"/>
      <c r="C126" s="26" t="str">
        <f>IFERROR(__xludf.DUMMYFUNCTION("""COMPUTED_VALUE"""),"PE")</f>
        <v>PE</v>
      </c>
      <c r="D126" s="26" t="str">
        <f>IFERROR(__xludf.DUMMYFUNCTION("""COMPUTED_VALUE"""),"CS3542")</f>
        <v>CS3542</v>
      </c>
      <c r="E126" s="26" t="str">
        <f>IFERROR(__xludf.DUMMYFUNCTION("""COMPUTED_VALUE"""),"19AI542")</f>
        <v>19AI542</v>
      </c>
      <c r="F126" s="27" t="str">
        <f>IFERROR(__xludf.DUMMYFUNCTION("""COMPUTED_VALUE"""),"Agile Software Development")</f>
        <v>Agile Software Development</v>
      </c>
      <c r="G126" s="26" t="str">
        <f>IFERROR(__xludf.DUMMYFUNCTION("""COMPUTED_VALUE"""),"19CS301")</f>
        <v>19CS301</v>
      </c>
      <c r="H126" s="26">
        <f>IFERROR(__xludf.DUMMYFUNCTION("""COMPUTED_VALUE"""),3)</f>
        <v>3</v>
      </c>
      <c r="I126" s="26">
        <f>IFERROR(__xludf.DUMMYFUNCTION("""COMPUTED_VALUE"""),1)</f>
        <v>1</v>
      </c>
      <c r="J126" s="26">
        <f>IFERROR(__xludf.DUMMYFUNCTION("""COMPUTED_VALUE"""),4)</f>
        <v>4</v>
      </c>
      <c r="K126" s="26" t="str">
        <f>IFERROR(__xludf.DUMMYFUNCTION("""COMPUTED_VALUE"""),"CGPA")</f>
        <v>CGPA</v>
      </c>
      <c r="L126" s="26" t="str">
        <f>IFERROR(__xludf.DUMMYFUNCTION("""COMPUTED_VALUE"""),"TIP (6 Expts)")</f>
        <v>TIP (6 Expts)</v>
      </c>
      <c r="M126" s="26"/>
      <c r="N126" s="26"/>
      <c r="O126" s="26"/>
    </row>
    <row r="127" ht="13.2" spans="1:15">
      <c r="A127" s="26">
        <f>IFERROR(__xludf.DUMMYFUNCTION("""COMPUTED_VALUE"""),125)</f>
        <v>125</v>
      </c>
      <c r="B127" s="26"/>
      <c r="C127" s="26" t="str">
        <f>IFERROR(__xludf.DUMMYFUNCTION("""COMPUTED_VALUE"""),"PE")</f>
        <v>PE</v>
      </c>
      <c r="D127" s="26" t="str">
        <f>IFERROR(__xludf.DUMMYFUNCTION("""COMPUTED_VALUE"""),"CS3543")</f>
        <v>CS3543</v>
      </c>
      <c r="E127" s="26" t="str">
        <f>IFERROR(__xludf.DUMMYFUNCTION("""COMPUTED_VALUE"""),"19AI543")</f>
        <v>19AI543</v>
      </c>
      <c r="F127" s="27" t="str">
        <f>IFERROR(__xludf.DUMMYFUNCTION("""COMPUTED_VALUE"""),"Software Testing")</f>
        <v>Software Testing</v>
      </c>
      <c r="G127" s="26" t="str">
        <f>IFERROR(__xludf.DUMMYFUNCTION("""COMPUTED_VALUE"""),"19CS301")</f>
        <v>19CS301</v>
      </c>
      <c r="H127" s="26">
        <f>IFERROR(__xludf.DUMMYFUNCTION("""COMPUTED_VALUE"""),2)</f>
        <v>2</v>
      </c>
      <c r="I127" s="26">
        <f>IFERROR(__xludf.DUMMYFUNCTION("""COMPUTED_VALUE"""),1)</f>
        <v>1</v>
      </c>
      <c r="J127" s="26">
        <f>IFERROR(__xludf.DUMMYFUNCTION("""COMPUTED_VALUE"""),3)</f>
        <v>3</v>
      </c>
      <c r="K127" s="26" t="str">
        <f>IFERROR(__xludf.DUMMYFUNCTION("""COMPUTED_VALUE"""),"CGPA")</f>
        <v>CGPA</v>
      </c>
      <c r="L127" s="26" t="str">
        <f>IFERROR(__xludf.DUMMYFUNCTION("""COMPUTED_VALUE"""),"TIP (6 Expts)")</f>
        <v>TIP (6 Expts)</v>
      </c>
      <c r="M127" s="26"/>
      <c r="N127" s="26"/>
      <c r="O127" s="26"/>
    </row>
    <row r="128" ht="13.2" spans="1:15">
      <c r="A128" s="26">
        <f>IFERROR(__xludf.DUMMYFUNCTION("""COMPUTED_VALUE"""),126)</f>
        <v>126</v>
      </c>
      <c r="B128" s="26"/>
      <c r="C128" s="26" t="str">
        <f>IFERROR(__xludf.DUMMYFUNCTION("""COMPUTED_VALUE"""),"PE")</f>
        <v>PE</v>
      </c>
      <c r="D128" s="26" t="str">
        <f>IFERROR(__xludf.DUMMYFUNCTION("""COMPUTED_VALUE"""),"CS3544")</f>
        <v>CS3544</v>
      </c>
      <c r="E128" s="26" t="str">
        <f>IFERROR(__xludf.DUMMYFUNCTION("""COMPUTED_VALUE"""),"19AI544")</f>
        <v>19AI544</v>
      </c>
      <c r="F128" s="27" t="str">
        <f>IFERROR(__xludf.DUMMYFUNCTION("""COMPUTED_VALUE"""),"Virtualization and Containerization")</f>
        <v>Virtualization and Containerization</v>
      </c>
      <c r="G128" s="26" t="str">
        <f>IFERROR(__xludf.DUMMYFUNCTION("""COMPUTED_VALUE"""),"19CS405/19CS406")</f>
        <v>19CS405/19CS406</v>
      </c>
      <c r="H128" s="26">
        <f>IFERROR(__xludf.DUMMYFUNCTION("""COMPUTED_VALUE"""),2)</f>
        <v>2</v>
      </c>
      <c r="I128" s="26">
        <f>IFERROR(__xludf.DUMMYFUNCTION("""COMPUTED_VALUE"""),1)</f>
        <v>1</v>
      </c>
      <c r="J128" s="26">
        <f>IFERROR(__xludf.DUMMYFUNCTION("""COMPUTED_VALUE"""),3)</f>
        <v>3</v>
      </c>
      <c r="K128" s="26" t="str">
        <f>IFERROR(__xludf.DUMMYFUNCTION("""COMPUTED_VALUE"""),"CGPA")</f>
        <v>CGPA</v>
      </c>
      <c r="L128" s="26" t="str">
        <f>IFERROR(__xludf.DUMMYFUNCTION("""COMPUTED_VALUE"""),"TIP (6 Expts)")</f>
        <v>TIP (6 Expts)</v>
      </c>
      <c r="M128" s="26"/>
      <c r="N128" s="26"/>
      <c r="O128" s="26"/>
    </row>
    <row r="129" ht="13.2" spans="1:15">
      <c r="A129" s="26">
        <f>IFERROR(__xludf.DUMMYFUNCTION("""COMPUTED_VALUE"""),127)</f>
        <v>127</v>
      </c>
      <c r="B129" s="26"/>
      <c r="C129" s="26" t="str">
        <f>IFERROR(__xludf.DUMMYFUNCTION("""COMPUTED_VALUE"""),"PE")</f>
        <v>PE</v>
      </c>
      <c r="D129" s="26" t="str">
        <f>IFERROR(__xludf.DUMMYFUNCTION("""COMPUTED_VALUE"""),"CS3528")</f>
        <v>CS3528</v>
      </c>
      <c r="E129" s="26" t="str">
        <f>IFERROR(__xludf.DUMMYFUNCTION("""COMPUTED_VALUE"""),"19AI528")</f>
        <v>19AI528</v>
      </c>
      <c r="F129" s="27" t="str">
        <f>IFERROR(__xludf.DUMMYFUNCTION("""COMPUTED_VALUE"""),"Advanced Graph Theory and Applications")</f>
        <v>Advanced Graph Theory and Applications</v>
      </c>
      <c r="G129" s="26" t="str">
        <f>IFERROR(__xludf.DUMMYFUNCTION("""COMPUTED_VALUE"""),"19CS402")</f>
        <v>19CS402</v>
      </c>
      <c r="H129" s="26">
        <f>IFERROR(__xludf.DUMMYFUNCTION("""COMPUTED_VALUE"""),2)</f>
        <v>2</v>
      </c>
      <c r="I129" s="26">
        <f>IFERROR(__xludf.DUMMYFUNCTION("""COMPUTED_VALUE"""),1)</f>
        <v>1</v>
      </c>
      <c r="J129" s="26">
        <f>IFERROR(__xludf.DUMMYFUNCTION("""COMPUTED_VALUE"""),3)</f>
        <v>3</v>
      </c>
      <c r="K129" s="26" t="str">
        <f>IFERROR(__xludf.DUMMYFUNCTION("""COMPUTED_VALUE"""),"CGPA")</f>
        <v>CGPA</v>
      </c>
      <c r="L129" s="26" t="str">
        <f>IFERROR(__xludf.DUMMYFUNCTION("""COMPUTED_VALUE"""),"TIP (6 Expts)")</f>
        <v>TIP (6 Expts)</v>
      </c>
      <c r="M129" s="26"/>
      <c r="N129" s="26"/>
      <c r="O129" s="26"/>
    </row>
    <row r="130" ht="13.2" spans="1:15">
      <c r="A130" s="26">
        <f>IFERROR(__xludf.DUMMYFUNCTION("""COMPUTED_VALUE"""),128)</f>
        <v>128</v>
      </c>
      <c r="B130" s="26"/>
      <c r="C130" s="26" t="str">
        <f>IFERROR(__xludf.DUMMYFUNCTION("""COMPUTED_VALUE"""),"PE")</f>
        <v>PE</v>
      </c>
      <c r="D130" s="26" t="str">
        <f>IFERROR(__xludf.DUMMYFUNCTION("""COMPUTED_VALUE"""),"CS3529")</f>
        <v>CS3529</v>
      </c>
      <c r="E130" s="26" t="str">
        <f>IFERROR(__xludf.DUMMYFUNCTION("""COMPUTED_VALUE"""),"19AI529")</f>
        <v>19AI529</v>
      </c>
      <c r="F130" s="27" t="str">
        <f>IFERROR(__xludf.DUMMYFUNCTION("""COMPUTED_VALUE"""),"Advanced Data Structures")</f>
        <v>Advanced Data Structures</v>
      </c>
      <c r="G130" s="26" t="str">
        <f>IFERROR(__xludf.DUMMYFUNCTION("""COMPUTED_VALUE"""),"19CS401")</f>
        <v>19CS401</v>
      </c>
      <c r="H130" s="26">
        <f>IFERROR(__xludf.DUMMYFUNCTION("""COMPUTED_VALUE"""),2)</f>
        <v>2</v>
      </c>
      <c r="I130" s="26">
        <f>IFERROR(__xludf.DUMMYFUNCTION("""COMPUTED_VALUE"""),1)</f>
        <v>1</v>
      </c>
      <c r="J130" s="26">
        <f>IFERROR(__xludf.DUMMYFUNCTION("""COMPUTED_VALUE"""),3)</f>
        <v>3</v>
      </c>
      <c r="K130" s="26" t="str">
        <f>IFERROR(__xludf.DUMMYFUNCTION("""COMPUTED_VALUE"""),"CGPA")</f>
        <v>CGPA</v>
      </c>
      <c r="L130" s="26" t="str">
        <f>IFERROR(__xludf.DUMMYFUNCTION("""COMPUTED_VALUE"""),"TIP (6 Expts)")</f>
        <v>TIP (6 Expts)</v>
      </c>
      <c r="M130" s="26"/>
      <c r="N130" s="26"/>
      <c r="O130" s="26"/>
    </row>
    <row r="131" ht="13.2" spans="1:15">
      <c r="A131" s="26">
        <f>IFERROR(__xludf.DUMMYFUNCTION("""COMPUTED_VALUE"""),129)</f>
        <v>129</v>
      </c>
      <c r="B131" s="26"/>
      <c r="C131" s="26" t="str">
        <f>IFERROR(__xludf.DUMMYFUNCTION("""COMPUTED_VALUE"""),"PE")</f>
        <v>PE</v>
      </c>
      <c r="D131" s="26" t="str">
        <f>IFERROR(__xludf.DUMMYFUNCTION("""COMPUTED_VALUE"""),"CS3508")</f>
        <v>CS3508</v>
      </c>
      <c r="E131" s="26" t="str">
        <f>IFERROR(__xludf.DUMMYFUNCTION("""COMPUTED_VALUE"""),"19AI508")</f>
        <v>19AI508</v>
      </c>
      <c r="F131" s="26" t="str">
        <f>IFERROR(__xludf.DUMMYFUNCTION("""COMPUTED_VALUE"""),"Soft Computing Techniques")</f>
        <v>Soft Computing Techniques</v>
      </c>
      <c r="G131" s="26" t="str">
        <f>IFERROR(__xludf.DUMMYFUNCTION("""COMPUTED_VALUE"""),"-")</f>
        <v>-</v>
      </c>
      <c r="H131" s="26">
        <f>IFERROR(__xludf.DUMMYFUNCTION("""COMPUTED_VALUE"""),2)</f>
        <v>2</v>
      </c>
      <c r="I131" s="26">
        <f>IFERROR(__xludf.DUMMYFUNCTION("""COMPUTED_VALUE"""),1)</f>
        <v>1</v>
      </c>
      <c r="J131" s="26">
        <f>IFERROR(__xludf.DUMMYFUNCTION("""COMPUTED_VALUE"""),3)</f>
        <v>3</v>
      </c>
      <c r="K131" s="26" t="str">
        <f>IFERROR(__xludf.DUMMYFUNCTION("""COMPUTED_VALUE"""),"CGPA")</f>
        <v>CGPA</v>
      </c>
      <c r="L131" s="26" t="str">
        <f>IFERROR(__xludf.DUMMYFUNCTION("""COMPUTED_VALUE"""),"TIP (6 Expts)")</f>
        <v>TIP (6 Expts)</v>
      </c>
      <c r="M131" s="26"/>
      <c r="N131" s="26"/>
      <c r="O131" s="26"/>
    </row>
    <row r="132" ht="13.2" spans="1:15">
      <c r="A132" s="26">
        <f>IFERROR(__xludf.DUMMYFUNCTION("""COMPUTED_VALUE"""),130)</f>
        <v>130</v>
      </c>
      <c r="B132" s="26"/>
      <c r="C132" s="26" t="str">
        <f>IFERROR(__xludf.DUMMYFUNCTION("""COMPUTED_VALUE"""),"PE")</f>
        <v>PE</v>
      </c>
      <c r="D132" s="26" t="str">
        <f>IFERROR(__xludf.DUMMYFUNCTION("""COMPUTED_VALUE"""),"CS3515")</f>
        <v>CS3515</v>
      </c>
      <c r="E132" s="26" t="str">
        <f>IFERROR(__xludf.DUMMYFUNCTION("""COMPUTED_VALUE"""),"19AI515")</f>
        <v>19AI515</v>
      </c>
      <c r="F132" s="27" t="str">
        <f>IFERROR(__xludf.DUMMYFUNCTION("""COMPUTED_VALUE"""),"Smart Manufacturing Technology")</f>
        <v>Smart Manufacturing Technology</v>
      </c>
      <c r="G132" s="26" t="str">
        <f>IFERROR(__xludf.DUMMYFUNCTION("""COMPUTED_VALUE"""),"-")</f>
        <v>-</v>
      </c>
      <c r="H132" s="26">
        <f>IFERROR(__xludf.DUMMYFUNCTION("""COMPUTED_VALUE"""),2)</f>
        <v>2</v>
      </c>
      <c r="I132" s="26">
        <f>IFERROR(__xludf.DUMMYFUNCTION("""COMPUTED_VALUE"""),1)</f>
        <v>1</v>
      </c>
      <c r="J132" s="26">
        <f>IFERROR(__xludf.DUMMYFUNCTION("""COMPUTED_VALUE"""),3)</f>
        <v>3</v>
      </c>
      <c r="K132" s="26" t="str">
        <f>IFERROR(__xludf.DUMMYFUNCTION("""COMPUTED_VALUE"""),"CGPA")</f>
        <v>CGPA</v>
      </c>
      <c r="L132" s="26" t="str">
        <f>IFERROR(__xludf.DUMMYFUNCTION("""COMPUTED_VALUE"""),"TIP (6 Expts)")</f>
        <v>TIP (6 Expts)</v>
      </c>
      <c r="M132" s="26"/>
      <c r="N132" s="26"/>
      <c r="O132" s="26"/>
    </row>
    <row r="133" ht="13.2" spans="1:15">
      <c r="A133" s="26">
        <f>IFERROR(__xludf.DUMMYFUNCTION("""COMPUTED_VALUE"""),131)</f>
        <v>131</v>
      </c>
      <c r="B133" s="26"/>
      <c r="C133" s="26" t="str">
        <f>IFERROR(__xludf.DUMMYFUNCTION("""COMPUTED_VALUE"""),"PE")</f>
        <v>PE</v>
      </c>
      <c r="D133" s="26" t="str">
        <f>IFERROR(__xludf.DUMMYFUNCTION("""COMPUTED_VALUE"""),"CS1523")</f>
        <v>CS1523</v>
      </c>
      <c r="E133" s="26" t="str">
        <f>IFERROR(__xludf.DUMMYFUNCTION("""COMPUTED_VALUE"""),"19CS523")</f>
        <v>19CS523</v>
      </c>
      <c r="F133" s="27" t="str">
        <f>IFERROR(__xludf.DUMMYFUNCTION("""COMPUTED_VALUE"""),"Information Retrieval")</f>
        <v>Information Retrieval</v>
      </c>
      <c r="G133" s="26" t="str">
        <f>IFERROR(__xludf.DUMMYFUNCTION("""COMPUTED_VALUE"""),"19AI410/ 19CS501/19CS413")</f>
        <v>19AI410/ 19CS501/19CS413</v>
      </c>
      <c r="H133" s="26">
        <f>IFERROR(__xludf.DUMMYFUNCTION("""COMPUTED_VALUE"""),3)</f>
        <v>3</v>
      </c>
      <c r="I133" s="26">
        <f>IFERROR(__xludf.DUMMYFUNCTION("""COMPUTED_VALUE"""),0)</f>
        <v>0</v>
      </c>
      <c r="J133" s="26">
        <f>IFERROR(__xludf.DUMMYFUNCTION("""COMPUTED_VALUE"""),3)</f>
        <v>3</v>
      </c>
      <c r="K133" s="26" t="str">
        <f>IFERROR(__xludf.DUMMYFUNCTION("""COMPUTED_VALUE"""),"CGPA")</f>
        <v>CGPA</v>
      </c>
      <c r="L133" s="26" t="str">
        <f>IFERROR(__xludf.DUMMYFUNCTION("""COMPUTED_VALUE"""),"Theory")</f>
        <v>Theory</v>
      </c>
      <c r="M133" s="26"/>
      <c r="N133" s="26"/>
      <c r="O133" s="26"/>
    </row>
    <row r="134" ht="13.2" spans="1:15">
      <c r="A134" s="26">
        <f>IFERROR(__xludf.DUMMYFUNCTION("""COMPUTED_VALUE"""),132)</f>
        <v>132</v>
      </c>
      <c r="B134" s="26"/>
      <c r="C134" s="26" t="str">
        <f>IFERROR(__xludf.DUMMYFUNCTION("""COMPUTED_VALUE"""),"PE")</f>
        <v>PE</v>
      </c>
      <c r="D134" s="26" t="str">
        <f>IFERROR(__xludf.DUMMYFUNCTION("""COMPUTED_VALUE"""),"CS3512")</f>
        <v>CS3512</v>
      </c>
      <c r="E134" s="26" t="str">
        <f>IFERROR(__xludf.DUMMYFUNCTION("""COMPUTED_VALUE"""),"19AI512")</f>
        <v>19AI512</v>
      </c>
      <c r="F134" s="27" t="str">
        <f>IFERROR(__xludf.DUMMYFUNCTION("""COMPUTED_VALUE"""),"NoSQL Database Design")</f>
        <v>NoSQL Database Design</v>
      </c>
      <c r="G134" s="26" t="str">
        <f>IFERROR(__xludf.DUMMYFUNCTION("""COMPUTED_VALUE"""),"19CS301")</f>
        <v>19CS301</v>
      </c>
      <c r="H134" s="26">
        <f>IFERROR(__xludf.DUMMYFUNCTION("""COMPUTED_VALUE"""),2)</f>
        <v>2</v>
      </c>
      <c r="I134" s="26">
        <f>IFERROR(__xludf.DUMMYFUNCTION("""COMPUTED_VALUE"""),1)</f>
        <v>1</v>
      </c>
      <c r="J134" s="26">
        <f>IFERROR(__xludf.DUMMYFUNCTION("""COMPUTED_VALUE"""),3)</f>
        <v>3</v>
      </c>
      <c r="K134" s="26" t="str">
        <f>IFERROR(__xludf.DUMMYFUNCTION("""COMPUTED_VALUE"""),"CGPA")</f>
        <v>CGPA</v>
      </c>
      <c r="L134" s="26" t="str">
        <f>IFERROR(__xludf.DUMMYFUNCTION("""COMPUTED_VALUE"""),"TIP (6 Expts)")</f>
        <v>TIP (6 Expts)</v>
      </c>
      <c r="M134" s="26"/>
      <c r="N134" s="26"/>
      <c r="O134" s="26"/>
    </row>
    <row r="135" ht="13.2" spans="1:15">
      <c r="A135" s="26">
        <f>IFERROR(__xludf.DUMMYFUNCTION("""COMPUTED_VALUE"""),133)</f>
        <v>133</v>
      </c>
      <c r="B135" s="26"/>
      <c r="C135" s="26" t="str">
        <f>IFERROR(__xludf.DUMMYFUNCTION("""COMPUTED_VALUE"""),"PE")</f>
        <v>PE</v>
      </c>
      <c r="D135" s="26" t="str">
        <f>IFERROR(__xludf.DUMMYFUNCTION("""COMPUTED_VALUE"""),"CS3518")</f>
        <v>CS3518</v>
      </c>
      <c r="E135" s="26" t="str">
        <f>IFERROR(__xludf.DUMMYFUNCTION("""COMPUTED_VALUE"""),"19AI518")</f>
        <v>19AI518</v>
      </c>
      <c r="F135" s="27" t="str">
        <f>IFERROR(__xludf.DUMMYFUNCTION("""COMPUTED_VALUE"""),"Cognitive Systems")</f>
        <v>Cognitive Systems</v>
      </c>
      <c r="G135" s="26" t="str">
        <f>IFERROR(__xludf.DUMMYFUNCTION("""COMPUTED_VALUE"""),"-")</f>
        <v>-</v>
      </c>
      <c r="H135" s="26">
        <f>IFERROR(__xludf.DUMMYFUNCTION("""COMPUTED_VALUE"""),3)</f>
        <v>3</v>
      </c>
      <c r="I135" s="26">
        <f>IFERROR(__xludf.DUMMYFUNCTION("""COMPUTED_VALUE"""),0)</f>
        <v>0</v>
      </c>
      <c r="J135" s="26">
        <f>IFERROR(__xludf.DUMMYFUNCTION("""COMPUTED_VALUE"""),3)</f>
        <v>3</v>
      </c>
      <c r="K135" s="26" t="str">
        <f>IFERROR(__xludf.DUMMYFUNCTION("""COMPUTED_VALUE"""),"CGPA")</f>
        <v>CGPA</v>
      </c>
      <c r="L135" s="26" t="str">
        <f>IFERROR(__xludf.DUMMYFUNCTION("""COMPUTED_VALUE"""),"Theory")</f>
        <v>Theory</v>
      </c>
      <c r="M135" s="26"/>
      <c r="N135" s="26"/>
      <c r="O135" s="26"/>
    </row>
    <row r="136" ht="13.2" spans="1:15">
      <c r="A136" s="26">
        <f>IFERROR(__xludf.DUMMYFUNCTION("""COMPUTED_VALUE"""),134)</f>
        <v>134</v>
      </c>
      <c r="B136" s="26"/>
      <c r="C136" s="26" t="str">
        <f>IFERROR(__xludf.DUMMYFUNCTION("""COMPUTED_VALUE"""),"PE")</f>
        <v>PE</v>
      </c>
      <c r="D136" s="26" t="str">
        <f>IFERROR(__xludf.DUMMYFUNCTION("""COMPUTED_VALUE"""),"CS3519")</f>
        <v>CS3519</v>
      </c>
      <c r="E136" s="26" t="str">
        <f>IFERROR(__xludf.DUMMYFUNCTION("""COMPUTED_VALUE"""),"19AI519")</f>
        <v>19AI519</v>
      </c>
      <c r="F136" s="27" t="str">
        <f>IFERROR(__xludf.DUMMYFUNCTION("""COMPUTED_VALUE"""),"Distributed Database")</f>
        <v>Distributed Database</v>
      </c>
      <c r="G136" s="26" t="str">
        <f>IFERROR(__xludf.DUMMYFUNCTION("""COMPUTED_VALUE"""),"19CS404")</f>
        <v>19CS404</v>
      </c>
      <c r="H136" s="26">
        <f>IFERROR(__xludf.DUMMYFUNCTION("""COMPUTED_VALUE"""),3)</f>
        <v>3</v>
      </c>
      <c r="I136" s="26">
        <f>IFERROR(__xludf.DUMMYFUNCTION("""COMPUTED_VALUE"""),0)</f>
        <v>0</v>
      </c>
      <c r="J136" s="26">
        <f>IFERROR(__xludf.DUMMYFUNCTION("""COMPUTED_VALUE"""),3)</f>
        <v>3</v>
      </c>
      <c r="K136" s="26" t="str">
        <f>IFERROR(__xludf.DUMMYFUNCTION("""COMPUTED_VALUE"""),"CGPA")</f>
        <v>CGPA</v>
      </c>
      <c r="L136" s="26" t="str">
        <f>IFERROR(__xludf.DUMMYFUNCTION("""COMPUTED_VALUE"""),"Theory")</f>
        <v>Theory</v>
      </c>
      <c r="M136" s="26"/>
      <c r="N136" s="26"/>
      <c r="O136" s="26"/>
    </row>
    <row r="137" ht="13.2" spans="1:15">
      <c r="A137" s="26">
        <f>IFERROR(__xludf.DUMMYFUNCTION("""COMPUTED_VALUE"""),135)</f>
        <v>135</v>
      </c>
      <c r="B137" s="26"/>
      <c r="C137" s="26" t="str">
        <f>IFERROR(__xludf.DUMMYFUNCTION("""COMPUTED_VALUE"""),"PE")</f>
        <v>PE</v>
      </c>
      <c r="D137" s="26" t="str">
        <f>IFERROR(__xludf.DUMMYFUNCTION("""COMPUTED_VALUE"""),"CS3520")</f>
        <v>CS3520</v>
      </c>
      <c r="E137" s="26" t="str">
        <f>IFERROR(__xludf.DUMMYFUNCTION("""COMPUTED_VALUE"""),"19AI520")</f>
        <v>19AI520</v>
      </c>
      <c r="F137" s="27" t="str">
        <f>IFERROR(__xludf.DUMMYFUNCTION("""COMPUTED_VALUE"""),"Data Mining and Warehousing")</f>
        <v>Data Mining and Warehousing</v>
      </c>
      <c r="G137" s="26" t="str">
        <f>IFERROR(__xludf.DUMMYFUNCTION("""COMPUTED_VALUE"""),"-")</f>
        <v>-</v>
      </c>
      <c r="H137" s="26">
        <f>IFERROR(__xludf.DUMMYFUNCTION("""COMPUTED_VALUE"""),2)</f>
        <v>2</v>
      </c>
      <c r="I137" s="26">
        <f>IFERROR(__xludf.DUMMYFUNCTION("""COMPUTED_VALUE"""),1)</f>
        <v>1</v>
      </c>
      <c r="J137" s="26">
        <f>IFERROR(__xludf.DUMMYFUNCTION("""COMPUTED_VALUE"""),3)</f>
        <v>3</v>
      </c>
      <c r="K137" s="26" t="str">
        <f>IFERROR(__xludf.DUMMYFUNCTION("""COMPUTED_VALUE"""),"CGPA")</f>
        <v>CGPA</v>
      </c>
      <c r="L137" s="26" t="str">
        <f>IFERROR(__xludf.DUMMYFUNCTION("""COMPUTED_VALUE"""),"TIP (6 Expts)")</f>
        <v>TIP (6 Expts)</v>
      </c>
      <c r="M137" s="26"/>
      <c r="N137" s="26"/>
      <c r="O137" s="26"/>
    </row>
    <row r="138" ht="13.2" spans="1:15">
      <c r="A138" s="26">
        <f>IFERROR(__xludf.DUMMYFUNCTION("""COMPUTED_VALUE"""),136)</f>
        <v>136</v>
      </c>
      <c r="B138" s="26"/>
      <c r="C138" s="26" t="str">
        <f>IFERROR(__xludf.DUMMYFUNCTION("""COMPUTED_VALUE"""),"PE")</f>
        <v>PE</v>
      </c>
      <c r="D138" s="26" t="str">
        <f>IFERROR(__xludf.DUMMYFUNCTION("""COMPUTED_VALUE"""),"CS3523")</f>
        <v>CS3523</v>
      </c>
      <c r="E138" s="26" t="str">
        <f>IFERROR(__xludf.DUMMYFUNCTION("""COMPUTED_VALUE"""),"19AI523")</f>
        <v>19AI523</v>
      </c>
      <c r="F138" s="27" t="str">
        <f>IFERROR(__xludf.DUMMYFUNCTION("""COMPUTED_VALUE"""),"Mobile Database")</f>
        <v>Mobile Database</v>
      </c>
      <c r="G138" s="26" t="str">
        <f>IFERROR(__xludf.DUMMYFUNCTION("""COMPUTED_VALUE"""),"-")</f>
        <v>-</v>
      </c>
      <c r="H138" s="26">
        <f>IFERROR(__xludf.DUMMYFUNCTION("""COMPUTED_VALUE"""),3)</f>
        <v>3</v>
      </c>
      <c r="I138" s="26">
        <f>IFERROR(__xludf.DUMMYFUNCTION("""COMPUTED_VALUE"""),0)</f>
        <v>0</v>
      </c>
      <c r="J138" s="26">
        <f>IFERROR(__xludf.DUMMYFUNCTION("""COMPUTED_VALUE"""),3)</f>
        <v>3</v>
      </c>
      <c r="K138" s="26" t="str">
        <f>IFERROR(__xludf.DUMMYFUNCTION("""COMPUTED_VALUE"""),"CGPA")</f>
        <v>CGPA</v>
      </c>
      <c r="L138" s="26" t="str">
        <f>IFERROR(__xludf.DUMMYFUNCTION("""COMPUTED_VALUE"""),"Theory")</f>
        <v>Theory</v>
      </c>
      <c r="M138" s="26"/>
      <c r="N138" s="26"/>
      <c r="O138" s="26"/>
    </row>
    <row r="139" ht="13.2" spans="1:15">
      <c r="A139" s="26">
        <f>IFERROR(__xludf.DUMMYFUNCTION("""COMPUTED_VALUE"""),137)</f>
        <v>137</v>
      </c>
      <c r="B139" s="26"/>
      <c r="C139" s="26" t="str">
        <f>IFERROR(__xludf.DUMMYFUNCTION("""COMPUTED_VALUE"""),"PE")</f>
        <v>PE</v>
      </c>
      <c r="D139" s="26" t="str">
        <f>IFERROR(__xludf.DUMMYFUNCTION("""COMPUTED_VALUE"""),"CS3524")</f>
        <v>CS3524</v>
      </c>
      <c r="E139" s="26" t="str">
        <f>IFERROR(__xludf.DUMMYFUNCTION("""COMPUTED_VALUE"""),"19AI524")</f>
        <v>19AI524</v>
      </c>
      <c r="F139" s="27" t="str">
        <f>IFERROR(__xludf.DUMMYFUNCTION("""COMPUTED_VALUE"""),"Multimedia Database")</f>
        <v>Multimedia Database</v>
      </c>
      <c r="G139" s="26" t="str">
        <f>IFERROR(__xludf.DUMMYFUNCTION("""COMPUTED_VALUE"""),"19CS410")</f>
        <v>19CS410</v>
      </c>
      <c r="H139" s="26">
        <f>IFERROR(__xludf.DUMMYFUNCTION("""COMPUTED_VALUE"""),3)</f>
        <v>3</v>
      </c>
      <c r="I139" s="26">
        <f>IFERROR(__xludf.DUMMYFUNCTION("""COMPUTED_VALUE"""),0)</f>
        <v>0</v>
      </c>
      <c r="J139" s="26">
        <f>IFERROR(__xludf.DUMMYFUNCTION("""COMPUTED_VALUE"""),3)</f>
        <v>3</v>
      </c>
      <c r="K139" s="26" t="str">
        <f>IFERROR(__xludf.DUMMYFUNCTION("""COMPUTED_VALUE"""),"CGPA")</f>
        <v>CGPA</v>
      </c>
      <c r="L139" s="26" t="str">
        <f>IFERROR(__xludf.DUMMYFUNCTION("""COMPUTED_VALUE"""),"Theory")</f>
        <v>Theory</v>
      </c>
      <c r="M139" s="26"/>
      <c r="N139" s="26"/>
      <c r="O139" s="26"/>
    </row>
    <row r="140" ht="13.2" spans="1:15">
      <c r="A140" s="26">
        <f>IFERROR(__xludf.DUMMYFUNCTION("""COMPUTED_VALUE"""),138)</f>
        <v>138</v>
      </c>
      <c r="B140" s="26"/>
      <c r="C140" s="26" t="str">
        <f>IFERROR(__xludf.DUMMYFUNCTION("""COMPUTED_VALUE"""),"PE")</f>
        <v>PE</v>
      </c>
      <c r="D140" s="26" t="str">
        <f>IFERROR(__xludf.DUMMYFUNCTION("""COMPUTED_VALUE"""),"CS3525")</f>
        <v>CS3525</v>
      </c>
      <c r="E140" s="26" t="str">
        <f>IFERROR(__xludf.DUMMYFUNCTION("""COMPUTED_VALUE"""),"19AI525")</f>
        <v>19AI525</v>
      </c>
      <c r="F140" s="27" t="str">
        <f>IFERROR(__xludf.DUMMYFUNCTION("""COMPUTED_VALUE"""),"Video Processing")</f>
        <v>Video Processing</v>
      </c>
      <c r="G140" s="26" t="str">
        <f>IFERROR(__xludf.DUMMYFUNCTION("""COMPUTED_VALUE"""),"19CS301")</f>
        <v>19CS301</v>
      </c>
      <c r="H140" s="26">
        <f>IFERROR(__xludf.DUMMYFUNCTION("""COMPUTED_VALUE"""),2)</f>
        <v>2</v>
      </c>
      <c r="I140" s="26">
        <f>IFERROR(__xludf.DUMMYFUNCTION("""COMPUTED_VALUE"""),1)</f>
        <v>1</v>
      </c>
      <c r="J140" s="26">
        <f>IFERROR(__xludf.DUMMYFUNCTION("""COMPUTED_VALUE"""),3)</f>
        <v>3</v>
      </c>
      <c r="K140" s="26" t="str">
        <f>IFERROR(__xludf.DUMMYFUNCTION("""COMPUTED_VALUE"""),"CGPA")</f>
        <v>CGPA</v>
      </c>
      <c r="L140" s="26" t="str">
        <f>IFERROR(__xludf.DUMMYFUNCTION("""COMPUTED_VALUE"""),"TIP (6 Expts)")</f>
        <v>TIP (6 Expts)</v>
      </c>
      <c r="M140" s="26"/>
      <c r="N140" s="26"/>
      <c r="O140" s="26"/>
    </row>
    <row r="141" ht="13.2" spans="1:15">
      <c r="A141" s="26">
        <f>IFERROR(__xludf.DUMMYFUNCTION("""COMPUTED_VALUE"""),139)</f>
        <v>139</v>
      </c>
      <c r="B141" s="26"/>
      <c r="C141" s="26" t="str">
        <f>IFERROR(__xludf.DUMMYFUNCTION("""COMPUTED_VALUE"""),"PE")</f>
        <v>PE</v>
      </c>
      <c r="D141" s="26" t="str">
        <f>IFERROR(__xludf.DUMMYFUNCTION("""COMPUTED_VALUE"""),"CS3406")</f>
        <v>CS3406</v>
      </c>
      <c r="E141" s="26" t="str">
        <f>IFERROR(__xludf.DUMMYFUNCTION("""COMPUTED_VALUE"""),"19AI406")</f>
        <v>19AI406</v>
      </c>
      <c r="F141" s="27" t="str">
        <f>IFERROR(__xludf.DUMMYFUNCTION("""COMPUTED_VALUE"""),"Digital Image Processing Techniques")</f>
        <v>Digital Image Processing Techniques</v>
      </c>
      <c r="G141" s="26" t="str">
        <f>IFERROR(__xludf.DUMMYFUNCTION("""COMPUTED_VALUE"""),"-")</f>
        <v>-</v>
      </c>
      <c r="H141" s="26">
        <f>IFERROR(__xludf.DUMMYFUNCTION("""COMPUTED_VALUE"""),2)</f>
        <v>2</v>
      </c>
      <c r="I141" s="26">
        <f>IFERROR(__xludf.DUMMYFUNCTION("""COMPUTED_VALUE"""),1)</f>
        <v>1</v>
      </c>
      <c r="J141" s="26">
        <f>IFERROR(__xludf.DUMMYFUNCTION("""COMPUTED_VALUE"""),3)</f>
        <v>3</v>
      </c>
      <c r="K141" s="26" t="str">
        <f>IFERROR(__xludf.DUMMYFUNCTION("""COMPUTED_VALUE"""),"CGPA")</f>
        <v>CGPA</v>
      </c>
      <c r="L141" s="26" t="str">
        <f>IFERROR(__xludf.DUMMYFUNCTION("""COMPUTED_VALUE"""),"TIP (6 Expts)")</f>
        <v>TIP (6 Expts)</v>
      </c>
      <c r="M141" s="26"/>
      <c r="N141" s="26"/>
      <c r="O141" s="26"/>
    </row>
    <row r="142" ht="13.2" spans="1:15">
      <c r="A142" s="26">
        <f>IFERROR(__xludf.DUMMYFUNCTION("""COMPUTED_VALUE"""),140)</f>
        <v>140</v>
      </c>
      <c r="B142" s="26"/>
      <c r="C142" s="26" t="str">
        <f>IFERROR(__xludf.DUMMYFUNCTION("""COMPUTED_VALUE"""),"PE")</f>
        <v>PE</v>
      </c>
      <c r="D142" s="26" t="str">
        <f>IFERROR(__xludf.DUMMYFUNCTION("""COMPUTED_VALUE"""),"CS3407")</f>
        <v>CS3407</v>
      </c>
      <c r="E142" s="26" t="str">
        <f>IFERROR(__xludf.DUMMYFUNCTION("""COMPUTED_VALUE"""),"19AI407")</f>
        <v>19AI407</v>
      </c>
      <c r="F142" s="27" t="str">
        <f>IFERROR(__xludf.DUMMYFUNCTION("""COMPUTED_VALUE"""),"Parallel Computing Architecture")</f>
        <v>Parallel Computing Architecture</v>
      </c>
      <c r="G142" s="26" t="str">
        <f>IFERROR(__xludf.DUMMYFUNCTION("""COMPUTED_VALUE"""),"-")</f>
        <v>-</v>
      </c>
      <c r="H142" s="26">
        <f>IFERROR(__xludf.DUMMYFUNCTION("""COMPUTED_VALUE"""),3)</f>
        <v>3</v>
      </c>
      <c r="I142" s="26">
        <f>IFERROR(__xludf.DUMMYFUNCTION("""COMPUTED_VALUE"""),1)</f>
        <v>1</v>
      </c>
      <c r="J142" s="26">
        <f>IFERROR(__xludf.DUMMYFUNCTION("""COMPUTED_VALUE"""),4)</f>
        <v>4</v>
      </c>
      <c r="K142" s="26" t="str">
        <f>IFERROR(__xludf.DUMMYFUNCTION("""COMPUTED_VALUE"""),"CGPA")</f>
        <v>CGPA</v>
      </c>
      <c r="L142" s="26" t="str">
        <f>IFERROR(__xludf.DUMMYFUNCTION("""COMPUTED_VALUE"""),"TIP (6 Expts)")</f>
        <v>TIP (6 Expts)</v>
      </c>
      <c r="M142" s="26"/>
      <c r="N142" s="26"/>
      <c r="O142" s="26"/>
    </row>
    <row r="143" ht="13.2" spans="1:15">
      <c r="A143" s="26">
        <f>IFERROR(__xludf.DUMMYFUNCTION("""COMPUTED_VALUE"""),141)</f>
        <v>141</v>
      </c>
      <c r="B143" s="26"/>
      <c r="C143" s="26" t="str">
        <f>IFERROR(__xludf.DUMMYFUNCTION("""COMPUTED_VALUE"""),"PE")</f>
        <v>PE</v>
      </c>
      <c r="D143" s="26" t="str">
        <f>IFERROR(__xludf.DUMMYFUNCTION("""COMPUTED_VALUE"""),"CS3412")</f>
        <v>CS3412</v>
      </c>
      <c r="E143" s="26" t="str">
        <f>IFERROR(__xludf.DUMMYFUNCTION("""COMPUTED_VALUE"""),"19AI412")</f>
        <v>19AI412</v>
      </c>
      <c r="F143" s="27" t="str">
        <f>IFERROR(__xludf.DUMMYFUNCTION("""COMPUTED_VALUE"""),"Web Data Mining")</f>
        <v>Web Data Mining</v>
      </c>
      <c r="G143" s="26" t="str">
        <f>IFERROR(__xludf.DUMMYFUNCTION("""COMPUTED_VALUE"""),"-")</f>
        <v>-</v>
      </c>
      <c r="H143" s="26">
        <f>IFERROR(__xludf.DUMMYFUNCTION("""COMPUTED_VALUE"""),3)</f>
        <v>3</v>
      </c>
      <c r="I143" s="26">
        <f>IFERROR(__xludf.DUMMYFUNCTION("""COMPUTED_VALUE"""),1)</f>
        <v>1</v>
      </c>
      <c r="J143" s="26">
        <f>IFERROR(__xludf.DUMMYFUNCTION("""COMPUTED_VALUE"""),4)</f>
        <v>4</v>
      </c>
      <c r="K143" s="26" t="str">
        <f>IFERROR(__xludf.DUMMYFUNCTION("""COMPUTED_VALUE"""),"CGPA")</f>
        <v>CGPA</v>
      </c>
      <c r="L143" s="26" t="str">
        <f>IFERROR(__xludf.DUMMYFUNCTION("""COMPUTED_VALUE"""),"TIP (6 Expts)")</f>
        <v>TIP (6 Expts)</v>
      </c>
      <c r="M143" s="26"/>
      <c r="N143" s="26"/>
      <c r="O143" s="26"/>
    </row>
    <row r="144" ht="13.2" spans="1:15">
      <c r="A144" s="26">
        <f>IFERROR(__xludf.DUMMYFUNCTION("""COMPUTED_VALUE"""),142)</f>
        <v>142</v>
      </c>
      <c r="B144" s="26"/>
      <c r="C144" s="26" t="str">
        <f>IFERROR(__xludf.DUMMYFUNCTION("""COMPUTED_VALUE"""),"OE")</f>
        <v>OE</v>
      </c>
      <c r="D144" s="26" t="str">
        <f>IFERROR(__xludf.DUMMYFUNCTION("""COMPUTED_VALUE"""),"XXXXXX")</f>
        <v>XXXXXX</v>
      </c>
      <c r="E144" s="26" t="str">
        <f>IFERROR(__xludf.DUMMYFUNCTION("""COMPUTED_VALUE"""),"19XXXXX")</f>
        <v>19XXXXX</v>
      </c>
      <c r="F144" s="26" t="str">
        <f>IFERROR(__xludf.DUMMYFUNCTION("""COMPUTED_VALUE"""),"Open Electives")</f>
        <v>Open Electives</v>
      </c>
      <c r="G144" s="26" t="str">
        <f>IFERROR(__xludf.DUMMYFUNCTION("""COMPUTED_VALUE"""),"-")</f>
        <v>-</v>
      </c>
      <c r="H144" s="26">
        <f>IFERROR(__xludf.DUMMYFUNCTION("""COMPUTED_VALUE"""),0)</f>
        <v>0</v>
      </c>
      <c r="I144" s="26">
        <f>IFERROR(__xludf.DUMMYFUNCTION("""COMPUTED_VALUE"""),0)</f>
        <v>0</v>
      </c>
      <c r="J144" s="26">
        <f>IFERROR(__xludf.DUMMYFUNCTION("""COMPUTED_VALUE"""),0)</f>
        <v>0</v>
      </c>
      <c r="K144" s="26" t="str">
        <f>IFERROR(__xludf.DUMMYFUNCTION("""COMPUTED_VALUE"""),"CGPA")</f>
        <v>CGPA</v>
      </c>
      <c r="L144" s="26" t="str">
        <f>IFERROR(__xludf.DUMMYFUNCTION("""COMPUTED_VALUE"""),"Theory")</f>
        <v>Theory</v>
      </c>
      <c r="M144" s="26"/>
      <c r="N144" s="26"/>
      <c r="O144" s="26"/>
    </row>
    <row r="145" ht="13.2" spans="1:15">
      <c r="A145" s="26">
        <f>IFERROR(__xludf.DUMMYFUNCTION("""COMPUTED_VALUE"""),143)</f>
        <v>143</v>
      </c>
      <c r="B145" s="26"/>
      <c r="C145" s="26" t="str">
        <f>IFERROR(__xludf.DUMMYFUNCTION("""COMPUTED_VALUE"""),"OE")</f>
        <v>OE</v>
      </c>
      <c r="D145" s="26" t="str">
        <f>IFERROR(__xludf.DUMMYFUNCTION("""COMPUTED_VALUE"""),"XXXXXX")</f>
        <v>XXXXXX</v>
      </c>
      <c r="E145" s="26" t="str">
        <f>IFERROR(__xludf.DUMMYFUNCTION("""COMPUTED_VALUE"""),"19XXXXX")</f>
        <v>19XXXXX</v>
      </c>
      <c r="F145" s="26" t="str">
        <f>IFERROR(__xludf.DUMMYFUNCTION("""COMPUTED_VALUE"""),"Online Courses")</f>
        <v>Online Courses</v>
      </c>
      <c r="G145" s="26" t="str">
        <f>IFERROR(__xludf.DUMMYFUNCTION("""COMPUTED_VALUE"""),"-")</f>
        <v>-</v>
      </c>
      <c r="H145" s="26">
        <f>IFERROR(__xludf.DUMMYFUNCTION("""COMPUTED_VALUE"""),0)</f>
        <v>0</v>
      </c>
      <c r="I145" s="26">
        <f>IFERROR(__xludf.DUMMYFUNCTION("""COMPUTED_VALUE"""),0)</f>
        <v>0</v>
      </c>
      <c r="J145" s="26">
        <f>IFERROR(__xludf.DUMMYFUNCTION("""COMPUTED_VALUE"""),0)</f>
        <v>0</v>
      </c>
      <c r="K145" s="26" t="str">
        <f>IFERROR(__xludf.DUMMYFUNCTION("""COMPUTED_VALUE"""),"CGPA")</f>
        <v>CGPA</v>
      </c>
      <c r="L145" s="26" t="str">
        <f>IFERROR(__xludf.DUMMYFUNCTION("""COMPUTED_VALUE"""),"Experiential Learning")</f>
        <v>Experiential Learning</v>
      </c>
      <c r="M145" s="26"/>
      <c r="N145" s="26"/>
      <c r="O145" s="26"/>
    </row>
    <row r="146" ht="13.2" spans="1:15">
      <c r="A146" s="26">
        <f>IFERROR(__xludf.DUMMYFUNCTION("""COMPUTED_VALUE"""),144)</f>
        <v>144</v>
      </c>
      <c r="B146" s="26"/>
      <c r="C146" s="26" t="str">
        <f>IFERROR(__xludf.DUMMYFUNCTION("""COMPUTED_VALUE"""),"EEC")</f>
        <v>EEC</v>
      </c>
      <c r="D146" s="26" t="str">
        <f>IFERROR(__xludf.DUMMYFUNCTION("""COMPUTED_VALUE"""),"CS3701")</f>
        <v>CS3701</v>
      </c>
      <c r="E146" s="26" t="str">
        <f>IFERROR(__xludf.DUMMYFUNCTION("""COMPUTED_VALUE"""),"19AI701")</f>
        <v>19AI701</v>
      </c>
      <c r="F146" s="27" t="str">
        <f>IFERROR(__xludf.DUMMYFUNCTION("""COMPUTED_VALUE"""),"Mini Project")</f>
        <v>Mini Project</v>
      </c>
      <c r="G146" s="26" t="str">
        <f>IFERROR(__xludf.DUMMYFUNCTION("""COMPUTED_VALUE"""),"-")</f>
        <v>-</v>
      </c>
      <c r="H146" s="26">
        <f>IFERROR(__xludf.DUMMYFUNCTION("""COMPUTED_VALUE"""),0)</f>
        <v>0</v>
      </c>
      <c r="I146" s="26">
        <f>IFERROR(__xludf.DUMMYFUNCTION("""COMPUTED_VALUE"""),2)</f>
        <v>2</v>
      </c>
      <c r="J146" s="26">
        <f>IFERROR(__xludf.DUMMYFUNCTION("""COMPUTED_VALUE"""),2)</f>
        <v>2</v>
      </c>
      <c r="K146" s="26" t="str">
        <f>IFERROR(__xludf.DUMMYFUNCTION("""COMPUTED_VALUE"""),"CGPA")</f>
        <v>CGPA</v>
      </c>
      <c r="L146" s="26" t="str">
        <f>IFERROR(__xludf.DUMMYFUNCTION("""COMPUTED_VALUE"""),"Project (Int Only)")</f>
        <v>Project (Int Only)</v>
      </c>
      <c r="M146" s="26"/>
      <c r="N146" s="26"/>
      <c r="O146" s="26"/>
    </row>
    <row r="147" ht="13.2" spans="1:15">
      <c r="A147" s="26">
        <f>IFERROR(__xludf.DUMMYFUNCTION("""COMPUTED_VALUE"""),145)</f>
        <v>145</v>
      </c>
      <c r="B147" s="26" t="str">
        <f>IFERROR(__xludf.DUMMYFUNCTION("""COMPUTED_VALUE"""),"Option 1")</f>
        <v>Option 1</v>
      </c>
      <c r="C147" s="26" t="str">
        <f>IFERROR(__xludf.DUMMYFUNCTION("""COMPUTED_VALUE"""),"EEC")</f>
        <v>EEC</v>
      </c>
      <c r="D147" s="26" t="str">
        <f>IFERROR(__xludf.DUMMYFUNCTION("""COMPUTED_VALUE"""),"CS3702")</f>
        <v>CS3702</v>
      </c>
      <c r="E147" s="26" t="str">
        <f>IFERROR(__xludf.DUMMYFUNCTION("""COMPUTED_VALUE"""),"19AI702")</f>
        <v>19AI702</v>
      </c>
      <c r="F147" s="27" t="str">
        <f>IFERROR(__xludf.DUMMYFUNCTION("""COMPUTED_VALUE"""),"Project Work I")</f>
        <v>Project Work I</v>
      </c>
      <c r="G147" s="26" t="str">
        <f>IFERROR(__xludf.DUMMYFUNCTION("""COMPUTED_VALUE"""),"-")</f>
        <v>-</v>
      </c>
      <c r="H147" s="26">
        <f>IFERROR(__xludf.DUMMYFUNCTION("""COMPUTED_VALUE"""),0)</f>
        <v>0</v>
      </c>
      <c r="I147" s="26">
        <f>IFERROR(__xludf.DUMMYFUNCTION("""COMPUTED_VALUE"""),2)</f>
        <v>2</v>
      </c>
      <c r="J147" s="26">
        <f>IFERROR(__xludf.DUMMYFUNCTION("""COMPUTED_VALUE"""),2)</f>
        <v>2</v>
      </c>
      <c r="K147" s="26" t="str">
        <f>IFERROR(__xludf.DUMMYFUNCTION("""COMPUTED_VALUE"""),"CGPA")</f>
        <v>CGPA</v>
      </c>
      <c r="L147" s="26" t="str">
        <f>IFERROR(__xludf.DUMMYFUNCTION("""COMPUTED_VALUE"""),"Practical (10 Expts)")</f>
        <v>Practical (10 Expts)</v>
      </c>
      <c r="M147" s="26"/>
      <c r="N147" s="26"/>
      <c r="O147" s="26"/>
    </row>
    <row r="148" ht="13.2" spans="1:15">
      <c r="A148" s="26">
        <f>IFERROR(__xludf.DUMMYFUNCTION("""COMPUTED_VALUE"""),146)</f>
        <v>146</v>
      </c>
      <c r="B148" s="26" t="str">
        <f>IFERROR(__xludf.DUMMYFUNCTION("""COMPUTED_VALUE"""),"Option 1")</f>
        <v>Option 1</v>
      </c>
      <c r="C148" s="26" t="str">
        <f>IFERROR(__xludf.DUMMYFUNCTION("""COMPUTED_VALUE"""),"EEC")</f>
        <v>EEC</v>
      </c>
      <c r="D148" s="26" t="str">
        <f>IFERROR(__xludf.DUMMYFUNCTION("""COMPUTED_VALUE"""),"CS3703")</f>
        <v>CS3703</v>
      </c>
      <c r="E148" s="26" t="str">
        <f>IFERROR(__xludf.DUMMYFUNCTION("""COMPUTED_VALUE"""),"19AI703")</f>
        <v>19AI703</v>
      </c>
      <c r="F148" s="27" t="str">
        <f>IFERROR(__xludf.DUMMYFUNCTION("""COMPUTED_VALUE"""),"Project Work II")</f>
        <v>Project Work II</v>
      </c>
      <c r="G148" s="26" t="str">
        <f>IFERROR(__xludf.DUMMYFUNCTION("""COMPUTED_VALUE"""),"19AI702")</f>
        <v>19AI702</v>
      </c>
      <c r="H148" s="26">
        <f>IFERROR(__xludf.DUMMYFUNCTION("""COMPUTED_VALUE"""),0)</f>
        <v>0</v>
      </c>
      <c r="I148" s="26">
        <f>IFERROR(__xludf.DUMMYFUNCTION("""COMPUTED_VALUE"""),6)</f>
        <v>6</v>
      </c>
      <c r="J148" s="26">
        <f>IFERROR(__xludf.DUMMYFUNCTION("""COMPUTED_VALUE"""),6)</f>
        <v>6</v>
      </c>
      <c r="K148" s="26" t="str">
        <f>IFERROR(__xludf.DUMMYFUNCTION("""COMPUTED_VALUE"""),"CGPA")</f>
        <v>CGPA</v>
      </c>
      <c r="L148" s="26" t="str">
        <f>IFERROR(__xludf.DUMMYFUNCTION("""COMPUTED_VALUE"""),"Project")</f>
        <v>Project</v>
      </c>
      <c r="M148" s="26"/>
      <c r="N148" s="26"/>
      <c r="O148" s="26"/>
    </row>
    <row r="149" ht="13.2" spans="1:15">
      <c r="A149" s="26">
        <f>IFERROR(__xludf.DUMMYFUNCTION("""COMPUTED_VALUE"""),147)</f>
        <v>147</v>
      </c>
      <c r="B149" s="26" t="str">
        <f>IFERROR(__xludf.DUMMYFUNCTION("""COMPUTED_VALUE"""),"Option 2")</f>
        <v>Option 2</v>
      </c>
      <c r="C149" s="26" t="str">
        <f>IFERROR(__xludf.DUMMYFUNCTION("""COMPUTED_VALUE"""),"EEC")</f>
        <v>EEC</v>
      </c>
      <c r="D149" s="26" t="str">
        <f>IFERROR(__xludf.DUMMYFUNCTION("""COMPUTED_VALUE"""),"SH6802")</f>
        <v>SH6802</v>
      </c>
      <c r="E149" s="26" t="str">
        <f>IFERROR(__xludf.DUMMYFUNCTION("""COMPUTED_VALUE"""),"NA")</f>
        <v>NA</v>
      </c>
      <c r="F149" s="26" t="str">
        <f>IFERROR(__xludf.DUMMYFUNCTION("""COMPUTED_VALUE"""),"Start Up")</f>
        <v>Start Up</v>
      </c>
      <c r="G149" s="26" t="str">
        <f>IFERROR(__xludf.DUMMYFUNCTION("""COMPUTED_VALUE"""),"-")</f>
        <v>-</v>
      </c>
      <c r="H149" s="26">
        <f>IFERROR(__xludf.DUMMYFUNCTION("""COMPUTED_VALUE"""),0)</f>
        <v>0</v>
      </c>
      <c r="I149" s="26">
        <f>IFERROR(__xludf.DUMMYFUNCTION("""COMPUTED_VALUE"""),8)</f>
        <v>8</v>
      </c>
      <c r="J149" s="26">
        <f>IFERROR(__xludf.DUMMYFUNCTION("""COMPUTED_VALUE"""),8)</f>
        <v>8</v>
      </c>
      <c r="K149" s="26" t="str">
        <f>IFERROR(__xludf.DUMMYFUNCTION("""COMPUTED_VALUE"""),"CGPA")</f>
        <v>CGPA</v>
      </c>
      <c r="L149" s="26" t="str">
        <f>IFERROR(__xludf.DUMMYFUNCTION("""COMPUTED_VALUE"""),"Project")</f>
        <v>Project</v>
      </c>
      <c r="M149" s="26"/>
      <c r="N149" s="26"/>
      <c r="O149" s="26"/>
    </row>
    <row r="150" ht="13.2" spans="1:15">
      <c r="A150" s="26">
        <f>IFERROR(__xludf.DUMMYFUNCTION("""COMPUTED_VALUE"""),148)</f>
        <v>148</v>
      </c>
      <c r="B150" s="26"/>
      <c r="C150" s="26" t="str">
        <f>IFERROR(__xludf.DUMMYFUNCTION("""COMPUTED_VALUE"""),"EEC")</f>
        <v>EEC</v>
      </c>
      <c r="D150" s="26" t="str">
        <f>IFERROR(__xludf.DUMMYFUNCTION("""COMPUTED_VALUE"""),"SH6708")</f>
        <v>SH6708</v>
      </c>
      <c r="E150" s="26" t="str">
        <f>IFERROR(__xludf.DUMMYFUNCTION("""COMPUTED_VALUE"""),"19EY708")</f>
        <v>19EY708</v>
      </c>
      <c r="F150" s="27" t="str">
        <f>IFERROR(__xludf.DUMMYFUNCTION("""COMPUTED_VALUE"""),"Career Development Skills")</f>
        <v>Career Development Skills</v>
      </c>
      <c r="G150" s="26" t="str">
        <f>IFERROR(__xludf.DUMMYFUNCTION("""COMPUTED_VALUE"""),"NIL")</f>
        <v>NIL</v>
      </c>
      <c r="H150" s="26">
        <f>IFERROR(__xludf.DUMMYFUNCTION("""COMPUTED_VALUE"""),1)</f>
        <v>1</v>
      </c>
      <c r="I150" s="26">
        <f>IFERROR(__xludf.DUMMYFUNCTION("""COMPUTED_VALUE"""),0)</f>
        <v>0</v>
      </c>
      <c r="J150" s="26">
        <f>IFERROR(__xludf.DUMMYFUNCTION("""COMPUTED_VALUE"""),1)</f>
        <v>1</v>
      </c>
      <c r="K150" s="26" t="str">
        <f>IFERROR(__xludf.DUMMYFUNCTION("""COMPUTED_VALUE"""),"CGPA")</f>
        <v>CGPA</v>
      </c>
      <c r="L150" s="26" t="str">
        <f>IFERROR(__xludf.DUMMYFUNCTION("""COMPUTED_VALUE"""),"Theory (Int Only)")</f>
        <v>Theory (Int Only)</v>
      </c>
      <c r="M150" s="26"/>
      <c r="N150" s="26"/>
      <c r="O150" s="26"/>
    </row>
    <row r="151" ht="13.2" spans="1:15">
      <c r="A151" s="26">
        <f>IFERROR(__xludf.DUMMYFUNCTION("""COMPUTED_VALUE"""),149)</f>
        <v>149</v>
      </c>
      <c r="B151" s="26"/>
      <c r="C151" s="26" t="str">
        <f>IFERROR(__xludf.DUMMYFUNCTION("""COMPUTED_VALUE"""),"EEC")</f>
        <v>EEC</v>
      </c>
      <c r="D151" s="26" t="str">
        <f>IFERROR(__xludf.DUMMYFUNCTION("""COMPUTED_VALUE"""),"SH6709")</f>
        <v>SH6709</v>
      </c>
      <c r="E151" s="26" t="str">
        <f>IFERROR(__xludf.DUMMYFUNCTION("""COMPUTED_VALUE"""),"19EY709")</f>
        <v>19EY709</v>
      </c>
      <c r="F151" s="27" t="str">
        <f>IFERROR(__xludf.DUMMYFUNCTION("""COMPUTED_VALUE"""),"Reasoning Ability")</f>
        <v>Reasoning Ability</v>
      </c>
      <c r="G151" s="26" t="str">
        <f>IFERROR(__xludf.DUMMYFUNCTION("""COMPUTED_VALUE"""),"NIL")</f>
        <v>NIL</v>
      </c>
      <c r="H151" s="26">
        <f>IFERROR(__xludf.DUMMYFUNCTION("""COMPUTED_VALUE"""),1)</f>
        <v>1</v>
      </c>
      <c r="I151" s="26">
        <f>IFERROR(__xludf.DUMMYFUNCTION("""COMPUTED_VALUE"""),0)</f>
        <v>0</v>
      </c>
      <c r="J151" s="26">
        <f>IFERROR(__xludf.DUMMYFUNCTION("""COMPUTED_VALUE"""),1)</f>
        <v>1</v>
      </c>
      <c r="K151" s="26" t="str">
        <f>IFERROR(__xludf.DUMMYFUNCTION("""COMPUTED_VALUE"""),"CGPA")</f>
        <v>CGPA</v>
      </c>
      <c r="L151" s="26" t="str">
        <f>IFERROR(__xludf.DUMMYFUNCTION("""COMPUTED_VALUE"""),"Theory (Int Only)")</f>
        <v>Theory (Int Only)</v>
      </c>
      <c r="M151" s="26"/>
      <c r="N151" s="26"/>
      <c r="O151" s="26"/>
    </row>
    <row r="152" ht="13.2" spans="1:15">
      <c r="A152" s="26">
        <f>IFERROR(__xludf.DUMMYFUNCTION("""COMPUTED_VALUE"""),150)</f>
        <v>150</v>
      </c>
      <c r="B152" s="26"/>
      <c r="C152" s="26" t="str">
        <f>IFERROR(__xludf.DUMMYFUNCTION("""COMPUTED_VALUE"""),"EEC")</f>
        <v>EEC</v>
      </c>
      <c r="D152" s="26" t="str">
        <f>IFERROR(__xludf.DUMMYFUNCTION("""COMPUTED_VALUE"""),"SH6710")</f>
        <v>SH6710</v>
      </c>
      <c r="E152" s="26" t="str">
        <f>IFERROR(__xludf.DUMMYFUNCTION("""COMPUTED_VALUE"""),"19EY710")</f>
        <v>19EY710</v>
      </c>
      <c r="F152" s="27" t="str">
        <f>IFERROR(__xludf.DUMMYFUNCTION("""COMPUTED_VALUE"""),"Quantitative Ability I")</f>
        <v>Quantitative Ability I</v>
      </c>
      <c r="G152" s="26" t="str">
        <f>IFERROR(__xludf.DUMMYFUNCTION("""COMPUTED_VALUE"""),"NIL")</f>
        <v>NIL</v>
      </c>
      <c r="H152" s="26">
        <f>IFERROR(__xludf.DUMMYFUNCTION("""COMPUTED_VALUE"""),1)</f>
        <v>1</v>
      </c>
      <c r="I152" s="26">
        <f>IFERROR(__xludf.DUMMYFUNCTION("""COMPUTED_VALUE"""),0)</f>
        <v>0</v>
      </c>
      <c r="J152" s="26">
        <f>IFERROR(__xludf.DUMMYFUNCTION("""COMPUTED_VALUE"""),1)</f>
        <v>1</v>
      </c>
      <c r="K152" s="26" t="str">
        <f>IFERROR(__xludf.DUMMYFUNCTION("""COMPUTED_VALUE"""),"CGPA")</f>
        <v>CGPA</v>
      </c>
      <c r="L152" s="26" t="str">
        <f>IFERROR(__xludf.DUMMYFUNCTION("""COMPUTED_VALUE"""),"Theory (Int Only)")</f>
        <v>Theory (Int Only)</v>
      </c>
      <c r="M152" s="26"/>
      <c r="N152" s="26"/>
      <c r="O152" s="26"/>
    </row>
    <row r="153" ht="13.2" spans="1:15">
      <c r="A153" s="26">
        <f>IFERROR(__xludf.DUMMYFUNCTION("""COMPUTED_VALUE"""),151)</f>
        <v>151</v>
      </c>
      <c r="B153" s="26"/>
      <c r="C153" s="26" t="str">
        <f>IFERROR(__xludf.DUMMYFUNCTION("""COMPUTED_VALUE"""),"EEC")</f>
        <v>EEC</v>
      </c>
      <c r="D153" s="26" t="str">
        <f>IFERROR(__xludf.DUMMYFUNCTION("""COMPUTED_VALUE"""),"SH6711")</f>
        <v>SH6711</v>
      </c>
      <c r="E153" s="26" t="str">
        <f>IFERROR(__xludf.DUMMYFUNCTION("""COMPUTED_VALUE"""),"19EY711")</f>
        <v>19EY711</v>
      </c>
      <c r="F153" s="27" t="str">
        <f>IFERROR(__xludf.DUMMYFUNCTION("""COMPUTED_VALUE"""),"Quantitative Ability II")</f>
        <v>Quantitative Ability II</v>
      </c>
      <c r="G153" s="26" t="str">
        <f>IFERROR(__xludf.DUMMYFUNCTION("""COMPUTED_VALUE"""),"SH6710 /19EY710")</f>
        <v>SH6710 /19EY710</v>
      </c>
      <c r="H153" s="26">
        <f>IFERROR(__xludf.DUMMYFUNCTION("""COMPUTED_VALUE"""),1)</f>
        <v>1</v>
      </c>
      <c r="I153" s="26">
        <f>IFERROR(__xludf.DUMMYFUNCTION("""COMPUTED_VALUE"""),0)</f>
        <v>0</v>
      </c>
      <c r="J153" s="26">
        <f>IFERROR(__xludf.DUMMYFUNCTION("""COMPUTED_VALUE"""),1)</f>
        <v>1</v>
      </c>
      <c r="K153" s="26" t="str">
        <f>IFERROR(__xludf.DUMMYFUNCTION("""COMPUTED_VALUE"""),"CGPA")</f>
        <v>CGPA</v>
      </c>
      <c r="L153" s="26" t="str">
        <f>IFERROR(__xludf.DUMMYFUNCTION("""COMPUTED_VALUE"""),"Theory (Int Only)")</f>
        <v>Theory (Int Only)</v>
      </c>
      <c r="M153" s="26"/>
      <c r="N153" s="26"/>
      <c r="O153" s="26"/>
    </row>
    <row r="154" ht="13.2" spans="1:15">
      <c r="A154" s="26">
        <f>IFERROR(__xludf.DUMMYFUNCTION("""COMPUTED_VALUE"""),152)</f>
        <v>152</v>
      </c>
      <c r="B154" s="26"/>
      <c r="C154" s="26" t="str">
        <f>IFERROR(__xludf.DUMMYFUNCTION("""COMPUTED_VALUE"""),"EEC")</f>
        <v>EEC</v>
      </c>
      <c r="D154" s="26" t="str">
        <f>IFERROR(__xludf.DUMMYFUNCTION("""COMPUTED_VALUE"""),"SH6712")</f>
        <v>SH6712</v>
      </c>
      <c r="E154" s="26" t="str">
        <f>IFERROR(__xludf.DUMMYFUNCTION("""COMPUTED_VALUE"""),"19EY712")</f>
        <v>19EY712</v>
      </c>
      <c r="F154" s="27" t="str">
        <f>IFERROR(__xludf.DUMMYFUNCTION("""COMPUTED_VALUE"""),"Employment Enrichment Skills")</f>
        <v>Employment Enrichment Skills</v>
      </c>
      <c r="G154" s="26" t="str">
        <f>IFERROR(__xludf.DUMMYFUNCTION("""COMPUTED_VALUE"""),"19EY702 / 19EY709 / SH6709")</f>
        <v>19EY702 / 19EY709 / SH6709</v>
      </c>
      <c r="H154" s="26">
        <f>IFERROR(__xludf.DUMMYFUNCTION("""COMPUTED_VALUE"""),1)</f>
        <v>1</v>
      </c>
      <c r="I154" s="26">
        <f>IFERROR(__xludf.DUMMYFUNCTION("""COMPUTED_VALUE"""),0)</f>
        <v>0</v>
      </c>
      <c r="J154" s="26">
        <f>IFERROR(__xludf.DUMMYFUNCTION("""COMPUTED_VALUE"""),1)</f>
        <v>1</v>
      </c>
      <c r="K154" s="26" t="str">
        <f>IFERROR(__xludf.DUMMYFUNCTION("""COMPUTED_VALUE"""),"CGPA")</f>
        <v>CGPA</v>
      </c>
      <c r="L154" s="26" t="str">
        <f>IFERROR(__xludf.DUMMYFUNCTION("""COMPUTED_VALUE"""),"Theory (Int Only)")</f>
        <v>Theory (Int Only)</v>
      </c>
      <c r="M154" s="26"/>
      <c r="N154" s="26"/>
      <c r="O154" s="26"/>
    </row>
    <row r="155" ht="13.2" spans="1:15">
      <c r="A155" s="26">
        <f>IFERROR(__xludf.DUMMYFUNCTION("""COMPUTED_VALUE"""),153)</f>
        <v>153</v>
      </c>
      <c r="B155" s="26" t="str">
        <f>IFERROR(__xludf.DUMMYFUNCTION("""COMPUTED_VALUE"""),"Any 1")</f>
        <v>Any 1</v>
      </c>
      <c r="C155" s="26" t="str">
        <f>IFERROR(__xludf.DUMMYFUNCTION("""COMPUTED_VALUE"""),"EEC")</f>
        <v>EEC</v>
      </c>
      <c r="D155" s="26" t="str">
        <f>IFERROR(__xludf.DUMMYFUNCTION("""COMPUTED_VALUE"""),"NA")</f>
        <v>NA</v>
      </c>
      <c r="E155" s="26" t="str">
        <f>IFERROR(__xludf.DUMMYFUNCTION("""COMPUTED_VALUE"""),"19EY706")</f>
        <v>19EY706</v>
      </c>
      <c r="F155" s="27" t="str">
        <f>IFERROR(__xludf.DUMMYFUNCTION("""COMPUTED_VALUE"""),"Company Specific Assessments For Employability")</f>
        <v>Company Specific Assessments For Employability</v>
      </c>
      <c r="G155" s="26" t="str">
        <f>IFERROR(__xludf.DUMMYFUNCTION("""COMPUTED_VALUE"""),"-")</f>
        <v>-</v>
      </c>
      <c r="H155" s="26">
        <f>IFERROR(__xludf.DUMMYFUNCTION("""COMPUTED_VALUE"""),0)</f>
        <v>0</v>
      </c>
      <c r="I155" s="26">
        <f>IFERROR(__xludf.DUMMYFUNCTION("""COMPUTED_VALUE"""),1)</f>
        <v>1</v>
      </c>
      <c r="J155" s="26">
        <f>IFERROR(__xludf.DUMMYFUNCTION("""COMPUTED_VALUE"""),1)</f>
        <v>1</v>
      </c>
      <c r="K155" s="26" t="str">
        <f>IFERROR(__xludf.DUMMYFUNCTION("""COMPUTED_VALUE"""),"CGPA")</f>
        <v>CGPA</v>
      </c>
      <c r="L155" s="26" t="str">
        <f>IFERROR(__xludf.DUMMYFUNCTION("""COMPUTED_VALUE"""),"Practical (6 Expts)")</f>
        <v>Practical (6 Expts)</v>
      </c>
      <c r="M155" s="26"/>
      <c r="N155" s="26"/>
      <c r="O155" s="26"/>
    </row>
    <row r="156" ht="13.2" spans="1:15">
      <c r="A156" s="26">
        <f>IFERROR(__xludf.DUMMYFUNCTION("""COMPUTED_VALUE"""),154)</f>
        <v>154</v>
      </c>
      <c r="B156" s="26" t="str">
        <f>IFERROR(__xludf.DUMMYFUNCTION("""COMPUTED_VALUE"""),"Any 1")</f>
        <v>Any 1</v>
      </c>
      <c r="C156" s="26" t="str">
        <f>IFERROR(__xludf.DUMMYFUNCTION("""COMPUTED_VALUE"""),"EEC")</f>
        <v>EEC</v>
      </c>
      <c r="D156" s="26" t="str">
        <f>IFERROR(__xludf.DUMMYFUNCTION("""COMPUTED_VALUE"""),"SH6713")</f>
        <v>SH6713</v>
      </c>
      <c r="E156" s="26" t="str">
        <f>IFERROR(__xludf.DUMMYFUNCTION("""COMPUTED_VALUE"""),"19EY713")</f>
        <v>19EY713</v>
      </c>
      <c r="F156" s="27" t="str">
        <f>IFERROR(__xludf.DUMMYFUNCTION("""COMPUTED_VALUE"""),"Placement Readiness Assessment")</f>
        <v>Placement Readiness Assessment</v>
      </c>
      <c r="G156" s="26" t="str">
        <f>IFERROR(__xludf.DUMMYFUNCTION("""COMPUTED_VALUE"""),"19EY704 / 19EY711/SH6711")</f>
        <v>19EY704 / 19EY711/SH6711</v>
      </c>
      <c r="H156" s="26">
        <f>IFERROR(__xludf.DUMMYFUNCTION("""COMPUTED_VALUE"""),1)</f>
        <v>1</v>
      </c>
      <c r="I156" s="26">
        <f>IFERROR(__xludf.DUMMYFUNCTION("""COMPUTED_VALUE"""),0)</f>
        <v>0</v>
      </c>
      <c r="J156" s="26">
        <f>IFERROR(__xludf.DUMMYFUNCTION("""COMPUTED_VALUE"""),1)</f>
        <v>1</v>
      </c>
      <c r="K156" s="26" t="str">
        <f>IFERROR(__xludf.DUMMYFUNCTION("""COMPUTED_VALUE"""),"CGPA")</f>
        <v>CGPA</v>
      </c>
      <c r="L156" s="26" t="str">
        <f>IFERROR(__xludf.DUMMYFUNCTION("""COMPUTED_VALUE"""),"Theory (Int Only)")</f>
        <v>Theory (Int Only)</v>
      </c>
      <c r="M156" s="26"/>
      <c r="N156" s="26"/>
      <c r="O156" s="26"/>
    </row>
    <row r="157" ht="13.2" spans="1:15">
      <c r="A157" s="26">
        <f>IFERROR(__xludf.DUMMYFUNCTION("""COMPUTED_VALUE"""),155)</f>
        <v>155</v>
      </c>
      <c r="B157" s="26"/>
      <c r="C157" s="26" t="str">
        <f>IFERROR(__xludf.DUMMYFUNCTION("""COMPUTED_VALUE"""),"EEC")</f>
        <v>EEC</v>
      </c>
      <c r="D157" s="26" t="str">
        <f>IFERROR(__xludf.DUMMYFUNCTION("""COMPUTED_VALUE"""),"SH6707")</f>
        <v>SH6707</v>
      </c>
      <c r="E157" s="26" t="str">
        <f>IFERROR(__xludf.DUMMYFUNCTION("""COMPUTED_VALUE"""),"19EY707")</f>
        <v>19EY707</v>
      </c>
      <c r="F157" s="27" t="str">
        <f>IFERROR(__xludf.DUMMYFUNCTION("""COMPUTED_VALUE"""),"Paper Publication")</f>
        <v>Paper Publication</v>
      </c>
      <c r="G157" s="26" t="str">
        <f>IFERROR(__xludf.DUMMYFUNCTION("""COMPUTED_VALUE"""),"-")</f>
        <v>-</v>
      </c>
      <c r="H157" s="26">
        <f>IFERROR(__xludf.DUMMYFUNCTION("""COMPUTED_VALUE"""),0)</f>
        <v>0</v>
      </c>
      <c r="I157" s="26">
        <f>IFERROR(__xludf.DUMMYFUNCTION("""COMPUTED_VALUE"""),0)</f>
        <v>0</v>
      </c>
      <c r="J157" s="26">
        <f>IFERROR(__xludf.DUMMYFUNCTION("""COMPUTED_VALUE"""),1)</f>
        <v>1</v>
      </c>
      <c r="K157" s="26" t="str">
        <f>IFERROR(__xludf.DUMMYFUNCTION("""COMPUTED_VALUE"""),"NON-CGPA")</f>
        <v>NON-CGPA</v>
      </c>
      <c r="L157" s="26" t="str">
        <f>IFERROR(__xludf.DUMMYFUNCTION("""COMPUTED_VALUE"""),"Experiential Learning (Int Only)")</f>
        <v>Experiential Learning (Int Only)</v>
      </c>
      <c r="M157" s="26"/>
      <c r="N157" s="26"/>
      <c r="O157" s="26"/>
    </row>
    <row r="158" ht="13.2" spans="1:15">
      <c r="A158" s="26">
        <f>IFERROR(__xludf.DUMMYFUNCTION("""COMPUTED_VALUE"""),156)</f>
        <v>156</v>
      </c>
      <c r="B158" s="26"/>
      <c r="C158" s="26" t="str">
        <f>IFERROR(__xludf.DUMMYFUNCTION("""COMPUTED_VALUE"""),"MC")</f>
        <v>MC</v>
      </c>
      <c r="D158" s="26" t="str">
        <f>IFERROR(__xludf.DUMMYFUNCTION("""COMPUTED_VALUE"""),"SH8801")</f>
        <v>SH8801</v>
      </c>
      <c r="E158" s="26" t="str">
        <f>IFERROR(__xludf.DUMMYFUNCTION("""COMPUTED_VALUE"""),"NA")</f>
        <v>NA</v>
      </c>
      <c r="F158" s="27" t="str">
        <f>IFERROR(__xludf.DUMMYFUNCTION("""COMPUTED_VALUE"""),"Constitutionalism and Artificial Intelligence Policies in India")</f>
        <v>Constitutionalism and Artificial Intelligence Policies in India</v>
      </c>
      <c r="G158" s="26" t="str">
        <f>IFERROR(__xludf.DUMMYFUNCTION("""COMPUTED_VALUE"""),"-")</f>
        <v>-</v>
      </c>
      <c r="H158" s="26">
        <f>IFERROR(__xludf.DUMMYFUNCTION("""COMPUTED_VALUE"""),1)</f>
        <v>1</v>
      </c>
      <c r="I158" s="26">
        <f>IFERROR(__xludf.DUMMYFUNCTION("""COMPUTED_VALUE"""),0)</f>
        <v>0</v>
      </c>
      <c r="J158" s="26">
        <f>IFERROR(__xludf.DUMMYFUNCTION("""COMPUTED_VALUE"""),1)</f>
        <v>1</v>
      </c>
      <c r="K158" s="26" t="str">
        <f>IFERROR(__xludf.DUMMYFUNCTION("""COMPUTED_VALUE"""),"NON-CGPA")</f>
        <v>NON-CGPA</v>
      </c>
      <c r="L158" s="26" t="str">
        <f>IFERROR(__xludf.DUMMYFUNCTION("""COMPUTED_VALUE"""),"Theory (Int Only)")</f>
        <v>Theory (Int Only)</v>
      </c>
      <c r="M158" s="26"/>
      <c r="N158" s="26"/>
      <c r="O158" s="26"/>
    </row>
    <row r="159" ht="13.2" spans="1:15">
      <c r="A159" s="26">
        <f>IFERROR(__xludf.DUMMYFUNCTION("""COMPUTED_VALUE"""),157)</f>
        <v>157</v>
      </c>
      <c r="B159" s="26" t="str">
        <f>IFERROR(__xludf.DUMMYFUNCTION("""COMPUTED_VALUE"""),"Any 1")</f>
        <v>Any 1</v>
      </c>
      <c r="C159" s="26" t="str">
        <f>IFERROR(__xludf.DUMMYFUNCTION("""COMPUTED_VALUE"""),"MC")</f>
        <v>MC</v>
      </c>
      <c r="D159" s="26" t="str">
        <f>IFERROR(__xludf.DUMMYFUNCTION("""COMPUTED_VALUE"""),"SH8802")</f>
        <v>SH8802</v>
      </c>
      <c r="E159" s="26" t="str">
        <f>IFERROR(__xludf.DUMMYFUNCTION("""COMPUTED_VALUE"""),"NA")</f>
        <v>NA</v>
      </c>
      <c r="F159" s="27" t="str">
        <f>IFERROR(__xludf.DUMMYFUNCTION("""COMPUTED_VALUE"""),"Internship")</f>
        <v>Internship</v>
      </c>
      <c r="G159" s="26" t="str">
        <f>IFERROR(__xludf.DUMMYFUNCTION("""COMPUTED_VALUE"""),"-")</f>
        <v>-</v>
      </c>
      <c r="H159" s="26">
        <f>IFERROR(__xludf.DUMMYFUNCTION("""COMPUTED_VALUE"""),0)</f>
        <v>0</v>
      </c>
      <c r="I159" s="26">
        <f>IFERROR(__xludf.DUMMYFUNCTION("""COMPUTED_VALUE"""),0)</f>
        <v>0</v>
      </c>
      <c r="J159" s="26">
        <f>IFERROR(__xludf.DUMMYFUNCTION("""COMPUTED_VALUE"""),2)</f>
        <v>2</v>
      </c>
      <c r="K159" s="26" t="str">
        <f>IFERROR(__xludf.DUMMYFUNCTION("""COMPUTED_VALUE"""),"NON-CGPA")</f>
        <v>NON-CGPA</v>
      </c>
      <c r="L159" s="26" t="str">
        <f>IFERROR(__xludf.DUMMYFUNCTION("""COMPUTED_VALUE"""),"Experiential Learning (Int Only)")</f>
        <v>Experiential Learning (Int Only)</v>
      </c>
      <c r="M159" s="26"/>
      <c r="N159" s="26"/>
      <c r="O159" s="26"/>
    </row>
    <row r="160" ht="13.2" spans="1:15">
      <c r="A160" s="26">
        <f>IFERROR(__xludf.DUMMYFUNCTION("""COMPUTED_VALUE"""),158)</f>
        <v>158</v>
      </c>
      <c r="B160" s="26" t="str">
        <f>IFERROR(__xludf.DUMMYFUNCTION("""COMPUTED_VALUE"""),"Any 1")</f>
        <v>Any 1</v>
      </c>
      <c r="C160" s="26" t="str">
        <f>IFERROR(__xludf.DUMMYFUNCTION("""COMPUTED_VALUE"""),"MC")</f>
        <v>MC</v>
      </c>
      <c r="D160" s="26" t="str">
        <f>IFERROR(__xludf.DUMMYFUNCTION("""COMPUTED_VALUE"""),"SH8803")</f>
        <v>SH8803</v>
      </c>
      <c r="E160" s="26" t="str">
        <f>IFERROR(__xludf.DUMMYFUNCTION("""COMPUTED_VALUE"""),"NA")</f>
        <v>NA</v>
      </c>
      <c r="F160" s="26" t="str">
        <f>IFERROR(__xludf.DUMMYFUNCTION("""COMPUTED_VALUE"""),"Entrepreneurship")</f>
        <v>Entrepreneurship</v>
      </c>
      <c r="G160" s="26" t="str">
        <f>IFERROR(__xludf.DUMMYFUNCTION("""COMPUTED_VALUE"""),"-")</f>
        <v>-</v>
      </c>
      <c r="H160" s="26">
        <f>IFERROR(__xludf.DUMMYFUNCTION("""COMPUTED_VALUE"""),0)</f>
        <v>0</v>
      </c>
      <c r="I160" s="26">
        <f>IFERROR(__xludf.DUMMYFUNCTION("""COMPUTED_VALUE"""),0)</f>
        <v>0</v>
      </c>
      <c r="J160" s="26">
        <f>IFERROR(__xludf.DUMMYFUNCTION("""COMPUTED_VALUE"""),2)</f>
        <v>2</v>
      </c>
      <c r="K160" s="26" t="str">
        <f>IFERROR(__xludf.DUMMYFUNCTION("""COMPUTED_VALUE"""),"NON-CGPA")</f>
        <v>NON-CGPA</v>
      </c>
      <c r="L160" s="26" t="str">
        <f>IFERROR(__xludf.DUMMYFUNCTION("""COMPUTED_VALUE"""),"Experiential Learning (Int Only)")</f>
        <v>Experiential Learning (Int Only)</v>
      </c>
      <c r="M160" s="26"/>
      <c r="N160" s="26"/>
      <c r="O160" s="26"/>
    </row>
    <row r="161" ht="13.2" spans="1:15">
      <c r="A161" s="26">
        <f>IFERROR(__xludf.DUMMYFUNCTION("""COMPUTED_VALUE"""),159)</f>
        <v>159</v>
      </c>
      <c r="B161" s="26" t="str">
        <f>IFERROR(__xludf.DUMMYFUNCTION("""COMPUTED_VALUE"""),"Any 1")</f>
        <v>Any 1</v>
      </c>
      <c r="C161" s="26" t="str">
        <f>IFERROR(__xludf.DUMMYFUNCTION("""COMPUTED_VALUE"""),"MC")</f>
        <v>MC</v>
      </c>
      <c r="D161" s="26" t="str">
        <f>IFERROR(__xludf.DUMMYFUNCTION("""COMPUTED_VALUE"""),"SH6803")</f>
        <v>SH6803</v>
      </c>
      <c r="E161" s="26" t="str">
        <f>IFERROR(__xludf.DUMMYFUNCTION("""COMPUTED_VALUE"""),"19MC807")</f>
        <v>19MC807</v>
      </c>
      <c r="F161" s="26" t="str">
        <f>IFERROR(__xludf.DUMMYFUNCTION("""COMPUTED_VALUE"""),"National Service Scheme")</f>
        <v>National Service Scheme</v>
      </c>
      <c r="G161" s="26" t="str">
        <f>IFERROR(__xludf.DUMMYFUNCTION("""COMPUTED_VALUE"""),"-")</f>
        <v>-</v>
      </c>
      <c r="H161" s="26">
        <f>IFERROR(__xludf.DUMMYFUNCTION("""COMPUTED_VALUE"""),0)</f>
        <v>0</v>
      </c>
      <c r="I161" s="26">
        <f>IFERROR(__xludf.DUMMYFUNCTION("""COMPUTED_VALUE"""),0)</f>
        <v>0</v>
      </c>
      <c r="J161" s="26">
        <f>IFERROR(__xludf.DUMMYFUNCTION("""COMPUTED_VALUE"""),0)</f>
        <v>0</v>
      </c>
      <c r="K161" s="26" t="str">
        <f>IFERROR(__xludf.DUMMYFUNCTION("""COMPUTED_VALUE"""),"NON-CGPA")</f>
        <v>NON-CGPA</v>
      </c>
      <c r="L161" s="26" t="str">
        <f>IFERROR(__xludf.DUMMYFUNCTION("""COMPUTED_VALUE"""),"Experiential Learning (Int Only)")</f>
        <v>Experiential Learning (Int Only)</v>
      </c>
      <c r="M161" s="26"/>
      <c r="N161" s="26"/>
      <c r="O161" s="26"/>
    </row>
    <row r="162" ht="13.2" spans="1:15">
      <c r="A162" s="26">
        <f>IFERROR(__xludf.DUMMYFUNCTION("""COMPUTED_VALUE"""),160)</f>
        <v>160</v>
      </c>
      <c r="B162" s="26" t="str">
        <f>IFERROR(__xludf.DUMMYFUNCTION("""COMPUTED_VALUE"""),"Any 1")</f>
        <v>Any 1</v>
      </c>
      <c r="C162" s="26" t="str">
        <f>IFERROR(__xludf.DUMMYFUNCTION("""COMPUTED_VALUE"""),"MC")</f>
        <v>MC</v>
      </c>
      <c r="D162" s="26" t="str">
        <f>IFERROR(__xludf.DUMMYFUNCTION("""COMPUTED_VALUE"""),"SH8807")</f>
        <v>SH8807</v>
      </c>
      <c r="E162" s="26" t="str">
        <f>IFERROR(__xludf.DUMMYFUNCTION("""COMPUTED_VALUE"""),"19MC808")</f>
        <v>19MC808</v>
      </c>
      <c r="F162" s="26" t="str">
        <f>IFERROR(__xludf.DUMMYFUNCTION("""COMPUTED_VALUE"""),"National Sports Organization ")</f>
        <v>National Sports Organization </v>
      </c>
      <c r="G162" s="26" t="str">
        <f>IFERROR(__xludf.DUMMYFUNCTION("""COMPUTED_VALUE"""),"-")</f>
        <v>-</v>
      </c>
      <c r="H162" s="26">
        <f>IFERROR(__xludf.DUMMYFUNCTION("""COMPUTED_VALUE"""),0)</f>
        <v>0</v>
      </c>
      <c r="I162" s="26">
        <f>IFERROR(__xludf.DUMMYFUNCTION("""COMPUTED_VALUE"""),0)</f>
        <v>0</v>
      </c>
      <c r="J162" s="26">
        <f>IFERROR(__xludf.DUMMYFUNCTION("""COMPUTED_VALUE"""),0)</f>
        <v>0</v>
      </c>
      <c r="K162" s="26" t="str">
        <f>IFERROR(__xludf.DUMMYFUNCTION("""COMPUTED_VALUE"""),"NON-CGPA")</f>
        <v>NON-CGPA</v>
      </c>
      <c r="L162" s="26" t="str">
        <f>IFERROR(__xludf.DUMMYFUNCTION("""COMPUTED_VALUE"""),"Experiential Learning (Int Only)")</f>
        <v>Experiential Learning (Int Only)</v>
      </c>
      <c r="M162" s="26"/>
      <c r="N162" s="26"/>
      <c r="O162" s="26"/>
    </row>
    <row r="163" ht="13.2" spans="1:15">
      <c r="A163" s="26">
        <f>IFERROR(__xludf.DUMMYFUNCTION("""COMPUTED_VALUE"""),161)</f>
        <v>161</v>
      </c>
      <c r="B163" s="26" t="str">
        <f>IFERROR(__xludf.DUMMYFUNCTION("""COMPUTED_VALUE"""),"Any 1")</f>
        <v>Any 1</v>
      </c>
      <c r="C163" s="26" t="str">
        <f>IFERROR(__xludf.DUMMYFUNCTION("""COMPUTED_VALUE"""),"MC")</f>
        <v>MC</v>
      </c>
      <c r="D163" s="26" t="str">
        <f>IFERROR(__xludf.DUMMYFUNCTION("""COMPUTED_VALUE"""),"SH8808")</f>
        <v>SH8808</v>
      </c>
      <c r="E163" s="26" t="str">
        <f>IFERROR(__xludf.DUMMYFUNCTION("""COMPUTED_VALUE"""),"19MC809")</f>
        <v>19MC809</v>
      </c>
      <c r="F163" s="26" t="str">
        <f>IFERROR(__xludf.DUMMYFUNCTION("""COMPUTED_VALUE"""),"Youth Red Cross")</f>
        <v>Youth Red Cross</v>
      </c>
      <c r="G163" s="26" t="str">
        <f>IFERROR(__xludf.DUMMYFUNCTION("""COMPUTED_VALUE"""),"-")</f>
        <v>-</v>
      </c>
      <c r="H163" s="26">
        <f>IFERROR(__xludf.DUMMYFUNCTION("""COMPUTED_VALUE"""),0)</f>
        <v>0</v>
      </c>
      <c r="I163" s="26">
        <f>IFERROR(__xludf.DUMMYFUNCTION("""COMPUTED_VALUE"""),0)</f>
        <v>0</v>
      </c>
      <c r="J163" s="26">
        <f>IFERROR(__xludf.DUMMYFUNCTION("""COMPUTED_VALUE"""),0)</f>
        <v>0</v>
      </c>
      <c r="K163" s="26" t="str">
        <f>IFERROR(__xludf.DUMMYFUNCTION("""COMPUTED_VALUE"""),"NON-CGPA")</f>
        <v>NON-CGPA</v>
      </c>
      <c r="L163" s="26" t="str">
        <f>IFERROR(__xludf.DUMMYFUNCTION("""COMPUTED_VALUE"""),"Experiential Learning (Int Only)")</f>
        <v>Experiential Learning (Int Only)</v>
      </c>
      <c r="M163" s="26"/>
      <c r="N163" s="26"/>
      <c r="O163" s="26"/>
    </row>
    <row r="164" ht="13.2" spans="1: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</row>
    <row r="165" ht="13.2" spans="1: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</row>
    <row r="166" ht="13.2" spans="1: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</row>
    <row r="167" ht="13.2" spans="1: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</row>
    <row r="168" ht="13.2" spans="1: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</row>
    <row r="169" ht="13.2" spans="1: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</row>
    <row r="170" ht="13.2" spans="1: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</row>
    <row r="171" ht="13.2" spans="1: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</row>
    <row r="172" ht="13.2" spans="1: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</row>
    <row r="173" ht="13.2" spans="1: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</row>
    <row r="174" ht="13.2" spans="1: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</row>
    <row r="175" ht="13.2" spans="1: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</row>
    <row r="176" ht="13.2" spans="1: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</row>
    <row r="177" ht="13.2" spans="1: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</row>
    <row r="178" ht="13.2" spans="1: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</row>
    <row r="179" ht="13.2" spans="1: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</row>
    <row r="180" ht="13.2" spans="1: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</row>
    <row r="181" ht="13.2" spans="1: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</row>
    <row r="182" ht="13.2" spans="1: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</row>
    <row r="183" ht="13.2" spans="1: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</row>
    <row r="184" ht="13.2" spans="1: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</row>
    <row r="185" ht="13.2" spans="1: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</row>
    <row r="186" ht="13.2" spans="1: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</row>
    <row r="187" ht="13.2" spans="1: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</row>
    <row r="188" ht="13.2" spans="1: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</row>
    <row r="189" ht="13.2" spans="1: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</row>
    <row r="190" ht="13.2" spans="1: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</row>
    <row r="191" ht="13.2" spans="1: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</row>
    <row r="192" ht="13.2" spans="1: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</row>
    <row r="193" ht="13.2" spans="1: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</row>
    <row r="194" ht="13.2" spans="1: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</row>
    <row r="195" ht="13.2" spans="1: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</row>
    <row r="196" ht="13.2" spans="1: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</row>
    <row r="197" ht="13.2" spans="1: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</row>
    <row r="198" ht="13.2" spans="1: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</row>
    <row r="199" ht="13.2" spans="1: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</row>
    <row r="200" ht="13.2" spans="1: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</row>
    <row r="201" ht="13.2" spans="1: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</row>
    <row r="202" ht="13.2" spans="1: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</row>
    <row r="203" ht="13.2" spans="1: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</row>
    <row r="204" ht="13.2" spans="1: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</row>
    <row r="205" ht="13.2" spans="1: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</row>
    <row r="206" ht="13.2" spans="1: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</row>
    <row r="207" ht="13.2" spans="1: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</row>
    <row r="208" ht="13.2" spans="1: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</row>
    <row r="209" ht="13.2" spans="1: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</row>
    <row r="210" ht="13.2" spans="1: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</row>
    <row r="211" ht="13.2" spans="1: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</row>
    <row r="212" ht="13.2" spans="1: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</row>
    <row r="213" ht="13.2" spans="1: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</row>
    <row r="214" ht="13.2" spans="1: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</row>
    <row r="215" ht="13.2" spans="1: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</row>
    <row r="216" ht="13.2" spans="1: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</row>
    <row r="217" ht="13.2" spans="1: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</row>
    <row r="218" ht="13.2" spans="1: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</row>
    <row r="219" ht="13.2" spans="1: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</row>
    <row r="220" ht="13.2" spans="1: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</row>
    <row r="221" ht="13.2" spans="1: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</row>
    <row r="222" ht="13.2" spans="1: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</row>
    <row r="223" ht="13.2" spans="1: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</row>
    <row r="224" ht="13.2" spans="1: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</row>
    <row r="225" ht="13.2" spans="1: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</row>
    <row r="226" ht="13.2" spans="1: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</row>
    <row r="227" ht="13.2" spans="1: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</row>
    <row r="228" ht="13.2" spans="1: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</row>
    <row r="229" ht="13.2" spans="1: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</row>
    <row r="230" ht="13.2" spans="1: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</row>
    <row r="231" ht="13.2" spans="1: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</row>
    <row r="232" ht="13.2" spans="1: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</row>
    <row r="233" ht="13.2" spans="1: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</row>
    <row r="234" ht="13.2" spans="1: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</row>
    <row r="235" ht="13.2" spans="1: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</row>
    <row r="236" ht="13.2" spans="1: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</row>
    <row r="237" ht="13.2" spans="1: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</row>
    <row r="238" ht="13.2" spans="1: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</row>
    <row r="239" ht="13.2" spans="1: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</row>
    <row r="240" ht="13.2" spans="1: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</row>
    <row r="241" ht="13.2" spans="1: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</row>
    <row r="242" ht="13.2" spans="1: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</row>
    <row r="243" ht="13.2" spans="1: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</row>
    <row r="244" ht="13.2" spans="1: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</row>
    <row r="245" ht="13.2" spans="1: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</row>
    <row r="246" ht="13.2" spans="1: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</row>
    <row r="247" ht="13.2" spans="1: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</row>
    <row r="248" ht="13.2" spans="1: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</row>
    <row r="249" ht="13.2" spans="1: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</row>
    <row r="250" ht="13.2" spans="1: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</row>
    <row r="251" ht="13.2" spans="1: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</row>
    <row r="252" ht="13.2" spans="1: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</row>
    <row r="253" ht="13.2" spans="1: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</row>
    <row r="254" ht="13.2" spans="1: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</row>
    <row r="255" ht="13.2" spans="1: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</row>
    <row r="256" ht="13.2" spans="1: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</row>
    <row r="257" ht="13.2" spans="1: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</row>
    <row r="258" ht="13.2" spans="1: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</row>
    <row r="259" ht="13.2" spans="1: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</row>
    <row r="260" ht="13.2" spans="1: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</row>
    <row r="261" ht="13.2" spans="1: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</row>
    <row r="262" ht="13.2" spans="1: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</row>
    <row r="263" ht="13.2" spans="1: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</row>
    <row r="264" ht="13.2" spans="1: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</row>
    <row r="265" ht="13.2" spans="1: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</row>
    <row r="266" ht="13.2" spans="1: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</row>
    <row r="267" ht="13.2" spans="1: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</row>
    <row r="268" ht="13.2" spans="1: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</row>
    <row r="269" ht="13.2" spans="1: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</row>
    <row r="270" ht="13.2" spans="1: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</row>
    <row r="271" ht="13.2" spans="1: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</row>
    <row r="272" ht="13.2" spans="1: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</row>
    <row r="273" ht="13.2" spans="1: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</row>
    <row r="274" ht="13.2" spans="1: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</row>
    <row r="275" ht="13.2" spans="1: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</row>
    <row r="276" ht="13.2" spans="1: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</row>
    <row r="277" ht="13.2" spans="1: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</row>
    <row r="278" ht="13.2" spans="1: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</row>
    <row r="279" ht="13.2" spans="1: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</row>
    <row r="280" ht="13.2" spans="1: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</row>
    <row r="281" ht="13.2" spans="1: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</row>
    <row r="282" ht="13.2" spans="1: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</row>
    <row r="283" ht="13.2" spans="1: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</row>
    <row r="284" ht="13.2" spans="1: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</row>
    <row r="285" ht="13.2" spans="1: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</row>
    <row r="286" ht="13.2" spans="1: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</row>
    <row r="287" ht="13.2" spans="1: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</row>
    <row r="288" ht="13.2" spans="1: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</row>
    <row r="289" ht="13.2" spans="1: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</row>
    <row r="290" ht="13.2" spans="1: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</row>
    <row r="291" ht="13.2" spans="1: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</row>
    <row r="292" ht="13.2" spans="1: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</row>
    <row r="293" ht="13.2" spans="1: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</row>
    <row r="294" ht="13.2" spans="1: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</row>
    <row r="295" ht="13.2" spans="1: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</row>
    <row r="296" ht="13.2" spans="1: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</row>
    <row r="297" ht="13.2" spans="1: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</row>
    <row r="298" ht="13.2" spans="1: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</row>
    <row r="299" ht="13.2" spans="1: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</row>
    <row r="300" ht="13.2" spans="1: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</row>
    <row r="301" ht="13.2" spans="1: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</row>
    <row r="302" ht="13.2" spans="1: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</row>
    <row r="303" ht="13.2" spans="1: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</row>
    <row r="304" ht="13.2" spans="1: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</row>
    <row r="305" ht="13.2" spans="1: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</row>
    <row r="306" ht="13.2" spans="1: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</row>
    <row r="307" ht="13.2" spans="1: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</row>
    <row r="308" ht="13.2" spans="1: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</row>
    <row r="309" ht="13.2" spans="1: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</row>
    <row r="310" ht="13.2" spans="1: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</row>
    <row r="311" ht="13.2" spans="1: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</row>
    <row r="312" ht="13.2" spans="1: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</row>
    <row r="313" ht="13.2" spans="1: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</row>
    <row r="314" ht="13.2" spans="1: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</row>
    <row r="315" ht="13.2" spans="1: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</row>
    <row r="316" ht="13.2" spans="1: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</row>
    <row r="317" ht="13.2" spans="1: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</row>
    <row r="318" ht="13.2" spans="1: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</row>
    <row r="319" ht="13.2" spans="1: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</row>
    <row r="320" ht="13.2" spans="1: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</row>
    <row r="321" ht="13.2" spans="1: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</row>
    <row r="322" ht="13.2" spans="1: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</row>
    <row r="323" ht="13.2" spans="1: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</row>
    <row r="324" ht="13.2" spans="1: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</row>
    <row r="325" ht="13.2" spans="1: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</row>
    <row r="326" ht="13.2" spans="1: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</row>
    <row r="327" ht="13.2" spans="1: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</row>
    <row r="328" ht="13.2" spans="1: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</row>
    <row r="329" ht="13.2" spans="1: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</row>
    <row r="330" ht="13.2" spans="1: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</row>
    <row r="331" ht="13.2" spans="1: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</row>
    <row r="332" ht="13.2" spans="1: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</row>
    <row r="333" ht="13.2" spans="1: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</row>
    <row r="334" ht="13.2" spans="1: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</row>
    <row r="335" ht="13.2" spans="1: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</row>
    <row r="336" ht="13.2" spans="1: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</row>
    <row r="337" ht="13.2" spans="1: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</row>
    <row r="338" ht="13.2" spans="1: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</row>
    <row r="339" ht="13.2" spans="1: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</row>
    <row r="340" ht="13.2" spans="1: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</row>
    <row r="341" ht="13.2" spans="1: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</row>
    <row r="342" ht="13.2" spans="1: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</row>
    <row r="343" ht="13.2" spans="1: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</row>
    <row r="344" ht="13.2" spans="1: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</row>
    <row r="345" ht="13.2" spans="1: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</row>
    <row r="346" ht="13.2" spans="1: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</row>
    <row r="347" ht="13.2" spans="1: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</row>
    <row r="348" ht="13.2" spans="1: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</row>
    <row r="349" ht="13.2" spans="1: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</row>
    <row r="350" ht="13.2" spans="1: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</row>
    <row r="351" ht="13.2" spans="1: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</row>
    <row r="352" ht="13.2" spans="1: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</row>
    <row r="353" ht="13.2" spans="1: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</row>
    <row r="354" ht="13.2" spans="1: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</row>
    <row r="355" ht="13.2" spans="1: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</row>
    <row r="356" ht="13.2" spans="1: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</row>
    <row r="357" ht="13.2" spans="1: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</row>
    <row r="358" ht="13.2" spans="1: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</row>
    <row r="359" ht="13.2" spans="1: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</row>
    <row r="360" ht="13.2" spans="1: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</row>
    <row r="361" ht="13.2" spans="1: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</row>
    <row r="362" ht="13.2" spans="1: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</row>
    <row r="363" ht="13.2" spans="1: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</row>
    <row r="364" ht="13.2" spans="1: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</row>
    <row r="365" ht="13.2" spans="1: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</row>
    <row r="366" ht="13.2" spans="1: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</row>
    <row r="367" ht="13.2" spans="1: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</row>
    <row r="368" ht="13.2" spans="1: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</row>
    <row r="369" ht="13.2" spans="1: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</row>
    <row r="370" ht="13.2" spans="1: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</row>
    <row r="371" ht="13.2" spans="1: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</row>
    <row r="372" ht="13.2" spans="1: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</row>
    <row r="373" ht="13.2" spans="1: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</row>
    <row r="374" ht="13.2" spans="1: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</row>
    <row r="375" ht="13.2" spans="1: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</row>
    <row r="376" ht="13.2" spans="1: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</row>
    <row r="377" ht="13.2" spans="1: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</row>
    <row r="378" ht="13.2" spans="1: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</row>
    <row r="379" ht="13.2" spans="1: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</row>
    <row r="380" ht="13.2" spans="1: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</row>
    <row r="381" ht="13.2" spans="1: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</row>
    <row r="382" ht="13.2" spans="1: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</row>
    <row r="383" ht="13.2" spans="1: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</row>
    <row r="384" ht="13.2" spans="1: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</row>
    <row r="385" ht="13.2" spans="1: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</row>
    <row r="386" ht="13.2" spans="1: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</row>
    <row r="387" ht="13.2" spans="1: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</row>
    <row r="388" ht="13.2" spans="1: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</row>
    <row r="389" ht="13.2" spans="1: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</row>
    <row r="390" ht="13.2" spans="1: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</row>
    <row r="391" ht="13.2" spans="1: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</row>
    <row r="392" ht="13.2" spans="1: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</row>
    <row r="393" ht="13.2" spans="1: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</row>
    <row r="394" ht="13.2" spans="1: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</row>
    <row r="395" ht="13.2" spans="1: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</row>
    <row r="396" ht="13.2" spans="1: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</row>
    <row r="397" ht="13.2" spans="1: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</row>
    <row r="398" ht="13.2" spans="1: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</row>
    <row r="399" ht="13.2" spans="1: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</row>
    <row r="400" ht="13.2" spans="1: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</row>
    <row r="401" ht="13.2" spans="1: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</row>
    <row r="402" ht="13.2" spans="1: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</row>
    <row r="403" ht="13.2" spans="1: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</row>
    <row r="404" ht="13.2" spans="1: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</row>
    <row r="405" ht="13.2" spans="1: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</row>
    <row r="406" ht="13.2" spans="1: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</row>
    <row r="407" ht="13.2" spans="1: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</row>
    <row r="408" ht="13.2" spans="1: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</row>
    <row r="409" ht="13.2" spans="1: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</row>
    <row r="410" ht="13.2" spans="1: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</row>
    <row r="411" ht="13.2" spans="1: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</row>
    <row r="412" ht="13.2" spans="1: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</row>
    <row r="413" ht="13.2" spans="1: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</row>
    <row r="414" ht="13.2" spans="1: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</row>
    <row r="415" ht="13.2" spans="1: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</row>
    <row r="416" ht="13.2" spans="1: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</row>
    <row r="417" ht="13.2" spans="1: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</row>
    <row r="418" ht="13.2" spans="1: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</row>
    <row r="419" ht="13.2" spans="1: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</row>
    <row r="420" ht="13.2" spans="1: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</row>
    <row r="421" ht="13.2" spans="1: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</row>
    <row r="422" ht="13.2" spans="1: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</row>
    <row r="423" ht="13.2" spans="1: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</row>
    <row r="424" ht="13.2" spans="1: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</row>
    <row r="425" ht="13.2" spans="1: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</row>
    <row r="426" ht="13.2" spans="1: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</row>
    <row r="427" ht="13.2" spans="1: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</row>
    <row r="428" ht="13.2" spans="1: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</row>
    <row r="429" ht="13.2" spans="1: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</row>
    <row r="430" ht="13.2" spans="1: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</row>
    <row r="431" ht="13.2" spans="1: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</row>
    <row r="432" ht="13.2" spans="1: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</row>
    <row r="433" ht="13.2" spans="1: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</row>
    <row r="434" ht="13.2" spans="1: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</row>
    <row r="435" ht="13.2" spans="1: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</row>
    <row r="436" ht="13.2" spans="1: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</row>
    <row r="437" ht="13.2" spans="1: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</row>
    <row r="438" ht="13.2" spans="1: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</row>
    <row r="439" ht="13.2" spans="1: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</row>
    <row r="440" ht="13.2" spans="1: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</row>
    <row r="441" ht="13.2" spans="1: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</row>
    <row r="442" ht="13.2" spans="1: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</row>
    <row r="443" ht="13.2" spans="1: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</row>
    <row r="444" ht="13.2" spans="1: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</row>
    <row r="445" ht="13.2" spans="1: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</row>
    <row r="446" ht="13.2" spans="1: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</row>
    <row r="447" ht="13.2" spans="1: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</row>
    <row r="448" ht="13.2" spans="1: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</row>
    <row r="449" ht="13.2" spans="1: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</row>
    <row r="450" ht="13.2" spans="1: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</row>
    <row r="451" ht="13.2" spans="1: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</row>
    <row r="452" ht="13.2" spans="1: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</row>
    <row r="453" ht="13.2" spans="1: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</row>
    <row r="454" ht="13.2" spans="1: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</row>
    <row r="455" ht="13.2" spans="1: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</row>
    <row r="456" ht="13.2" spans="1: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</row>
    <row r="457" ht="13.2" spans="1: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</row>
    <row r="458" ht="13.2" spans="1: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</row>
    <row r="459" ht="13.2" spans="1: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</row>
    <row r="460" ht="13.2" spans="1: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</row>
    <row r="461" ht="13.2" spans="1: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</row>
    <row r="462" ht="13.2" spans="1: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</row>
    <row r="463" ht="13.2" spans="1: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</row>
    <row r="464" ht="13.2" spans="1: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</row>
    <row r="465" ht="13.2" spans="1: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</row>
    <row r="466" ht="13.2" spans="1: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</row>
    <row r="467" ht="13.2" spans="1: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</row>
    <row r="468" ht="13.2" spans="1: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</row>
    <row r="469" ht="13.2" spans="1: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</row>
    <row r="470" ht="13.2" spans="1: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</row>
    <row r="471" ht="13.2" spans="1: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</row>
    <row r="472" ht="13.2" spans="1: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</row>
    <row r="473" ht="13.2" spans="1: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</row>
    <row r="474" ht="13.2" spans="1: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</row>
    <row r="475" ht="13.2" spans="1: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</row>
    <row r="476" ht="13.2" spans="1: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</row>
    <row r="477" ht="13.2" spans="1: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</row>
    <row r="478" ht="13.2" spans="1: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</row>
    <row r="479" ht="13.2" spans="1: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</row>
    <row r="480" ht="13.2" spans="1: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</row>
    <row r="481" ht="13.2" spans="1: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</row>
    <row r="482" ht="13.2" spans="1: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</row>
    <row r="483" ht="13.2" spans="1: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</row>
    <row r="484" ht="13.2" spans="1: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</row>
    <row r="485" ht="13.2" spans="1: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</row>
    <row r="486" ht="13.2" spans="1: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</row>
    <row r="487" ht="13.2" spans="1: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</row>
    <row r="488" ht="13.2" spans="1: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</row>
    <row r="489" ht="13.2" spans="1: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</row>
    <row r="490" ht="13.2" spans="1: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</row>
    <row r="491" ht="13.2" spans="1: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</row>
    <row r="492" ht="13.2" spans="1: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</row>
    <row r="493" ht="13.2" spans="1: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</row>
    <row r="494" ht="13.2" spans="1: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</row>
    <row r="495" ht="13.2" spans="1: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</row>
    <row r="496" ht="13.2" spans="1: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</row>
    <row r="497" ht="13.2" spans="1: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</row>
    <row r="498" ht="13.2" spans="1: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</row>
    <row r="499" ht="13.2" spans="1: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</row>
    <row r="500" ht="13.2" spans="1: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</row>
    <row r="501" ht="13.2" spans="1: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</row>
    <row r="502" ht="13.2" spans="1: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</row>
    <row r="503" ht="13.2" spans="1: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</row>
    <row r="504" ht="13.2" spans="1: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</row>
    <row r="505" ht="13.2" spans="1: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</row>
    <row r="506" ht="13.2" spans="1: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</row>
    <row r="507" ht="13.2" spans="1: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</row>
    <row r="508" ht="13.2" spans="1: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</row>
    <row r="509" ht="13.2" spans="1: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</row>
    <row r="510" ht="13.2" spans="1: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</row>
    <row r="511" ht="13.2" spans="1: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</row>
    <row r="512" ht="13.2" spans="1: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</row>
    <row r="513" ht="13.2" spans="1: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</row>
    <row r="514" ht="13.2" spans="1: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</row>
    <row r="515" ht="13.2" spans="1: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</row>
    <row r="516" ht="13.2" spans="1: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</row>
    <row r="517" ht="13.2" spans="1: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</row>
    <row r="518" ht="13.2" spans="1: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</row>
    <row r="519" ht="13.2" spans="1: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</row>
    <row r="520" ht="13.2" spans="1: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</row>
    <row r="521" ht="13.2" spans="1: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</row>
    <row r="522" ht="13.2" spans="1: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</row>
    <row r="523" ht="13.2" spans="1: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</row>
    <row r="524" ht="13.2" spans="1: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</row>
    <row r="525" ht="13.2" spans="1: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</row>
    <row r="526" ht="13.2" spans="1: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</row>
    <row r="527" ht="13.2" spans="1: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</row>
    <row r="528" ht="13.2" spans="1: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</row>
    <row r="529" ht="13.2" spans="1: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</row>
    <row r="530" ht="13.2" spans="1: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</row>
    <row r="531" ht="13.2" spans="1: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</row>
    <row r="532" ht="13.2" spans="1: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</row>
    <row r="533" ht="13.2" spans="1: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</row>
    <row r="534" ht="13.2" spans="1: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</row>
    <row r="535" ht="13.2" spans="1: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</row>
    <row r="536" ht="13.2" spans="1: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</row>
    <row r="537" ht="13.2" spans="1: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</row>
    <row r="538" ht="13.2" spans="1: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</row>
    <row r="539" ht="13.2" spans="1: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</row>
    <row r="540" ht="13.2" spans="1: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</row>
    <row r="541" ht="13.2" spans="1: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</row>
    <row r="542" ht="13.2" spans="1: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</row>
    <row r="543" ht="13.2" spans="1: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</row>
    <row r="544" ht="13.2" spans="1: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</row>
    <row r="545" ht="13.2" spans="1: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</row>
    <row r="546" ht="13.2" spans="1: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</row>
    <row r="547" ht="13.2" spans="1: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</row>
    <row r="548" ht="13.2" spans="1: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</row>
    <row r="549" ht="13.2" spans="1: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</row>
    <row r="550" ht="13.2" spans="1: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</row>
    <row r="551" ht="13.2" spans="1: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</row>
    <row r="552" ht="13.2" spans="1: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</row>
    <row r="553" ht="13.2" spans="1: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</row>
    <row r="554" ht="13.2" spans="1: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</row>
    <row r="555" ht="13.2" spans="1: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</row>
    <row r="556" ht="13.2" spans="1: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</row>
    <row r="557" ht="13.2" spans="1: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</row>
    <row r="558" ht="13.2" spans="1: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</row>
    <row r="559" ht="13.2" spans="1: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</row>
    <row r="560" ht="13.2" spans="1: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</row>
    <row r="561" ht="13.2" spans="1: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</row>
    <row r="562" ht="13.2" spans="1: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</row>
    <row r="563" ht="13.2" spans="1: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</row>
    <row r="564" ht="13.2" spans="1: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</row>
    <row r="565" ht="13.2" spans="1: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</row>
    <row r="566" ht="13.2" spans="1: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</row>
    <row r="567" ht="13.2" spans="1: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</row>
    <row r="568" ht="13.2" spans="1: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</row>
    <row r="569" ht="13.2" spans="1: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</row>
    <row r="570" ht="13.2" spans="1: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</row>
    <row r="571" ht="13.2" spans="1: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</row>
    <row r="572" ht="13.2" spans="1: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</row>
    <row r="573" ht="13.2" spans="1: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</row>
    <row r="574" ht="13.2" spans="1: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</row>
    <row r="575" ht="13.2" spans="1: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</row>
    <row r="576" ht="13.2" spans="1: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</row>
    <row r="577" ht="13.2" spans="1: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</row>
    <row r="578" ht="13.2" spans="1: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</row>
    <row r="579" ht="13.2" spans="1: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</row>
    <row r="580" ht="13.2" spans="1: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</row>
    <row r="581" ht="13.2" spans="1: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</row>
    <row r="582" ht="13.2" spans="1: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</row>
    <row r="583" ht="13.2" spans="1: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</row>
    <row r="584" ht="13.2" spans="1: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</row>
    <row r="585" ht="13.2" spans="1: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</row>
    <row r="586" ht="13.2" spans="1: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</row>
    <row r="587" ht="13.2" spans="1: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</row>
    <row r="588" ht="13.2" spans="1: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</row>
    <row r="589" ht="13.2" spans="1: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</row>
    <row r="590" ht="13.2" spans="1: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</row>
    <row r="591" ht="13.2" spans="1: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</row>
    <row r="592" ht="13.2" spans="1: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</row>
    <row r="593" ht="13.2" spans="1: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</row>
    <row r="594" ht="13.2" spans="1: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</row>
    <row r="595" ht="13.2" spans="1: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</row>
    <row r="596" ht="13.2" spans="1: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</row>
    <row r="597" ht="13.2" spans="1: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</row>
    <row r="598" ht="13.2" spans="1: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</row>
    <row r="599" ht="13.2" spans="1: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</row>
    <row r="600" ht="13.2" spans="1: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</row>
    <row r="601" ht="13.2" spans="1: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</row>
    <row r="602" ht="13.2" spans="1: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</row>
    <row r="603" ht="13.2" spans="1: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</row>
    <row r="604" ht="13.2" spans="1: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</row>
    <row r="605" ht="13.2" spans="1: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</row>
    <row r="606" ht="13.2" spans="1: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</row>
    <row r="607" ht="13.2" spans="1: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</row>
    <row r="608" ht="13.2" spans="1: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</row>
    <row r="609" ht="13.2" spans="1: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</row>
    <row r="610" ht="13.2" spans="1: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</row>
    <row r="611" ht="13.2" spans="1: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</row>
    <row r="612" ht="13.2" spans="1: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</row>
    <row r="613" ht="13.2" spans="1: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</row>
    <row r="614" ht="13.2" spans="1: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</row>
    <row r="615" ht="13.2" spans="1: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</row>
    <row r="616" ht="13.2" spans="1: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</row>
    <row r="617" ht="13.2" spans="1: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</row>
    <row r="618" ht="13.2" spans="1: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</row>
    <row r="619" ht="13.2" spans="1: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</row>
    <row r="620" ht="13.2" spans="1: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</row>
    <row r="621" ht="13.2" spans="1: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</row>
    <row r="622" ht="13.2" spans="1: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</row>
    <row r="623" ht="13.2" spans="1: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</row>
    <row r="624" ht="13.2" spans="1: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</row>
    <row r="625" ht="13.2" spans="1: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</row>
    <row r="626" ht="13.2" spans="1: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</row>
    <row r="627" ht="13.2" spans="1: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</row>
    <row r="628" ht="13.2" spans="1: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</row>
    <row r="629" ht="13.2" spans="1: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</row>
    <row r="630" ht="13.2" spans="1: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</row>
    <row r="631" ht="13.2" spans="1: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</row>
    <row r="632" ht="13.2" spans="1: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</row>
    <row r="633" ht="13.2" spans="1: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</row>
    <row r="634" ht="13.2" spans="1: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</row>
    <row r="635" ht="13.2" spans="1: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</row>
    <row r="636" ht="13.2" spans="1: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</row>
    <row r="637" ht="13.2" spans="1: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</row>
    <row r="638" ht="13.2" spans="1: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</row>
    <row r="639" ht="13.2" spans="1: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</row>
    <row r="640" ht="13.2" spans="1: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</row>
    <row r="641" ht="13.2" spans="1: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</row>
    <row r="642" ht="13.2" spans="1: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</row>
    <row r="643" ht="13.2" spans="1: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</row>
    <row r="644" ht="13.2" spans="1: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</row>
    <row r="645" ht="13.2" spans="1: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</row>
    <row r="646" ht="13.2" spans="1: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</row>
    <row r="647" ht="13.2" spans="1: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</row>
    <row r="648" ht="13.2" spans="1: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</row>
    <row r="649" ht="13.2" spans="1: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</row>
    <row r="650" ht="13.2" spans="1: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</row>
    <row r="651" ht="13.2" spans="1: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</row>
    <row r="652" ht="13.2" spans="1: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</row>
    <row r="653" ht="13.2" spans="1: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</row>
    <row r="654" ht="13.2" spans="1: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</row>
    <row r="655" ht="13.2" spans="1: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</row>
    <row r="656" ht="13.2" spans="1: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</row>
    <row r="657" ht="13.2" spans="1: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</row>
    <row r="658" ht="13.2" spans="1: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</row>
    <row r="659" ht="13.2" spans="1: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</row>
    <row r="660" ht="13.2" spans="1: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</row>
    <row r="661" ht="13.2" spans="1: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</row>
    <row r="662" ht="13.2" spans="1: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</row>
    <row r="663" ht="13.2" spans="1: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</row>
    <row r="664" ht="13.2" spans="1: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</row>
    <row r="665" ht="13.2" spans="1: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</row>
    <row r="666" ht="13.2" spans="1: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</row>
    <row r="667" ht="13.2" spans="1: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</row>
    <row r="668" ht="13.2" spans="1: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</row>
    <row r="669" ht="13.2" spans="1: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</row>
    <row r="670" ht="13.2" spans="1: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</row>
    <row r="671" ht="13.2" spans="1: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</row>
    <row r="672" ht="13.2" spans="1: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</row>
    <row r="673" ht="13.2" spans="1: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</row>
    <row r="674" ht="13.2" spans="1: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</row>
    <row r="675" ht="13.2" spans="1: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</row>
    <row r="676" ht="13.2" spans="1: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</row>
    <row r="677" ht="13.2" spans="1: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</row>
    <row r="678" ht="13.2" spans="1: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</row>
    <row r="679" ht="13.2" spans="1: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</row>
    <row r="680" ht="13.2" spans="1: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</row>
    <row r="681" ht="13.2" spans="1: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</row>
    <row r="682" ht="13.2" spans="1: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</row>
    <row r="683" ht="13.2" spans="1: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</row>
    <row r="684" ht="13.2" spans="1: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</row>
    <row r="685" ht="13.2" spans="1: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</row>
    <row r="686" ht="13.2" spans="1: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</row>
    <row r="687" ht="13.2" spans="1: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</row>
    <row r="688" ht="13.2" spans="1: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</row>
    <row r="689" ht="13.2" spans="1: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</row>
    <row r="690" ht="13.2" spans="1: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</row>
    <row r="691" ht="13.2" spans="1: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</row>
    <row r="692" ht="13.2" spans="1: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</row>
    <row r="693" ht="13.2" spans="1: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</row>
    <row r="694" ht="13.2" spans="1: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</row>
    <row r="695" ht="13.2" spans="1: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</row>
    <row r="696" ht="13.2" spans="1: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</row>
    <row r="697" ht="13.2" spans="1: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</row>
    <row r="698" ht="13.2" spans="1: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</row>
    <row r="699" ht="13.2" spans="1: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</row>
    <row r="700" ht="13.2" spans="1: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</row>
    <row r="701" ht="13.2" spans="1: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</row>
    <row r="702" ht="13.2" spans="1: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</row>
    <row r="703" ht="13.2" spans="1: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</row>
    <row r="704" ht="13.2" spans="1: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</row>
    <row r="705" ht="13.2" spans="1: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</row>
    <row r="706" ht="13.2" spans="1: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</row>
    <row r="707" ht="13.2" spans="1: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</row>
    <row r="708" ht="13.2" spans="1: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</row>
    <row r="709" ht="13.2" spans="1: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</row>
    <row r="710" ht="13.2" spans="1: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</row>
    <row r="711" ht="13.2" spans="1: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</row>
    <row r="712" ht="13.2" spans="1: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</row>
    <row r="713" ht="13.2" spans="1: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</row>
    <row r="714" ht="13.2" spans="1: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</row>
    <row r="715" ht="13.2" spans="1: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</row>
    <row r="716" ht="13.2" spans="1: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</row>
    <row r="717" ht="13.2" spans="1: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</row>
    <row r="718" ht="13.2" spans="1: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</row>
    <row r="719" ht="13.2" spans="1: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</row>
    <row r="720" ht="13.2" spans="1: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</row>
    <row r="721" ht="13.2" spans="1: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</row>
    <row r="722" ht="13.2" spans="1: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</row>
    <row r="723" ht="13.2" spans="1: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</row>
    <row r="724" ht="13.2" spans="1: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</row>
    <row r="725" ht="13.2" spans="1: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</row>
    <row r="726" ht="13.2" spans="1: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</row>
    <row r="727" ht="13.2" spans="1: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</row>
    <row r="728" ht="13.2" spans="1: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</row>
    <row r="729" ht="13.2" spans="1: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</row>
    <row r="730" ht="13.2" spans="1: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</row>
    <row r="731" ht="13.2" spans="1: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</row>
    <row r="732" ht="13.2" spans="1: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</row>
    <row r="733" ht="13.2" spans="1: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</row>
    <row r="734" ht="13.2" spans="1: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</row>
    <row r="735" ht="13.2" spans="1: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</row>
    <row r="736" ht="13.2" spans="1: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</row>
    <row r="737" ht="13.2" spans="1: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</row>
    <row r="738" ht="13.2" spans="1: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</row>
    <row r="739" ht="13.2" spans="1: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</row>
    <row r="740" ht="13.2" spans="1: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</row>
    <row r="741" ht="13.2" spans="1: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</row>
    <row r="742" ht="13.2" spans="1: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</row>
    <row r="743" ht="13.2" spans="1: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</row>
    <row r="744" ht="13.2" spans="1: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</row>
    <row r="745" ht="13.2" spans="1: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</row>
    <row r="746" ht="13.2" spans="1: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</row>
    <row r="747" ht="13.2" spans="1: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</row>
    <row r="748" ht="13.2" spans="1: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</row>
    <row r="749" ht="13.2" spans="1: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</row>
    <row r="750" ht="13.2" spans="1: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</row>
    <row r="751" ht="13.2" spans="1: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</row>
    <row r="752" ht="13.2" spans="1: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</row>
    <row r="753" ht="13.2" spans="1: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</row>
    <row r="754" ht="13.2" spans="1: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</row>
    <row r="755" ht="13.2" spans="1: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</row>
    <row r="756" ht="13.2" spans="1: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</row>
    <row r="757" ht="13.2" spans="1: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</row>
    <row r="758" ht="13.2" spans="1: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</row>
    <row r="759" ht="13.2" spans="1: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</row>
    <row r="760" ht="13.2" spans="1: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</row>
    <row r="761" ht="13.2" spans="1: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</row>
    <row r="762" ht="13.2" spans="1: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</row>
    <row r="763" ht="13.2" spans="1: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</row>
    <row r="764" ht="13.2" spans="1: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</row>
    <row r="765" ht="13.2" spans="1: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</row>
    <row r="766" ht="13.2" spans="1: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</row>
    <row r="767" ht="13.2" spans="1: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</row>
    <row r="768" ht="13.2" spans="1: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</row>
    <row r="769" ht="13.2" spans="1: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</row>
    <row r="770" ht="13.2" spans="1: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</row>
    <row r="771" ht="13.2" spans="1: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</row>
    <row r="772" ht="13.2" spans="1: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</row>
    <row r="773" ht="13.2" spans="1: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</row>
    <row r="774" ht="13.2" spans="1: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</row>
    <row r="775" ht="13.2" spans="1: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</row>
    <row r="776" ht="13.2" spans="1: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</row>
    <row r="777" ht="13.2" spans="1: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</row>
    <row r="778" ht="13.2" spans="1: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</row>
    <row r="779" ht="13.2" spans="1: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</row>
    <row r="780" ht="13.2" spans="1: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</row>
    <row r="781" ht="13.2" spans="1: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</row>
    <row r="782" ht="13.2" spans="1: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</row>
    <row r="783" ht="13.2" spans="1: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</row>
    <row r="784" ht="13.2" spans="1: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</row>
    <row r="785" ht="13.2" spans="1: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</row>
    <row r="786" ht="13.2" spans="1: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</row>
    <row r="787" ht="13.2" spans="1: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</row>
    <row r="788" ht="13.2" spans="1: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</row>
    <row r="789" ht="13.2" spans="1: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</row>
    <row r="790" ht="13.2" spans="1: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</row>
    <row r="791" ht="13.2" spans="1: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</row>
    <row r="792" ht="13.2" spans="1: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</row>
    <row r="793" ht="13.2" spans="1: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</row>
    <row r="794" ht="13.2" spans="1: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</row>
    <row r="795" ht="13.2" spans="1: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</row>
    <row r="796" ht="13.2" spans="1: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</row>
    <row r="797" ht="13.2" spans="1: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</row>
    <row r="798" ht="13.2" spans="1: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</row>
    <row r="799" ht="13.2" spans="1: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</row>
    <row r="800" ht="13.2" spans="1: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</row>
    <row r="801" ht="13.2" spans="1: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</row>
    <row r="802" ht="13.2" spans="1: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</row>
    <row r="803" ht="13.2" spans="1: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</row>
    <row r="804" ht="13.2" spans="1: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</row>
    <row r="805" ht="13.2" spans="1: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</row>
    <row r="806" ht="13.2" spans="1: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</row>
    <row r="807" ht="13.2" spans="1: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</row>
    <row r="808" ht="13.2" spans="1: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</row>
    <row r="809" ht="13.2" spans="1: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</row>
    <row r="810" ht="13.2" spans="1: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</row>
    <row r="811" ht="13.2" spans="1: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</row>
    <row r="812" ht="13.2" spans="1: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</row>
    <row r="813" ht="13.2" spans="1: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</row>
    <row r="814" ht="13.2" spans="1: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</row>
    <row r="815" ht="13.2" spans="1: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</row>
    <row r="816" ht="13.2" spans="1: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</row>
    <row r="817" ht="13.2" spans="1: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</row>
    <row r="818" ht="13.2" spans="1: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</row>
    <row r="819" ht="13.2" spans="1: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</row>
    <row r="820" ht="13.2" spans="1: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</row>
    <row r="821" ht="13.2" spans="1: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</row>
    <row r="822" ht="13.2" spans="1: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</row>
    <row r="823" ht="13.2" spans="1: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</row>
    <row r="824" ht="13.2" spans="1: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</row>
    <row r="825" ht="13.2" spans="1: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</row>
    <row r="826" ht="13.2" spans="1: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</row>
    <row r="827" ht="13.2" spans="1: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</row>
    <row r="828" ht="13.2" spans="1: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</row>
    <row r="829" ht="13.2" spans="1: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</row>
    <row r="830" ht="13.2" spans="1: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</row>
    <row r="831" ht="13.2" spans="1: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</row>
    <row r="832" ht="13.2" spans="1: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</row>
    <row r="833" ht="13.2" spans="1: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</row>
    <row r="834" ht="13.2" spans="1: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</row>
    <row r="835" ht="13.2" spans="1: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</row>
    <row r="836" ht="13.2" spans="1: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</row>
    <row r="837" ht="13.2" spans="1: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</row>
    <row r="838" ht="13.2" spans="1: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</row>
    <row r="839" ht="13.2" spans="1: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</row>
    <row r="840" ht="13.2" spans="1: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</row>
    <row r="841" ht="13.2" spans="1: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</row>
    <row r="842" ht="13.2" spans="1: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</row>
    <row r="843" ht="13.2" spans="1: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</row>
    <row r="844" ht="13.2" spans="1: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</row>
    <row r="845" ht="13.2" spans="1: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</row>
    <row r="846" ht="13.2" spans="1: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</row>
    <row r="847" ht="13.2" spans="1: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</row>
    <row r="848" ht="13.2" spans="1: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</row>
    <row r="849" ht="13.2" spans="1: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</row>
    <row r="850" ht="13.2" spans="1: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</row>
    <row r="851" ht="13.2" spans="1: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</row>
    <row r="852" ht="13.2" spans="1: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</row>
    <row r="853" ht="13.2" spans="1: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</row>
    <row r="854" ht="13.2" spans="1: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</row>
    <row r="855" ht="13.2" spans="1: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</row>
    <row r="856" ht="13.2" spans="1: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</row>
    <row r="857" ht="13.2" spans="1: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</row>
    <row r="858" ht="13.2" spans="1: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</row>
    <row r="859" ht="13.2" spans="1: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</row>
    <row r="860" ht="13.2" spans="1: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</row>
    <row r="861" ht="13.2" spans="1: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</row>
    <row r="862" ht="13.2" spans="1: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</row>
    <row r="863" ht="13.2" spans="1: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</row>
    <row r="864" ht="13.2" spans="1: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</row>
    <row r="865" ht="13.2" spans="1: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</row>
    <row r="866" ht="13.2" spans="1: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</row>
    <row r="867" ht="13.2" spans="1: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</row>
    <row r="868" ht="13.2" spans="1: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</row>
    <row r="869" ht="13.2" spans="1: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</row>
    <row r="870" ht="13.2" spans="1: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</row>
    <row r="871" ht="13.2" spans="1: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</row>
    <row r="872" ht="13.2" spans="1: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</row>
    <row r="873" ht="13.2" spans="1: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</row>
    <row r="874" ht="13.2" spans="1: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</row>
    <row r="875" ht="13.2" spans="1: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</row>
    <row r="876" ht="13.2" spans="1: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</row>
    <row r="877" ht="13.2" spans="1: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</row>
    <row r="878" ht="13.2" spans="1: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</row>
    <row r="879" ht="13.2" spans="1: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</row>
    <row r="880" ht="13.2" spans="1: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</row>
    <row r="881" ht="13.2" spans="1: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</row>
    <row r="882" ht="13.2" spans="1: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</row>
    <row r="883" ht="13.2" spans="1: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</row>
    <row r="884" ht="13.2" spans="1: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</row>
    <row r="885" ht="13.2" spans="1: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</row>
    <row r="886" ht="13.2" spans="1: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</row>
    <row r="887" ht="13.2" spans="1: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</row>
    <row r="888" ht="13.2" spans="1: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</row>
    <row r="889" ht="13.2" spans="1: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</row>
    <row r="890" ht="13.2" spans="1: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</row>
    <row r="891" ht="13.2" spans="1: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</row>
    <row r="892" ht="13.2" spans="1: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</row>
    <row r="893" ht="13.2" spans="1: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</row>
    <row r="894" ht="13.2" spans="1: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</row>
    <row r="895" ht="13.2" spans="1: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</row>
    <row r="896" ht="13.2" spans="1: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</row>
    <row r="897" ht="13.2" spans="1: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</row>
    <row r="898" ht="13.2" spans="1: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</row>
  </sheetData>
  <hyperlinks>
    <hyperlink ref="A2" r:id="rId1" display="=IFERROR(@__xludf.DUMMYFUNCTION(&quot;&quot;&quot;COMPUTED_VALUE&quot;&quot;&quot;),&quot;S.No&quot;)"/>
    <hyperlink ref="F3" r:id="rId2" display="=IFERROR(@__xludf.DUMMYFUNCTION(&quot;&quot;&quot;COMPUTED_VALUE&quot;&quot;&quot;),&quot;Technical Writing&quot;)"/>
    <hyperlink ref="F4" r:id="rId3" display="=IFERROR(@__xludf.DUMMYFUNCTION(&quot;&quot;&quot;COMPUTED_VALUE&quot;&quot;&quot;),&quot;Public Speaking&quot;)"/>
    <hyperlink ref="F5" r:id="rId4" display="=IFERROR(@__xludf.DUMMYFUNCTION(&quot;&quot;&quot;COMPUTED_VALUE&quot;&quot;&quot;),&quot;Communicative English&quot;)"/>
    <hyperlink ref="F6" r:id="rId5" display="=IFERROR(@__xludf.DUMMYFUNCTION(&quot;&quot;&quot;COMPUTED_VALUE&quot;&quot;&quot;),&quot;Basic Financial Accounting&quot;)"/>
    <hyperlink ref="F7" r:id="rId6" display="=IFERROR(@__xludf.DUMMYFUNCTION(&quot;&quot;&quot;COMPUTED_VALUE&quot;&quot;&quot;),&quot;Human Resource Management and Team Building&quot;)"/>
    <hyperlink ref="F8" r:id="rId7" display="=IFERROR(@__xludf.DUMMYFUNCTION(&quot;&quot;&quot;COMPUTED_VALUE&quot;&quot;&quot;),&quot;Stock Market and Company Operations&quot;)"/>
    <hyperlink ref="F9" r:id="rId8" display="=IFERROR(@__xludf.DUMMYFUNCTION(&quot;&quot;&quot;COMPUTED_VALUE&quot;&quot;&quot;),&quot;தமிழர் மரபு/ Heritage of Tamils&quot;)"/>
    <hyperlink ref="F10" r:id="rId9" display="=IFERROR(@__xludf.DUMMYFUNCTION(&quot;&quot;&quot;COMPUTED_VALUE&quot;&quot;&quot;),&quot;தமிழரும் தொழில்நுட்பமும்/ Tamils and Technology&quot;)"/>
    <hyperlink ref="F11" r:id="rId10" display="=IFERROR(@__xludf.DUMMYFUNCTION(&quot;&quot;&quot;COMPUTED_VALUE&quot;&quot;&quot;),&quot;Human Values and Professional Ethics&quot;)"/>
    <hyperlink ref="F12" r:id="rId11" display="=IFERROR(@__xludf.DUMMYFUNCTION(&quot;&quot;&quot;COMPUTED_VALUE&quot;&quot;&quot;),&quot;Probability and Queueing Models&quot;)"/>
    <hyperlink ref="F13" r:id="rId12" display="=IFERROR(@__xludf.DUMMYFUNCTION(&quot;&quot;&quot;COMPUTED_VALUE&quot;&quot;&quot;),&quot;Algebra and Number Theory&quot;)"/>
    <hyperlink ref="F14" r:id="rId13" display="=IFERROR(@__xludf.DUMMYFUNCTION(&quot;&quot;&quot;COMPUTED_VALUE&quot;&quot;&quot;),&quot;Mathematics for Artificial Intelligence&quot;)"/>
    <hyperlink ref="F15" r:id="rId14" display="=IFERROR(@__xludf.DUMMYFUNCTION(&quot;&quot;&quot;COMPUTED_VALUE&quot;&quot;&quot;),&quot;Linear Algebra Laboratory&quot;)"/>
    <hyperlink ref="F16" r:id="rId15" display="=IFERROR(@__xludf.DUMMYFUNCTION(&quot;&quot;&quot;COMPUTED_VALUE&quot;&quot;&quot;),&quot;Statistics and Numerical Methods&quot;)"/>
    <hyperlink ref="F17" r:id="rId16" display="=IFERROR(@__xludf.DUMMYFUNCTION(&quot;&quot;&quot;COMPUTED_VALUE&quot;&quot;&quot;),&quot;Principles of Chemistry in Engineering&quot;)"/>
    <hyperlink ref="F18" r:id="rId17" display="=IFERROR(@__xludf.DUMMYFUNCTION(&quot;&quot;&quot;COMPUTED_VALUE&quot;&quot;&quot;),&quot;Environmental Sciences and Sustainability&quot;)"/>
    <hyperlink ref="F19" r:id="rId18" display="=IFERROR(@__xludf.DUMMYFUNCTION(&quot;&quot;&quot;COMPUTED_VALUE&quot;&quot;&quot;),&quot;Physics for Quantum Computing&quot;)"/>
    <hyperlink ref="F20" r:id="rId19" display="=IFERROR(@__xludf.DUMMYFUNCTION(&quot;&quot;&quot;COMPUTED_VALUE&quot;&quot;&quot;),&quot;Python Programming&quot;)"/>
    <hyperlink ref="F21" r:id="rId20" display="=IFERROR(@__xludf.DUMMYFUNCTION(&quot;&quot;&quot;COMPUTED_VALUE&quot;&quot;&quot;),&quot;Engineering Design and Modelling&quot;)"/>
    <hyperlink ref="F22" r:id="rId21" display="=IFERROR(@__xludf.DUMMYFUNCTION(&quot;&quot;&quot;COMPUTED_VALUE&quot;&quot;&quot;),&quot;Engineering Mechanics and Product Development&quot;)"/>
    <hyperlink ref="F23" r:id="rId22" display="=IFERROR(@__xludf.DUMMYFUNCTION(&quot;&quot;&quot;COMPUTED_VALUE&quot;&quot;&quot;),&quot;Object Oriented Programming using C++&quot;)"/>
    <hyperlink ref="F24" r:id="rId23" display="=IFERROR(@__xludf.DUMMYFUNCTION(&quot;&quot;&quot;COMPUTED_VALUE&quot;&quot;&quot;),&quot;Object Oriented Programming using Java&quot;)"/>
    <hyperlink ref="F25" r:id="rId24" display="=IFERROR(@__xludf.DUMMYFUNCTION(&quot;&quot;&quot;COMPUTED_VALUE&quot;&quot;&quot;),&quot;Object Oriented Programming using C#&quot;)"/>
    <hyperlink ref="F26" r:id="rId25" display="=IFERROR(@__xludf.DUMMYFUNCTION(&quot;&quot;&quot;COMPUTED_VALUE&quot;&quot;&quot;),&quot;Digital Electronics&quot;)"/>
    <hyperlink ref="F27" r:id="rId26" display="=IFERROR(@__xludf.DUMMYFUNCTION(&quot;&quot;&quot;COMPUTED_VALUE&quot;&quot;&quot;),&quot;Basic Electrical, Electronics and Measurement Engineering&quot;)"/>
    <hyperlink ref="F28" r:id="rId27" display="=IFERROR(@__xludf.DUMMYFUNCTION(&quot;&quot;&quot;COMPUTED_VALUE&quot;&quot;&quot;),&quot;Programming Microcontrollers&quot;)"/>
    <hyperlink ref="F29" r:id="rId28" display="=IFERROR(@__xludf.DUMMYFUNCTION(&quot;&quot;&quot;COMPUTED_VALUE&quot;&quot;&quot;),&quot;Fundamentals of C Programming&quot;)"/>
    <hyperlink ref="F30" r:id="rId29" display="=IFERROR(@__xludf.DUMMYFUNCTION(&quot;&quot;&quot;COMPUTED_VALUE&quot;&quot;&quot;),&quot;Advanced C Programming&quot;)"/>
    <hyperlink ref="F31" r:id="rId30" display="=IFERROR(@__xludf.DUMMYFUNCTION(&quot;&quot;&quot;COMPUTED_VALUE&quot;&quot;&quot;),&quot;Fundamentals of Web Application Development&quot;)"/>
    <hyperlink ref="F32" r:id="rId31" display="=IFERROR(@__xludf.DUMMYFUNCTION(&quot;&quot;&quot;COMPUTED_VALUE&quot;&quot;&quot;),&quot;Operating System&quot;)"/>
    <hyperlink ref="F33" r:id="rId32" display="=IFERROR(@__xludf.DUMMYFUNCTION(&quot;&quot;&quot;COMPUTED_VALUE&quot;&quot;&quot;),&quot;Computer Networks&quot;)"/>
    <hyperlink ref="F35" r:id="rId33" display="=IFERROR(@__xludf.DUMMYFUNCTION(&quot;&quot;&quot;COMPUTED_VALUE&quot;&quot;&quot;),&quot;Data Structures&quot;)"/>
    <hyperlink ref="F36" r:id="rId34" display="=IFERROR(@__xludf.DUMMYFUNCTION(&quot;&quot;&quot;COMPUTED_VALUE&quot;&quot;&quot;),&quot;Analysis of Algorithms&quot;)"/>
    <hyperlink ref="F37" r:id="rId35" display="=IFERROR(@__xludf.DUMMYFUNCTION(&quot;&quot;&quot;COMPUTED_VALUE&quot;&quot;&quot;),&quot;Theory of Computation&quot;)"/>
    <hyperlink ref="F38" r:id="rId36" display="=IFERROR(@__xludf.DUMMYFUNCTION(&quot;&quot;&quot;COMPUTED_VALUE&quot;&quot;&quot;),&quot;Software Engineering&quot;)"/>
    <hyperlink ref="F39" r:id="rId37" display="=IFERROR(@__xludf.DUMMYFUNCTION(&quot;&quot;&quot;COMPUTED_VALUE&quot;&quot;&quot;),&quot;Fundamentals of Artificial Intelligence&quot;)"/>
    <hyperlink ref="F40" r:id="rId38" display="=IFERROR(@__xludf.DUMMYFUNCTION(&quot;&quot;&quot;COMPUTED_VALUE&quot;&quot;&quot;),&quot;Cloud Computing&quot;)"/>
    <hyperlink ref="F41" r:id="rId39" display="=IFERROR(@__xludf.DUMMYFUNCTION(&quot;&quot;&quot;COMPUTED_VALUE&quot;&quot;&quot;),&quot;Cryptography&quot;)"/>
    <hyperlink ref="F42" r:id="rId40" display="=IFERROR(@__xludf.DUMMYFUNCTION(&quot;&quot;&quot;COMPUTED_VALUE&quot;&quot;&quot;),&quot;Blockchain for Business&quot;)"/>
    <hyperlink ref="F43" r:id="rId41" display="=IFERROR(@__xludf.DUMMYFUNCTION(&quot;&quot;&quot;COMPUTED_VALUE&quot;&quot;&quot;),&quot;Cloud Security&quot;)"/>
    <hyperlink ref="F44" r:id="rId42" display="=IFERROR(@__xludf.DUMMYFUNCTION(&quot;&quot;&quot;COMPUTED_VALUE&quot;&quot;&quot;),&quot;Ethical Hacking Techniques&quot;)"/>
    <hyperlink ref="F45" r:id="rId43" display="=IFERROR(@__xludf.DUMMYFUNCTION(&quot;&quot;&quot;COMPUTED_VALUE&quot;&quot;&quot;),&quot;Cyber Law and Compliance&quot;)"/>
    <hyperlink ref="F46" r:id="rId39" display="=IFERROR(@__xludf.DUMMYFUNCTION(&quot;&quot;&quot;COMPUTED_VALUE&quot;&quot;&quot;),&quot;Digital Forensics and Digital Investigations&quot;)"/>
    <hyperlink ref="F47" r:id="rId44" display="=IFERROR(@__xludf.DUMMYFUNCTION(&quot;&quot;&quot;COMPUTED_VALUE&quot;&quot;&quot;),&quot;Robotic Process Automation&quot;)"/>
    <hyperlink ref="F48" r:id="rId45" display="=IFERROR(@__xludf.DUMMYFUNCTION(&quot;&quot;&quot;COMPUTED_VALUE&quot;&quot;&quot;),&quot;Software Project Management and Version Control&quot;)"/>
    <hyperlink ref="F49" r:id="rId46" display="=IFERROR(@__xludf.DUMMYFUNCTION(&quot;&quot;&quot;COMPUTED_VALUE&quot;&quot;&quot;),&quot;Generative AI Application Development&quot;)"/>
    <hyperlink ref="F50" r:id="rId47" display="=IFERROR(@__xludf.DUMMYFUNCTION(&quot;&quot;&quot;COMPUTED_VALUE&quot;&quot;&quot;),&quot;Fine Tuning Large Language Models&quot;)"/>
    <hyperlink ref="F51" r:id="rId48" display="=IFERROR(@__xludf.DUMMYFUNCTION(&quot;&quot;&quot;COMPUTED_VALUE&quot;&quot;&quot;),&quot;Applied Data Science&quot;)"/>
    <hyperlink ref="F52" r:id="rId49" display="=IFERROR(@__xludf.DUMMYFUNCTION(&quot;&quot;&quot;COMPUTED_VALUE&quot;&quot;&quot;),&quot;Entrepreneurship and Small Business Development&quot;)"/>
    <hyperlink ref="F53" r:id="rId50" display="=IFERROR(@__xludf.DUMMYFUNCTION(&quot;&quot;&quot;COMPUTED_VALUE&quot;&quot;&quot;),&quot;Software Development and Operations&quot;)"/>
    <hyperlink ref="F54" r:id="rId51" display="=IFERROR(@__xludf.DUMMYFUNCTION(&quot;&quot;&quot;COMPUTED_VALUE&quot;&quot;&quot;),&quot;Serverless App Development&quot;)"/>
    <hyperlink ref="F55" r:id="rId52" display="=IFERROR(@__xludf.DUMMYFUNCTION(&quot;&quot;&quot;COMPUTED_VALUE&quot;&quot;&quot;),&quot;Enterprise Cloud Architecture&quot;)"/>
    <hyperlink ref="F56" r:id="rId53" display="=IFERROR(@__xludf.DUMMYFUNCTION(&quot;&quot;&quot;COMPUTED_VALUE&quot;&quot;&quot;),&quot;Advanced Class Design and Object-Oriented Techniques&quot;)"/>
    <hyperlink ref="F57" r:id="rId54" display="=IFERROR(@__xludf.DUMMYFUNCTION(&quot;&quot;&quot;COMPUTED_VALUE&quot;&quot;&quot;),&quot;Low-Code App Development&quot;)"/>
    <hyperlink ref="F58" r:id="rId55" display="=IFERROR(@__xludf.DUMMYFUNCTION(&quot;&quot;&quot;COMPUTED_VALUE&quot;&quot;&quot;),&quot;Cloud System Administration&quot;)"/>
    <hyperlink ref="F59" r:id="rId56" display="=IFERROR(@__xludf.DUMMYFUNCTION(&quot;&quot;&quot;COMPUTED_VALUE&quot;&quot;&quot;),&quot;Machine Learning Operations&quot;)"/>
    <hyperlink ref="F60" r:id="rId57" display="=IFERROR(@__xludf.DUMMYFUNCTION(&quot;&quot;&quot;COMPUTED_VALUE&quot;&quot;&quot;),&quot;Fundamentals of Cryptocurrency&quot;)"/>
    <hyperlink ref="F61" r:id="rId58" display="=IFERROR(@__xludf.DUMMYFUNCTION(&quot;&quot;&quot;COMPUTED_VALUE&quot;&quot;&quot;),&quot;Computer Architecture&quot;)"/>
    <hyperlink ref="F62" r:id="rId59" display="=IFERROR(@__xludf.DUMMYFUNCTION(&quot;&quot;&quot;COMPUTED_VALUE&quot;&quot;&quot;),&quot;Information Security Intelligence and Analytics using Big Data&quot;)"/>
    <hyperlink ref="F63" r:id="rId60" display="=IFERROR(@__xludf.DUMMYFUNCTION(&quot;&quot;&quot;COMPUTED_VALUE&quot;&quot;&quot;),&quot;Prevention Methodology for Cybersecurity&quot;)"/>
    <hyperlink ref="F64" r:id="rId61" display="=IFERROR(@__xludf.DUMMYFUNCTION(&quot;&quot;&quot;COMPUTED_VALUE&quot;&quot;&quot;),&quot;Trusted Network Systems&quot;)"/>
    <hyperlink ref="F65" r:id="rId62" display="=IFERROR(@__xludf.DUMMYFUNCTION(&quot;&quot;&quot;COMPUTED_VALUE&quot;&quot;&quot;),&quot;Information Security and Access Control&quot;)"/>
    <hyperlink ref="F66" r:id="rId63" display="=IFERROR(@__xludf.DUMMYFUNCTION(&quot;&quot;&quot;COMPUTED_VALUE&quot;&quot;&quot;),&quot;Firewalls and Intrusion Detection System&quot;)"/>
    <hyperlink ref="F67" r:id="rId64" display="=IFERROR(@__xludf.DUMMYFUNCTION(&quot;&quot;&quot;COMPUTED_VALUE&quot;&quot;&quot;),&quot;Security Assessment and Risk Analysis&quot;)"/>
    <hyperlink ref="F68" r:id="rId65" display="=IFERROR(@__xludf.DUMMYFUNCTION(&quot;&quot;&quot;COMPUTED_VALUE&quot;&quot;&quot;),&quot;Steganography and Digital Watermarking&quot;)"/>
    <hyperlink ref="F69" r:id="rId66" display="=IFERROR(@__xludf.DUMMYFUNCTION(&quot;&quot;&quot;COMPUTED_VALUE&quot;&quot;&quot;),&quot;Secure Software Engineering&quot;)"/>
    <hyperlink ref="F70" r:id="rId67" display="=IFERROR(@__xludf.DUMMYFUNCTION(&quot;&quot;&quot;COMPUTED_VALUE&quot;&quot;&quot;),&quot;System Security&quot;)"/>
    <hyperlink ref="F71" r:id="rId68" display="=IFERROR(@__xludf.DUMMYFUNCTION(&quot;&quot;&quot;COMPUTED_VALUE&quot;&quot;&quot;),&quot;Hardware Security&quot;)"/>
    <hyperlink ref="F72" r:id="rId69" display="=IFERROR(@__xludf.DUMMYFUNCTION(&quot;&quot;&quot;COMPUTED_VALUE&quot;&quot;&quot;),&quot;Applied Artificial Intelligence&quot;)"/>
    <hyperlink ref="F74" r:id="rId70" display="=IFERROR(@__xludf.DUMMYFUNCTION(&quot;&quot;&quot;COMPUTED_VALUE&quot;&quot;&quot;),&quot;Special Topics in Artificial Intelligence&quot;)"/>
    <hyperlink ref="F75" r:id="rId71" display="=IFERROR(@__xludf.DUMMYFUNCTION(&quot;&quot;&quot;COMPUTED_VALUE&quot;&quot;&quot;),&quot;Computer Vision&quot;)"/>
    <hyperlink ref="F76" r:id="rId72" display="=IFERROR(@__xludf.DUMMYFUNCTION(&quot;&quot;&quot;COMPUTED_VALUE&quot;&quot;&quot;),&quot;Self Driving Car&quot;)"/>
    <hyperlink ref="F77" r:id="rId73" display="=IFERROR(@__xludf.DUMMYFUNCTION(&quot;&quot;&quot;COMPUTED_VALUE&quot;&quot;&quot;),&quot;Knowledge Engineering&quot;)"/>
    <hyperlink ref="F78" r:id="rId74" display="=IFERROR(@__xludf.DUMMYFUNCTION(&quot;&quot;&quot;COMPUTED_VALUE&quot;&quot;&quot;),&quot;Applied Natural Language Processing&quot;)"/>
    <hyperlink ref="F79" r:id="rId75" display="=IFERROR(@__xludf.DUMMYFUNCTION(&quot;&quot;&quot;COMPUTED_VALUE&quot;&quot;&quot;),&quot;Introduction to Machine Learning&quot;)"/>
    <hyperlink ref="F80" r:id="rId76" display="=IFERROR(@__xludf.DUMMYFUNCTION(&quot;&quot;&quot;COMPUTED_VALUE&quot;&quot;&quot;),&quot;Neural Networks&quot;)"/>
    <hyperlink ref="F82" r:id="rId77" display="=IFERROR(@__xludf.DUMMYFUNCTION(&quot;&quot;&quot;COMPUTED_VALUE&quot;&quot;&quot;),&quot;Deep Learning and its Applications&quot;)"/>
    <hyperlink ref="F83" r:id="rId78" display="=IFERROR(@__xludf.DUMMYFUNCTION(&quot;&quot;&quot;COMPUTED_VALUE&quot;&quot;&quot;),&quot;Expert Systems&quot;)"/>
    <hyperlink ref="F86" r:id="rId79" display="=IFERROR(@__xludf.DUMMYFUNCTION(&quot;&quot;&quot;COMPUTED_VALUE&quot;&quot;&quot;),&quot;Genetic Algorithms&quot;)"/>
    <hyperlink ref="F87" r:id="rId80" display="=IFERROR(@__xludf.DUMMYFUNCTION(&quot;&quot;&quot;COMPUTED_VALUE&quot;&quot;&quot;),&quot;Statistical Learning Theory&quot;)"/>
    <hyperlink ref="F88" r:id="rId81" display="=IFERROR(@__xludf.DUMMYFUNCTION(&quot;&quot;&quot;COMPUTED_VALUE&quot;&quot;&quot;),&quot;Introduction to Robotics&quot;)"/>
    <hyperlink ref="F89" r:id="rId82" display="=IFERROR(@__xludf.DUMMYFUNCTION(&quot;&quot;&quot;COMPUTED_VALUE&quot;&quot;&quot;),&quot;Kinematics and Dynamics of Robots&quot;)"/>
    <hyperlink ref="F90" r:id="rId83" display="=IFERROR(@__xludf.DUMMYFUNCTION(&quot;&quot;&quot;COMPUTED_VALUE&quot;&quot;&quot;),&quot;Robotic Sensors&quot;)"/>
    <hyperlink ref="F91" r:id="rId84" display="=IFERROR(@__xludf.DUMMYFUNCTION(&quot;&quot;&quot;COMPUTED_VALUE&quot;&quot;&quot;),&quot;Control of Robotic Systems&quot;)"/>
    <hyperlink ref="F92" r:id="rId85" display="=IFERROR(@__xludf.DUMMYFUNCTION(&quot;&quot;&quot;COMPUTED_VALUE&quot;&quot;&quot;),&quot;Concepts of Virtual And Augmented Reality&quot;)"/>
    <hyperlink ref="F93" r:id="rId86" display="=IFERROR(@__xludf.DUMMYFUNCTION(&quot;&quot;&quot;COMPUTED_VALUE&quot;&quot;&quot;),&quot;Mobile VR And AI In Unity&quot;)"/>
    <hyperlink ref="F94" r:id="rId87" display="=IFERROR(@__xludf.DUMMYFUNCTION(&quot;&quot;&quot;COMPUTED_VALUE&quot;&quot;&quot;),&quot;Game Programming&quot;)"/>
    <hyperlink ref="F95" r:id="rId88" display="=IFERROR(@__xludf.DUMMYFUNCTION(&quot;&quot;&quot;COMPUTED_VALUE&quot;&quot;&quot;),&quot;Computer Graphics for Virtual Reality&quot;)"/>
    <hyperlink ref="F96" r:id="rId89" display="=IFERROR(@__xludf.DUMMYFUNCTION(&quot;&quot;&quot;COMPUTED_VALUE&quot;&quot;&quot;),&quot;Motion Planning Techniques&quot;)"/>
    <hyperlink ref="F97" r:id="rId90" display="=IFERROR(@__xludf.DUMMYFUNCTION(&quot;&quot;&quot;COMPUTED_VALUE&quot;&quot;&quot;),&quot;Robot Programming&quot;)"/>
    <hyperlink ref="F98" r:id="rId91" display="=IFERROR(@__xludf.DUMMYFUNCTION(&quot;&quot;&quot;COMPUTED_VALUE&quot;&quot;&quot;),&quot;Drone Assembly and Applications&quot;)"/>
    <hyperlink ref="F99" r:id="rId92" display="=IFERROR(@__xludf.DUMMYFUNCTION(&quot;&quot;&quot;COMPUTED_VALUE&quot;&quot;&quot;),&quot;Artificial Intelligence for Games&quot;)"/>
    <hyperlink ref="F100" r:id="rId93" display="=IFERROR(@__xludf.DUMMYFUNCTION(&quot;&quot;&quot;COMPUTED_VALUE&quot;&quot;&quot;),&quot;Drone Design and Control&quot;)"/>
    <hyperlink ref="F101" r:id="rId94" display="=IFERROR(@__xludf.DUMMYFUNCTION(&quot;&quot;&quot;COMPUTED_VALUE&quot;&quot;&quot;),&quot;Mobile User Interface Development&quot;)"/>
    <hyperlink ref="F102" r:id="rId95" display="=IFERROR(@__xludf.DUMMYFUNCTION(&quot;&quot;&quot;COMPUTED_VALUE&quot;&quot;&quot;),&quot;Programming Mobile Devices&quot;)"/>
    <hyperlink ref="F103" r:id="rId96" display="=IFERROR(@__xludf.DUMMYFUNCTION(&quot;&quot;&quot;COMPUTED_VALUE&quot;&quot;&quot;),&quot;Modern Web Application Development&quot;)"/>
    <hyperlink ref="F104" r:id="rId97" display="=IFERROR(@__xludf.DUMMYFUNCTION(&quot;&quot;&quot;COMPUTED_VALUE&quot;&quot;&quot;),&quot;Web Server Programming&quot;)"/>
    <hyperlink ref="F105" r:id="rId98" display="=IFERROR(@__xludf.DUMMYFUNCTION(&quot;&quot;&quot;COMPUTED_VALUE&quot;&quot;&quot;),&quot;Web Application User Interface Development&quot;)"/>
    <hyperlink ref="F106" r:id="rId99" display="=IFERROR(@__xludf.DUMMYFUNCTION(&quot;&quot;&quot;COMPUTED_VALUE&quot;&quot;&quot;),&quot;Advanced Java Web Applications&quot;)"/>
    <hyperlink ref="F107" r:id="rId100" display="=IFERROR(@__xludf.DUMMYFUNCTION(&quot;&quot;&quot;COMPUTED_VALUE&quot;&quot;&quot;),&quot;Introduction to Data Science&quot;)"/>
    <hyperlink ref="F108" r:id="rId101" display="=IFERROR(@__xludf.DUMMYFUNCTION(&quot;&quot;&quot;COMPUTED_VALUE&quot;&quot;&quot;),&quot;Scientific and Engineering Data Visualization&quot;)"/>
    <hyperlink ref="F109" r:id="rId102" display="=IFERROR(@__xludf.DUMMYFUNCTION(&quot;&quot;&quot;COMPUTED_VALUE&quot;&quot;&quot;),&quot;Big Data Mining and Analysis&quot;)"/>
    <hyperlink ref="F110" r:id="rId103" display="=IFERROR(@__xludf.DUMMYFUNCTION(&quot;&quot;&quot;COMPUTED_VALUE&quot;&quot;&quot;),&quot;Business Analytics&quot;)"/>
    <hyperlink ref="F112" r:id="rId104" display="=IFERROR(@__xludf.DUMMYFUNCTION(&quot;&quot;&quot;COMPUTED_VALUE&quot;&quot;&quot;),&quot;Introduction to IoT&quot;)"/>
    <hyperlink ref="F113" r:id="rId105" display="=IFERROR(@__xludf.DUMMYFUNCTION(&quot;&quot;&quot;COMPUTED_VALUE&quot;&quot;&quot;),&quot;Prototyping of IoT Systems&quot;)"/>
    <hyperlink ref="F114" r:id="rId106" display="=IFERROR(@__xludf.DUMMYFUNCTION(&quot;&quot;&quot;COMPUTED_VALUE&quot;&quot;&quot;),&quot;Edge Computing&quot;)"/>
    <hyperlink ref="F115" r:id="rId107" display="=IFERROR(@__xludf.DUMMYFUNCTION(&quot;&quot;&quot;COMPUTED_VALUE&quot;&quot;&quot;),&quot;Industrial Internet of Things&quot;)"/>
    <hyperlink ref="F116" r:id="rId108" display="=IFERROR(@__xludf.DUMMYFUNCTION(&quot;&quot;&quot;COMPUTED_VALUE&quot;&quot;&quot;),&quot;Security for IoT Systems&quot;)"/>
    <hyperlink ref="F117" r:id="rId109" display="=IFERROR(@__xludf.DUMMYFUNCTION(&quot;&quot;&quot;COMPUTED_VALUE&quot;&quot;&quot;),&quot;Ad Hoc and Wireless Sensor Networks&quot;)"/>
    <hyperlink ref="F118" r:id="rId110" display="=IFERROR(@__xludf.DUMMYFUNCTION(&quot;&quot;&quot;COMPUTED_VALUE&quot;&quot;&quot;),&quot;Fog Computing&quot;)"/>
    <hyperlink ref="F119" r:id="rId111" display="=IFERROR(@__xludf.DUMMYFUNCTION(&quot;&quot;&quot;COMPUTED_VALUE&quot;&quot;&quot;),&quot;Sensors and Actuators for IoT&quot;)"/>
    <hyperlink ref="F120" r:id="rId112" display="=IFERROR(@__xludf.DUMMYFUNCTION(&quot;&quot;&quot;COMPUTED_VALUE&quot;&quot;&quot;),&quot;Embedded Board Design&quot;)"/>
    <hyperlink ref="F121" r:id="rId60" display="=IFERROR(@__xludf.DUMMYFUNCTION(&quot;&quot;&quot;COMPUTED_VALUE&quot;&quot;&quot;),&quot;Embedded Board Manufacturing&quot;)"/>
    <hyperlink ref="F122" r:id="rId113" display="=IFERROR(@__xludf.DUMMYFUNCTION(&quot;&quot;&quot;COMPUTED_VALUE&quot;&quot;&quot;),&quot;Realtime Operating System&quot;)"/>
    <hyperlink ref="F123" r:id="rId114" display="=IFERROR(@__xludf.DUMMYFUNCTION(&quot;&quot;&quot;COMPUTED_VALUE&quot;&quot;&quot;),&quot;Open Source Operating System&quot;)"/>
    <hyperlink ref="F124" r:id="rId115" display="=IFERROR(@__xludf.DUMMYFUNCTION(&quot;&quot;&quot;COMPUTED_VALUE&quot;&quot;&quot;),&quot;Kernel Programming&quot;)"/>
    <hyperlink ref="F125" r:id="rId116" display="=IFERROR(@__xludf.DUMMYFUNCTION(&quot;&quot;&quot;COMPUTED_VALUE&quot;&quot;&quot;),&quot;Mathematical Modelling and Computer Aided Engineering&quot;)"/>
    <hyperlink ref="F126" r:id="rId117" display="=IFERROR(@__xludf.DUMMYFUNCTION(&quot;&quot;&quot;COMPUTED_VALUE&quot;&quot;&quot;),&quot;Agile Software Development&quot;)"/>
    <hyperlink ref="F127" r:id="rId118" display="=IFERROR(@__xludf.DUMMYFUNCTION(&quot;&quot;&quot;COMPUTED_VALUE&quot;&quot;&quot;),&quot;Software Testing&quot;)"/>
    <hyperlink ref="F128" r:id="rId119" display="=IFERROR(@__xludf.DUMMYFUNCTION(&quot;&quot;&quot;COMPUTED_VALUE&quot;&quot;&quot;),&quot;Virtualization and Containerization&quot;)"/>
    <hyperlink ref="F129" r:id="rId120" display="=IFERROR(@__xludf.DUMMYFUNCTION(&quot;&quot;&quot;COMPUTED_VALUE&quot;&quot;&quot;),&quot;Advanced Graph Theory and Applications&quot;)"/>
    <hyperlink ref="F130" r:id="rId121" display="=IFERROR(@__xludf.DUMMYFUNCTION(&quot;&quot;&quot;COMPUTED_VALUE&quot;&quot;&quot;),&quot;Advanced Data Structures&quot;)"/>
    <hyperlink ref="F132" r:id="rId122" display="=IFERROR(@__xludf.DUMMYFUNCTION(&quot;&quot;&quot;COMPUTED_VALUE&quot;&quot;&quot;),&quot;Smart Manufacturing Technology&quot;)"/>
    <hyperlink ref="F133" r:id="rId123" display="=IFERROR(@__xludf.DUMMYFUNCTION(&quot;&quot;&quot;COMPUTED_VALUE&quot;&quot;&quot;),&quot;Information Retrieval&quot;)"/>
    <hyperlink ref="F134" r:id="rId124" display="=IFERROR(@__xludf.DUMMYFUNCTION(&quot;&quot;&quot;COMPUTED_VALUE&quot;&quot;&quot;),&quot;NoSQL Database Design&quot;)"/>
    <hyperlink ref="F135" r:id="rId125" display="=IFERROR(@__xludf.DUMMYFUNCTION(&quot;&quot;&quot;COMPUTED_VALUE&quot;&quot;&quot;),&quot;Cognitive Systems&quot;)"/>
    <hyperlink ref="F136" r:id="rId126" display="=IFERROR(@__xludf.DUMMYFUNCTION(&quot;&quot;&quot;COMPUTED_VALUE&quot;&quot;&quot;),&quot;Distributed Database&quot;)"/>
    <hyperlink ref="F137" r:id="rId127" display="=IFERROR(@__xludf.DUMMYFUNCTION(&quot;&quot;&quot;COMPUTED_VALUE&quot;&quot;&quot;),&quot;Data Mining and Warehousing&quot;)"/>
    <hyperlink ref="F138" r:id="rId128" display="=IFERROR(@__xludf.DUMMYFUNCTION(&quot;&quot;&quot;COMPUTED_VALUE&quot;&quot;&quot;),&quot;Mobile Database&quot;)"/>
    <hyperlink ref="F139" r:id="rId129" display="=IFERROR(@__xludf.DUMMYFUNCTION(&quot;&quot;&quot;COMPUTED_VALUE&quot;&quot;&quot;),&quot;Multimedia Database&quot;)"/>
    <hyperlink ref="F140" r:id="rId130" display="=IFERROR(@__xludf.DUMMYFUNCTION(&quot;&quot;&quot;COMPUTED_VALUE&quot;&quot;&quot;),&quot;Video Processing&quot;)"/>
    <hyperlink ref="F141" r:id="rId131" display="=IFERROR(@__xludf.DUMMYFUNCTION(&quot;&quot;&quot;COMPUTED_VALUE&quot;&quot;&quot;),&quot;Digital Image Processing Techniques&quot;)"/>
    <hyperlink ref="F142" r:id="rId132" display="=IFERROR(@__xludf.DUMMYFUNCTION(&quot;&quot;&quot;COMPUTED_VALUE&quot;&quot;&quot;),&quot;Parallel Computing Architecture&quot;)"/>
    <hyperlink ref="F143" r:id="rId133" display="=IFERROR(@__xludf.DUMMYFUNCTION(&quot;&quot;&quot;COMPUTED_VALUE&quot;&quot;&quot;),&quot;Web Data Mining&quot;)"/>
    <hyperlink ref="F146" r:id="rId134" display="=IFERROR(@__xludf.DUMMYFUNCTION(&quot;&quot;&quot;COMPUTED_VALUE&quot;&quot;&quot;),&quot;Mini Project&quot;)"/>
    <hyperlink ref="F147" r:id="rId135" display="=IFERROR(@__xludf.DUMMYFUNCTION(&quot;&quot;&quot;COMPUTED_VALUE&quot;&quot;&quot;),&quot;Project Work I&quot;)"/>
    <hyperlink ref="F148" r:id="rId136" display="=IFERROR(@__xludf.DUMMYFUNCTION(&quot;&quot;&quot;COMPUTED_VALUE&quot;&quot;&quot;),&quot;Project Work II&quot;)"/>
    <hyperlink ref="F150" r:id="rId137" display="=IFERROR(@__xludf.DUMMYFUNCTION(&quot;&quot;&quot;COMPUTED_VALUE&quot;&quot;&quot;),&quot;Career Development Skills&quot;)"/>
    <hyperlink ref="F151" r:id="rId138" display="=IFERROR(@__xludf.DUMMYFUNCTION(&quot;&quot;&quot;COMPUTED_VALUE&quot;&quot;&quot;),&quot;Reasoning Ability&quot;)"/>
    <hyperlink ref="F152" r:id="rId139" display="=IFERROR(@__xludf.DUMMYFUNCTION(&quot;&quot;&quot;COMPUTED_VALUE&quot;&quot;&quot;),&quot;Quantitative Ability I&quot;)"/>
    <hyperlink ref="F153" r:id="rId140" display="=IFERROR(@__xludf.DUMMYFUNCTION(&quot;&quot;&quot;COMPUTED_VALUE&quot;&quot;&quot;),&quot;Quantitative Ability II&quot;)"/>
    <hyperlink ref="F154" r:id="rId141" display="=IFERROR(@__xludf.DUMMYFUNCTION(&quot;&quot;&quot;COMPUTED_VALUE&quot;&quot;&quot;),&quot;Employment Enrichment Skills&quot;)"/>
    <hyperlink ref="F155" r:id="rId142" display="=IFERROR(@__xludf.DUMMYFUNCTION(&quot;&quot;&quot;COMPUTED_VALUE&quot;&quot;&quot;),&quot;Company Specific Assessments For Employability&quot;)"/>
    <hyperlink ref="F156" r:id="rId143" display="=IFERROR(@__xludf.DUMMYFUNCTION(&quot;&quot;&quot;COMPUTED_VALUE&quot;&quot;&quot;),&quot;Placement Readiness Assessment&quot;)"/>
    <hyperlink ref="F157" r:id="rId144" display="=IFERROR(@__xludf.DUMMYFUNCTION(&quot;&quot;&quot;COMPUTED_VALUE&quot;&quot;&quot;),&quot;Paper Publication&quot;)"/>
    <hyperlink ref="F158" r:id="rId145" display="=IFERROR(@__xludf.DUMMYFUNCTION(&quot;&quot;&quot;COMPUTED_VALUE&quot;&quot;&quot;),&quot;Constitutionalism and Artificial Intelligence Policies in India&quot;)"/>
    <hyperlink ref="F159" r:id="rId146" display="=IFERROR(@__xludf.DUMMYFUNCTION(&quot;&quot;&quot;COMPUTED_VALUE&quot;&quot;&quot;),&quot;Internship&quot;)"/>
  </hyperlink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"/>
    </sheetView>
  </sheetViews>
  <sheetFormatPr defaultColWidth="12.6296296296296" defaultRowHeight="15.75" customHeight="1"/>
  <cols>
    <col min="2" max="2" width="38.6296296296296" customWidth="1"/>
    <col min="7" max="7" width="70" customWidth="1"/>
    <col min="13" max="13" width="36" customWidth="1"/>
  </cols>
  <sheetData>
    <row r="1" ht="63" customHeight="1" spans="1:26">
      <c r="A1" s="1" t="str">
        <f>IFERROR(__xludf.DUMMYFUNCTION("IMPORTRANGE(""https://docs.google.com/spreadsheets/d/1UvPg-G_Bj-UNhLC2uL8tntfYsnld_PABqE3impzOchM/edit?usp=sharing"", ""Online Courses - OE!A:O"")"),"S.No.")</f>
        <v>S.No.</v>
      </c>
      <c r="B1" s="1" t="str">
        <f>IFERROR(__xludf.DUMMYFUNCTION("""COMPUTED_VALUE"""),"Department")</f>
        <v>Department</v>
      </c>
      <c r="C1" s="1" t="str">
        <f>IFERROR(__xludf.DUMMYFUNCTION("""COMPUTED_VALUE"""),"Course Code R2024")</f>
        <v>Course Code R2024</v>
      </c>
      <c r="D1" s="1" t="str">
        <f>IFERROR(__xludf.DUMMYFUNCTION("""COMPUTED_VALUE"""),"Course Code R2019")</f>
        <v>Course Code R2019</v>
      </c>
      <c r="E1" s="1" t="str">
        <f>IFERROR(__xludf.DUMMYFUNCTION("""COMPUTED_VALUE"""),"Course Code R2019(Ref)")</f>
        <v>Course Code R2019(Ref)</v>
      </c>
      <c r="F1" s="1" t="str">
        <f>IFERROR(__xludf.DUMMYFUNCTION("""COMPUTED_VALUE"""),"Platform - NPTEL / Coursera / Others if any..")</f>
        <v>Platform - NPTEL / Coursera / Others if any..</v>
      </c>
      <c r="G1" s="1" t="str">
        <f>IFERROR(__xludf.DUMMYFUNCTION("""COMPUTED_VALUE"""),"Course Title")</f>
        <v>Course Title</v>
      </c>
      <c r="H1" s="1" t="str">
        <f>IFERROR(__xludf.DUMMYFUNCTION("""COMPUTED_VALUE"""),"Course Duration")</f>
        <v>Course Duration</v>
      </c>
      <c r="I1" s="1" t="str">
        <f>IFERROR(__xludf.DUMMYFUNCTION("""COMPUTED_VALUE"""),"Assign. by NPTEL")</f>
        <v>Assign. by NPTEL</v>
      </c>
      <c r="J1" s="1" t="str">
        <f>IFERROR(__xludf.DUMMYFUNCTION("""COMPUTED_VALUE"""),"Final Exam by NPTEL")</f>
        <v>Final Exam by NPTEL</v>
      </c>
      <c r="K1" s="1" t="str">
        <f>IFERROR(__xludf.DUMMYFUNCTION("""COMPUTED_VALUE"""),"Total Score")</f>
        <v>Total Score</v>
      </c>
      <c r="L1" s="1" t="str">
        <f>IFERROR(__xludf.DUMMYFUNCTION("""COMPUTED_VALUE"""),"CGPA / Non CGPA")</f>
        <v>CGPA / Non CGPA</v>
      </c>
      <c r="M1" s="1" t="str">
        <f>IFERROR(__xludf.DUMMYFUNCTION("""COMPUTED_VALUE"""),"Course Type")</f>
        <v>Course Type</v>
      </c>
      <c r="N1" s="1" t="str">
        <f>IFERROR(__xludf.DUMMYFUNCTION("""COMPUTED_VALUE"""),"Credits")</f>
        <v>Credits</v>
      </c>
      <c r="O1" s="1" t="str">
        <f>IFERROR(__xludf.DUMMYFUNCTION("""COMPUTED_VALUE"""),"Credits w.e.f. 30.03.24")</f>
        <v>Credits w.e.f. 30.03.24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30.75" customHeight="1" spans="1:26">
      <c r="A2" s="2">
        <f>IFERROR(__xludf.DUMMYFUNCTION("""COMPUTED_VALUE"""),1)</f>
        <v>1</v>
      </c>
      <c r="B2" s="2" t="str">
        <f>IFERROR(__xludf.DUMMYFUNCTION("""COMPUTED_VALUE"""),"BME, MED ELEC")</f>
        <v>BME, MED ELEC</v>
      </c>
      <c r="C2" s="2" t="str">
        <f>IFERROR(__xludf.DUMMYFUNCTION("""COMPUTED_VALUE"""),"EC4620")</f>
        <v>EC4620</v>
      </c>
      <c r="D2" s="2" t="str">
        <f>IFERROR(__xludf.DUMMYFUNCTION("""COMPUTED_VALUE"""),"19BM620")</f>
        <v>19BM620</v>
      </c>
      <c r="E2" s="2"/>
      <c r="F2" s="2" t="str">
        <f>IFERROR(__xludf.DUMMYFUNCTION("""COMPUTED_VALUE"""),"NPTEL")</f>
        <v>NPTEL</v>
      </c>
      <c r="G2" s="3" t="str">
        <f>IFERROR(__xludf.DUMMYFUNCTION("""COMPUTED_VALUE"""),"A brief introduction of Micro - Sensors (NPTEL)")</f>
        <v>A brief introduction of Micro - Sensors (NPTEL)</v>
      </c>
      <c r="H2" s="2" t="str">
        <f>IFERROR(__xludf.DUMMYFUNCTION("""COMPUTED_VALUE"""),"4 Weeks")</f>
        <v>4 Weeks</v>
      </c>
      <c r="I2" s="2"/>
      <c r="J2" s="2"/>
      <c r="K2" s="2"/>
      <c r="L2" s="2" t="str">
        <f>IFERROR(__xludf.DUMMYFUNCTION("""COMPUTED_VALUE"""),"CGPA")</f>
        <v>CGPA</v>
      </c>
      <c r="M2" s="2" t="str">
        <f>IFERROR(__xludf.DUMMYFUNCTION("""COMPUTED_VALUE"""),"Experiential Learning (Int and Grade from Certificate)")</f>
        <v>Experiential Learning (Int and Grade from Certificate)</v>
      </c>
      <c r="N2" s="2">
        <f>IFERROR(__xludf.DUMMYFUNCTION("""COMPUTED_VALUE"""),1)</f>
        <v>1</v>
      </c>
      <c r="O2" s="2">
        <f>IFERROR(__xludf.DUMMYFUNCTION("""COMPUTED_VALUE"""),1)</f>
        <v>1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30.75" customHeight="1" spans="1:26">
      <c r="A3" s="2">
        <f>IFERROR(__xludf.DUMMYFUNCTION("""COMPUTED_VALUE"""),2)</f>
        <v>2</v>
      </c>
      <c r="B3" s="2" t="str">
        <f>IFERROR(__xludf.DUMMYFUNCTION("""COMPUTED_VALUE"""),"CHEMICAL")</f>
        <v>CHEMICAL</v>
      </c>
      <c r="C3" s="2" t="str">
        <f>IFERROR(__xludf.DUMMYFUNCTION("""COMPUTED_VALUE"""),"CH0601")</f>
        <v>CH0601</v>
      </c>
      <c r="D3" s="2" t="str">
        <f>IFERROR(__xludf.DUMMYFUNCTION("""COMPUTED_VALUE"""),"19CH601")</f>
        <v>19CH601</v>
      </c>
      <c r="E3" s="2"/>
      <c r="F3" s="2" t="str">
        <f>IFERROR(__xludf.DUMMYFUNCTION("""COMPUTED_VALUE"""),"NPTEL (University of Hyderabad)")</f>
        <v>NPTEL (University of Hyderabad)</v>
      </c>
      <c r="G3" s="3" t="str">
        <f>IFERROR(__xludf.DUMMYFUNCTION("""COMPUTED_VALUE"""),"Abnormal Psychology (NPTEL)")</f>
        <v>Abnormal Psychology (NPTEL)</v>
      </c>
      <c r="H3" s="2" t="str">
        <f>IFERROR(__xludf.DUMMYFUNCTION("""COMPUTED_VALUE"""),"12 Weeks")</f>
        <v>12 Weeks</v>
      </c>
      <c r="I3" s="2"/>
      <c r="J3" s="2"/>
      <c r="K3" s="2"/>
      <c r="L3" s="2" t="str">
        <f>IFERROR(__xludf.DUMMYFUNCTION("""COMPUTED_VALUE"""),"CGPA ")</f>
        <v>CGPA </v>
      </c>
      <c r="M3" s="2" t="str">
        <f>IFERROR(__xludf.DUMMYFUNCTION("""COMPUTED_VALUE"""),"Experiential Learning (Int and Grade from Certificate)")</f>
        <v>Experiential Learning (Int and Grade from Certificate)</v>
      </c>
      <c r="N3" s="2">
        <f>IFERROR(__xludf.DUMMYFUNCTION("""COMPUTED_VALUE"""),2)</f>
        <v>2</v>
      </c>
      <c r="O3" s="2">
        <f>IFERROR(__xludf.DUMMYFUNCTION("""COMPUTED_VALUE"""),3)</f>
        <v>3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30.75" customHeight="1" spans="1:26">
      <c r="A4" s="2">
        <f>IFERROR(__xludf.DUMMYFUNCTION("""COMPUTED_VALUE"""),3)</f>
        <v>3</v>
      </c>
      <c r="B4" s="2" t="str">
        <f>IFERROR(__xludf.DUMMYFUNCTION("""COMPUTED_VALUE"""),"SCoFT")</f>
        <v>SCoFT</v>
      </c>
      <c r="C4" s="2" t="str">
        <f>IFERROR(__xludf.DUMMYFUNCTION("""COMPUTED_VALUE"""),"CS3001")</f>
        <v>CS3001</v>
      </c>
      <c r="D4" s="2" t="str">
        <f>IFERROR(__xludf.DUMMYFUNCTION("""COMPUTED_VALUE"""),"19AI001")</f>
        <v>19AI001</v>
      </c>
      <c r="E4" s="2"/>
      <c r="F4" s="2" t="str">
        <f>IFERROR(__xludf.DUMMYFUNCTION("""COMPUTED_VALUE"""),"NPTEL")</f>
        <v>NPTEL</v>
      </c>
      <c r="G4" s="3" t="str">
        <f>IFERROR(__xludf.DUMMYFUNCTION("""COMPUTED_VALUE"""),"Advanced Computer Architecture (NPTEL)")</f>
        <v>Advanced Computer Architecture (NPTEL)</v>
      </c>
      <c r="H4" s="2" t="str">
        <f>IFERROR(__xludf.DUMMYFUNCTION("""COMPUTED_VALUE"""),"8 Weeks")</f>
        <v>8 Weeks</v>
      </c>
      <c r="I4" s="2"/>
      <c r="J4" s="2"/>
      <c r="K4" s="2"/>
      <c r="L4" s="2" t="str">
        <f>IFERROR(__xludf.DUMMYFUNCTION("""COMPUTED_VALUE"""),"CGPA ")</f>
        <v>CGPA </v>
      </c>
      <c r="M4" s="2" t="str">
        <f>IFERROR(__xludf.DUMMYFUNCTION("""COMPUTED_VALUE"""),"Experiential Learning (Int and Grade from Certificate)")</f>
        <v>Experiential Learning (Int and Grade from Certificate)</v>
      </c>
      <c r="N4" s="2">
        <f>IFERROR(__xludf.DUMMYFUNCTION("""COMPUTED_VALUE"""),2)</f>
        <v>2</v>
      </c>
      <c r="O4" s="2">
        <f>IFERROR(__xludf.DUMMYFUNCTION("""COMPUTED_VALUE"""),2)</f>
        <v>2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30.75" customHeight="1" spans="1:26">
      <c r="A5" s="2">
        <f>IFERROR(__xludf.DUMMYFUNCTION("""COMPUTED_VALUE"""),4)</f>
        <v>4</v>
      </c>
      <c r="B5" s="2" t="str">
        <f>IFERROR(__xludf.DUMMYFUNCTION("""COMPUTED_VALUE"""),"SCoFT")</f>
        <v>SCoFT</v>
      </c>
      <c r="C5" s="2" t="str">
        <f>IFERROR(__xludf.DUMMYFUNCTION("""COMPUTED_VALUE"""),"CS3002")</f>
        <v>CS3002</v>
      </c>
      <c r="D5" s="2" t="str">
        <f>IFERROR(__xludf.DUMMYFUNCTION("""COMPUTED_VALUE"""),"19AI002")</f>
        <v>19AI002</v>
      </c>
      <c r="E5" s="2"/>
      <c r="F5" s="2" t="str">
        <f>IFERROR(__xludf.DUMMYFUNCTION("""COMPUTED_VALUE"""),"NPTEL")</f>
        <v>NPTEL</v>
      </c>
      <c r="G5" s="3" t="str">
        <f>IFERROR(__xludf.DUMMYFUNCTION("""COMPUTED_VALUE"""),"Advanced Distributed Systems (NPTEL)")</f>
        <v>Advanced Distributed Systems (NPTEL)</v>
      </c>
      <c r="H5" s="2" t="str">
        <f>IFERROR(__xludf.DUMMYFUNCTION("""COMPUTED_VALUE"""),"12 Weeks")</f>
        <v>12 Weeks</v>
      </c>
      <c r="I5" s="2"/>
      <c r="J5" s="2"/>
      <c r="K5" s="2"/>
      <c r="L5" s="2" t="str">
        <f>IFERROR(__xludf.DUMMYFUNCTION("""COMPUTED_VALUE"""),"CGPA ")</f>
        <v>CGPA </v>
      </c>
      <c r="M5" s="2" t="str">
        <f>IFERROR(__xludf.DUMMYFUNCTION("""COMPUTED_VALUE"""),"Experiential Learning (Int and Grade from Certificate)")</f>
        <v>Experiential Learning (Int and Grade from Certificate)</v>
      </c>
      <c r="N5" s="2">
        <f>IFERROR(__xludf.DUMMYFUNCTION("""COMPUTED_VALUE"""),3)</f>
        <v>3</v>
      </c>
      <c r="O5" s="2">
        <f>IFERROR(__xludf.DUMMYFUNCTION("""COMPUTED_VALUE"""),3)</f>
        <v>3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30.75" customHeight="1" spans="1:26">
      <c r="A6" s="2">
        <f>IFERROR(__xludf.DUMMYFUNCTION("""COMPUTED_VALUE"""),5)</f>
        <v>5</v>
      </c>
      <c r="B6" s="2" t="str">
        <f>IFERROR(__xludf.DUMMYFUNCTION("""COMPUTED_VALUE"""),"SCoFT")</f>
        <v>SCoFT</v>
      </c>
      <c r="C6" s="2" t="str">
        <f>IFERROR(__xludf.DUMMYFUNCTION("""COMPUTED_VALUE"""),"CS3003")</f>
        <v>CS3003</v>
      </c>
      <c r="D6" s="2" t="str">
        <f>IFERROR(__xludf.DUMMYFUNCTION("""COMPUTED_VALUE"""),"19AI003")</f>
        <v>19AI003</v>
      </c>
      <c r="E6" s="2"/>
      <c r="F6" s="2" t="str">
        <f>IFERROR(__xludf.DUMMYFUNCTION("""COMPUTED_VALUE"""),"NPTEL")</f>
        <v>NPTEL</v>
      </c>
      <c r="G6" s="3" t="str">
        <f>IFERROR(__xludf.DUMMYFUNCTION("""COMPUTED_VALUE"""),"Advanced Graph Theory (NPTEL)")</f>
        <v>Advanced Graph Theory (NPTEL)</v>
      </c>
      <c r="H6" s="2" t="str">
        <f>IFERROR(__xludf.DUMMYFUNCTION("""COMPUTED_VALUE"""),"8 Weeks")</f>
        <v>8 Weeks</v>
      </c>
      <c r="I6" s="2"/>
      <c r="J6" s="2"/>
      <c r="K6" s="2"/>
      <c r="L6" s="2" t="str">
        <f>IFERROR(__xludf.DUMMYFUNCTION("""COMPUTED_VALUE"""),"CGPA ")</f>
        <v>CGPA </v>
      </c>
      <c r="M6" s="2" t="str">
        <f>IFERROR(__xludf.DUMMYFUNCTION("""COMPUTED_VALUE"""),"Experiential Learning (Int and Grade from Certificate)")</f>
        <v>Experiential Learning (Int and Grade from Certificate)</v>
      </c>
      <c r="N6" s="2">
        <f>IFERROR(__xludf.DUMMYFUNCTION("""COMPUTED_VALUE"""),2)</f>
        <v>2</v>
      </c>
      <c r="O6" s="2">
        <f>IFERROR(__xludf.DUMMYFUNCTION("""COMPUTED_VALUE"""),2)</f>
        <v>2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30.75" customHeight="1" spans="1:26">
      <c r="A7" s="2">
        <f>IFERROR(__xludf.DUMMYFUNCTION("""COMPUTED_VALUE"""),6)</f>
        <v>6</v>
      </c>
      <c r="B7" s="2" t="str">
        <f>IFERROR(__xludf.DUMMYFUNCTION("""COMPUTED_VALUE"""),"Mechanical")</f>
        <v>Mechanical</v>
      </c>
      <c r="C7" s="2" t="str">
        <f>IFERROR(__xludf.DUMMYFUNCTION("""COMPUTED_VALUE"""),"ME0622")</f>
        <v>ME0622</v>
      </c>
      <c r="D7" s="2" t="str">
        <f>IFERROR(__xludf.DUMMYFUNCTION("""COMPUTED_VALUE"""),"19ME622")</f>
        <v>19ME622</v>
      </c>
      <c r="E7" s="2"/>
      <c r="F7" s="2" t="str">
        <f>IFERROR(__xludf.DUMMYFUNCTION("""COMPUTED_VALUE"""),"NPTEL (IIT Guwahati)")</f>
        <v>NPTEL (IIT Guwahati)</v>
      </c>
      <c r="G7" s="3" t="str">
        <f>IFERROR(__xludf.DUMMYFUNCTION("""COMPUTED_VALUE"""),"Advanced Machining Processes")</f>
        <v>Advanced Machining Processes</v>
      </c>
      <c r="H7" s="4" t="str">
        <f>IFERROR(__xludf.DUMMYFUNCTION("""COMPUTED_VALUE"""),"8 weeks")</f>
        <v>8 weeks</v>
      </c>
      <c r="I7" s="4">
        <f>IFERROR(__xludf.DUMMYFUNCTION("""COMPUTED_VALUE"""),45224)</f>
        <v>45224</v>
      </c>
      <c r="J7" s="2" t="str">
        <f>IFERROR(__xludf.DUMMYFUNCTION("""COMPUTED_VALUE"""),"30/75")</f>
        <v>30/75</v>
      </c>
      <c r="K7" s="2" t="str">
        <f>IFERROR(__xludf.DUMMYFUNCTION("""COMPUTED_VALUE"""),"40/100")</f>
        <v>40/100</v>
      </c>
      <c r="L7" s="2" t="str">
        <f>IFERROR(__xludf.DUMMYFUNCTION("""COMPUTED_VALUE"""),"CGPA ")</f>
        <v>CGPA </v>
      </c>
      <c r="M7" s="2" t="str">
        <f>IFERROR(__xludf.DUMMYFUNCTION("""COMPUTED_VALUE"""),"Experiential Learning (Int and Grade from Certificate)")</f>
        <v>Experiential Learning (Int and Grade from Certificate)</v>
      </c>
      <c r="N7" s="2">
        <f>IFERROR(__xludf.DUMMYFUNCTION("""COMPUTED_VALUE"""),2)</f>
        <v>2</v>
      </c>
      <c r="O7" s="2">
        <f>IFERROR(__xludf.DUMMYFUNCTION("""COMPUTED_VALUE"""),2)</f>
        <v>2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30.75" customHeight="1" spans="1:26">
      <c r="A8" s="2">
        <f>IFERROR(__xludf.DUMMYFUNCTION("""COMPUTED_VALUE"""),7)</f>
        <v>7</v>
      </c>
      <c r="B8" s="2" t="str">
        <f>IFERROR(__xludf.DUMMYFUNCTION("""COMPUTED_VALUE"""),"BME, MED ELEC")</f>
        <v>BME, MED ELEC</v>
      </c>
      <c r="C8" s="2" t="str">
        <f>IFERROR(__xludf.DUMMYFUNCTION("""COMPUTED_VALUE"""),"EC4621")</f>
        <v>EC4621</v>
      </c>
      <c r="D8" s="2" t="str">
        <f>IFERROR(__xludf.DUMMYFUNCTION("""COMPUTED_VALUE"""),"19BM621")</f>
        <v>19BM621</v>
      </c>
      <c r="E8" s="2"/>
      <c r="F8" s="2" t="str">
        <f>IFERROR(__xludf.DUMMYFUNCTION("""COMPUTED_VALUE"""),"NPTEL")</f>
        <v>NPTEL</v>
      </c>
      <c r="G8" s="3" t="str">
        <f>IFERROR(__xludf.DUMMYFUNCTION("""COMPUTED_VALUE"""),"Advanced NMR Techniques in Solution and Solid-State (NPTEL)")</f>
        <v>Advanced NMR Techniques in Solution and Solid-State (NPTEL)</v>
      </c>
      <c r="H8" s="2" t="str">
        <f>IFERROR(__xludf.DUMMYFUNCTION("""COMPUTED_VALUE"""),"12 Weeks")</f>
        <v>12 Weeks</v>
      </c>
      <c r="I8" s="2"/>
      <c r="J8" s="2"/>
      <c r="K8" s="2"/>
      <c r="L8" s="2" t="str">
        <f>IFERROR(__xludf.DUMMYFUNCTION("""COMPUTED_VALUE"""),"CGPA")</f>
        <v>CGPA</v>
      </c>
      <c r="M8" s="2" t="str">
        <f>IFERROR(__xludf.DUMMYFUNCTION("""COMPUTED_VALUE"""),"Experiential Learning (Int and Grade from Certificate)")</f>
        <v>Experiential Learning (Int and Grade from Certificate)</v>
      </c>
      <c r="N8" s="2">
        <f>IFERROR(__xludf.DUMMYFUNCTION("""COMPUTED_VALUE"""),3)</f>
        <v>3</v>
      </c>
      <c r="O8" s="2">
        <f>IFERROR(__xludf.DUMMYFUNCTION("""COMPUTED_VALUE"""),3)</f>
        <v>3</v>
      </c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30.75" customHeight="1" spans="1:26">
      <c r="A9" s="2">
        <f>IFERROR(__xludf.DUMMYFUNCTION("""COMPUTED_VALUE"""),8)</f>
        <v>8</v>
      </c>
      <c r="B9" s="2" t="str">
        <f>IFERROR(__xludf.DUMMYFUNCTION("""COMPUTED_VALUE"""),"SCoFT")</f>
        <v>SCoFT</v>
      </c>
      <c r="C9" s="2" t="str">
        <f>IFERROR(__xludf.DUMMYFUNCTION("""COMPUTED_VALUE"""),"CS3072")</f>
        <v>CS3072</v>
      </c>
      <c r="D9" s="2" t="str">
        <f>IFERROR(__xludf.DUMMYFUNCTION("""COMPUTED_VALUE"""),"19AI072")</f>
        <v>19AI072</v>
      </c>
      <c r="E9" s="2"/>
      <c r="F9" s="2" t="str">
        <f>IFERROR(__xludf.DUMMYFUNCTION("""COMPUTED_VALUE"""),"NPTEL")</f>
        <v>NPTEL</v>
      </c>
      <c r="G9" s="3" t="str">
        <f>IFERROR(__xludf.DUMMYFUNCTION("""COMPUTED_VALUE"""),"Advanced Robotics (NPTEL)")</f>
        <v>Advanced Robotics (NPTEL)</v>
      </c>
      <c r="H9" s="2" t="str">
        <f>IFERROR(__xludf.DUMMYFUNCTION("""COMPUTED_VALUE"""),"12 Weeks")</f>
        <v>12 Weeks</v>
      </c>
      <c r="I9" s="2"/>
      <c r="J9" s="2"/>
      <c r="K9" s="2"/>
      <c r="L9" s="2" t="str">
        <f>IFERROR(__xludf.DUMMYFUNCTION("""COMPUTED_VALUE"""),"CGPA ")</f>
        <v>CGPA </v>
      </c>
      <c r="M9" s="2" t="str">
        <f>IFERROR(__xludf.DUMMYFUNCTION("""COMPUTED_VALUE"""),"Experiential Learning (Int and Grade from Certificate)")</f>
        <v>Experiential Learning (Int and Grade from Certificate)</v>
      </c>
      <c r="N9" s="2">
        <f>IFERROR(__xludf.DUMMYFUNCTION("""COMPUTED_VALUE"""),3)</f>
        <v>3</v>
      </c>
      <c r="O9" s="2">
        <f>IFERROR(__xludf.DUMMYFUNCTION("""COMPUTED_VALUE"""),3)</f>
        <v>3</v>
      </c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30.75" customHeight="1" spans="1:26">
      <c r="A10" s="2">
        <f>IFERROR(__xludf.DUMMYFUNCTION("""COMPUTED_VALUE"""),9)</f>
        <v>9</v>
      </c>
      <c r="B10" s="2" t="str">
        <f>IFERROR(__xludf.DUMMYFUNCTION("""COMPUTED_VALUE"""),"BME, MED ELEC")</f>
        <v>BME, MED ELEC</v>
      </c>
      <c r="C10" s="2" t="str">
        <f>IFERROR(__xludf.DUMMYFUNCTION("""COMPUTED_VALUE"""),"EC4622")</f>
        <v>EC4622</v>
      </c>
      <c r="D10" s="2" t="str">
        <f>IFERROR(__xludf.DUMMYFUNCTION("""COMPUTED_VALUE"""),"19BM622")</f>
        <v>19BM622</v>
      </c>
      <c r="E10" s="2"/>
      <c r="F10" s="2" t="str">
        <f>IFERROR(__xludf.DUMMYFUNCTION("""COMPUTED_VALUE"""),"NPTEL")</f>
        <v>NPTEL</v>
      </c>
      <c r="G10" s="3" t="str">
        <f>IFERROR(__xludf.DUMMYFUNCTION("""COMPUTED_VALUE"""),"Advanced Robotics Applications (NPTEL)")</f>
        <v>Advanced Robotics Applications (NPTEL)</v>
      </c>
      <c r="H10" s="2" t="str">
        <f>IFERROR(__xludf.DUMMYFUNCTION("""COMPUTED_VALUE"""),"8 Weeks")</f>
        <v>8 Weeks</v>
      </c>
      <c r="I10" s="2"/>
      <c r="J10" s="2"/>
      <c r="K10" s="2"/>
      <c r="L10" s="2" t="str">
        <f>IFERROR(__xludf.DUMMYFUNCTION("""COMPUTED_VALUE"""),"CGPA")</f>
        <v>CGPA</v>
      </c>
      <c r="M10" s="2" t="str">
        <f>IFERROR(__xludf.DUMMYFUNCTION("""COMPUTED_VALUE"""),"Experiential Learning (Int and Grade from Certificate)")</f>
        <v>Experiential Learning (Int and Grade from Certificate)</v>
      </c>
      <c r="N10" s="2">
        <f>IFERROR(__xludf.DUMMYFUNCTION("""COMPUTED_VALUE"""),2)</f>
        <v>2</v>
      </c>
      <c r="O10" s="2">
        <f>IFERROR(__xludf.DUMMYFUNCTION("""COMPUTED_VALUE"""),2)</f>
        <v>2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30.75" customHeight="1" spans="1:26">
      <c r="A11" s="2">
        <f>IFERROR(__xludf.DUMMYFUNCTION("""COMPUTED_VALUE"""),10)</f>
        <v>10</v>
      </c>
      <c r="B11" s="2" t="str">
        <f>IFERROR(__xludf.DUMMYFUNCTION("""COMPUTED_VALUE"""),"Mechanical")</f>
        <v>Mechanical</v>
      </c>
      <c r="C11" s="2" t="str">
        <f>IFERROR(__xludf.DUMMYFUNCTION("""COMPUTED_VALUE"""),"ME0620")</f>
        <v>ME0620</v>
      </c>
      <c r="D11" s="2" t="str">
        <f>IFERROR(__xludf.DUMMYFUNCTION("""COMPUTED_VALUE"""),"19ME620")</f>
        <v>19ME620</v>
      </c>
      <c r="E11" s="2"/>
      <c r="F11" s="2" t="str">
        <f>IFERROR(__xludf.DUMMYFUNCTION("""COMPUTED_VALUE"""),"NPTEL (IIT Guwahati)")</f>
        <v>NPTEL (IIT Guwahati)</v>
      </c>
      <c r="G11" s="3" t="str">
        <f>IFERROR(__xludf.DUMMYFUNCTION("""COMPUTED_VALUE"""),"Advances in Welding and Joining Technologies")</f>
        <v>Advances in Welding and Joining Technologies</v>
      </c>
      <c r="H11" s="4" t="str">
        <f>IFERROR(__xludf.DUMMYFUNCTION("""COMPUTED_VALUE"""),"8 weeks")</f>
        <v>8 weeks</v>
      </c>
      <c r="I11" s="4">
        <f>IFERROR(__xludf.DUMMYFUNCTION("""COMPUTED_VALUE"""),45224)</f>
        <v>45224</v>
      </c>
      <c r="J11" s="2" t="str">
        <f>IFERROR(__xludf.DUMMYFUNCTION("""COMPUTED_VALUE"""),"30/75")</f>
        <v>30/75</v>
      </c>
      <c r="K11" s="2" t="str">
        <f>IFERROR(__xludf.DUMMYFUNCTION("""COMPUTED_VALUE"""),"40/100")</f>
        <v>40/100</v>
      </c>
      <c r="L11" s="2" t="str">
        <f>IFERROR(__xludf.DUMMYFUNCTION("""COMPUTED_VALUE"""),"CGPA ")</f>
        <v>CGPA </v>
      </c>
      <c r="M11" s="2" t="str">
        <f>IFERROR(__xludf.DUMMYFUNCTION("""COMPUTED_VALUE"""),"Experiential Learning (Int and Grade from Certificate)")</f>
        <v>Experiential Learning (Int and Grade from Certificate)</v>
      </c>
      <c r="N11" s="2">
        <f>IFERROR(__xludf.DUMMYFUNCTION("""COMPUTED_VALUE"""),2)</f>
        <v>2</v>
      </c>
      <c r="O11" s="2">
        <f>IFERROR(__xludf.DUMMYFUNCTION("""COMPUTED_VALUE"""),2)</f>
        <v>2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30.75" customHeight="1" spans="1:26">
      <c r="A12" s="2">
        <f>IFERROR(__xludf.DUMMYFUNCTION("""COMPUTED_VALUE"""),11)</f>
        <v>11</v>
      </c>
      <c r="B12" s="2" t="str">
        <f>IFERROR(__xludf.DUMMYFUNCTION("""COMPUTED_VALUE"""),"BME, MED ELEC")</f>
        <v>BME, MED ELEC</v>
      </c>
      <c r="C12" s="2" t="str">
        <f>IFERROR(__xludf.DUMMYFUNCTION("""COMPUTED_VALUE"""),"EC4623")</f>
        <v>EC4623</v>
      </c>
      <c r="D12" s="2" t="str">
        <f>IFERROR(__xludf.DUMMYFUNCTION("""COMPUTED_VALUE"""),"19BM623")</f>
        <v>19BM623</v>
      </c>
      <c r="E12" s="2"/>
      <c r="F12" s="2" t="str">
        <f>IFERROR(__xludf.DUMMYFUNCTION("""COMPUTED_VALUE"""),"NPTEL")</f>
        <v>NPTEL</v>
      </c>
      <c r="G12" s="3" t="str">
        <f>IFERROR(__xludf.DUMMYFUNCTION("""COMPUTED_VALUE"""),"AI in Marketing (NPTEL)")</f>
        <v>AI in Marketing (NPTEL)</v>
      </c>
      <c r="H12" s="2" t="str">
        <f>IFERROR(__xludf.DUMMYFUNCTION("""COMPUTED_VALUE"""),"12 Weeks")</f>
        <v>12 Weeks</v>
      </c>
      <c r="I12" s="2"/>
      <c r="J12" s="2"/>
      <c r="K12" s="2"/>
      <c r="L12" s="2" t="str">
        <f>IFERROR(__xludf.DUMMYFUNCTION("""COMPUTED_VALUE"""),"CGPA")</f>
        <v>CGPA</v>
      </c>
      <c r="M12" s="2" t="str">
        <f>IFERROR(__xludf.DUMMYFUNCTION("""COMPUTED_VALUE"""),"Experiential Learning (Int and Grade from Certificate)")</f>
        <v>Experiential Learning (Int and Grade from Certificate)</v>
      </c>
      <c r="N12" s="2">
        <f>IFERROR(__xludf.DUMMYFUNCTION("""COMPUTED_VALUE"""),3)</f>
        <v>3</v>
      </c>
      <c r="O12" s="2">
        <f>IFERROR(__xludf.DUMMYFUNCTION("""COMPUTED_VALUE"""),3)</f>
        <v>3</v>
      </c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30.75" customHeight="1" spans="1:26">
      <c r="A13" s="2">
        <f>IFERROR(__xludf.DUMMYFUNCTION("""COMPUTED_VALUE"""),12)</f>
        <v>12</v>
      </c>
      <c r="B13" s="2" t="str">
        <f>IFERROR(__xludf.DUMMYFUNCTION("""COMPUTED_VALUE"""),"CIVIL, MED ELEC")</f>
        <v>CIVIL, MED ELEC</v>
      </c>
      <c r="C13" s="2" t="str">
        <f>IFERROR(__xludf.DUMMYFUNCTION("""COMPUTED_VALUE"""),"CE0610")</f>
        <v>CE0610</v>
      </c>
      <c r="D13" s="2" t="str">
        <f>IFERROR(__xludf.DUMMYFUNCTION("""COMPUTED_VALUE"""),"19CE610")</f>
        <v>19CE610</v>
      </c>
      <c r="E13" s="2"/>
      <c r="F13" s="2" t="str">
        <f>IFERROR(__xludf.DUMMYFUNCTION("""COMPUTED_VALUE"""),"NPTEL")</f>
        <v>NPTEL</v>
      </c>
      <c r="G13" s="3" t="str">
        <f>IFERROR(__xludf.DUMMYFUNCTION("""COMPUTED_VALUE"""),"Air Pollution and Control (NPTEL)")</f>
        <v>Air Pollution and Control (NPTEL)</v>
      </c>
      <c r="H13" s="2" t="str">
        <f>IFERROR(__xludf.DUMMYFUNCTION("""COMPUTED_VALUE"""),"12 Weeks")</f>
        <v>12 Weeks</v>
      </c>
      <c r="I13" s="2" t="str">
        <f>IFERROR(__xludf.DUMMYFUNCTION("""COMPUTED_VALUE"""),"10 / 25")</f>
        <v>10 / 25</v>
      </c>
      <c r="J13" s="2" t="str">
        <f>IFERROR(__xludf.DUMMYFUNCTION("""COMPUTED_VALUE"""),"30 / 75")</f>
        <v>30 / 75</v>
      </c>
      <c r="K13" s="2" t="str">
        <f>IFERROR(__xludf.DUMMYFUNCTION("""COMPUTED_VALUE"""),"40 / 100")</f>
        <v>40 / 100</v>
      </c>
      <c r="L13" s="2" t="str">
        <f>IFERROR(__xludf.DUMMYFUNCTION("""COMPUTED_VALUE"""),"CGPA")</f>
        <v>CGPA</v>
      </c>
      <c r="M13" s="2" t="str">
        <f>IFERROR(__xludf.DUMMYFUNCTION("""COMPUTED_VALUE"""),"Experiential Learning (Int and Grade from Certificate)")</f>
        <v>Experiential Learning (Int and Grade from Certificate)</v>
      </c>
      <c r="N13" s="2">
        <f>IFERROR(__xludf.DUMMYFUNCTION("""COMPUTED_VALUE"""),3)</f>
        <v>3</v>
      </c>
      <c r="O13" s="2">
        <f>IFERROR(__xludf.DUMMYFUNCTION("""COMPUTED_VALUE"""),3)</f>
        <v>3</v>
      </c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30.75" customHeight="1" spans="1:26">
      <c r="A14" s="2">
        <f>IFERROR(__xludf.DUMMYFUNCTION("""COMPUTED_VALUE"""),13)</f>
        <v>13</v>
      </c>
      <c r="B14" s="2" t="str">
        <f>IFERROR(__xludf.DUMMYFUNCTION("""COMPUTED_VALUE"""),"SCoFT")</f>
        <v>SCoFT</v>
      </c>
      <c r="C14" s="2" t="str">
        <f>IFERROR(__xludf.DUMMYFUNCTION("""COMPUTED_VALUE"""),"CS3184")</f>
        <v>CS3184</v>
      </c>
      <c r="D14" s="2" t="str">
        <f>IFERROR(__xludf.DUMMYFUNCTION("""COMPUTED_VALUE"""),"19AI184")</f>
        <v>19AI184</v>
      </c>
      <c r="E14" s="2"/>
      <c r="F14" s="2" t="str">
        <f>IFERROR(__xludf.DUMMYFUNCTION("""COMPUTED_VALUE"""),"Coursera")</f>
        <v>Coursera</v>
      </c>
      <c r="G14" s="3" t="str">
        <f>IFERROR(__xludf.DUMMYFUNCTION("""COMPUTED_VALUE"""),"Akamai Customer Consulting and Support Professional Certificate")</f>
        <v>Akamai Customer Consulting and Support Professional Certificate</v>
      </c>
      <c r="H14" s="2" t="str">
        <f>IFERROR(__xludf.DUMMYFUNCTION("""COMPUTED_VALUE"""),"6 Months")</f>
        <v>6 Months</v>
      </c>
      <c r="I14" s="2" t="str">
        <f>IFERROR(__xludf.DUMMYFUNCTION("""COMPUTED_VALUE"""),"NA")</f>
        <v>NA</v>
      </c>
      <c r="J14" s="2" t="str">
        <f>IFERROR(__xludf.DUMMYFUNCTION("""COMPUTED_VALUE"""),"NA")</f>
        <v>NA</v>
      </c>
      <c r="K14" s="2" t="str">
        <f>IFERROR(__xludf.DUMMYFUNCTION("""COMPUTED_VALUE"""),"NA")</f>
        <v>NA</v>
      </c>
      <c r="L14" s="2" t="str">
        <f>IFERROR(__xludf.DUMMYFUNCTION("""COMPUTED_VALUE"""),"CGPA")</f>
        <v>CGPA</v>
      </c>
      <c r="M14" s="2" t="str">
        <f>IFERROR(__xludf.DUMMYFUNCTION("""COMPUTED_VALUE"""),"Experiential Learning (Int and Grade from Certificate)")</f>
        <v>Experiential Learning (Int and Grade from Certificate)</v>
      </c>
      <c r="N14" s="2">
        <f>IFERROR(__xludf.DUMMYFUNCTION("""COMPUTED_VALUE"""),3)</f>
        <v>3</v>
      </c>
      <c r="O14" s="2">
        <f>IFERROR(__xludf.DUMMYFUNCTION("""COMPUTED_VALUE"""),3)</f>
        <v>3</v>
      </c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30.75" customHeight="1" spans="1:26">
      <c r="A15" s="2">
        <f>IFERROR(__xludf.DUMMYFUNCTION("""COMPUTED_VALUE"""),14)</f>
        <v>14</v>
      </c>
      <c r="B15" s="2" t="str">
        <f>IFERROR(__xludf.DUMMYFUNCTION("""COMPUTED_VALUE"""),"SCoFT")</f>
        <v>SCoFT</v>
      </c>
      <c r="C15" s="2" t="str">
        <f>IFERROR(__xludf.DUMMYFUNCTION("""COMPUTED_VALUE"""),"CS3185")</f>
        <v>CS3185</v>
      </c>
      <c r="D15" s="2" t="str">
        <f>IFERROR(__xludf.DUMMYFUNCTION("""COMPUTED_VALUE"""),"19AI185")</f>
        <v>19AI185</v>
      </c>
      <c r="E15" s="2"/>
      <c r="F15" s="2" t="str">
        <f>IFERROR(__xludf.DUMMYFUNCTION("""COMPUTED_VALUE"""),"Coursera")</f>
        <v>Coursera</v>
      </c>
      <c r="G15" s="3" t="str">
        <f>IFERROR(__xludf.DUMMYFUNCTION("""COMPUTED_VALUE"""),"Akamai Network Engineering Professional Certificate")</f>
        <v>Akamai Network Engineering Professional Certificate</v>
      </c>
      <c r="H15" s="2" t="str">
        <f>IFERROR(__xludf.DUMMYFUNCTION("""COMPUTED_VALUE"""),"5 Months")</f>
        <v>5 Months</v>
      </c>
      <c r="I15" s="2" t="str">
        <f>IFERROR(__xludf.DUMMYFUNCTION("""COMPUTED_VALUE"""),"NA")</f>
        <v>NA</v>
      </c>
      <c r="J15" s="2" t="str">
        <f>IFERROR(__xludf.DUMMYFUNCTION("""COMPUTED_VALUE"""),"NA")</f>
        <v>NA</v>
      </c>
      <c r="K15" s="2" t="str">
        <f>IFERROR(__xludf.DUMMYFUNCTION("""COMPUTED_VALUE"""),"NA")</f>
        <v>NA</v>
      </c>
      <c r="L15" s="2" t="str">
        <f>IFERROR(__xludf.DUMMYFUNCTION("""COMPUTED_VALUE"""),"CGPA")</f>
        <v>CGPA</v>
      </c>
      <c r="M15" s="2" t="str">
        <f>IFERROR(__xludf.DUMMYFUNCTION("""COMPUTED_VALUE"""),"Experiential Learning (Int and Grade from Certificate)")</f>
        <v>Experiential Learning (Int and Grade from Certificate)</v>
      </c>
      <c r="N15" s="2">
        <f>IFERROR(__xludf.DUMMYFUNCTION("""COMPUTED_VALUE"""),3)</f>
        <v>3</v>
      </c>
      <c r="O15" s="2">
        <f>IFERROR(__xludf.DUMMYFUNCTION("""COMPUTED_VALUE"""),3)</f>
        <v>3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30.75" customHeight="1" spans="1:26">
      <c r="A16" s="2">
        <f>IFERROR(__xludf.DUMMYFUNCTION("""COMPUTED_VALUE"""),15)</f>
        <v>15</v>
      </c>
      <c r="B16" s="2" t="str">
        <f>IFERROR(__xludf.DUMMYFUNCTION("""COMPUTED_VALUE"""),"SCoFT")</f>
        <v>SCoFT</v>
      </c>
      <c r="C16" s="2" t="str">
        <f>IFERROR(__xludf.DUMMYFUNCTION("""COMPUTED_VALUE"""),"CS3005")</f>
        <v>CS3005</v>
      </c>
      <c r="D16" s="2" t="str">
        <f>IFERROR(__xludf.DUMMYFUNCTION("""COMPUTED_VALUE"""),"19AI005")</f>
        <v>19AI005</v>
      </c>
      <c r="E16" s="2"/>
      <c r="F16" s="2" t="str">
        <f>IFERROR(__xludf.DUMMYFUNCTION("""COMPUTED_VALUE"""),"NPTEL")</f>
        <v>NPTEL</v>
      </c>
      <c r="G16" s="3" t="str">
        <f>IFERROR(__xludf.DUMMYFUNCTION("""COMPUTED_VALUE"""),"Algorithmic Game Theory (NPTEL)")</f>
        <v>Algorithmic Game Theory (NPTEL)</v>
      </c>
      <c r="H16" s="2" t="str">
        <f>IFERROR(__xludf.DUMMYFUNCTION("""COMPUTED_VALUE"""),"12 Weeks")</f>
        <v>12 Weeks</v>
      </c>
      <c r="I16" s="2"/>
      <c r="J16" s="2"/>
      <c r="K16" s="2"/>
      <c r="L16" s="2" t="str">
        <f>IFERROR(__xludf.DUMMYFUNCTION("""COMPUTED_VALUE"""),"CGPA ")</f>
        <v>CGPA </v>
      </c>
      <c r="M16" s="2" t="str">
        <f>IFERROR(__xludf.DUMMYFUNCTION("""COMPUTED_VALUE"""),"Experiential Learning (Int and Grade from Certificate)")</f>
        <v>Experiential Learning (Int and Grade from Certificate)</v>
      </c>
      <c r="N16" s="2">
        <f>IFERROR(__xludf.DUMMYFUNCTION("""COMPUTED_VALUE"""),3)</f>
        <v>3</v>
      </c>
      <c r="O16" s="2">
        <f>IFERROR(__xludf.DUMMYFUNCTION("""COMPUTED_VALUE"""),3)</f>
        <v>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30.75" customHeight="1" spans="1:26">
      <c r="A17" s="2">
        <f>IFERROR(__xludf.DUMMYFUNCTION("""COMPUTED_VALUE"""),16)</f>
        <v>16</v>
      </c>
      <c r="B17" s="2" t="str">
        <f>IFERROR(__xludf.DUMMYFUNCTION("""COMPUTED_VALUE"""),"BME, MED ELEC,EEE,SCoFT")</f>
        <v>BME, MED ELEC,EEE,SCoFT</v>
      </c>
      <c r="C17" s="2" t="str">
        <f>IFERROR(__xludf.DUMMYFUNCTION("""COMPUTED_VALUE"""),"EC4619")</f>
        <v>EC4619</v>
      </c>
      <c r="D17" s="2" t="str">
        <f>IFERROR(__xludf.DUMMYFUNCTION("""COMPUTED_VALUE"""),"19BM619")</f>
        <v>19BM619</v>
      </c>
      <c r="E17" s="2"/>
      <c r="F17" s="2" t="str">
        <f>IFERROR(__xludf.DUMMYFUNCTION("""COMPUTED_VALUE"""),"NPTEL")</f>
        <v>NPTEL</v>
      </c>
      <c r="G17" s="3" t="str">
        <f>IFERROR(__xludf.DUMMYFUNCTION("""COMPUTED_VALUE"""),"An Introduction to Artificial Intelligence (NPTEL)")</f>
        <v>An Introduction to Artificial Intelligence (NPTEL)</v>
      </c>
      <c r="H17" s="2" t="str">
        <f>IFERROR(__xludf.DUMMYFUNCTION("""COMPUTED_VALUE"""),"12 Weeks")</f>
        <v>12 Weeks</v>
      </c>
      <c r="I17" s="2"/>
      <c r="J17" s="2"/>
      <c r="K17" s="2"/>
      <c r="L17" s="2" t="str">
        <f>IFERROR(__xludf.DUMMYFUNCTION("""COMPUTED_VALUE"""),"CGPA ")</f>
        <v>CGPA </v>
      </c>
      <c r="M17" s="2" t="str">
        <f>IFERROR(__xludf.DUMMYFUNCTION("""COMPUTED_VALUE"""),"Experiential Learning (Int and Grade from Certificate)")</f>
        <v>Experiential Learning (Int and Grade from Certificate)</v>
      </c>
      <c r="N17" s="2">
        <f>IFERROR(__xludf.DUMMYFUNCTION("""COMPUTED_VALUE"""),3)</f>
        <v>3</v>
      </c>
      <c r="O17" s="2">
        <f>IFERROR(__xludf.DUMMYFUNCTION("""COMPUTED_VALUE"""),3)</f>
        <v>3</v>
      </c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30.75" customHeight="1" spans="1:26">
      <c r="A18" s="2">
        <f>IFERROR(__xludf.DUMMYFUNCTION("""COMPUTED_VALUE"""),17)</f>
        <v>17</v>
      </c>
      <c r="B18" s="2" t="str">
        <f>IFERROR(__xludf.DUMMYFUNCTION("""COMPUTED_VALUE"""),"BME, MED ELEC")</f>
        <v>BME, MED ELEC</v>
      </c>
      <c r="C18" s="2" t="str">
        <f>IFERROR(__xludf.DUMMYFUNCTION("""COMPUTED_VALUE"""),"EC4624")</f>
        <v>EC4624</v>
      </c>
      <c r="D18" s="2" t="str">
        <f>IFERROR(__xludf.DUMMYFUNCTION("""COMPUTED_VALUE"""),"19BM624")</f>
        <v>19BM624</v>
      </c>
      <c r="E18" s="2"/>
      <c r="F18" s="2" t="str">
        <f>IFERROR(__xludf.DUMMYFUNCTION("""COMPUTED_VALUE"""),"NPTEL")</f>
        <v>NPTEL</v>
      </c>
      <c r="G18" s="3" t="str">
        <f>IFERROR(__xludf.DUMMYFUNCTION("""COMPUTED_VALUE"""),"An Introduction to Cardiovascular Fluid Mechanics (NPTEL)")</f>
        <v>An Introduction to Cardiovascular Fluid Mechanics (NPTEL)</v>
      </c>
      <c r="H18" s="2" t="str">
        <f>IFERROR(__xludf.DUMMYFUNCTION("""COMPUTED_VALUE"""),"4 Weeks")</f>
        <v>4 Weeks</v>
      </c>
      <c r="I18" s="2"/>
      <c r="J18" s="2"/>
      <c r="K18" s="2"/>
      <c r="L18" s="2" t="str">
        <f>IFERROR(__xludf.DUMMYFUNCTION("""COMPUTED_VALUE"""),"CGPA")</f>
        <v>CGPA</v>
      </c>
      <c r="M18" s="2" t="str">
        <f>IFERROR(__xludf.DUMMYFUNCTION("""COMPUTED_VALUE"""),"Experiential Learning (Int and Grade from Certificate)")</f>
        <v>Experiential Learning (Int and Grade from Certificate)</v>
      </c>
      <c r="N18" s="2">
        <f>IFERROR(__xludf.DUMMYFUNCTION("""COMPUTED_VALUE"""),1)</f>
        <v>1</v>
      </c>
      <c r="O18" s="2">
        <f>IFERROR(__xludf.DUMMYFUNCTION("""COMPUTED_VALUE"""),1)</f>
        <v>1</v>
      </c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30.75" customHeight="1" spans="1:26">
      <c r="A19" s="2">
        <f>IFERROR(__xludf.DUMMYFUNCTION("""COMPUTED_VALUE"""),18)</f>
        <v>18</v>
      </c>
      <c r="B19" s="2" t="str">
        <f>IFERROR(__xludf.DUMMYFUNCTION("""COMPUTED_VALUE"""),"BME, MED ELEC")</f>
        <v>BME, MED ELEC</v>
      </c>
      <c r="C19" s="2" t="str">
        <f>IFERROR(__xludf.DUMMYFUNCTION("""COMPUTED_VALUE"""),"EC4625")</f>
        <v>EC4625</v>
      </c>
      <c r="D19" s="2" t="str">
        <f>IFERROR(__xludf.DUMMYFUNCTION("""COMPUTED_VALUE"""),"19BM625")</f>
        <v>19BM625</v>
      </c>
      <c r="E19" s="2"/>
      <c r="F19" s="2" t="str">
        <f>IFERROR(__xludf.DUMMYFUNCTION("""COMPUTED_VALUE"""),"NPTEL")</f>
        <v>NPTEL</v>
      </c>
      <c r="G19" s="3" t="str">
        <f>IFERROR(__xludf.DUMMYFUNCTION("""COMPUTED_VALUE"""),"An Introduction to Lasers and Laser Systems (NPTEL)")</f>
        <v>An Introduction to Lasers and Laser Systems (NPTEL)</v>
      </c>
      <c r="H19" s="2" t="str">
        <f>IFERROR(__xludf.DUMMYFUNCTION("""COMPUTED_VALUE"""),"12 Weeks")</f>
        <v>12 Weeks</v>
      </c>
      <c r="I19" s="2"/>
      <c r="J19" s="2"/>
      <c r="K19" s="2"/>
      <c r="L19" s="2" t="str">
        <f>IFERROR(__xludf.DUMMYFUNCTION("""COMPUTED_VALUE"""),"CGPA")</f>
        <v>CGPA</v>
      </c>
      <c r="M19" s="2" t="str">
        <f>IFERROR(__xludf.DUMMYFUNCTION("""COMPUTED_VALUE"""),"Experiential Learning (Int and Grade from Certificate)")</f>
        <v>Experiential Learning (Int and Grade from Certificate)</v>
      </c>
      <c r="N19" s="2">
        <f>IFERROR(__xludf.DUMMYFUNCTION("""COMPUTED_VALUE"""),3)</f>
        <v>3</v>
      </c>
      <c r="O19" s="2">
        <f>IFERROR(__xludf.DUMMYFUNCTION("""COMPUTED_VALUE"""),3)</f>
        <v>3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30.75" customHeight="1" spans="1:26">
      <c r="A20" s="2">
        <f>IFERROR(__xludf.DUMMYFUNCTION("""COMPUTED_VALUE"""),19)</f>
        <v>19</v>
      </c>
      <c r="B20" s="2" t="str">
        <f>IFERROR(__xludf.DUMMYFUNCTION("""COMPUTED_VALUE"""),"ECE, SCoFT")</f>
        <v>ECE, SCoFT</v>
      </c>
      <c r="C20" s="2" t="str">
        <f>IFERROR(__xludf.DUMMYFUNCTION("""COMPUTED_VALUE"""),"EC1613")</f>
        <v>EC1613</v>
      </c>
      <c r="D20" s="2" t="str">
        <f>IFERROR(__xludf.DUMMYFUNCTION("""COMPUTED_VALUE"""),"19EC613")</f>
        <v>19EC613</v>
      </c>
      <c r="E20" s="2"/>
      <c r="F20" s="2" t="str">
        <f>IFERROR(__xludf.DUMMYFUNCTION("""COMPUTED_VALUE"""),"NPTEL")</f>
        <v>NPTEL</v>
      </c>
      <c r="G20" s="3" t="str">
        <f>IFERROR(__xludf.DUMMYFUNCTION("""COMPUTED_VALUE"""),"An Introduction to Programming through C++ (NPTEL)")</f>
        <v>An Introduction to Programming through C++ (NPTEL)</v>
      </c>
      <c r="H20" s="2" t="str">
        <f>IFERROR(__xludf.DUMMYFUNCTION("""COMPUTED_VALUE"""),"12 Weeks")</f>
        <v>12 Weeks</v>
      </c>
      <c r="I20" s="2"/>
      <c r="J20" s="2"/>
      <c r="K20" s="2"/>
      <c r="L20" s="2" t="str">
        <f>IFERROR(__xludf.DUMMYFUNCTION("""COMPUTED_VALUE"""),"CGPA ")</f>
        <v>CGPA </v>
      </c>
      <c r="M20" s="2" t="str">
        <f>IFERROR(__xludf.DUMMYFUNCTION("""COMPUTED_VALUE"""),"Experiential Learning (Int and Grade from Certificate)")</f>
        <v>Experiential Learning (Int and Grade from Certificate)</v>
      </c>
      <c r="N20" s="2">
        <f>IFERROR(__xludf.DUMMYFUNCTION("""COMPUTED_VALUE"""),2)</f>
        <v>2</v>
      </c>
      <c r="O20" s="2">
        <f>IFERROR(__xludf.DUMMYFUNCTION("""COMPUTED_VALUE"""),3)</f>
        <v>3</v>
      </c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30.75" customHeight="1" spans="1:26">
      <c r="A21" s="2">
        <f>IFERROR(__xludf.DUMMYFUNCTION("""COMPUTED_VALUE"""),20)</f>
        <v>20</v>
      </c>
      <c r="B21" s="2" t="str">
        <f>IFERROR(__xludf.DUMMYFUNCTION("""COMPUTED_VALUE"""),"BME, MED ELEC")</f>
        <v>BME, MED ELEC</v>
      </c>
      <c r="C21" s="2" t="str">
        <f>IFERROR(__xludf.DUMMYFUNCTION("""COMPUTED_VALUE"""),"EC4626")</f>
        <v>EC4626</v>
      </c>
      <c r="D21" s="2" t="str">
        <f>IFERROR(__xludf.DUMMYFUNCTION("""COMPUTED_VALUE"""),"19BM626")</f>
        <v>19BM626</v>
      </c>
      <c r="E21" s="2"/>
      <c r="F21" s="2" t="str">
        <f>IFERROR(__xludf.DUMMYFUNCTION("""COMPUTED_VALUE"""),"NPTEL")</f>
        <v>NPTEL</v>
      </c>
      <c r="G21" s="3" t="str">
        <f>IFERROR(__xludf.DUMMYFUNCTION("""COMPUTED_VALUE"""),"Anti-Doping Awareness in Sports (NPTEL)")</f>
        <v>Anti-Doping Awareness in Sports (NPTEL)</v>
      </c>
      <c r="H21" s="2" t="str">
        <f>IFERROR(__xludf.DUMMYFUNCTION("""COMPUTED_VALUE"""),"8 Weeks")</f>
        <v>8 Weeks</v>
      </c>
      <c r="I21" s="2"/>
      <c r="J21" s="2"/>
      <c r="K21" s="2"/>
      <c r="L21" s="2" t="str">
        <f>IFERROR(__xludf.DUMMYFUNCTION("""COMPUTED_VALUE"""),"CGPA")</f>
        <v>CGPA</v>
      </c>
      <c r="M21" s="2" t="str">
        <f>IFERROR(__xludf.DUMMYFUNCTION("""COMPUTED_VALUE"""),"Experiential Learning (Int and Grade from Certificate)")</f>
        <v>Experiential Learning (Int and Grade from Certificate)</v>
      </c>
      <c r="N21" s="2">
        <f>IFERROR(__xludf.DUMMYFUNCTION("""COMPUTED_VALUE"""),2)</f>
        <v>2</v>
      </c>
      <c r="O21" s="2">
        <f>IFERROR(__xludf.DUMMYFUNCTION("""COMPUTED_VALUE"""),2)</f>
        <v>2</v>
      </c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30.75" customHeight="1" spans="1:26">
      <c r="A22" s="2">
        <f>IFERROR(__xludf.DUMMYFUNCTION("""COMPUTED_VALUE"""),21)</f>
        <v>21</v>
      </c>
      <c r="B22" s="2" t="str">
        <f>IFERROR(__xludf.DUMMYFUNCTION("""COMPUTED_VALUE"""),"SCoFT")</f>
        <v>SCoFT</v>
      </c>
      <c r="C22" s="2" t="str">
        <f>IFERROR(__xludf.DUMMYFUNCTION("""COMPUTED_VALUE"""),"CS3006")</f>
        <v>CS3006</v>
      </c>
      <c r="D22" s="2" t="str">
        <f>IFERROR(__xludf.DUMMYFUNCTION("""COMPUTED_VALUE"""),"19AI006")</f>
        <v>19AI006</v>
      </c>
      <c r="E22" s="2"/>
      <c r="F22" s="2" t="str">
        <f>IFERROR(__xludf.DUMMYFUNCTION("""COMPUTED_VALUE"""),"NPTEL")</f>
        <v>NPTEL</v>
      </c>
      <c r="G22" s="3" t="str">
        <f>IFERROR(__xludf.DUMMYFUNCTION("""COMPUTED_VALUE"""),"Applied Accelerated Artificial Intelligence (NPTEL)")</f>
        <v>Applied Accelerated Artificial Intelligence (NPTEL)</v>
      </c>
      <c r="H22" s="2" t="str">
        <f>IFERROR(__xludf.DUMMYFUNCTION("""COMPUTED_VALUE"""),"12 Weeks")</f>
        <v>12 Weeks</v>
      </c>
      <c r="I22" s="2"/>
      <c r="J22" s="2"/>
      <c r="K22" s="2"/>
      <c r="L22" s="2" t="str">
        <f>IFERROR(__xludf.DUMMYFUNCTION("""COMPUTED_VALUE"""),"CGPA ")</f>
        <v>CGPA </v>
      </c>
      <c r="M22" s="2" t="str">
        <f>IFERROR(__xludf.DUMMYFUNCTION("""COMPUTED_VALUE"""),"Experiential Learning (Int and Grade from Certificate)")</f>
        <v>Experiential Learning (Int and Grade from Certificate)</v>
      </c>
      <c r="N22" s="2">
        <f>IFERROR(__xludf.DUMMYFUNCTION("""COMPUTED_VALUE"""),3)</f>
        <v>3</v>
      </c>
      <c r="O22" s="2">
        <f>IFERROR(__xludf.DUMMYFUNCTION("""COMPUTED_VALUE"""),3)</f>
        <v>3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30.75" customHeight="1" spans="1:26">
      <c r="A23" s="2">
        <f>IFERROR(__xludf.DUMMYFUNCTION("""COMPUTED_VALUE"""),22)</f>
        <v>22</v>
      </c>
      <c r="B23" s="2" t="str">
        <f>IFERROR(__xludf.DUMMYFUNCTION("""COMPUTED_VALUE"""),"ECE")</f>
        <v>ECE</v>
      </c>
      <c r="C23" s="2" t="str">
        <f>IFERROR(__xludf.DUMMYFUNCTION("""COMPUTED_VALUE"""),"EC1640")</f>
        <v>EC1640</v>
      </c>
      <c r="D23" s="2" t="str">
        <f>IFERROR(__xludf.DUMMYFUNCTION("""COMPUTED_VALUE"""),"19EC640")</f>
        <v>19EC640</v>
      </c>
      <c r="E23" s="2"/>
      <c r="F23" s="2" t="str">
        <f>IFERROR(__xludf.DUMMYFUNCTION("""COMPUTED_VALUE"""),"NPTEL")</f>
        <v>NPTEL</v>
      </c>
      <c r="G23" s="3" t="str">
        <f>IFERROR(__xludf.DUMMYFUNCTION("""COMPUTED_VALUE"""),"Applied Linear Algebra (NPTEL)")</f>
        <v>Applied Linear Algebra (NPTEL)</v>
      </c>
      <c r="H23" s="2" t="str">
        <f>IFERROR(__xludf.DUMMYFUNCTION("""COMPUTED_VALUE"""),"12 Weeks")</f>
        <v>12 Weeks</v>
      </c>
      <c r="I23" s="2"/>
      <c r="J23" s="2"/>
      <c r="K23" s="2"/>
      <c r="L23" s="2" t="str">
        <f>IFERROR(__xludf.DUMMYFUNCTION("""COMPUTED_VALUE"""),"CGPA ")</f>
        <v>CGPA </v>
      </c>
      <c r="M23" s="2" t="str">
        <f>IFERROR(__xludf.DUMMYFUNCTION("""COMPUTED_VALUE"""),"Experiential Learning (Int and Grade from Certificate)")</f>
        <v>Experiential Learning (Int and Grade from Certificate)</v>
      </c>
      <c r="N23" s="2">
        <f>IFERROR(__xludf.DUMMYFUNCTION("""COMPUTED_VALUE"""),2)</f>
        <v>2</v>
      </c>
      <c r="O23" s="2">
        <f>IFERROR(__xludf.DUMMYFUNCTION("""COMPUTED_VALUE"""),3)</f>
        <v>3</v>
      </c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30.75" customHeight="1" spans="1:26">
      <c r="A24" s="2">
        <f>IFERROR(__xludf.DUMMYFUNCTION("""COMPUTED_VALUE"""),23)</f>
        <v>23</v>
      </c>
      <c r="B24" s="2" t="str">
        <f>IFERROR(__xludf.DUMMYFUNCTION("""COMPUTED_VALUE"""),"SCoFT")</f>
        <v>SCoFT</v>
      </c>
      <c r="C24" s="2" t="str">
        <f>IFERROR(__xludf.DUMMYFUNCTION("""COMPUTED_VALUE"""),"CS3094")</f>
        <v>CS3094</v>
      </c>
      <c r="D24" s="2" t="str">
        <f>IFERROR(__xludf.DUMMYFUNCTION("""COMPUTED_VALUE"""),"19AI094")</f>
        <v>19AI094</v>
      </c>
      <c r="E24" s="2"/>
      <c r="F24" s="2" t="str">
        <f>IFERROR(__xludf.DUMMYFUNCTION("""COMPUTED_VALUE"""),"COURSERA")</f>
        <v>COURSERA</v>
      </c>
      <c r="G24" s="3" t="str">
        <f>IFERROR(__xludf.DUMMYFUNCTION("""COMPUTED_VALUE"""),"Applied Machine Learning in Python (Coursera)")</f>
        <v>Applied Machine Learning in Python (Coursera)</v>
      </c>
      <c r="H24" s="2" t="str">
        <f>IFERROR(__xludf.DUMMYFUNCTION("""COMPUTED_VALUE"""),"5 weeks")</f>
        <v>5 weeks</v>
      </c>
      <c r="I24" s="2"/>
      <c r="J24" s="2"/>
      <c r="K24" s="2"/>
      <c r="L24" s="2" t="str">
        <f>IFERROR(__xludf.DUMMYFUNCTION("""COMPUTED_VALUE"""),"CGPA")</f>
        <v>CGPA</v>
      </c>
      <c r="M24" s="2" t="str">
        <f>IFERROR(__xludf.DUMMYFUNCTION("""COMPUTED_VALUE"""),"Experiential Learning (Int and Grade from Certificate)")</f>
        <v>Experiential Learning (Int and Grade from Certificate)</v>
      </c>
      <c r="N24" s="2">
        <f>IFERROR(__xludf.DUMMYFUNCTION("""COMPUTED_VALUE"""),1)</f>
        <v>1</v>
      </c>
      <c r="O24" s="2">
        <f>IFERROR(__xludf.DUMMYFUNCTION("""COMPUTED_VALUE"""),1)</f>
        <v>1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30.75" customHeight="1" spans="1:26">
      <c r="A25" s="2">
        <f>IFERROR(__xludf.DUMMYFUNCTION("""COMPUTED_VALUE"""),24)</f>
        <v>24</v>
      </c>
      <c r="B25" s="2" t="str">
        <f>IFERROR(__xludf.DUMMYFUNCTION("""COMPUTED_VALUE"""),"SCoFT")</f>
        <v>SCoFT</v>
      </c>
      <c r="C25" s="2" t="str">
        <f>IFERROR(__xludf.DUMMYFUNCTION("""COMPUTED_VALUE"""),"CS3074")</f>
        <v>CS3074</v>
      </c>
      <c r="D25" s="2" t="str">
        <f>IFERROR(__xludf.DUMMYFUNCTION("""COMPUTED_VALUE"""),"19AI074")</f>
        <v>19AI074</v>
      </c>
      <c r="E25" s="2"/>
      <c r="F25" s="2" t="str">
        <f>IFERROR(__xludf.DUMMYFUNCTION("""COMPUTED_VALUE"""),"COURSERA")</f>
        <v>COURSERA</v>
      </c>
      <c r="G25" s="3" t="str">
        <f>IFERROR(__xludf.DUMMYFUNCTION("""COMPUTED_VALUE"""),"Architecting Smart IoT Devices (Coursera)")</f>
        <v>Architecting Smart IoT Devices (Coursera)</v>
      </c>
      <c r="H25" s="2" t="str">
        <f>IFERROR(__xludf.DUMMYFUNCTION("""COMPUTED_VALUE"""),"8 Weeks")</f>
        <v>8 Weeks</v>
      </c>
      <c r="I25" s="2"/>
      <c r="J25" s="2"/>
      <c r="K25" s="2"/>
      <c r="L25" s="2" t="str">
        <f>IFERROR(__xludf.DUMMYFUNCTION("""COMPUTED_VALUE"""),"CGPA")</f>
        <v>CGPA</v>
      </c>
      <c r="M25" s="2" t="str">
        <f>IFERROR(__xludf.DUMMYFUNCTION("""COMPUTED_VALUE"""),"Experiential Learning (Int and Grade from Certificate)")</f>
        <v>Experiential Learning (Int and Grade from Certificate)</v>
      </c>
      <c r="N25" s="2">
        <f>IFERROR(__xludf.DUMMYFUNCTION("""COMPUTED_VALUE"""),2)</f>
        <v>2</v>
      </c>
      <c r="O25" s="2">
        <f>IFERROR(__xludf.DUMMYFUNCTION("""COMPUTED_VALUE"""),2)</f>
        <v>2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30.75" customHeight="1" spans="1:26">
      <c r="A26" s="2">
        <f>IFERROR(__xludf.DUMMYFUNCTION("""COMPUTED_VALUE"""),25)</f>
        <v>25</v>
      </c>
      <c r="B26" s="2" t="str">
        <f>IFERROR(__xludf.DUMMYFUNCTION("""COMPUTED_VALUE"""),"SCoFT")</f>
        <v>SCoFT</v>
      </c>
      <c r="C26" s="2" t="str">
        <f>IFERROR(__xludf.DUMMYFUNCTION("""COMPUTED_VALUE"""),"CS3007")</f>
        <v>CS3007</v>
      </c>
      <c r="D26" s="2" t="str">
        <f>IFERROR(__xludf.DUMMYFUNCTION("""COMPUTED_VALUE"""),"19AI007")</f>
        <v>19AI007</v>
      </c>
      <c r="E26" s="2"/>
      <c r="F26" s="2" t="str">
        <f>IFERROR(__xludf.DUMMYFUNCTION("""COMPUTED_VALUE"""),"NPTEL")</f>
        <v>NPTEL</v>
      </c>
      <c r="G26" s="3" t="str">
        <f>IFERROR(__xludf.DUMMYFUNCTION("""COMPUTED_VALUE"""),"Arithmetic Circuit Complexity (NPTEL)")</f>
        <v>Arithmetic Circuit Complexity (NPTEL)</v>
      </c>
      <c r="H26" s="2" t="str">
        <f>IFERROR(__xludf.DUMMYFUNCTION("""COMPUTED_VALUE"""),"12 Weeks")</f>
        <v>12 Weeks</v>
      </c>
      <c r="I26" s="2"/>
      <c r="J26" s="2"/>
      <c r="K26" s="2"/>
      <c r="L26" s="2" t="str">
        <f>IFERROR(__xludf.DUMMYFUNCTION("""COMPUTED_VALUE"""),"CGPA ")</f>
        <v>CGPA </v>
      </c>
      <c r="M26" s="2" t="str">
        <f>IFERROR(__xludf.DUMMYFUNCTION("""COMPUTED_VALUE"""),"Experiential Learning (Int and Grade from Certificate)")</f>
        <v>Experiential Learning (Int and Grade from Certificate)</v>
      </c>
      <c r="N26" s="2">
        <f>IFERROR(__xludf.DUMMYFUNCTION("""COMPUTED_VALUE"""),3)</f>
        <v>3</v>
      </c>
      <c r="O26" s="2">
        <f>IFERROR(__xludf.DUMMYFUNCTION("""COMPUTED_VALUE"""),3)</f>
        <v>3</v>
      </c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30.75" customHeight="1" spans="1:26">
      <c r="A27" s="2">
        <f>IFERROR(__xludf.DUMMYFUNCTION("""COMPUTED_VALUE"""),26)</f>
        <v>26</v>
      </c>
      <c r="B27" s="2" t="str">
        <f>IFERROR(__xludf.DUMMYFUNCTION("""COMPUTED_VALUE"""),"BME, MED ELEC")</f>
        <v>BME, MED ELEC</v>
      </c>
      <c r="C27" s="2" t="str">
        <f>IFERROR(__xludf.DUMMYFUNCTION("""COMPUTED_VALUE"""),"EC4627")</f>
        <v>EC4627</v>
      </c>
      <c r="D27" s="2" t="str">
        <f>IFERROR(__xludf.DUMMYFUNCTION("""COMPUTED_VALUE"""),"19BM627")</f>
        <v>19BM627</v>
      </c>
      <c r="E27" s="2"/>
      <c r="F27" s="2" t="str">
        <f>IFERROR(__xludf.DUMMYFUNCTION("""COMPUTED_VALUE"""),"NPTEL")</f>
        <v>NPTEL</v>
      </c>
      <c r="G27" s="3" t="str">
        <f>IFERROR(__xludf.DUMMYFUNCTION("""COMPUTED_VALUE"""),"Artificial Intelligence (AI) for Investments (NPTEL)")</f>
        <v>Artificial Intelligence (AI) for Investments (NPTEL)</v>
      </c>
      <c r="H27" s="2" t="str">
        <f>IFERROR(__xludf.DUMMYFUNCTION("""COMPUTED_VALUE"""),"12 Weeks")</f>
        <v>12 Weeks</v>
      </c>
      <c r="I27" s="2"/>
      <c r="J27" s="2"/>
      <c r="K27" s="2"/>
      <c r="L27" s="2" t="str">
        <f>IFERROR(__xludf.DUMMYFUNCTION("""COMPUTED_VALUE"""),"CGPA")</f>
        <v>CGPA</v>
      </c>
      <c r="M27" s="2" t="str">
        <f>IFERROR(__xludf.DUMMYFUNCTION("""COMPUTED_VALUE"""),"Experiential Learning (Int and Grade from Certificate)")</f>
        <v>Experiential Learning (Int and Grade from Certificate)</v>
      </c>
      <c r="N27" s="2">
        <f>IFERROR(__xludf.DUMMYFUNCTION("""COMPUTED_VALUE"""),3)</f>
        <v>3</v>
      </c>
      <c r="O27" s="2">
        <f>IFERROR(__xludf.DUMMYFUNCTION("""COMPUTED_VALUE"""),3)</f>
        <v>3</v>
      </c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30.75" customHeight="1" spans="1:26">
      <c r="A28" s="2">
        <f>IFERROR(__xludf.DUMMYFUNCTION("""COMPUTED_VALUE"""),27)</f>
        <v>27</v>
      </c>
      <c r="B28" s="2" t="str">
        <f>IFERROR(__xludf.DUMMYFUNCTION("""COMPUTED_VALUE"""),"SCoFT")</f>
        <v>SCoFT</v>
      </c>
      <c r="C28" s="2" t="str">
        <f>IFERROR(__xludf.DUMMYFUNCTION("""COMPUTED_VALUE"""),"CS3004")</f>
        <v>CS3004</v>
      </c>
      <c r="D28" s="2" t="str">
        <f>IFERROR(__xludf.DUMMYFUNCTION("""COMPUTED_VALUE"""),"19AI004")</f>
        <v>19AI004</v>
      </c>
      <c r="E28" s="2"/>
      <c r="F28" s="2" t="str">
        <f>IFERROR(__xludf.DUMMYFUNCTION("""COMPUTED_VALUE"""),"NPTEL")</f>
        <v>NPTEL</v>
      </c>
      <c r="G28" s="3" t="str">
        <f>IFERROR(__xludf.DUMMYFUNCTION("""COMPUTED_VALUE"""),"Artificial Intelligence: Constraint Satisfaction (NPTEL)")</f>
        <v>Artificial Intelligence: Constraint Satisfaction (NPTEL)</v>
      </c>
      <c r="H28" s="2" t="str">
        <f>IFERROR(__xludf.DUMMYFUNCTION("""COMPUTED_VALUE"""),"8 Weeks")</f>
        <v>8 Weeks</v>
      </c>
      <c r="I28" s="2"/>
      <c r="J28" s="2"/>
      <c r="K28" s="2"/>
      <c r="L28" s="2" t="str">
        <f>IFERROR(__xludf.DUMMYFUNCTION("""COMPUTED_VALUE"""),"CGPA ")</f>
        <v>CGPA </v>
      </c>
      <c r="M28" s="2" t="str">
        <f>IFERROR(__xludf.DUMMYFUNCTION("""COMPUTED_VALUE"""),"Experiential Learning (Int and Grade from Certificate)")</f>
        <v>Experiential Learning (Int and Grade from Certificate)</v>
      </c>
      <c r="N28" s="2">
        <f>IFERROR(__xludf.DUMMYFUNCTION("""COMPUTED_VALUE"""),2)</f>
        <v>2</v>
      </c>
      <c r="O28" s="2">
        <f>IFERROR(__xludf.DUMMYFUNCTION("""COMPUTED_VALUE"""),2)</f>
        <v>2</v>
      </c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30.75" customHeight="1" spans="1:26">
      <c r="A29" s="2">
        <f>IFERROR(__xludf.DUMMYFUNCTION("""COMPUTED_VALUE"""),28)</f>
        <v>28</v>
      </c>
      <c r="B29" s="2" t="str">
        <f>IFERROR(__xludf.DUMMYFUNCTION("""COMPUTED_VALUE"""),"SCoFT")</f>
        <v>SCoFT</v>
      </c>
      <c r="C29" s="2" t="str">
        <f>IFERROR(__xludf.DUMMYFUNCTION("""COMPUTED_VALUE"""),"CS3009")</f>
        <v>CS3009</v>
      </c>
      <c r="D29" s="2" t="str">
        <f>IFERROR(__xludf.DUMMYFUNCTION("""COMPUTED_VALUE"""),"19AI009")</f>
        <v>19AI009</v>
      </c>
      <c r="E29" s="2"/>
      <c r="F29" s="2" t="str">
        <f>IFERROR(__xludf.DUMMYFUNCTION("""COMPUTED_VALUE"""),"NPTEL")</f>
        <v>NPTEL</v>
      </c>
      <c r="G29" s="3" t="str">
        <f>IFERROR(__xludf.DUMMYFUNCTION("""COMPUTED_VALUE"""),"Artificial Intelligence: Knowledge Representation and Reasoning (NPTEL)")</f>
        <v>Artificial Intelligence: Knowledge Representation and Reasoning (NPTEL)</v>
      </c>
      <c r="H29" s="2" t="str">
        <f>IFERROR(__xludf.DUMMYFUNCTION("""COMPUTED_VALUE"""),"12 Weeks")</f>
        <v>12 Weeks</v>
      </c>
      <c r="I29" s="2"/>
      <c r="J29" s="2"/>
      <c r="K29" s="2"/>
      <c r="L29" s="2" t="str">
        <f>IFERROR(__xludf.DUMMYFUNCTION("""COMPUTED_VALUE"""),"CGPA ")</f>
        <v>CGPA </v>
      </c>
      <c r="M29" s="2" t="str">
        <f>IFERROR(__xludf.DUMMYFUNCTION("""COMPUTED_VALUE"""),"Experiential Learning (Int and Grade from Certificate)")</f>
        <v>Experiential Learning (Int and Grade from Certificate)</v>
      </c>
      <c r="N29" s="2">
        <f>IFERROR(__xludf.DUMMYFUNCTION("""COMPUTED_VALUE"""),3)</f>
        <v>3</v>
      </c>
      <c r="O29" s="2">
        <f>IFERROR(__xludf.DUMMYFUNCTION("""COMPUTED_VALUE"""),3)</f>
        <v>3</v>
      </c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30.75" customHeight="1" spans="1:26">
      <c r="A30" s="2">
        <f>IFERROR(__xludf.DUMMYFUNCTION("""COMPUTED_VALUE"""),29)</f>
        <v>29</v>
      </c>
      <c r="B30" s="2" t="str">
        <f>IFERROR(__xludf.DUMMYFUNCTION("""COMPUTED_VALUE"""),"SCoFT")</f>
        <v>SCoFT</v>
      </c>
      <c r="C30" s="2" t="str">
        <f>IFERROR(__xludf.DUMMYFUNCTION("""COMPUTED_VALUE"""),"CS3008")</f>
        <v>CS3008</v>
      </c>
      <c r="D30" s="2" t="str">
        <f>IFERROR(__xludf.DUMMYFUNCTION("""COMPUTED_VALUE"""),"19AI008")</f>
        <v>19AI008</v>
      </c>
      <c r="E30" s="2"/>
      <c r="F30" s="2" t="str">
        <f>IFERROR(__xludf.DUMMYFUNCTION("""COMPUTED_VALUE"""),"NPTEL")</f>
        <v>NPTEL</v>
      </c>
      <c r="G30" s="3" t="str">
        <f>IFERROR(__xludf.DUMMYFUNCTION("""COMPUTED_VALUE"""),"Artificial Intelligence: Search Methods for Problem Solving (NPTEL)")</f>
        <v>Artificial Intelligence: Search Methods for Problem Solving (NPTEL)</v>
      </c>
      <c r="H30" s="2" t="str">
        <f>IFERROR(__xludf.DUMMYFUNCTION("""COMPUTED_VALUE"""),"12 Weeks")</f>
        <v>12 Weeks</v>
      </c>
      <c r="I30" s="2"/>
      <c r="J30" s="2"/>
      <c r="K30" s="2"/>
      <c r="L30" s="2" t="str">
        <f>IFERROR(__xludf.DUMMYFUNCTION("""COMPUTED_VALUE"""),"CGPA ")</f>
        <v>CGPA </v>
      </c>
      <c r="M30" s="2" t="str">
        <f>IFERROR(__xludf.DUMMYFUNCTION("""COMPUTED_VALUE"""),"Experiential Learning (Int and Grade from Certificate)")</f>
        <v>Experiential Learning (Int and Grade from Certificate)</v>
      </c>
      <c r="N30" s="2">
        <f>IFERROR(__xludf.DUMMYFUNCTION("""COMPUTED_VALUE"""),3)</f>
        <v>3</v>
      </c>
      <c r="O30" s="2">
        <f>IFERROR(__xludf.DUMMYFUNCTION("""COMPUTED_VALUE"""),3)</f>
        <v>3</v>
      </c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30.75" customHeight="1" spans="1:26">
      <c r="A31" s="2">
        <f>IFERROR(__xludf.DUMMYFUNCTION("""COMPUTED_VALUE"""),30)</f>
        <v>30</v>
      </c>
      <c r="B31" s="2" t="str">
        <f>IFERROR(__xludf.DUMMYFUNCTION("""COMPUTED_VALUE"""),"CHEMICAL")</f>
        <v>CHEMICAL</v>
      </c>
      <c r="C31" s="2" t="str">
        <f>IFERROR(__xludf.DUMMYFUNCTION("""COMPUTED_VALUE"""),"CH0611")</f>
        <v>CH0611</v>
      </c>
      <c r="D31" s="2" t="str">
        <f>IFERROR(__xludf.DUMMYFUNCTION("""COMPUTED_VALUE"""),"19CH611")</f>
        <v>19CH611</v>
      </c>
      <c r="E31" s="2"/>
      <c r="F31" s="2" t="str">
        <f>IFERROR(__xludf.DUMMYFUNCTION("""COMPUTED_VALUE"""),"NPTEL")</f>
        <v>NPTEL</v>
      </c>
      <c r="G31" s="3" t="str">
        <f>IFERROR(__xludf.DUMMYFUNCTION("""COMPUTED_VALUE"""),"Aspen Plus® Simulation Software - a Basic Course for Beginners (NPTEL)")</f>
        <v>Aspen Plus® Simulation Software - a Basic Course for Beginners (NPTEL)</v>
      </c>
      <c r="H31" s="2" t="str">
        <f>IFERROR(__xludf.DUMMYFUNCTION("""COMPUTED_VALUE"""),"12 Weeks")</f>
        <v>12 Weeks</v>
      </c>
      <c r="I31" s="2" t="str">
        <f>IFERROR(__xludf.DUMMYFUNCTION("""COMPUTED_VALUE"""),"10 / 25")</f>
        <v>10 / 25</v>
      </c>
      <c r="J31" s="2" t="str">
        <f>IFERROR(__xludf.DUMMYFUNCTION("""COMPUTED_VALUE"""),"30 / 75")</f>
        <v>30 / 75</v>
      </c>
      <c r="K31" s="2" t="str">
        <f>IFERROR(__xludf.DUMMYFUNCTION("""COMPUTED_VALUE"""),"40 / 100")</f>
        <v>40 / 100</v>
      </c>
      <c r="L31" s="2" t="str">
        <f>IFERROR(__xludf.DUMMYFUNCTION("""COMPUTED_VALUE"""),"CGPA ")</f>
        <v>CGPA </v>
      </c>
      <c r="M31" s="2" t="str">
        <f>IFERROR(__xludf.DUMMYFUNCTION("""COMPUTED_VALUE"""),"Experiential Learning (Int and Grade from Certificate)")</f>
        <v>Experiential Learning (Int and Grade from Certificate)</v>
      </c>
      <c r="N31" s="2">
        <f>IFERROR(__xludf.DUMMYFUNCTION("""COMPUTED_VALUE"""),2)</f>
        <v>2</v>
      </c>
      <c r="O31" s="2">
        <f>IFERROR(__xludf.DUMMYFUNCTION("""COMPUTED_VALUE"""),3)</f>
        <v>3</v>
      </c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30.75" customHeight="1" spans="1:26">
      <c r="A32" s="2">
        <f>IFERROR(__xludf.DUMMYFUNCTION("""COMPUTED_VALUE"""),31)</f>
        <v>31</v>
      </c>
      <c r="B32" s="2" t="str">
        <f>IFERROR(__xludf.DUMMYFUNCTION("""COMPUTED_VALUE"""),"BME, MED ELEC")</f>
        <v>BME, MED ELEC</v>
      </c>
      <c r="C32" s="2" t="str">
        <f>IFERROR(__xludf.DUMMYFUNCTION("""COMPUTED_VALUE"""),"EC4628")</f>
        <v>EC4628</v>
      </c>
      <c r="D32" s="2" t="str">
        <f>IFERROR(__xludf.DUMMYFUNCTION("""COMPUTED_VALUE"""),"19BM628")</f>
        <v>19BM628</v>
      </c>
      <c r="E32" s="2"/>
      <c r="F32" s="2" t="str">
        <f>IFERROR(__xludf.DUMMYFUNCTION("""COMPUTED_VALUE"""),"NPTEL")</f>
        <v>NPTEL</v>
      </c>
      <c r="G32" s="3" t="str">
        <f>IFERROR(__xludf.DUMMYFUNCTION("""COMPUTED_VALUE"""),"Augmenting Design Thinking with Human-Computer Interaction (NPTEL)")</f>
        <v>Augmenting Design Thinking with Human-Computer Interaction (NPTEL)</v>
      </c>
      <c r="H32" s="2" t="str">
        <f>IFERROR(__xludf.DUMMYFUNCTION("""COMPUTED_VALUE"""),"8 Weeks")</f>
        <v>8 Weeks</v>
      </c>
      <c r="I32" s="2"/>
      <c r="J32" s="2"/>
      <c r="K32" s="2"/>
      <c r="L32" s="2" t="str">
        <f>IFERROR(__xludf.DUMMYFUNCTION("""COMPUTED_VALUE"""),"CGPA")</f>
        <v>CGPA</v>
      </c>
      <c r="M32" s="2" t="str">
        <f>IFERROR(__xludf.DUMMYFUNCTION("""COMPUTED_VALUE"""),"Experiential Learning (Int and Grade from Certificate)")</f>
        <v>Experiential Learning (Int and Grade from Certificate)</v>
      </c>
      <c r="N32" s="2">
        <f>IFERROR(__xludf.DUMMYFUNCTION("""COMPUTED_VALUE"""),2)</f>
        <v>2</v>
      </c>
      <c r="O32" s="2">
        <f>IFERROR(__xludf.DUMMYFUNCTION("""COMPUTED_VALUE"""),2)</f>
        <v>2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30.75" customHeight="1" spans="1:26">
      <c r="A33" s="2">
        <f>IFERROR(__xludf.DUMMYFUNCTION("""COMPUTED_VALUE"""),32)</f>
        <v>32</v>
      </c>
      <c r="B33" s="2" t="str">
        <f>IFERROR(__xludf.DUMMYFUNCTION("""COMPUTED_VALUE"""),"MECH")</f>
        <v>MECH</v>
      </c>
      <c r="C33" s="2" t="str">
        <f>IFERROR(__xludf.DUMMYFUNCTION("""COMPUTED_VALUE"""),"ME0605")</f>
        <v>ME0605</v>
      </c>
      <c r="D33" s="2" t="str">
        <f>IFERROR(__xludf.DUMMYFUNCTION("""COMPUTED_VALUE"""),"19ME605")</f>
        <v>19ME605</v>
      </c>
      <c r="E33" s="2"/>
      <c r="F33" s="2" t="str">
        <f>IFERROR(__xludf.DUMMYFUNCTION("""COMPUTED_VALUE"""),"NPTEL(IITG)")</f>
        <v>NPTEL(IITG)</v>
      </c>
      <c r="G33" s="3" t="str">
        <f>IFERROR(__xludf.DUMMYFUNCTION("""COMPUTED_VALUE"""),"Automation in Manufacturing (NPTEL)")</f>
        <v>Automation in Manufacturing (NPTEL)</v>
      </c>
      <c r="H33" s="2" t="str">
        <f>IFERROR(__xludf.DUMMYFUNCTION("""COMPUTED_VALUE"""),"12 Weeks")</f>
        <v>12 Weeks</v>
      </c>
      <c r="I33" s="4">
        <f>IFERROR(__xludf.DUMMYFUNCTION("""COMPUTED_VALUE"""),45224)</f>
        <v>45224</v>
      </c>
      <c r="J33" s="2" t="str">
        <f>IFERROR(__xludf.DUMMYFUNCTION("""COMPUTED_VALUE"""),"30/75")</f>
        <v>30/75</v>
      </c>
      <c r="K33" s="2" t="str">
        <f>IFERROR(__xludf.DUMMYFUNCTION("""COMPUTED_VALUE"""),"40/100")</f>
        <v>40/100</v>
      </c>
      <c r="L33" s="2" t="str">
        <f>IFERROR(__xludf.DUMMYFUNCTION("""COMPUTED_VALUE"""),"CGPA ")</f>
        <v>CGPA </v>
      </c>
      <c r="M33" s="2" t="str">
        <f>IFERROR(__xludf.DUMMYFUNCTION("""COMPUTED_VALUE"""),"Experiential Learning (Int and Grade from Certificate)")</f>
        <v>Experiential Learning (Int and Grade from Certificate)</v>
      </c>
      <c r="N33" s="2">
        <f>IFERROR(__xludf.DUMMYFUNCTION("""COMPUTED_VALUE"""),2)</f>
        <v>2</v>
      </c>
      <c r="O33" s="2">
        <f>IFERROR(__xludf.DUMMYFUNCTION("""COMPUTED_VALUE"""),3)</f>
        <v>3</v>
      </c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30.75" customHeight="1" spans="1:26">
      <c r="A34" s="2">
        <f>IFERROR(__xludf.DUMMYFUNCTION("""COMPUTED_VALUE"""),33)</f>
        <v>33</v>
      </c>
      <c r="B34" s="2" t="str">
        <f>IFERROR(__xludf.DUMMYFUNCTION("""COMPUTED_VALUE"""),"CIVIL")</f>
        <v>CIVIL</v>
      </c>
      <c r="C34" s="2" t="str">
        <f>IFERROR(__xludf.DUMMYFUNCTION("""COMPUTED_VALUE"""),"CE0607")</f>
        <v>CE0607</v>
      </c>
      <c r="D34" s="2" t="str">
        <f>IFERROR(__xludf.DUMMYFUNCTION("""COMPUTED_VALUE"""),"19CE607")</f>
        <v>19CE607</v>
      </c>
      <c r="E34" s="2"/>
      <c r="F34" s="2" t="str">
        <f>IFERROR(__xludf.DUMMYFUNCTION("""COMPUTED_VALUE"""),"NPTEL")</f>
        <v>NPTEL</v>
      </c>
      <c r="G34" s="3" t="str">
        <f>IFERROR(__xludf.DUMMYFUNCTION("""COMPUTED_VALUE"""),"Availability and Management of Groundwater Resources (NPTEL)")</f>
        <v>Availability and Management of Groundwater Resources (NPTEL)</v>
      </c>
      <c r="H34" s="2" t="str">
        <f>IFERROR(__xludf.DUMMYFUNCTION("""COMPUTED_VALUE"""),"12 Weeks")</f>
        <v>12 Weeks</v>
      </c>
      <c r="I34" s="2" t="str">
        <f>IFERROR(__xludf.DUMMYFUNCTION("""COMPUTED_VALUE"""),"10 / 25")</f>
        <v>10 / 25</v>
      </c>
      <c r="J34" s="2" t="str">
        <f>IFERROR(__xludf.DUMMYFUNCTION("""COMPUTED_VALUE"""),"30 / 75")</f>
        <v>30 / 75</v>
      </c>
      <c r="K34" s="2" t="str">
        <f>IFERROR(__xludf.DUMMYFUNCTION("""COMPUTED_VALUE"""),"40 / 100")</f>
        <v>40 / 100</v>
      </c>
      <c r="L34" s="2" t="str">
        <f>IFERROR(__xludf.DUMMYFUNCTION("""COMPUTED_VALUE"""),"CGPA ")</f>
        <v>CGPA </v>
      </c>
      <c r="M34" s="2" t="str">
        <f>IFERROR(__xludf.DUMMYFUNCTION("""COMPUTED_VALUE"""),"Experiential Learning (Int and Grade from Certificate)")</f>
        <v>Experiential Learning (Int and Grade from Certificate)</v>
      </c>
      <c r="N34" s="2">
        <f>IFERROR(__xludf.DUMMYFUNCTION("""COMPUTED_VALUE"""),2)</f>
        <v>2</v>
      </c>
      <c r="O34" s="2">
        <f>IFERROR(__xludf.DUMMYFUNCTION("""COMPUTED_VALUE"""),3)</f>
        <v>3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30.75" customHeight="1" spans="1:26">
      <c r="A35" s="2">
        <f>IFERROR(__xludf.DUMMYFUNCTION("""COMPUTED_VALUE"""),34)</f>
        <v>34</v>
      </c>
      <c r="B35" s="2" t="str">
        <f>IFERROR(__xludf.DUMMYFUNCTION("""COMPUTED_VALUE"""),"SCoFT")</f>
        <v>SCoFT</v>
      </c>
      <c r="C35" s="2" t="str">
        <f>IFERROR(__xludf.DUMMYFUNCTION("""COMPUTED_VALUE"""),"CS3158")</f>
        <v>CS3158</v>
      </c>
      <c r="D35" s="2" t="str">
        <f>IFERROR(__xludf.DUMMYFUNCTION("""COMPUTED_VALUE"""),"19AI158")</f>
        <v>19AI158</v>
      </c>
      <c r="E35" s="2"/>
      <c r="F35" s="2" t="str">
        <f>IFERROR(__xludf.DUMMYFUNCTION("""COMPUTED_VALUE"""),"Amazon ( CLF-C01)
")</f>
        <v>Amazon ( CLF-C01)
</v>
      </c>
      <c r="G35" s="3" t="str">
        <f>IFERROR(__xludf.DUMMYFUNCTION("""COMPUTED_VALUE"""),"AWS Certified Cloud Practitioner (Amazon)")</f>
        <v>AWS Certified Cloud Practitioner (Amazon)</v>
      </c>
      <c r="H35" s="2" t="str">
        <f>IFERROR(__xludf.DUMMYFUNCTION("""COMPUTED_VALUE"""),"8 Weeks")</f>
        <v>8 Weeks</v>
      </c>
      <c r="I35" s="2"/>
      <c r="J35" s="2"/>
      <c r="K35" s="2"/>
      <c r="L35" s="2" t="str">
        <f>IFERROR(__xludf.DUMMYFUNCTION("""COMPUTED_VALUE"""),"CGPA")</f>
        <v>CGPA</v>
      </c>
      <c r="M35" s="2" t="str">
        <f>IFERROR(__xludf.DUMMYFUNCTION("""COMPUTED_VALUE"""),"Experiential Learning (Int and Grade from Certificate)")</f>
        <v>Experiential Learning (Int and Grade from Certificate)</v>
      </c>
      <c r="N35" s="2">
        <f>IFERROR(__xludf.DUMMYFUNCTION("""COMPUTED_VALUE"""),2)</f>
        <v>2</v>
      </c>
      <c r="O35" s="2">
        <f>IFERROR(__xludf.DUMMYFUNCTION("""COMPUTED_VALUE"""),2)</f>
        <v>2</v>
      </c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30.75" customHeight="1" spans="1:26">
      <c r="A36" s="2">
        <f>IFERROR(__xludf.DUMMYFUNCTION("""COMPUTED_VALUE"""),35)</f>
        <v>35</v>
      </c>
      <c r="B36" s="2" t="str">
        <f>IFERROR(__xludf.DUMMYFUNCTION("""COMPUTED_VALUE"""),"SCoFT")</f>
        <v>SCoFT</v>
      </c>
      <c r="C36" s="2" t="str">
        <f>IFERROR(__xludf.DUMMYFUNCTION("""COMPUTED_VALUE"""),"CS3160")</f>
        <v>CS3160</v>
      </c>
      <c r="D36" s="2" t="str">
        <f>IFERROR(__xludf.DUMMYFUNCTION("""COMPUTED_VALUE"""),"19AI160")</f>
        <v>19AI160</v>
      </c>
      <c r="E36" s="2"/>
      <c r="F36" s="2" t="str">
        <f>IFERROR(__xludf.DUMMYFUNCTION("""COMPUTED_VALUE"""),"Amazon ( DAS-C01)
")</f>
        <v>Amazon ( DAS-C01)
</v>
      </c>
      <c r="G36" s="3" t="str">
        <f>IFERROR(__xludf.DUMMYFUNCTION("""COMPUTED_VALUE"""),"AWS Certified Data Analytics - Specialty (Amazon)")</f>
        <v>AWS Certified Data Analytics - Specialty (Amazon)</v>
      </c>
      <c r="H36" s="2" t="str">
        <f>IFERROR(__xludf.DUMMYFUNCTION("""COMPUTED_VALUE"""),"8 Weeks")</f>
        <v>8 Weeks</v>
      </c>
      <c r="I36" s="2"/>
      <c r="J36" s="2"/>
      <c r="K36" s="2"/>
      <c r="L36" s="2" t="str">
        <f>IFERROR(__xludf.DUMMYFUNCTION("""COMPUTED_VALUE"""),"CGPA")</f>
        <v>CGPA</v>
      </c>
      <c r="M36" s="2" t="str">
        <f>IFERROR(__xludf.DUMMYFUNCTION("""COMPUTED_VALUE"""),"Experiential Learning (Int and Grade from Certificate)")</f>
        <v>Experiential Learning (Int and Grade from Certificate)</v>
      </c>
      <c r="N36" s="2">
        <f>IFERROR(__xludf.DUMMYFUNCTION("""COMPUTED_VALUE"""),2)</f>
        <v>2</v>
      </c>
      <c r="O36" s="2">
        <f>IFERROR(__xludf.DUMMYFUNCTION("""COMPUTED_VALUE"""),2)</f>
        <v>2</v>
      </c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30.75" customHeight="1" spans="1:26">
      <c r="A37" s="2">
        <f>IFERROR(__xludf.DUMMYFUNCTION("""COMPUTED_VALUE"""),36)</f>
        <v>36</v>
      </c>
      <c r="B37" s="2" t="str">
        <f>IFERROR(__xludf.DUMMYFUNCTION("""COMPUTED_VALUE"""),"SCoFT")</f>
        <v>SCoFT</v>
      </c>
      <c r="C37" s="2" t="str">
        <f>IFERROR(__xludf.DUMMYFUNCTION("""COMPUTED_VALUE"""),"CS3157")</f>
        <v>CS3157</v>
      </c>
      <c r="D37" s="2" t="str">
        <f>IFERROR(__xludf.DUMMYFUNCTION("""COMPUTED_VALUE"""),"19AI157")</f>
        <v>19AI157</v>
      </c>
      <c r="E37" s="2"/>
      <c r="F37" s="2" t="str">
        <f>IFERROR(__xludf.DUMMYFUNCTION("""COMPUTED_VALUE"""),"Amazon (DOP-C02)")</f>
        <v>Amazon (DOP-C02)</v>
      </c>
      <c r="G37" s="3" t="str">
        <f>IFERROR(__xludf.DUMMYFUNCTION("""COMPUTED_VALUE"""),"AWS Certified DevOps Engineer - Professional (Amazon)
")</f>
        <v>AWS Certified DevOps Engineer - Professional (Amazon)
</v>
      </c>
      <c r="H37" s="2" t="str">
        <f>IFERROR(__xludf.DUMMYFUNCTION("""COMPUTED_VALUE"""),"8 Weeks")</f>
        <v>8 Weeks</v>
      </c>
      <c r="I37" s="2"/>
      <c r="J37" s="2"/>
      <c r="K37" s="2"/>
      <c r="L37" s="2" t="str">
        <f>IFERROR(__xludf.DUMMYFUNCTION("""COMPUTED_VALUE"""),"CGPA")</f>
        <v>CGPA</v>
      </c>
      <c r="M37" s="2" t="str">
        <f>IFERROR(__xludf.DUMMYFUNCTION("""COMPUTED_VALUE"""),"Experiential Learning (Int and Grade from Certificate)")</f>
        <v>Experiential Learning (Int and Grade from Certificate)</v>
      </c>
      <c r="N37" s="2">
        <f>IFERROR(__xludf.DUMMYFUNCTION("""COMPUTED_VALUE"""),2)</f>
        <v>2</v>
      </c>
      <c r="O37" s="2">
        <f>IFERROR(__xludf.DUMMYFUNCTION("""COMPUTED_VALUE"""),2)</f>
        <v>2</v>
      </c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30.75" customHeight="1" spans="1:26">
      <c r="A38" s="2">
        <f>IFERROR(__xludf.DUMMYFUNCTION("""COMPUTED_VALUE"""),37)</f>
        <v>37</v>
      </c>
      <c r="B38" s="2" t="str">
        <f>IFERROR(__xludf.DUMMYFUNCTION("""COMPUTED_VALUE"""),"SCoFT")</f>
        <v>SCoFT</v>
      </c>
      <c r="C38" s="2" t="str">
        <f>IFERROR(__xludf.DUMMYFUNCTION("""COMPUTED_VALUE"""),"CS3159")</f>
        <v>CS3159</v>
      </c>
      <c r="D38" s="2" t="str">
        <f>IFERROR(__xludf.DUMMYFUNCTION("""COMPUTED_VALUE"""),"19AI159")</f>
        <v>19AI159</v>
      </c>
      <c r="E38" s="2"/>
      <c r="F38" s="2" t="str">
        <f>IFERROR(__xludf.DUMMYFUNCTION("""COMPUTED_VALUE"""),"Amazon ( MLS-C01)
")</f>
        <v>Amazon ( MLS-C01)
</v>
      </c>
      <c r="G38" s="3" t="str">
        <f>IFERROR(__xludf.DUMMYFUNCTION("""COMPUTED_VALUE"""),"AWS Certified Machine Learning - Specialty (Amazon)")</f>
        <v>AWS Certified Machine Learning - Specialty (Amazon)</v>
      </c>
      <c r="H38" s="2" t="str">
        <f>IFERROR(__xludf.DUMMYFUNCTION("""COMPUTED_VALUE"""),"8 Weeks")</f>
        <v>8 Weeks</v>
      </c>
      <c r="I38" s="2"/>
      <c r="J38" s="2"/>
      <c r="K38" s="2"/>
      <c r="L38" s="2" t="str">
        <f>IFERROR(__xludf.DUMMYFUNCTION("""COMPUTED_VALUE"""),"CGPA")</f>
        <v>CGPA</v>
      </c>
      <c r="M38" s="2" t="str">
        <f>IFERROR(__xludf.DUMMYFUNCTION("""COMPUTED_VALUE"""),"Experiential Learning (Int and Grade from Certificate)")</f>
        <v>Experiential Learning (Int and Grade from Certificate)</v>
      </c>
      <c r="N38" s="2">
        <f>IFERROR(__xludf.DUMMYFUNCTION("""COMPUTED_VALUE"""),2)</f>
        <v>2</v>
      </c>
      <c r="O38" s="2">
        <f>IFERROR(__xludf.DUMMYFUNCTION("""COMPUTED_VALUE"""),2)</f>
        <v>2</v>
      </c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30.75" customHeight="1" spans="1:26">
      <c r="A39" s="2">
        <f>IFERROR(__xludf.DUMMYFUNCTION("""COMPUTED_VALUE"""),38)</f>
        <v>38</v>
      </c>
      <c r="B39" s="2" t="str">
        <f>IFERROR(__xludf.DUMMYFUNCTION("""COMPUTED_VALUE"""),"SCoFT")</f>
        <v>SCoFT</v>
      </c>
      <c r="C39" s="2" t="str">
        <f>IFERROR(__xludf.DUMMYFUNCTION("""COMPUTED_VALUE"""),"CS3186")</f>
        <v>CS3186</v>
      </c>
      <c r="D39" s="2" t="str">
        <f>IFERROR(__xludf.DUMMYFUNCTION("""COMPUTED_VALUE"""),"19AI186")</f>
        <v>19AI186</v>
      </c>
      <c r="E39" s="2"/>
      <c r="F39" s="2" t="str">
        <f>IFERROR(__xludf.DUMMYFUNCTION("""COMPUTED_VALUE"""),"Coursera")</f>
        <v>Coursera</v>
      </c>
      <c r="G39" s="3" t="str">
        <f>IFERROR(__xludf.DUMMYFUNCTION("""COMPUTED_VALUE"""),"AWS Cloud Solutions Architect Professional Certificate")</f>
        <v>AWS Cloud Solutions Architect Professional Certificate</v>
      </c>
      <c r="H39" s="2" t="str">
        <f>IFERROR(__xludf.DUMMYFUNCTION("""COMPUTED_VALUE"""),"2 Months")</f>
        <v>2 Months</v>
      </c>
      <c r="I39" s="2" t="str">
        <f>IFERROR(__xludf.DUMMYFUNCTION("""COMPUTED_VALUE"""),"NA")</f>
        <v>NA</v>
      </c>
      <c r="J39" s="2" t="str">
        <f>IFERROR(__xludf.DUMMYFUNCTION("""COMPUTED_VALUE"""),"NA")</f>
        <v>NA</v>
      </c>
      <c r="K39" s="2" t="str">
        <f>IFERROR(__xludf.DUMMYFUNCTION("""COMPUTED_VALUE"""),"NA")</f>
        <v>NA</v>
      </c>
      <c r="L39" s="2" t="str">
        <f>IFERROR(__xludf.DUMMYFUNCTION("""COMPUTED_VALUE"""),"CGPA")</f>
        <v>CGPA</v>
      </c>
      <c r="M39" s="2" t="str">
        <f>IFERROR(__xludf.DUMMYFUNCTION("""COMPUTED_VALUE"""),"Experiential Learning (Int and Grade from Certificate)")</f>
        <v>Experiential Learning (Int and Grade from Certificate)</v>
      </c>
      <c r="N39" s="2">
        <f>IFERROR(__xludf.DUMMYFUNCTION("""COMPUTED_VALUE"""),2)</f>
        <v>2</v>
      </c>
      <c r="O39" s="2">
        <f>IFERROR(__xludf.DUMMYFUNCTION("""COMPUTED_VALUE"""),2)</f>
        <v>2</v>
      </c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30.75" customHeight="1" spans="1:26">
      <c r="A40" s="2">
        <f>IFERROR(__xludf.DUMMYFUNCTION("""COMPUTED_VALUE"""),39)</f>
        <v>39</v>
      </c>
      <c r="B40" s="2" t="str">
        <f>IFERROR(__xludf.DUMMYFUNCTION("""COMPUTED_VALUE"""),"SCoFT")</f>
        <v>SCoFT</v>
      </c>
      <c r="C40" s="2" t="str">
        <f>IFERROR(__xludf.DUMMYFUNCTION("""COMPUTED_VALUE"""),"CS3187")</f>
        <v>CS3187</v>
      </c>
      <c r="D40" s="2" t="str">
        <f>IFERROR(__xludf.DUMMYFUNCTION("""COMPUTED_VALUE"""),"19AI187")</f>
        <v>19AI187</v>
      </c>
      <c r="E40" s="2"/>
      <c r="F40" s="2" t="str">
        <f>IFERROR(__xludf.DUMMYFUNCTION("""COMPUTED_VALUE"""),"Coursera")</f>
        <v>Coursera</v>
      </c>
      <c r="G40" s="3" t="str">
        <f>IFERROR(__xludf.DUMMYFUNCTION("""COMPUTED_VALUE"""),"AWS Cloud Technology Consultant Professional Certificate")</f>
        <v>AWS Cloud Technology Consultant Professional Certificate</v>
      </c>
      <c r="H40" s="2" t="str">
        <f>IFERROR(__xludf.DUMMYFUNCTION("""COMPUTED_VALUE"""),"4 Months")</f>
        <v>4 Months</v>
      </c>
      <c r="I40" s="2" t="str">
        <f>IFERROR(__xludf.DUMMYFUNCTION("""COMPUTED_VALUE"""),"NA")</f>
        <v>NA</v>
      </c>
      <c r="J40" s="2" t="str">
        <f>IFERROR(__xludf.DUMMYFUNCTION("""COMPUTED_VALUE"""),"NA")</f>
        <v>NA</v>
      </c>
      <c r="K40" s="2" t="str">
        <f>IFERROR(__xludf.DUMMYFUNCTION("""COMPUTED_VALUE"""),"NA")</f>
        <v>NA</v>
      </c>
      <c r="L40" s="2" t="str">
        <f>IFERROR(__xludf.DUMMYFUNCTION("""COMPUTED_VALUE"""),"CGPA")</f>
        <v>CGPA</v>
      </c>
      <c r="M40" s="2" t="str">
        <f>IFERROR(__xludf.DUMMYFUNCTION("""COMPUTED_VALUE"""),"Experiential Learning (Int and Grade from Certificate)")</f>
        <v>Experiential Learning (Int and Grade from Certificate)</v>
      </c>
      <c r="N40" s="2">
        <f>IFERROR(__xludf.DUMMYFUNCTION("""COMPUTED_VALUE"""),3)</f>
        <v>3</v>
      </c>
      <c r="O40" s="2">
        <f>IFERROR(__xludf.DUMMYFUNCTION("""COMPUTED_VALUE"""),3)</f>
        <v>3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30.75" customHeight="1" spans="1:26">
      <c r="A41" s="2">
        <f>IFERROR(__xludf.DUMMYFUNCTION("""COMPUTED_VALUE"""),40)</f>
        <v>40</v>
      </c>
      <c r="B41" s="2" t="str">
        <f>IFERROR(__xludf.DUMMYFUNCTION("""COMPUTED_VALUE"""),"CIVIL")</f>
        <v>CIVIL</v>
      </c>
      <c r="C41" s="2" t="str">
        <f>IFERROR(__xludf.DUMMYFUNCTION("""COMPUTED_VALUE"""),"CE0611")</f>
        <v>CE0611</v>
      </c>
      <c r="D41" s="2" t="str">
        <f>IFERROR(__xludf.DUMMYFUNCTION("""COMPUTED_VALUE"""),"19CE611")</f>
        <v>19CE611</v>
      </c>
      <c r="E41" s="2"/>
      <c r="F41" s="2" t="str">
        <f>IFERROR(__xludf.DUMMYFUNCTION("""COMPUTED_VALUE"""),"NPTEL")</f>
        <v>NPTEL</v>
      </c>
      <c r="G41" s="3" t="str">
        <f>IFERROR(__xludf.DUMMYFUNCTION("""COMPUTED_VALUE"""),"Basic Construction Materials (NPTEL)")</f>
        <v>Basic Construction Materials (NPTEL)</v>
      </c>
      <c r="H41" s="2" t="str">
        <f>IFERROR(__xludf.DUMMYFUNCTION("""COMPUTED_VALUE"""),"12 Weeks")</f>
        <v>12 Weeks</v>
      </c>
      <c r="I41" s="2" t="str">
        <f>IFERROR(__xludf.DUMMYFUNCTION("""COMPUTED_VALUE"""),"10 / 25")</f>
        <v>10 / 25</v>
      </c>
      <c r="J41" s="2" t="str">
        <f>IFERROR(__xludf.DUMMYFUNCTION("""COMPUTED_VALUE"""),"30 / 75")</f>
        <v>30 / 75</v>
      </c>
      <c r="K41" s="2" t="str">
        <f>IFERROR(__xludf.DUMMYFUNCTION("""COMPUTED_VALUE"""),"40 / 100")</f>
        <v>40 / 100</v>
      </c>
      <c r="L41" s="2" t="str">
        <f>IFERROR(__xludf.DUMMYFUNCTION("""COMPUTED_VALUE"""),"CGPA")</f>
        <v>CGPA</v>
      </c>
      <c r="M41" s="2" t="str">
        <f>IFERROR(__xludf.DUMMYFUNCTION("""COMPUTED_VALUE"""),"Experiential Learning (Int and Grade from Certificate)")</f>
        <v>Experiential Learning (Int and Grade from Certificate)</v>
      </c>
      <c r="N41" s="2">
        <f>IFERROR(__xludf.DUMMYFUNCTION("""COMPUTED_VALUE"""),3)</f>
        <v>3</v>
      </c>
      <c r="O41" s="2">
        <f>IFERROR(__xludf.DUMMYFUNCTION("""COMPUTED_VALUE"""),3)</f>
        <v>3</v>
      </c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30.75" customHeight="1" spans="1:26">
      <c r="A42" s="2">
        <f>IFERROR(__xludf.DUMMYFUNCTION("""COMPUTED_VALUE"""),41)</f>
        <v>41</v>
      </c>
      <c r="B42" s="2" t="str">
        <f>IFERROR(__xludf.DUMMYFUNCTION("""COMPUTED_VALUE"""),"CHEMICAL")</f>
        <v>CHEMICAL</v>
      </c>
      <c r="C42" s="2" t="str">
        <f>IFERROR(__xludf.DUMMYFUNCTION("""COMPUTED_VALUE"""),"CH0612")</f>
        <v>CH0612</v>
      </c>
      <c r="D42" s="2" t="str">
        <f>IFERROR(__xludf.DUMMYFUNCTION("""COMPUTED_VALUE"""),"19CH612")</f>
        <v>19CH612</v>
      </c>
      <c r="E42" s="2"/>
      <c r="F42" s="2" t="str">
        <f>IFERROR(__xludf.DUMMYFUNCTION("""COMPUTED_VALUE"""),"NPTEL")</f>
        <v>NPTEL</v>
      </c>
      <c r="G42" s="3" t="str">
        <f>IFERROR(__xludf.DUMMYFUNCTION("""COMPUTED_VALUE"""),"Basic Environmental Engineering and Pollution Abatement (NPTEL)")</f>
        <v>Basic Environmental Engineering and Pollution Abatement (NPTEL)</v>
      </c>
      <c r="H42" s="2" t="str">
        <f>IFERROR(__xludf.DUMMYFUNCTION("""COMPUTED_VALUE"""),"12 Weeks")</f>
        <v>12 Weeks</v>
      </c>
      <c r="I42" s="2" t="str">
        <f>IFERROR(__xludf.DUMMYFUNCTION("""COMPUTED_VALUE"""),"10 / 25")</f>
        <v>10 / 25</v>
      </c>
      <c r="J42" s="2" t="str">
        <f>IFERROR(__xludf.DUMMYFUNCTION("""COMPUTED_VALUE"""),"30 / 75")</f>
        <v>30 / 75</v>
      </c>
      <c r="K42" s="2" t="str">
        <f>IFERROR(__xludf.DUMMYFUNCTION("""COMPUTED_VALUE"""),"40 / 100")</f>
        <v>40 / 100</v>
      </c>
      <c r="L42" s="2" t="str">
        <f>IFERROR(__xludf.DUMMYFUNCTION("""COMPUTED_VALUE"""),"CGPA ")</f>
        <v>CGPA </v>
      </c>
      <c r="M42" s="2" t="str">
        <f>IFERROR(__xludf.DUMMYFUNCTION("""COMPUTED_VALUE"""),"Experiential Learning (Int and Grade from Certificate)")</f>
        <v>Experiential Learning (Int and Grade from Certificate)</v>
      </c>
      <c r="N42" s="2">
        <f>IFERROR(__xludf.DUMMYFUNCTION("""COMPUTED_VALUE"""),2)</f>
        <v>2</v>
      </c>
      <c r="O42" s="2">
        <f>IFERROR(__xludf.DUMMYFUNCTION("""COMPUTED_VALUE"""),3)</f>
        <v>3</v>
      </c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30.75" customHeight="1" spans="1:26">
      <c r="A43" s="2">
        <f>IFERROR(__xludf.DUMMYFUNCTION("""COMPUTED_VALUE"""),42)</f>
        <v>42</v>
      </c>
      <c r="B43" s="2" t="str">
        <f>IFERROR(__xludf.DUMMYFUNCTION("""COMPUTED_VALUE"""),"CHEMICAL")</f>
        <v>CHEMICAL</v>
      </c>
      <c r="C43" s="2" t="str">
        <f>IFERROR(__xludf.DUMMYFUNCTION("""COMPUTED_VALUE"""),"CH0608")</f>
        <v>CH0608</v>
      </c>
      <c r="D43" s="2" t="str">
        <f>IFERROR(__xludf.DUMMYFUNCTION("""COMPUTED_VALUE"""),"19CH608")</f>
        <v>19CH608</v>
      </c>
      <c r="E43" s="2"/>
      <c r="F43" s="2" t="str">
        <f>IFERROR(__xludf.DUMMYFUNCTION("""COMPUTED_VALUE"""),"NPTEL")</f>
        <v>NPTEL</v>
      </c>
      <c r="G43" s="3" t="str">
        <f>IFERROR(__xludf.DUMMYFUNCTION("""COMPUTED_VALUE"""),"Basic Principles and Calculations in Chemical Engineering (NPTEL)")</f>
        <v>Basic Principles and Calculations in Chemical Engineering (NPTEL)</v>
      </c>
      <c r="H43" s="2" t="str">
        <f>IFERROR(__xludf.DUMMYFUNCTION("""COMPUTED_VALUE"""),"12 Weeks")</f>
        <v>12 Weeks</v>
      </c>
      <c r="I43" s="2" t="str">
        <f>IFERROR(__xludf.DUMMYFUNCTION("""COMPUTED_VALUE"""),"10 / 25")</f>
        <v>10 / 25</v>
      </c>
      <c r="J43" s="2" t="str">
        <f>IFERROR(__xludf.DUMMYFUNCTION("""COMPUTED_VALUE"""),"30 / 75")</f>
        <v>30 / 75</v>
      </c>
      <c r="K43" s="2" t="str">
        <f>IFERROR(__xludf.DUMMYFUNCTION("""COMPUTED_VALUE"""),"40 / 100")</f>
        <v>40 / 100</v>
      </c>
      <c r="L43" s="2" t="str">
        <f>IFERROR(__xludf.DUMMYFUNCTION("""COMPUTED_VALUE"""),"CGPA ")</f>
        <v>CGPA </v>
      </c>
      <c r="M43" s="2" t="str">
        <f>IFERROR(__xludf.DUMMYFUNCTION("""COMPUTED_VALUE"""),"Experiential Learning (Int and Grade from Certificate)")</f>
        <v>Experiential Learning (Int and Grade from Certificate)</v>
      </c>
      <c r="N43" s="2">
        <f>IFERROR(__xludf.DUMMYFUNCTION("""COMPUTED_VALUE"""),2)</f>
        <v>2</v>
      </c>
      <c r="O43" s="2">
        <f>IFERROR(__xludf.DUMMYFUNCTION("""COMPUTED_VALUE"""),3)</f>
        <v>3</v>
      </c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0.75" customHeight="1" spans="1:26">
      <c r="A44" s="2">
        <f>IFERROR(__xludf.DUMMYFUNCTION("""COMPUTED_VALUE"""),43)</f>
        <v>43</v>
      </c>
      <c r="B44" s="2" t="str">
        <f>IFERROR(__xludf.DUMMYFUNCTION("""COMPUTED_VALUE"""),"BME, MED ELEC")</f>
        <v>BME, MED ELEC</v>
      </c>
      <c r="C44" s="2" t="str">
        <f>IFERROR(__xludf.DUMMYFUNCTION("""COMPUTED_VALUE"""),"EC4617")</f>
        <v>EC4617</v>
      </c>
      <c r="D44" s="2" t="str">
        <f>IFERROR(__xludf.DUMMYFUNCTION("""COMPUTED_VALUE"""),"19BM617")</f>
        <v>19BM617</v>
      </c>
      <c r="E44" s="2"/>
      <c r="F44" s="2" t="str">
        <f>IFERROR(__xludf.DUMMYFUNCTION("""COMPUTED_VALUE"""),"NPTEL")</f>
        <v>NPTEL</v>
      </c>
      <c r="G44" s="3" t="str">
        <f>IFERROR(__xludf.DUMMYFUNCTION("""COMPUTED_VALUE"""),"Basics of Biology (NPTEL)")</f>
        <v>Basics of Biology (NPTEL)</v>
      </c>
      <c r="H44" s="2" t="str">
        <f>IFERROR(__xludf.DUMMYFUNCTION("""COMPUTED_VALUE"""),"12 Weeks")</f>
        <v>12 Weeks</v>
      </c>
      <c r="I44" s="2"/>
      <c r="J44" s="2"/>
      <c r="K44" s="2"/>
      <c r="L44" s="2" t="str">
        <f>IFERROR(__xludf.DUMMYFUNCTION("""COMPUTED_VALUE"""),"CGPA ")</f>
        <v>CGPA </v>
      </c>
      <c r="M44" s="2" t="str">
        <f>IFERROR(__xludf.DUMMYFUNCTION("""COMPUTED_VALUE"""),"Experiential Learning (Int and Grade from Certificate)")</f>
        <v>Experiential Learning (Int and Grade from Certificate)</v>
      </c>
      <c r="N44" s="2">
        <f>IFERROR(__xludf.DUMMYFUNCTION("""COMPUTED_VALUE"""),3)</f>
        <v>3</v>
      </c>
      <c r="O44" s="2">
        <f>IFERROR(__xludf.DUMMYFUNCTION("""COMPUTED_VALUE"""),3)</f>
        <v>3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30.75" customHeight="1" spans="1:26">
      <c r="A45" s="2">
        <f>IFERROR(__xludf.DUMMYFUNCTION("""COMPUTED_VALUE"""),44)</f>
        <v>44</v>
      </c>
      <c r="B45" s="2" t="str">
        <f>IFERROR(__xludf.DUMMYFUNCTION("""COMPUTED_VALUE"""),"MECH")</f>
        <v>MECH</v>
      </c>
      <c r="C45" s="2" t="str">
        <f>IFERROR(__xludf.DUMMYFUNCTION("""COMPUTED_VALUE"""),"ME0612")</f>
        <v>ME0612</v>
      </c>
      <c r="D45" s="2" t="str">
        <f>IFERROR(__xludf.DUMMYFUNCTION("""COMPUTED_VALUE"""),"19ME612")</f>
        <v>19ME612</v>
      </c>
      <c r="E45" s="2"/>
      <c r="F45" s="2" t="str">
        <f>IFERROR(__xludf.DUMMYFUNCTION("""COMPUTED_VALUE"""),"NPTEL")</f>
        <v>NPTEL</v>
      </c>
      <c r="G45" s="3" t="str">
        <f>IFERROR(__xludf.DUMMYFUNCTION("""COMPUTED_VALUE"""),"Basics of Digital Marketing (NPTEL)")</f>
        <v>Basics of Digital Marketing (NPTEL)</v>
      </c>
      <c r="H45" s="2" t="str">
        <f>IFERROR(__xludf.DUMMYFUNCTION("""COMPUTED_VALUE"""),"12 Weeks")</f>
        <v>12 Weeks</v>
      </c>
      <c r="I45" s="2"/>
      <c r="J45" s="2"/>
      <c r="K45" s="2"/>
      <c r="L45" s="2" t="str">
        <f>IFERROR(__xludf.DUMMYFUNCTION("""COMPUTED_VALUE"""),"CGPA ")</f>
        <v>CGPA </v>
      </c>
      <c r="M45" s="2" t="str">
        <f>IFERROR(__xludf.DUMMYFUNCTION("""COMPUTED_VALUE"""),"Experiential Learning (Int and Grade from Certificate)")</f>
        <v>Experiential Learning (Int and Grade from Certificate)</v>
      </c>
      <c r="N45" s="2">
        <f>IFERROR(__xludf.DUMMYFUNCTION("""COMPUTED_VALUE"""),3)</f>
        <v>3</v>
      </c>
      <c r="O45" s="2">
        <f>IFERROR(__xludf.DUMMYFUNCTION("""COMPUTED_VALUE"""),3)</f>
        <v>3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0.75" customHeight="1" spans="1:26">
      <c r="A46" s="2">
        <f>IFERROR(__xludf.DUMMYFUNCTION("""COMPUTED_VALUE"""),45)</f>
        <v>45</v>
      </c>
      <c r="B46" s="2" t="str">
        <f>IFERROR(__xludf.DUMMYFUNCTION("""COMPUTED_VALUE"""),"Mechanical")</f>
        <v>Mechanical</v>
      </c>
      <c r="C46" s="2" t="str">
        <f>IFERROR(__xludf.DUMMYFUNCTION("""COMPUTED_VALUE"""),"ME0625")</f>
        <v>ME0625</v>
      </c>
      <c r="D46" s="2" t="str">
        <f>IFERROR(__xludf.DUMMYFUNCTION("""COMPUTED_VALUE"""),"19ME625")</f>
        <v>19ME625</v>
      </c>
      <c r="E46" s="2"/>
      <c r="F46" s="2" t="str">
        <f>IFERROR(__xludf.DUMMYFUNCTION("""COMPUTED_VALUE"""),"NPTEL (IIT Kanpur)")</f>
        <v>NPTEL (IIT Kanpur)</v>
      </c>
      <c r="G46" s="3" t="str">
        <f>IFERROR(__xludf.DUMMYFUNCTION("""COMPUTED_VALUE"""),"Basics of Mechanical Engineering - 1")</f>
        <v>Basics of Mechanical Engineering - 1</v>
      </c>
      <c r="H46" s="4" t="str">
        <f>IFERROR(__xludf.DUMMYFUNCTION("""COMPUTED_VALUE"""),"12 weeks")</f>
        <v>12 weeks</v>
      </c>
      <c r="I46" s="4">
        <f>IFERROR(__xludf.DUMMYFUNCTION("""COMPUTED_VALUE"""),45224)</f>
        <v>45224</v>
      </c>
      <c r="J46" s="2" t="str">
        <f>IFERROR(__xludf.DUMMYFUNCTION("""COMPUTED_VALUE"""),"30/75")</f>
        <v>30/75</v>
      </c>
      <c r="K46" s="2" t="str">
        <f>IFERROR(__xludf.DUMMYFUNCTION("""COMPUTED_VALUE"""),"40/100")</f>
        <v>40/100</v>
      </c>
      <c r="L46" s="2" t="str">
        <f>IFERROR(__xludf.DUMMYFUNCTION("""COMPUTED_VALUE"""),"CGPA ")</f>
        <v>CGPA </v>
      </c>
      <c r="M46" s="2" t="str">
        <f>IFERROR(__xludf.DUMMYFUNCTION("""COMPUTED_VALUE"""),"Experiential Learning (Int and Grade from Certificate)")</f>
        <v>Experiential Learning (Int and Grade from Certificate)</v>
      </c>
      <c r="N46" s="2">
        <f>IFERROR(__xludf.DUMMYFUNCTION("""COMPUTED_VALUE"""),3)</f>
        <v>3</v>
      </c>
      <c r="O46" s="2">
        <f>IFERROR(__xludf.DUMMYFUNCTION("""COMPUTED_VALUE"""),3)</f>
        <v>3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30.75" customHeight="1" spans="1:26">
      <c r="A47" s="2">
        <f>IFERROR(__xludf.DUMMYFUNCTION("""COMPUTED_VALUE"""),46)</f>
        <v>46</v>
      </c>
      <c r="B47" s="2" t="str">
        <f>IFERROR(__xludf.DUMMYFUNCTION("""COMPUTED_VALUE"""),"EEE, MECH")</f>
        <v>EEE, MECH</v>
      </c>
      <c r="C47" s="2" t="str">
        <f>IFERROR(__xludf.DUMMYFUNCTION("""COMPUTED_VALUE"""),"EC2617")</f>
        <v>EC2617</v>
      </c>
      <c r="D47" s="2" t="str">
        <f>IFERROR(__xludf.DUMMYFUNCTION("""COMPUTED_VALUE"""),"19EE617")</f>
        <v>19EE617</v>
      </c>
      <c r="E47" s="2"/>
      <c r="F47" s="2" t="str">
        <f>IFERROR(__xludf.DUMMYFUNCTION("""COMPUTED_VALUE"""),"NPTEL")</f>
        <v>NPTEL</v>
      </c>
      <c r="G47" s="3" t="str">
        <f>IFERROR(__xludf.DUMMYFUNCTION("""COMPUTED_VALUE"""),"Behavioral and Personal Finance (NPTEL)")</f>
        <v>Behavioral and Personal Finance (NPTEL)</v>
      </c>
      <c r="H47" s="2" t="str">
        <f>IFERROR(__xludf.DUMMYFUNCTION("""COMPUTED_VALUE"""),"8 Weeks")</f>
        <v>8 Weeks</v>
      </c>
      <c r="I47" s="2"/>
      <c r="J47" s="2"/>
      <c r="K47" s="2"/>
      <c r="L47" s="2" t="str">
        <f>IFERROR(__xludf.DUMMYFUNCTION("""COMPUTED_VALUE"""),"CGPA ")</f>
        <v>CGPA </v>
      </c>
      <c r="M47" s="2" t="str">
        <f>IFERROR(__xludf.DUMMYFUNCTION("""COMPUTED_VALUE"""),"Experiential Learning (Int and Grade from Certificate)")</f>
        <v>Experiential Learning (Int and Grade from Certificate)</v>
      </c>
      <c r="N47" s="2">
        <f>IFERROR(__xludf.DUMMYFUNCTION("""COMPUTED_VALUE"""),2)</f>
        <v>2</v>
      </c>
      <c r="O47" s="2">
        <f>IFERROR(__xludf.DUMMYFUNCTION("""COMPUTED_VALUE"""),2)</f>
        <v>2</v>
      </c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30.75" customHeight="1" spans="1:26">
      <c r="A48" s="2">
        <f>IFERROR(__xludf.DUMMYFUNCTION("""COMPUTED_VALUE"""),47)</f>
        <v>47</v>
      </c>
      <c r="B48" s="2" t="str">
        <f>IFERROR(__xludf.DUMMYFUNCTION("""COMPUTED_VALUE"""),"SCoFT")</f>
        <v>SCoFT</v>
      </c>
      <c r="C48" s="2" t="str">
        <f>IFERROR(__xludf.DUMMYFUNCTION("""COMPUTED_VALUE"""),"CS3010")</f>
        <v>CS3010</v>
      </c>
      <c r="D48" s="2" t="str">
        <f>IFERROR(__xludf.DUMMYFUNCTION("""COMPUTED_VALUE"""),"19AI010")</f>
        <v>19AI010</v>
      </c>
      <c r="E48" s="2"/>
      <c r="F48" s="2" t="str">
        <f>IFERROR(__xludf.DUMMYFUNCTION("""COMPUTED_VALUE"""),"NPTEL")</f>
        <v>NPTEL</v>
      </c>
      <c r="G48" s="3" t="str">
        <f>IFERROR(__xludf.DUMMYFUNCTION("""COMPUTED_VALUE"""),"Big Data Computing (NPTEL)")</f>
        <v>Big Data Computing (NPTEL)</v>
      </c>
      <c r="H48" s="2" t="str">
        <f>IFERROR(__xludf.DUMMYFUNCTION("""COMPUTED_VALUE"""),"8 Weeks")</f>
        <v>8 Weeks</v>
      </c>
      <c r="I48" s="2"/>
      <c r="J48" s="2"/>
      <c r="K48" s="2"/>
      <c r="L48" s="2" t="str">
        <f>IFERROR(__xludf.DUMMYFUNCTION("""COMPUTED_VALUE"""),"CGPA ")</f>
        <v>CGPA </v>
      </c>
      <c r="M48" s="2" t="str">
        <f>IFERROR(__xludf.DUMMYFUNCTION("""COMPUTED_VALUE"""),"Experiential Learning (Int and Grade from Certificate)")</f>
        <v>Experiential Learning (Int and Grade from Certificate)</v>
      </c>
      <c r="N48" s="2">
        <f>IFERROR(__xludf.DUMMYFUNCTION("""COMPUTED_VALUE"""),2)</f>
        <v>2</v>
      </c>
      <c r="O48" s="2">
        <f>IFERROR(__xludf.DUMMYFUNCTION("""COMPUTED_VALUE"""),2)</f>
        <v>2</v>
      </c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0.75" customHeight="1" spans="1:26">
      <c r="A49" s="2">
        <f>IFERROR(__xludf.DUMMYFUNCTION("""COMPUTED_VALUE"""),48)</f>
        <v>48</v>
      </c>
      <c r="B49" s="2" t="str">
        <f>IFERROR(__xludf.DUMMYFUNCTION("""COMPUTED_VALUE"""),"BME, MED ELEC")</f>
        <v>BME, MED ELEC</v>
      </c>
      <c r="C49" s="2" t="str">
        <f>IFERROR(__xludf.DUMMYFUNCTION("""COMPUTED_VALUE"""),"EC4629")</f>
        <v>EC4629</v>
      </c>
      <c r="D49" s="2" t="str">
        <f>IFERROR(__xludf.DUMMYFUNCTION("""COMPUTED_VALUE"""),"19BM629")</f>
        <v>19BM629</v>
      </c>
      <c r="E49" s="2"/>
      <c r="F49" s="2" t="str">
        <f>IFERROR(__xludf.DUMMYFUNCTION("""COMPUTED_VALUE"""),"NPTEL")</f>
        <v>NPTEL</v>
      </c>
      <c r="G49" s="3" t="str">
        <f>IFERROR(__xludf.DUMMYFUNCTION("""COMPUTED_VALUE"""),"Bioengineering: An Interface with Biology and Medicine (NPTEL)")</f>
        <v>Bioengineering: An Interface with Biology and Medicine (NPTEL)</v>
      </c>
      <c r="H49" s="2" t="str">
        <f>IFERROR(__xludf.DUMMYFUNCTION("""COMPUTED_VALUE"""),"8 Weeks")</f>
        <v>8 Weeks</v>
      </c>
      <c r="I49" s="2"/>
      <c r="J49" s="2"/>
      <c r="K49" s="2"/>
      <c r="L49" s="2" t="str">
        <f>IFERROR(__xludf.DUMMYFUNCTION("""COMPUTED_VALUE"""),"CGPA")</f>
        <v>CGPA</v>
      </c>
      <c r="M49" s="2" t="str">
        <f>IFERROR(__xludf.DUMMYFUNCTION("""COMPUTED_VALUE"""),"Experiential Learning (Int and Grade from Certificate)")</f>
        <v>Experiential Learning (Int and Grade from Certificate)</v>
      </c>
      <c r="N49" s="2">
        <f>IFERROR(__xludf.DUMMYFUNCTION("""COMPUTED_VALUE"""),2)</f>
        <v>2</v>
      </c>
      <c r="O49" s="2">
        <f>IFERROR(__xludf.DUMMYFUNCTION("""COMPUTED_VALUE"""),2)</f>
        <v>2</v>
      </c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0.75" customHeight="1" spans="1:26">
      <c r="A50" s="2">
        <f>IFERROR(__xludf.DUMMYFUNCTION("""COMPUTED_VALUE"""),49)</f>
        <v>49</v>
      </c>
      <c r="B50" s="2" t="str">
        <f>IFERROR(__xludf.DUMMYFUNCTION("""COMPUTED_VALUE"""),"BME, MED ELEC")</f>
        <v>BME, MED ELEC</v>
      </c>
      <c r="C50" s="2" t="str">
        <f>IFERROR(__xludf.DUMMYFUNCTION("""COMPUTED_VALUE"""),"EC4630")</f>
        <v>EC4630</v>
      </c>
      <c r="D50" s="2" t="str">
        <f>IFERROR(__xludf.DUMMYFUNCTION("""COMPUTED_VALUE"""),"19BM630")</f>
        <v>19BM630</v>
      </c>
      <c r="E50" s="2"/>
      <c r="F50" s="2" t="str">
        <f>IFERROR(__xludf.DUMMYFUNCTION("""COMPUTED_VALUE"""),"NPTEL")</f>
        <v>NPTEL</v>
      </c>
      <c r="G50" s="3" t="str">
        <f>IFERROR(__xludf.DUMMYFUNCTION("""COMPUTED_VALUE"""),"BioInformatics: Algorithms and Applications (NPTEL)")</f>
        <v>BioInformatics: Algorithms and Applications (NPTEL)</v>
      </c>
      <c r="H50" s="2" t="str">
        <f>IFERROR(__xludf.DUMMYFUNCTION("""COMPUTED_VALUE"""),"12 Weeks")</f>
        <v>12 Weeks</v>
      </c>
      <c r="I50" s="2"/>
      <c r="J50" s="2"/>
      <c r="K50" s="2"/>
      <c r="L50" s="2" t="str">
        <f>IFERROR(__xludf.DUMMYFUNCTION("""COMPUTED_VALUE"""),"CGPA")</f>
        <v>CGPA</v>
      </c>
      <c r="M50" s="2" t="str">
        <f>IFERROR(__xludf.DUMMYFUNCTION("""COMPUTED_VALUE"""),"Experiential Learning (Int and Grade from Certificate)")</f>
        <v>Experiential Learning (Int and Grade from Certificate)</v>
      </c>
      <c r="N50" s="2">
        <f>IFERROR(__xludf.DUMMYFUNCTION("""COMPUTED_VALUE"""),3)</f>
        <v>3</v>
      </c>
      <c r="O50" s="2">
        <f>IFERROR(__xludf.DUMMYFUNCTION("""COMPUTED_VALUE"""),3)</f>
        <v>3</v>
      </c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30.75" customHeight="1" spans="1:26">
      <c r="A51" s="2">
        <f>IFERROR(__xludf.DUMMYFUNCTION("""COMPUTED_VALUE"""),50)</f>
        <v>50</v>
      </c>
      <c r="B51" s="2" t="str">
        <f>IFERROR(__xludf.DUMMYFUNCTION("""COMPUTED_VALUE"""),"CHEMICAL")</f>
        <v>CHEMICAL</v>
      </c>
      <c r="C51" s="2" t="str">
        <f>IFERROR(__xludf.DUMMYFUNCTION("""COMPUTED_VALUE"""),"CH0619")</f>
        <v>CH0619</v>
      </c>
      <c r="D51" s="2" t="str">
        <f>IFERROR(__xludf.DUMMYFUNCTION("""COMPUTED_VALUE"""),"19CH619")</f>
        <v>19CH619</v>
      </c>
      <c r="E51" s="2"/>
      <c r="F51" s="2" t="str">
        <f>IFERROR(__xludf.DUMMYFUNCTION("""COMPUTED_VALUE"""),"NPTEL")</f>
        <v>NPTEL</v>
      </c>
      <c r="G51" s="3" t="str">
        <f>IFERROR(__xludf.DUMMYFUNCTION("""COMPUTED_VALUE"""),"Biological Process Design for Wastewater Treatment (NPTEL)")</f>
        <v>Biological Process Design for Wastewater Treatment (NPTEL)</v>
      </c>
      <c r="H51" s="2" t="str">
        <f>IFERROR(__xludf.DUMMYFUNCTION("""COMPUTED_VALUE"""),"8 Weeks")</f>
        <v>8 Weeks</v>
      </c>
      <c r="I51" s="2"/>
      <c r="J51" s="2"/>
      <c r="K51" s="2"/>
      <c r="L51" s="2" t="str">
        <f>IFERROR(__xludf.DUMMYFUNCTION("""COMPUTED_VALUE"""),"CGPA ")</f>
        <v>CGPA </v>
      </c>
      <c r="M51" s="2" t="str">
        <f>IFERROR(__xludf.DUMMYFUNCTION("""COMPUTED_VALUE"""),"Experiential Learning (Int and Grade from Certificate)")</f>
        <v>Experiential Learning (Int and Grade from Certificate)</v>
      </c>
      <c r="N51" s="2">
        <f>IFERROR(__xludf.DUMMYFUNCTION("""COMPUTED_VALUE"""),2)</f>
        <v>2</v>
      </c>
      <c r="O51" s="2">
        <f>IFERROR(__xludf.DUMMYFUNCTION("""COMPUTED_VALUE"""),2)</f>
        <v>2</v>
      </c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30.75" customHeight="1" spans="1:26">
      <c r="A52" s="2">
        <f>IFERROR(__xludf.DUMMYFUNCTION("""COMPUTED_VALUE"""),51)</f>
        <v>51</v>
      </c>
      <c r="B52" s="2" t="str">
        <f>IFERROR(__xludf.DUMMYFUNCTION("""COMPUTED_VALUE"""),"CHEMICAL,EEE")</f>
        <v>CHEMICAL,EEE</v>
      </c>
      <c r="C52" s="2" t="str">
        <f>IFERROR(__xludf.DUMMYFUNCTION("""COMPUTED_VALUE"""),"CH0603")</f>
        <v>CH0603</v>
      </c>
      <c r="D52" s="2" t="str">
        <f>IFERROR(__xludf.DUMMYFUNCTION("""COMPUTED_VALUE"""),"19CH603")</f>
        <v>19CH603</v>
      </c>
      <c r="E52" s="2"/>
      <c r="F52" s="2" t="str">
        <f>IFERROR(__xludf.DUMMYFUNCTION("""COMPUTED_VALUE"""),"NPTEL (IIT Guwahati)")</f>
        <v>NPTEL (IIT Guwahati)</v>
      </c>
      <c r="G52" s="3" t="str">
        <f>IFERROR(__xludf.DUMMYFUNCTION("""COMPUTED_VALUE"""),"Biomass Conversion and Biorefinery (NPTEL)")</f>
        <v>Biomass Conversion and Biorefinery (NPTEL)</v>
      </c>
      <c r="H52" s="2" t="str">
        <f>IFERROR(__xludf.DUMMYFUNCTION("""COMPUTED_VALUE"""),"12 Weeks")</f>
        <v>12 Weeks</v>
      </c>
      <c r="I52" s="4">
        <f>IFERROR(__xludf.DUMMYFUNCTION("""COMPUTED_VALUE"""),45224)</f>
        <v>45224</v>
      </c>
      <c r="J52" s="2" t="str">
        <f>IFERROR(__xludf.DUMMYFUNCTION("""COMPUTED_VALUE"""),"30/75")</f>
        <v>30/75</v>
      </c>
      <c r="K52" s="2" t="str">
        <f>IFERROR(__xludf.DUMMYFUNCTION("""COMPUTED_VALUE"""),"40/100")</f>
        <v>40/100</v>
      </c>
      <c r="L52" s="2" t="str">
        <f>IFERROR(__xludf.DUMMYFUNCTION("""COMPUTED_VALUE"""),"CGPA ")</f>
        <v>CGPA </v>
      </c>
      <c r="M52" s="2" t="str">
        <f>IFERROR(__xludf.DUMMYFUNCTION("""COMPUTED_VALUE"""),"Experiential Learning (Int and Grade from Certificate)")</f>
        <v>Experiential Learning (Int and Grade from Certificate)</v>
      </c>
      <c r="N52" s="2">
        <f>IFERROR(__xludf.DUMMYFUNCTION("""COMPUTED_VALUE"""),2)</f>
        <v>2</v>
      </c>
      <c r="O52" s="2">
        <f>IFERROR(__xludf.DUMMYFUNCTION("""COMPUTED_VALUE"""),3)</f>
        <v>3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30.75" customHeight="1" spans="1:26">
      <c r="A53" s="2">
        <f>IFERROR(__xludf.DUMMYFUNCTION("""COMPUTED_VALUE"""),52)</f>
        <v>52</v>
      </c>
      <c r="B53" s="2" t="str">
        <f>IFERROR(__xludf.DUMMYFUNCTION("""COMPUTED_VALUE"""),"BME, MED ELEC")</f>
        <v>BME, MED ELEC</v>
      </c>
      <c r="C53" s="2" t="str">
        <f>IFERROR(__xludf.DUMMYFUNCTION("""COMPUTED_VALUE"""),"EC4631")</f>
        <v>EC4631</v>
      </c>
      <c r="D53" s="2" t="str">
        <f>IFERROR(__xludf.DUMMYFUNCTION("""COMPUTED_VALUE"""),"19BM631")</f>
        <v>19BM631</v>
      </c>
      <c r="E53" s="2"/>
      <c r="F53" s="2" t="str">
        <f>IFERROR(__xludf.DUMMYFUNCTION("""COMPUTED_VALUE"""),"NPTEL")</f>
        <v>NPTEL</v>
      </c>
      <c r="G53" s="3" t="str">
        <f>IFERROR(__xludf.DUMMYFUNCTION("""COMPUTED_VALUE"""),"Biomechanics (NPTEL)")</f>
        <v>Biomechanics (NPTEL)</v>
      </c>
      <c r="H53" s="2" t="str">
        <f>IFERROR(__xludf.DUMMYFUNCTION("""COMPUTED_VALUE"""),"12 Weeks")</f>
        <v>12 Weeks</v>
      </c>
      <c r="I53" s="2"/>
      <c r="J53" s="2"/>
      <c r="K53" s="2"/>
      <c r="L53" s="2" t="str">
        <f>IFERROR(__xludf.DUMMYFUNCTION("""COMPUTED_VALUE"""),"CGPA")</f>
        <v>CGPA</v>
      </c>
      <c r="M53" s="2" t="str">
        <f>IFERROR(__xludf.DUMMYFUNCTION("""COMPUTED_VALUE"""),"Experiential Learning (Int and Grade from Certificate)")</f>
        <v>Experiential Learning (Int and Grade from Certificate)</v>
      </c>
      <c r="N53" s="2">
        <f>IFERROR(__xludf.DUMMYFUNCTION("""COMPUTED_VALUE"""),3)</f>
        <v>3</v>
      </c>
      <c r="O53" s="2">
        <f>IFERROR(__xludf.DUMMYFUNCTION("""COMPUTED_VALUE"""),3)</f>
        <v>3</v>
      </c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30.75" customHeight="1" spans="1:26">
      <c r="A54" s="2">
        <f>IFERROR(__xludf.DUMMYFUNCTION("""COMPUTED_VALUE"""),53)</f>
        <v>53</v>
      </c>
      <c r="B54" s="2" t="str">
        <f>IFERROR(__xludf.DUMMYFUNCTION("""COMPUTED_VALUE"""),"BME, MED ELEC")</f>
        <v>BME, MED ELEC</v>
      </c>
      <c r="C54" s="2" t="str">
        <f>IFERROR(__xludf.DUMMYFUNCTION("""COMPUTED_VALUE"""),"EC4611")</f>
        <v>EC4611</v>
      </c>
      <c r="D54" s="2" t="str">
        <f>IFERROR(__xludf.DUMMYFUNCTION("""COMPUTED_VALUE"""),"19BM611")</f>
        <v>19BM611</v>
      </c>
      <c r="E54" s="2"/>
      <c r="F54" s="2" t="str">
        <f>IFERROR(__xludf.DUMMYFUNCTION("""COMPUTED_VALUE"""),"NPTEL")</f>
        <v>NPTEL</v>
      </c>
      <c r="G54" s="3" t="str">
        <f>IFERROR(__xludf.DUMMYFUNCTION("""COMPUTED_VALUE"""),"Biophotonics (NPTEL)")</f>
        <v>Biophotonics (NPTEL)</v>
      </c>
      <c r="H54" s="2" t="str">
        <f>IFERROR(__xludf.DUMMYFUNCTION("""COMPUTED_VALUE"""),"12 Weeks")</f>
        <v>12 Weeks</v>
      </c>
      <c r="I54" s="2" t="str">
        <f>IFERROR(__xludf.DUMMYFUNCTION("""COMPUTED_VALUE"""),"10 / 25")</f>
        <v>10 / 25</v>
      </c>
      <c r="J54" s="2" t="str">
        <f>IFERROR(__xludf.DUMMYFUNCTION("""COMPUTED_VALUE"""),"30 / 75")</f>
        <v>30 / 75</v>
      </c>
      <c r="K54" s="2" t="str">
        <f>IFERROR(__xludf.DUMMYFUNCTION("""COMPUTED_VALUE"""),"40 / 100")</f>
        <v>40 / 100</v>
      </c>
      <c r="L54" s="2" t="str">
        <f>IFERROR(__xludf.DUMMYFUNCTION("""COMPUTED_VALUE"""),"CGPA ")</f>
        <v>CGPA </v>
      </c>
      <c r="M54" s="2" t="str">
        <f>IFERROR(__xludf.DUMMYFUNCTION("""COMPUTED_VALUE"""),"Experiential Learning (Int and Grade from Certificate)")</f>
        <v>Experiential Learning (Int and Grade from Certificate)</v>
      </c>
      <c r="N54" s="2">
        <f>IFERROR(__xludf.DUMMYFUNCTION("""COMPUTED_VALUE"""),2)</f>
        <v>2</v>
      </c>
      <c r="O54" s="2">
        <f>IFERROR(__xludf.DUMMYFUNCTION("""COMPUTED_VALUE"""),3)</f>
        <v>3</v>
      </c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30.75" customHeight="1" spans="1:26">
      <c r="A55" s="2">
        <f>IFERROR(__xludf.DUMMYFUNCTION("""COMPUTED_VALUE"""),54)</f>
        <v>54</v>
      </c>
      <c r="B55" s="2" t="str">
        <f>IFERROR(__xludf.DUMMYFUNCTION("""COMPUTED_VALUE"""),"SCoFT")</f>
        <v>SCoFT</v>
      </c>
      <c r="C55" s="2" t="str">
        <f>IFERROR(__xludf.DUMMYFUNCTION("""COMPUTED_VALUE"""),"CS3111")</f>
        <v>CS3111</v>
      </c>
      <c r="D55" s="2" t="str">
        <f>IFERROR(__xludf.DUMMYFUNCTION("""COMPUTED_VALUE"""),"19AI111")</f>
        <v>19AI111</v>
      </c>
      <c r="E55" s="2"/>
      <c r="F55" s="2" t="str">
        <f>IFERROR(__xludf.DUMMYFUNCTION("""COMPUTED_VALUE"""),"COURSERA")</f>
        <v>COURSERA</v>
      </c>
      <c r="G55" s="3" t="str">
        <f>IFERROR(__xludf.DUMMYFUNCTION("""COMPUTED_VALUE"""),"Bitcoin and Cryptocurrency Technologies (Coursera)")</f>
        <v>Bitcoin and Cryptocurrency Technologies (Coursera)</v>
      </c>
      <c r="H55" s="2" t="str">
        <f>IFERROR(__xludf.DUMMYFUNCTION("""COMPUTED_VALUE"""),"7 weeks")</f>
        <v>7 weeks</v>
      </c>
      <c r="I55" s="2"/>
      <c r="J55" s="2"/>
      <c r="K55" s="2"/>
      <c r="L55" s="2" t="str">
        <f>IFERROR(__xludf.DUMMYFUNCTION("""COMPUTED_VALUE"""),"CGPA")</f>
        <v>CGPA</v>
      </c>
      <c r="M55" s="2" t="str">
        <f>IFERROR(__xludf.DUMMYFUNCTION("""COMPUTED_VALUE"""),"Experiential Learning (Int and Grade from Certificate)")</f>
        <v>Experiential Learning (Int and Grade from Certificate)</v>
      </c>
      <c r="N55" s="2">
        <f>IFERROR(__xludf.DUMMYFUNCTION("""COMPUTED_VALUE"""),1)</f>
        <v>1</v>
      </c>
      <c r="O55" s="2">
        <f>IFERROR(__xludf.DUMMYFUNCTION("""COMPUTED_VALUE"""),1)</f>
        <v>1</v>
      </c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30.75" customHeight="1" spans="1:26">
      <c r="A56" s="2">
        <f>IFERROR(__xludf.DUMMYFUNCTION("""COMPUTED_VALUE"""),55)</f>
        <v>55</v>
      </c>
      <c r="B56" s="2" t="str">
        <f>IFERROR(__xludf.DUMMYFUNCTION("""COMPUTED_VALUE"""),"SCoFT")</f>
        <v>SCoFT</v>
      </c>
      <c r="C56" s="2" t="str">
        <f>IFERROR(__xludf.DUMMYFUNCTION("""COMPUTED_VALUE"""),"CS3085")</f>
        <v>CS3085</v>
      </c>
      <c r="D56" s="2" t="str">
        <f>IFERROR(__xludf.DUMMYFUNCTION("""COMPUTED_VALUE"""),"19AI085")</f>
        <v>19AI085</v>
      </c>
      <c r="E56" s="2"/>
      <c r="F56" s="2" t="str">
        <f>IFERROR(__xludf.DUMMYFUNCTION("""COMPUTED_VALUE"""),"COURSERA")</f>
        <v>COURSERA</v>
      </c>
      <c r="G56" s="3" t="str">
        <f>IFERROR(__xludf.DUMMYFUNCTION("""COMPUTED_VALUE"""),"Block Chain Scalability and its Foundation in Distributed Systems (Coursera)")</f>
        <v>Block Chain Scalability and its Foundation in Distributed Systems (Coursera)</v>
      </c>
      <c r="H56" s="2" t="str">
        <f>IFERROR(__xludf.DUMMYFUNCTION("""COMPUTED_VALUE"""),"4 Weeks")</f>
        <v>4 Weeks</v>
      </c>
      <c r="I56" s="2"/>
      <c r="J56" s="2"/>
      <c r="K56" s="2"/>
      <c r="L56" s="2" t="str">
        <f>IFERROR(__xludf.DUMMYFUNCTION("""COMPUTED_VALUE"""),"CGPA")</f>
        <v>CGPA</v>
      </c>
      <c r="M56" s="2" t="str">
        <f>IFERROR(__xludf.DUMMYFUNCTION("""COMPUTED_VALUE"""),"Experiential Learning (Int and Grade from Certificate)")</f>
        <v>Experiential Learning (Int and Grade from Certificate)</v>
      </c>
      <c r="N56" s="2">
        <f>IFERROR(__xludf.DUMMYFUNCTION("""COMPUTED_VALUE"""),1)</f>
        <v>1</v>
      </c>
      <c r="O56" s="2">
        <f>IFERROR(__xludf.DUMMYFUNCTION("""COMPUTED_VALUE"""),1)</f>
        <v>1</v>
      </c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30.75" customHeight="1" spans="1:26">
      <c r="A57" s="2">
        <f>IFERROR(__xludf.DUMMYFUNCTION("""COMPUTED_VALUE"""),56)</f>
        <v>56</v>
      </c>
      <c r="B57" s="2" t="str">
        <f>IFERROR(__xludf.DUMMYFUNCTION("""COMPUTED_VALUE"""),"ECE, SCoFT")</f>
        <v>ECE, SCoFT</v>
      </c>
      <c r="C57" s="2" t="str">
        <f>IFERROR(__xludf.DUMMYFUNCTION("""COMPUTED_VALUE"""),"EC1628")</f>
        <v>EC1628</v>
      </c>
      <c r="D57" s="2" t="str">
        <f>IFERROR(__xludf.DUMMYFUNCTION("""COMPUTED_VALUE"""),"19EC628")</f>
        <v>19EC628</v>
      </c>
      <c r="E57" s="2"/>
      <c r="F57" s="2" t="str">
        <f>IFERROR(__xludf.DUMMYFUNCTION("""COMPUTED_VALUE"""),"NPTEL")</f>
        <v>NPTEL</v>
      </c>
      <c r="G57" s="3" t="str">
        <f>IFERROR(__xludf.DUMMYFUNCTION("""COMPUTED_VALUE"""),"Blockchain and its Applications (NPTEL)")</f>
        <v>Blockchain and its Applications (NPTEL)</v>
      </c>
      <c r="H57" s="2" t="str">
        <f>IFERROR(__xludf.DUMMYFUNCTION("""COMPUTED_VALUE"""),"12 Weeks")</f>
        <v>12 Weeks</v>
      </c>
      <c r="I57" s="2"/>
      <c r="J57" s="2"/>
      <c r="K57" s="2"/>
      <c r="L57" s="2" t="str">
        <f>IFERROR(__xludf.DUMMYFUNCTION("""COMPUTED_VALUE"""),"CGPA ")</f>
        <v>CGPA </v>
      </c>
      <c r="M57" s="2" t="str">
        <f>IFERROR(__xludf.DUMMYFUNCTION("""COMPUTED_VALUE"""),"Experiential Learning (Int and Grade from Certificate)")</f>
        <v>Experiential Learning (Int and Grade from Certificate)</v>
      </c>
      <c r="N57" s="2">
        <f>IFERROR(__xludf.DUMMYFUNCTION("""COMPUTED_VALUE"""),2)</f>
        <v>2</v>
      </c>
      <c r="O57" s="2">
        <f>IFERROR(__xludf.DUMMYFUNCTION("""COMPUTED_VALUE"""),3)</f>
        <v>3</v>
      </c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30.75" customHeight="1" spans="1:26">
      <c r="A58" s="2">
        <f>IFERROR(__xludf.DUMMYFUNCTION("""COMPUTED_VALUE"""),57)</f>
        <v>57</v>
      </c>
      <c r="B58" s="2" t="str">
        <f>IFERROR(__xludf.DUMMYFUNCTION("""COMPUTED_VALUE"""),"ECE")</f>
        <v>ECE</v>
      </c>
      <c r="C58" s="2" t="str">
        <f>IFERROR(__xludf.DUMMYFUNCTION("""COMPUTED_VALUE"""),"EC1626")</f>
        <v>EC1626</v>
      </c>
      <c r="D58" s="2" t="str">
        <f>IFERROR(__xludf.DUMMYFUNCTION("""COMPUTED_VALUE"""),"19EC626")</f>
        <v>19EC626</v>
      </c>
      <c r="E58" s="2"/>
      <c r="F58" s="2" t="str">
        <f>IFERROR(__xludf.DUMMYFUNCTION("""COMPUTED_VALUE"""),"NPTEL")</f>
        <v>NPTEL</v>
      </c>
      <c r="G58" s="3" t="str">
        <f>IFERROR(__xludf.DUMMYFUNCTION("""COMPUTED_VALUE"""),"Business Analytics and Data Mining Modeling using R (NPTEL)")</f>
        <v>Business Analytics and Data Mining Modeling using R (NPTEL)</v>
      </c>
      <c r="H58" s="2" t="str">
        <f>IFERROR(__xludf.DUMMYFUNCTION("""COMPUTED_VALUE"""),"12 Weeks")</f>
        <v>12 Weeks</v>
      </c>
      <c r="I58" s="2"/>
      <c r="J58" s="2"/>
      <c r="K58" s="2"/>
      <c r="L58" s="2" t="str">
        <f>IFERROR(__xludf.DUMMYFUNCTION("""COMPUTED_VALUE"""),"CGPA ")</f>
        <v>CGPA </v>
      </c>
      <c r="M58" s="2" t="str">
        <f>IFERROR(__xludf.DUMMYFUNCTION("""COMPUTED_VALUE"""),"Experiential Learning (Int and Grade from Certificate)")</f>
        <v>Experiential Learning (Int and Grade from Certificate)</v>
      </c>
      <c r="N58" s="2">
        <f>IFERROR(__xludf.DUMMYFUNCTION("""COMPUTED_VALUE"""),2)</f>
        <v>2</v>
      </c>
      <c r="O58" s="2">
        <f>IFERROR(__xludf.DUMMYFUNCTION("""COMPUTED_VALUE"""),3)</f>
        <v>3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30.75" customHeight="1" spans="1:26">
      <c r="A59" s="2">
        <f>IFERROR(__xludf.DUMMYFUNCTION("""COMPUTED_VALUE"""),58)</f>
        <v>58</v>
      </c>
      <c r="B59" s="2" t="str">
        <f>IFERROR(__xludf.DUMMYFUNCTION("""COMPUTED_VALUE"""),"BME, MED ELEC")</f>
        <v>BME, MED ELEC</v>
      </c>
      <c r="C59" s="2" t="str">
        <f>IFERROR(__xludf.DUMMYFUNCTION("""COMPUTED_VALUE"""),"EC4632")</f>
        <v>EC4632</v>
      </c>
      <c r="D59" s="2" t="str">
        <f>IFERROR(__xludf.DUMMYFUNCTION("""COMPUTED_VALUE"""),"19BM632")</f>
        <v>19BM632</v>
      </c>
      <c r="E59" s="2"/>
      <c r="F59" s="2" t="str">
        <f>IFERROR(__xludf.DUMMYFUNCTION("""COMPUTED_VALUE"""),"NPTEL")</f>
        <v>NPTEL</v>
      </c>
      <c r="G59" s="3" t="str">
        <f>IFERROR(__xludf.DUMMYFUNCTION("""COMPUTED_VALUE"""),"Business Development: From Start to Scale (NPTEL)")</f>
        <v>Business Development: From Start to Scale (NPTEL)</v>
      </c>
      <c r="H59" s="2" t="str">
        <f>IFERROR(__xludf.DUMMYFUNCTION("""COMPUTED_VALUE"""),"12 Weeks")</f>
        <v>12 Weeks</v>
      </c>
      <c r="I59" s="2"/>
      <c r="J59" s="2"/>
      <c r="K59" s="2"/>
      <c r="L59" s="2" t="str">
        <f>IFERROR(__xludf.DUMMYFUNCTION("""COMPUTED_VALUE"""),"CGPA")</f>
        <v>CGPA</v>
      </c>
      <c r="M59" s="2" t="str">
        <f>IFERROR(__xludf.DUMMYFUNCTION("""COMPUTED_VALUE"""),"Experiential Learning (Int and Grade from Certificate)")</f>
        <v>Experiential Learning (Int and Grade from Certificate)</v>
      </c>
      <c r="N59" s="2">
        <f>IFERROR(__xludf.DUMMYFUNCTION("""COMPUTED_VALUE"""),3)</f>
        <v>3</v>
      </c>
      <c r="O59" s="2">
        <f>IFERROR(__xludf.DUMMYFUNCTION("""COMPUTED_VALUE"""),3)</f>
        <v>3</v>
      </c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30.75" customHeight="1" spans="1:26">
      <c r="A60" s="2">
        <f>IFERROR(__xludf.DUMMYFUNCTION("""COMPUTED_VALUE"""),59)</f>
        <v>59</v>
      </c>
      <c r="B60" s="2" t="str">
        <f>IFERROR(__xludf.DUMMYFUNCTION("""COMPUTED_VALUE"""),"EEE")</f>
        <v>EEE</v>
      </c>
      <c r="C60" s="2" t="str">
        <f>IFERROR(__xludf.DUMMYFUNCTION("""COMPUTED_VALUE"""),"EC2618")</f>
        <v>EC2618</v>
      </c>
      <c r="D60" s="2" t="str">
        <f>IFERROR(__xludf.DUMMYFUNCTION("""COMPUTED_VALUE"""),"19EE618")</f>
        <v>19EE618</v>
      </c>
      <c r="E60" s="2"/>
      <c r="F60" s="2" t="str">
        <f>IFERROR(__xludf.DUMMYFUNCTION("""COMPUTED_VALUE"""),"NPTEL")</f>
        <v>NPTEL</v>
      </c>
      <c r="G60" s="3" t="str">
        <f>IFERROR(__xludf.DUMMYFUNCTION("""COMPUTED_VALUE"""),"Business Law for Managers (NPTEL)")</f>
        <v>Business Law for Managers (NPTEL)</v>
      </c>
      <c r="H60" s="2" t="str">
        <f>IFERROR(__xludf.DUMMYFUNCTION("""COMPUTED_VALUE"""),"8 Weeks")</f>
        <v>8 Weeks</v>
      </c>
      <c r="I60" s="2"/>
      <c r="J60" s="2"/>
      <c r="K60" s="2"/>
      <c r="L60" s="2" t="str">
        <f>IFERROR(__xludf.DUMMYFUNCTION("""COMPUTED_VALUE"""),"CGPA ")</f>
        <v>CGPA </v>
      </c>
      <c r="M60" s="2" t="str">
        <f>IFERROR(__xludf.DUMMYFUNCTION("""COMPUTED_VALUE"""),"Experiential Learning (Int and Grade from Certificate)")</f>
        <v>Experiential Learning (Int and Grade from Certificate)</v>
      </c>
      <c r="N60" s="2">
        <f>IFERROR(__xludf.DUMMYFUNCTION("""COMPUTED_VALUE"""),2)</f>
        <v>2</v>
      </c>
      <c r="O60" s="2">
        <f>IFERROR(__xludf.DUMMYFUNCTION("""COMPUTED_VALUE"""),2)</f>
        <v>2</v>
      </c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30.75" customHeight="1" spans="1:26">
      <c r="A61" s="2">
        <f>IFERROR(__xludf.DUMMYFUNCTION("""COMPUTED_VALUE"""),60)</f>
        <v>60</v>
      </c>
      <c r="B61" s="2" t="str">
        <f>IFERROR(__xludf.DUMMYFUNCTION("""COMPUTED_VALUE"""),"MECH")</f>
        <v>MECH</v>
      </c>
      <c r="C61" s="2" t="str">
        <f>IFERROR(__xludf.DUMMYFUNCTION("""COMPUTED_VALUE"""),"ME0613")</f>
        <v>ME0613</v>
      </c>
      <c r="D61" s="2" t="str">
        <f>IFERROR(__xludf.DUMMYFUNCTION("""COMPUTED_VALUE"""),"19ME613")</f>
        <v>19ME613</v>
      </c>
      <c r="E61" s="2"/>
      <c r="F61" s="2" t="str">
        <f>IFERROR(__xludf.DUMMYFUNCTION("""COMPUTED_VALUE"""),"NPTEL")</f>
        <v>NPTEL</v>
      </c>
      <c r="G61" s="3" t="str">
        <f>IFERROR(__xludf.DUMMYFUNCTION("""COMPUTED_VALUE"""),"Business Planning and Project Management (NPTEL)")</f>
        <v>Business Planning and Project Management (NPTEL)</v>
      </c>
      <c r="H61" s="2" t="str">
        <f>IFERROR(__xludf.DUMMYFUNCTION("""COMPUTED_VALUE"""),"12 Weeks")</f>
        <v>12 Weeks</v>
      </c>
      <c r="I61" s="2"/>
      <c r="J61" s="2"/>
      <c r="K61" s="2"/>
      <c r="L61" s="2" t="str">
        <f>IFERROR(__xludf.DUMMYFUNCTION("""COMPUTED_VALUE"""),"CGPA ")</f>
        <v>CGPA </v>
      </c>
      <c r="M61" s="2" t="str">
        <f>IFERROR(__xludf.DUMMYFUNCTION("""COMPUTED_VALUE"""),"Experiential Learning (Int and Grade from Certificate)")</f>
        <v>Experiential Learning (Int and Grade from Certificate)</v>
      </c>
      <c r="N61" s="2">
        <f>IFERROR(__xludf.DUMMYFUNCTION("""COMPUTED_VALUE"""),3)</f>
        <v>3</v>
      </c>
      <c r="O61" s="2">
        <f>IFERROR(__xludf.DUMMYFUNCTION("""COMPUTED_VALUE"""),3)</f>
        <v>3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30.75" customHeight="1" spans="1:26">
      <c r="A62" s="2">
        <f>IFERROR(__xludf.DUMMYFUNCTION("""COMPUTED_VALUE"""),61)</f>
        <v>61</v>
      </c>
      <c r="B62" s="2" t="str">
        <f>IFERROR(__xludf.DUMMYFUNCTION("""COMPUTED_VALUE"""),"SCoFT")</f>
        <v>SCoFT</v>
      </c>
      <c r="C62" s="2" t="str">
        <f>IFERROR(__xludf.DUMMYFUNCTION("""COMPUTED_VALUE"""),"CS3011")</f>
        <v>CS3011</v>
      </c>
      <c r="D62" s="2" t="str">
        <f>IFERROR(__xludf.DUMMYFUNCTION("""COMPUTED_VALUE"""),"19AI011")</f>
        <v>19AI011</v>
      </c>
      <c r="E62" s="2"/>
      <c r="F62" s="2" t="str">
        <f>IFERROR(__xludf.DUMMYFUNCTION("""COMPUTED_VALUE"""),"NPTEL")</f>
        <v>NPTEL</v>
      </c>
      <c r="G62" s="3" t="str">
        <f>IFERROR(__xludf.DUMMYFUNCTION("""COMPUTED_VALUE"""),"C Programming and Assembly Language (NPTEL)")</f>
        <v>C Programming and Assembly Language (NPTEL)</v>
      </c>
      <c r="H62" s="2" t="str">
        <f>IFERROR(__xludf.DUMMYFUNCTION("""COMPUTED_VALUE"""),"4 Weeks")</f>
        <v>4 Weeks</v>
      </c>
      <c r="I62" s="2"/>
      <c r="J62" s="2"/>
      <c r="K62" s="2"/>
      <c r="L62" s="2" t="str">
        <f>IFERROR(__xludf.DUMMYFUNCTION("""COMPUTED_VALUE"""),"CGPA ")</f>
        <v>CGPA </v>
      </c>
      <c r="M62" s="2" t="str">
        <f>IFERROR(__xludf.DUMMYFUNCTION("""COMPUTED_VALUE"""),"Experiential Learning (Int and Grade from Certificate)")</f>
        <v>Experiential Learning (Int and Grade from Certificate)</v>
      </c>
      <c r="N62" s="2">
        <f>IFERROR(__xludf.DUMMYFUNCTION("""COMPUTED_VALUE"""),1)</f>
        <v>1</v>
      </c>
      <c r="O62" s="2">
        <f>IFERROR(__xludf.DUMMYFUNCTION("""COMPUTED_VALUE"""),1)</f>
        <v>1</v>
      </c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30.75" customHeight="1" spans="1:26">
      <c r="A63" s="2">
        <f>IFERROR(__xludf.DUMMYFUNCTION("""COMPUTED_VALUE"""),62)</f>
        <v>62</v>
      </c>
      <c r="B63" s="2" t="str">
        <f>IFERROR(__xludf.DUMMYFUNCTION("""COMPUTED_VALUE"""),"ECE, SCoFT")</f>
        <v>ECE, SCoFT</v>
      </c>
      <c r="C63" s="2" t="str">
        <f>IFERROR(__xludf.DUMMYFUNCTION("""COMPUTED_VALUE"""),"EC1648")</f>
        <v>EC1648</v>
      </c>
      <c r="D63" s="2" t="str">
        <f>IFERROR(__xludf.DUMMYFUNCTION("""COMPUTED_VALUE"""),"19EC648")</f>
        <v>19EC648</v>
      </c>
      <c r="E63" s="2"/>
      <c r="F63" s="2" t="str">
        <f>IFERROR(__xludf.DUMMYFUNCTION("""COMPUTED_VALUE"""),"NPTEL")</f>
        <v>NPTEL</v>
      </c>
      <c r="G63" s="3" t="str">
        <f>IFERROR(__xludf.DUMMYFUNCTION("""COMPUTED_VALUE"""),"C-Based VLSI Design (NPTEL)")</f>
        <v>C-Based VLSI Design (NPTEL)</v>
      </c>
      <c r="H63" s="2" t="str">
        <f>IFERROR(__xludf.DUMMYFUNCTION("""COMPUTED_VALUE"""),"12 Weeks")</f>
        <v>12 Weeks</v>
      </c>
      <c r="I63" s="2"/>
      <c r="J63" s="2"/>
      <c r="K63" s="2"/>
      <c r="L63" s="2" t="str">
        <f>IFERROR(__xludf.DUMMYFUNCTION("""COMPUTED_VALUE"""),"CGPA")</f>
        <v>CGPA</v>
      </c>
      <c r="M63" s="2" t="str">
        <f>IFERROR(__xludf.DUMMYFUNCTION("""COMPUTED_VALUE"""),"Experiential Learning (Int and Grade from Certificate)")</f>
        <v>Experiential Learning (Int and Grade from Certificate)</v>
      </c>
      <c r="N63" s="2">
        <f>IFERROR(__xludf.DUMMYFUNCTION("""COMPUTED_VALUE"""),3)</f>
        <v>3</v>
      </c>
      <c r="O63" s="2">
        <f>IFERROR(__xludf.DUMMYFUNCTION("""COMPUTED_VALUE"""),3)</f>
        <v>3</v>
      </c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30.75" customHeight="1" spans="1:26">
      <c r="A64" s="2">
        <f>IFERROR(__xludf.DUMMYFUNCTION("""COMPUTED_VALUE"""),63)</f>
        <v>63</v>
      </c>
      <c r="B64" s="2" t="str">
        <f>IFERROR(__xludf.DUMMYFUNCTION("""COMPUTED_VALUE"""),"Mechanical")</f>
        <v>Mechanical</v>
      </c>
      <c r="C64" s="2" t="str">
        <f>IFERROR(__xludf.DUMMYFUNCTION("""COMPUTED_VALUE"""),"ME0619")</f>
        <v>ME0619</v>
      </c>
      <c r="D64" s="2" t="str">
        <f>IFERROR(__xludf.DUMMYFUNCTION("""COMPUTED_VALUE"""),"19ME619")</f>
        <v>19ME619</v>
      </c>
      <c r="E64" s="2"/>
      <c r="F64" s="2" t="str">
        <f>IFERROR(__xludf.DUMMYFUNCTION("""COMPUTED_VALUE"""),"NPTEL (IIT Kanpur)")</f>
        <v>NPTEL (IIT Kanpur)</v>
      </c>
      <c r="G64" s="3" t="str">
        <f>IFERROR(__xludf.DUMMYFUNCTION("""COMPUTED_VALUE"""),"Carbon Accounting and Sustainable Designs in Product Lifecycle Management")</f>
        <v>Carbon Accounting and Sustainable Designs in Product Lifecycle Management</v>
      </c>
      <c r="H64" s="4" t="str">
        <f>IFERROR(__xludf.DUMMYFUNCTION("""COMPUTED_VALUE"""),"12 weeks")</f>
        <v>12 weeks</v>
      </c>
      <c r="I64" s="4">
        <f>IFERROR(__xludf.DUMMYFUNCTION("""COMPUTED_VALUE"""),45224)</f>
        <v>45224</v>
      </c>
      <c r="J64" s="2" t="str">
        <f>IFERROR(__xludf.DUMMYFUNCTION("""COMPUTED_VALUE"""),"30/75")</f>
        <v>30/75</v>
      </c>
      <c r="K64" s="2" t="str">
        <f>IFERROR(__xludf.DUMMYFUNCTION("""COMPUTED_VALUE"""),"40/100")</f>
        <v>40/100</v>
      </c>
      <c r="L64" s="2" t="str">
        <f>IFERROR(__xludf.DUMMYFUNCTION("""COMPUTED_VALUE"""),"CGPA ")</f>
        <v>CGPA </v>
      </c>
      <c r="M64" s="2" t="str">
        <f>IFERROR(__xludf.DUMMYFUNCTION("""COMPUTED_VALUE"""),"Experiential Learning (Int and Grade from Certificate)")</f>
        <v>Experiential Learning (Int and Grade from Certificate)</v>
      </c>
      <c r="N64" s="2">
        <f>IFERROR(__xludf.DUMMYFUNCTION("""COMPUTED_VALUE"""),3)</f>
        <v>3</v>
      </c>
      <c r="O64" s="2">
        <f>IFERROR(__xludf.DUMMYFUNCTION("""COMPUTED_VALUE"""),3)</f>
        <v>3</v>
      </c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30.75" customHeight="1" spans="1:26">
      <c r="A65" s="2">
        <f>IFERROR(__xludf.DUMMYFUNCTION("""COMPUTED_VALUE"""),64)</f>
        <v>64</v>
      </c>
      <c r="B65" s="2" t="str">
        <f>IFERROR(__xludf.DUMMYFUNCTION("""COMPUTED_VALUE"""),"SCoFT")</f>
        <v>SCoFT</v>
      </c>
      <c r="C65" s="2" t="str">
        <f>IFERROR(__xludf.DUMMYFUNCTION("""COMPUTED_VALUE"""),"CS3155")</f>
        <v>CS3155</v>
      </c>
      <c r="D65" s="2" t="str">
        <f>IFERROR(__xludf.DUMMYFUNCTION("""COMPUTED_VALUE"""),"19AI155")</f>
        <v>19AI155</v>
      </c>
      <c r="E65" s="2"/>
      <c r="F65" s="2" t="str">
        <f>IFERROR(__xludf.DUMMYFUNCTION("""COMPUTED_VALUE"""),"CISCO (350-401 ENCOR)
")</f>
        <v>CISCO (350-401 ENCOR)
</v>
      </c>
      <c r="G65" s="3" t="str">
        <f>IFERROR(__xludf.DUMMYFUNCTION("""COMPUTED_VALUE"""),"CCIE Enterprise Infrastructure (CISCO)")</f>
        <v>CCIE Enterprise Infrastructure (CISCO)</v>
      </c>
      <c r="H65" s="2" t="str">
        <f>IFERROR(__xludf.DUMMYFUNCTION("""COMPUTED_VALUE"""),"8 Weeks")</f>
        <v>8 Weeks</v>
      </c>
      <c r="I65" s="2"/>
      <c r="J65" s="2"/>
      <c r="K65" s="2"/>
      <c r="L65" s="2" t="str">
        <f>IFERROR(__xludf.DUMMYFUNCTION("""COMPUTED_VALUE"""),"CGPA")</f>
        <v>CGPA</v>
      </c>
      <c r="M65" s="2" t="str">
        <f>IFERROR(__xludf.DUMMYFUNCTION("""COMPUTED_VALUE"""),"Experiential Learning (Int and Grade from Certificate)")</f>
        <v>Experiential Learning (Int and Grade from Certificate)</v>
      </c>
      <c r="N65" s="2">
        <f>IFERROR(__xludf.DUMMYFUNCTION("""COMPUTED_VALUE"""),2)</f>
        <v>2</v>
      </c>
      <c r="O65" s="2">
        <f>IFERROR(__xludf.DUMMYFUNCTION("""COMPUTED_VALUE"""),2)</f>
        <v>2</v>
      </c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30.75" customHeight="1" spans="1:26">
      <c r="A66" s="2">
        <f>IFERROR(__xludf.DUMMYFUNCTION("""COMPUTED_VALUE"""),65)</f>
        <v>65</v>
      </c>
      <c r="B66" s="2" t="str">
        <f>IFERROR(__xludf.DUMMYFUNCTION("""COMPUTED_VALUE"""),"SCoFT")</f>
        <v>SCoFT</v>
      </c>
      <c r="C66" s="2" t="str">
        <f>IFERROR(__xludf.DUMMYFUNCTION("""COMPUTED_VALUE"""),"CS3152")</f>
        <v>CS3152</v>
      </c>
      <c r="D66" s="2" t="str">
        <f>IFERROR(__xludf.DUMMYFUNCTION("""COMPUTED_VALUE"""),"19AI152")</f>
        <v>19AI152</v>
      </c>
      <c r="E66" s="2"/>
      <c r="F66" s="2" t="str">
        <f>IFERROR(__xludf.DUMMYFUNCTION("""COMPUTED_VALUE"""),"CISCO(300-610 DCID)
")</f>
        <v>CISCO(300-610 DCID)
</v>
      </c>
      <c r="G66" s="3" t="str">
        <f>IFERROR(__xludf.DUMMYFUNCTION("""COMPUTED_VALUE"""),"CCNP Data Center (CISCO)")</f>
        <v>CCNP Data Center (CISCO)</v>
      </c>
      <c r="H66" s="2" t="str">
        <f>IFERROR(__xludf.DUMMYFUNCTION("""COMPUTED_VALUE"""),"8 Weeks")</f>
        <v>8 Weeks</v>
      </c>
      <c r="I66" s="2"/>
      <c r="J66" s="2"/>
      <c r="K66" s="2"/>
      <c r="L66" s="2" t="str">
        <f>IFERROR(__xludf.DUMMYFUNCTION("""COMPUTED_VALUE"""),"CGPA")</f>
        <v>CGPA</v>
      </c>
      <c r="M66" s="2" t="str">
        <f>IFERROR(__xludf.DUMMYFUNCTION("""COMPUTED_VALUE"""),"Experiential Learning (Int and Grade from Certificate)")</f>
        <v>Experiential Learning (Int and Grade from Certificate)</v>
      </c>
      <c r="N66" s="2">
        <f>IFERROR(__xludf.DUMMYFUNCTION("""COMPUTED_VALUE"""),2)</f>
        <v>2</v>
      </c>
      <c r="O66" s="2">
        <f>IFERROR(__xludf.DUMMYFUNCTION("""COMPUTED_VALUE"""),2)</f>
        <v>2</v>
      </c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30.75" customHeight="1" spans="1:26">
      <c r="A67" s="2">
        <f>IFERROR(__xludf.DUMMYFUNCTION("""COMPUTED_VALUE"""),66)</f>
        <v>66</v>
      </c>
      <c r="B67" s="2" t="str">
        <f>IFERROR(__xludf.DUMMYFUNCTION("""COMPUTED_VALUE"""),"SCoFT")</f>
        <v>SCoFT</v>
      </c>
      <c r="C67" s="2" t="str">
        <f>IFERROR(__xludf.DUMMYFUNCTION("""COMPUTED_VALUE"""),"CS3156")</f>
        <v>CS3156</v>
      </c>
      <c r="D67" s="2" t="str">
        <f>IFERROR(__xludf.DUMMYFUNCTION("""COMPUTED_VALUE"""),"19AI156")</f>
        <v>19AI156</v>
      </c>
      <c r="E67" s="2"/>
      <c r="F67" s="2" t="str">
        <f>IFERROR(__xludf.DUMMYFUNCTION("""COMPUTED_VALUE"""),"CISCO ( 350-701 SCOR)
")</f>
        <v>CISCO ( 350-701 SCOR)
</v>
      </c>
      <c r="G67" s="3" t="str">
        <f>IFERROR(__xludf.DUMMYFUNCTION("""COMPUTED_VALUE"""),"CCNP Security (CISCO)")</f>
        <v>CCNP Security (CISCO)</v>
      </c>
      <c r="H67" s="2" t="str">
        <f>IFERROR(__xludf.DUMMYFUNCTION("""COMPUTED_VALUE"""),"8 Weeks")</f>
        <v>8 Weeks</v>
      </c>
      <c r="I67" s="2"/>
      <c r="J67" s="2"/>
      <c r="K67" s="2"/>
      <c r="L67" s="2" t="str">
        <f>IFERROR(__xludf.DUMMYFUNCTION("""COMPUTED_VALUE"""),"CGPA")</f>
        <v>CGPA</v>
      </c>
      <c r="M67" s="2" t="str">
        <f>IFERROR(__xludf.DUMMYFUNCTION("""COMPUTED_VALUE"""),"Experiential Learning (Int and Grade from Certificate)")</f>
        <v>Experiential Learning (Int and Grade from Certificate)</v>
      </c>
      <c r="N67" s="2">
        <f>IFERROR(__xludf.DUMMYFUNCTION("""COMPUTED_VALUE"""),2)</f>
        <v>2</v>
      </c>
      <c r="O67" s="2">
        <f>IFERROR(__xludf.DUMMYFUNCTION("""COMPUTED_VALUE"""),2)</f>
        <v>2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30.75" customHeight="1" spans="1:26">
      <c r="A68" s="2">
        <f>IFERROR(__xludf.DUMMYFUNCTION("""COMPUTED_VALUE"""),67)</f>
        <v>67</v>
      </c>
      <c r="B68" s="2" t="str">
        <f>IFERROR(__xludf.DUMMYFUNCTION("""COMPUTED_VALUE"""),"SCoFT")</f>
        <v>SCoFT</v>
      </c>
      <c r="C68" s="2" t="str">
        <f>IFERROR(__xludf.DUMMYFUNCTION("""COMPUTED_VALUE"""),"CS3188")</f>
        <v>CS3188</v>
      </c>
      <c r="D68" s="2" t="str">
        <f>IFERROR(__xludf.DUMMYFUNCTION("""COMPUTED_VALUE"""),"19AI188")</f>
        <v>19AI188</v>
      </c>
      <c r="E68" s="2"/>
      <c r="F68" s="2" t="str">
        <f>IFERROR(__xludf.DUMMYFUNCTION("""COMPUTED_VALUE"""),"Coursera")</f>
        <v>Coursera</v>
      </c>
      <c r="G68" s="3" t="str">
        <f>IFERROR(__xludf.DUMMYFUNCTION("""COMPUTED_VALUE"""),"CertNexus Certified Data Science Practitioner Professional Certificate")</f>
        <v>CertNexus Certified Data Science Practitioner Professional Certificate</v>
      </c>
      <c r="H68" s="2" t="str">
        <f>IFERROR(__xludf.DUMMYFUNCTION("""COMPUTED_VALUE"""),"2 Months")</f>
        <v>2 Months</v>
      </c>
      <c r="I68" s="2" t="str">
        <f>IFERROR(__xludf.DUMMYFUNCTION("""COMPUTED_VALUE"""),"NA")</f>
        <v>NA</v>
      </c>
      <c r="J68" s="2" t="str">
        <f>IFERROR(__xludf.DUMMYFUNCTION("""COMPUTED_VALUE"""),"NA")</f>
        <v>NA</v>
      </c>
      <c r="K68" s="2" t="str">
        <f>IFERROR(__xludf.DUMMYFUNCTION("""COMPUTED_VALUE"""),"NA")</f>
        <v>NA</v>
      </c>
      <c r="L68" s="2" t="str">
        <f>IFERROR(__xludf.DUMMYFUNCTION("""COMPUTED_VALUE"""),"CGPA")</f>
        <v>CGPA</v>
      </c>
      <c r="M68" s="2" t="str">
        <f>IFERROR(__xludf.DUMMYFUNCTION("""COMPUTED_VALUE"""),"Experiential Learning (Int and Grade from Certificate)")</f>
        <v>Experiential Learning (Int and Grade from Certificate)</v>
      </c>
      <c r="N68" s="2">
        <f>IFERROR(__xludf.DUMMYFUNCTION("""COMPUTED_VALUE"""),2)</f>
        <v>2</v>
      </c>
      <c r="O68" s="2">
        <f>IFERROR(__xludf.DUMMYFUNCTION("""COMPUTED_VALUE"""),2)</f>
        <v>2</v>
      </c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30.75" customHeight="1" spans="1:26">
      <c r="A69" s="2">
        <f>IFERROR(__xludf.DUMMYFUNCTION("""COMPUTED_VALUE"""),68)</f>
        <v>68</v>
      </c>
      <c r="B69" s="2" t="str">
        <f>IFERROR(__xludf.DUMMYFUNCTION("""COMPUTED_VALUE"""),"SCoFT")</f>
        <v>SCoFT</v>
      </c>
      <c r="C69" s="2" t="str">
        <f>IFERROR(__xludf.DUMMYFUNCTION("""COMPUTED_VALUE"""),"CS3189")</f>
        <v>CS3189</v>
      </c>
      <c r="D69" s="2" t="str">
        <f>IFERROR(__xludf.DUMMYFUNCTION("""COMPUTED_VALUE"""),"19AI189")</f>
        <v>19AI189</v>
      </c>
      <c r="E69" s="2"/>
      <c r="F69" s="2" t="str">
        <f>IFERROR(__xludf.DUMMYFUNCTION("""COMPUTED_VALUE"""),"Coursera")</f>
        <v>Coursera</v>
      </c>
      <c r="G69" s="3" t="str">
        <f>IFERROR(__xludf.DUMMYFUNCTION("""COMPUTED_VALUE"""),"CertNexus Certified Ethical Emerging Technologist Professional Certificate")</f>
        <v>CertNexus Certified Ethical Emerging Technologist Professional Certificate</v>
      </c>
      <c r="H69" s="2" t="str">
        <f>IFERROR(__xludf.DUMMYFUNCTION("""COMPUTED_VALUE"""),"2 Months")</f>
        <v>2 Months</v>
      </c>
      <c r="I69" s="2" t="str">
        <f>IFERROR(__xludf.DUMMYFUNCTION("""COMPUTED_VALUE"""),"NA")</f>
        <v>NA</v>
      </c>
      <c r="J69" s="2" t="str">
        <f>IFERROR(__xludf.DUMMYFUNCTION("""COMPUTED_VALUE"""),"NA")</f>
        <v>NA</v>
      </c>
      <c r="K69" s="2" t="str">
        <f>IFERROR(__xludf.DUMMYFUNCTION("""COMPUTED_VALUE"""),"NA")</f>
        <v>NA</v>
      </c>
      <c r="L69" s="2" t="str">
        <f>IFERROR(__xludf.DUMMYFUNCTION("""COMPUTED_VALUE"""),"CGPA")</f>
        <v>CGPA</v>
      </c>
      <c r="M69" s="2" t="str">
        <f>IFERROR(__xludf.DUMMYFUNCTION("""COMPUTED_VALUE"""),"Experiential Learning (Int and Grade from Certificate)")</f>
        <v>Experiential Learning (Int and Grade from Certificate)</v>
      </c>
      <c r="N69" s="2">
        <f>IFERROR(__xludf.DUMMYFUNCTION("""COMPUTED_VALUE"""),2)</f>
        <v>2</v>
      </c>
      <c r="O69" s="2">
        <f>IFERROR(__xludf.DUMMYFUNCTION("""COMPUTED_VALUE"""),2)</f>
        <v>2</v>
      </c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30.75" customHeight="1" spans="1:26">
      <c r="A70" s="2">
        <f>IFERROR(__xludf.DUMMYFUNCTION("""COMPUTED_VALUE"""),69)</f>
        <v>69</v>
      </c>
      <c r="B70" s="2" t="str">
        <f>IFERROR(__xludf.DUMMYFUNCTION("""COMPUTED_VALUE"""),"BME, MED ELEC")</f>
        <v>BME, MED ELEC</v>
      </c>
      <c r="C70" s="2" t="str">
        <f>IFERROR(__xludf.DUMMYFUNCTION("""COMPUTED_VALUE"""),"EC4633")</f>
        <v>EC4633</v>
      </c>
      <c r="D70" s="2" t="str">
        <f>IFERROR(__xludf.DUMMYFUNCTION("""COMPUTED_VALUE"""),"19BM633")</f>
        <v>19BM633</v>
      </c>
      <c r="E70" s="2"/>
      <c r="F70" s="2" t="str">
        <f>IFERROR(__xludf.DUMMYFUNCTION("""COMPUTED_VALUE"""),"NPTEL")</f>
        <v>NPTEL</v>
      </c>
      <c r="G70" s="3" t="str">
        <f>IFERROR(__xludf.DUMMYFUNCTION("""COMPUTED_VALUE"""),"Circuit Analysis for Analog Designers (NPTEL)")</f>
        <v>Circuit Analysis for Analog Designers (NPTEL)</v>
      </c>
      <c r="H70" s="2" t="str">
        <f>IFERROR(__xludf.DUMMYFUNCTION("""COMPUTED_VALUE"""),"12 Weeks")</f>
        <v>12 Weeks</v>
      </c>
      <c r="I70" s="2"/>
      <c r="J70" s="2"/>
      <c r="K70" s="2"/>
      <c r="L70" s="2" t="str">
        <f>IFERROR(__xludf.DUMMYFUNCTION("""COMPUTED_VALUE"""),"CGPA")</f>
        <v>CGPA</v>
      </c>
      <c r="M70" s="2" t="str">
        <f>IFERROR(__xludf.DUMMYFUNCTION("""COMPUTED_VALUE"""),"Experiential Learning (Int and Grade from Certificate)")</f>
        <v>Experiential Learning (Int and Grade from Certificate)</v>
      </c>
      <c r="N70" s="2">
        <f>IFERROR(__xludf.DUMMYFUNCTION("""COMPUTED_VALUE"""),3)</f>
        <v>3</v>
      </c>
      <c r="O70" s="2">
        <f>IFERROR(__xludf.DUMMYFUNCTION("""COMPUTED_VALUE"""),3)</f>
        <v>3</v>
      </c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30.75" customHeight="1" spans="1:26">
      <c r="A71" s="2">
        <f>IFERROR(__xludf.DUMMYFUNCTION("""COMPUTED_VALUE"""),70)</f>
        <v>70</v>
      </c>
      <c r="B71" s="2" t="str">
        <f>IFERROR(__xludf.DUMMYFUNCTION("""COMPUTED_VALUE"""),"SCoFT")</f>
        <v>SCoFT</v>
      </c>
      <c r="C71" s="2" t="str">
        <f>IFERROR(__xludf.DUMMYFUNCTION("""COMPUTED_VALUE"""),"CS3153")</f>
        <v>CS3153</v>
      </c>
      <c r="D71" s="2" t="str">
        <f>IFERROR(__xludf.DUMMYFUNCTION("""COMPUTED_VALUE"""),"19AI153")</f>
        <v>19AI153</v>
      </c>
      <c r="E71" s="2"/>
      <c r="F71" s="2" t="str">
        <f>IFERROR(__xludf.DUMMYFUNCTION("""COMPUTED_VALUE"""),"CISCO (200-901 DEVASC)
")</f>
        <v>CISCO (200-901 DEVASC)
</v>
      </c>
      <c r="G71" s="3" t="str">
        <f>IFERROR(__xludf.DUMMYFUNCTION("""COMPUTED_VALUE"""),"Cisco Certified DevNet Associate (CISCO)")</f>
        <v>Cisco Certified DevNet Associate (CISCO)</v>
      </c>
      <c r="H71" s="2" t="str">
        <f>IFERROR(__xludf.DUMMYFUNCTION("""COMPUTED_VALUE"""),"8 Weeks")</f>
        <v>8 Weeks</v>
      </c>
      <c r="I71" s="2"/>
      <c r="J71" s="2"/>
      <c r="K71" s="2"/>
      <c r="L71" s="2" t="str">
        <f>IFERROR(__xludf.DUMMYFUNCTION("""COMPUTED_VALUE"""),"CGPA")</f>
        <v>CGPA</v>
      </c>
      <c r="M71" s="2" t="str">
        <f>IFERROR(__xludf.DUMMYFUNCTION("""COMPUTED_VALUE"""),"Experiential Learning (Int and Grade from Certificate)")</f>
        <v>Experiential Learning (Int and Grade from Certificate)</v>
      </c>
      <c r="N71" s="2">
        <f>IFERROR(__xludf.DUMMYFUNCTION("""COMPUTED_VALUE"""),2)</f>
        <v>2</v>
      </c>
      <c r="O71" s="2">
        <f>IFERROR(__xludf.DUMMYFUNCTION("""COMPUTED_VALUE"""),2)</f>
        <v>2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30.75" customHeight="1" spans="1:26">
      <c r="A72" s="2">
        <f>IFERROR(__xludf.DUMMYFUNCTION("""COMPUTED_VALUE"""),71)</f>
        <v>71</v>
      </c>
      <c r="B72" s="2" t="str">
        <f>IFERROR(__xludf.DUMMYFUNCTION("""COMPUTED_VALUE"""),"SCoFT")</f>
        <v>SCoFT</v>
      </c>
      <c r="C72" s="2" t="str">
        <f>IFERROR(__xludf.DUMMYFUNCTION("""COMPUTED_VALUE"""),"CS3154")</f>
        <v>CS3154</v>
      </c>
      <c r="D72" s="2" t="str">
        <f>IFERROR(__xludf.DUMMYFUNCTION("""COMPUTED_VALUE"""),"19AI154")</f>
        <v>19AI154</v>
      </c>
      <c r="E72" s="2"/>
      <c r="F72" s="2" t="str">
        <f>IFERROR(__xludf.DUMMYFUNCTION("""COMPUTED_VALUE"""),"CISCO ( 300-910 DEVOPS)")</f>
        <v>CISCO ( 300-910 DEVOPS)</v>
      </c>
      <c r="G72" s="3" t="str">
        <f>IFERROR(__xludf.DUMMYFUNCTION("""COMPUTED_VALUE"""),"Cisco Certified DevNet Professional (CISCO)")</f>
        <v>Cisco Certified DevNet Professional (CISCO)</v>
      </c>
      <c r="H72" s="2" t="str">
        <f>IFERROR(__xludf.DUMMYFUNCTION("""COMPUTED_VALUE"""),"8 Weeks")</f>
        <v>8 Weeks</v>
      </c>
      <c r="I72" s="2"/>
      <c r="J72" s="2"/>
      <c r="K72" s="2"/>
      <c r="L72" s="2" t="str">
        <f>IFERROR(__xludf.DUMMYFUNCTION("""COMPUTED_VALUE"""),"CGPA")</f>
        <v>CGPA</v>
      </c>
      <c r="M72" s="2" t="str">
        <f>IFERROR(__xludf.DUMMYFUNCTION("""COMPUTED_VALUE"""),"Experiential Learning (Int and Grade from Certificate)")</f>
        <v>Experiential Learning (Int and Grade from Certificate)</v>
      </c>
      <c r="N72" s="2">
        <f>IFERROR(__xludf.DUMMYFUNCTION("""COMPUTED_VALUE"""),2)</f>
        <v>2</v>
      </c>
      <c r="O72" s="2">
        <f>IFERROR(__xludf.DUMMYFUNCTION("""COMPUTED_VALUE"""),2)</f>
        <v>2</v>
      </c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30.75" customHeight="1" spans="1:26">
      <c r="A73" s="2">
        <f>IFERROR(__xludf.DUMMYFUNCTION("""COMPUTED_VALUE"""),72)</f>
        <v>72</v>
      </c>
      <c r="B73" s="2" t="str">
        <f>IFERROR(__xludf.DUMMYFUNCTION("""COMPUTED_VALUE"""),"ECE, EIE, MED ELEC, EEE, SCoFT, BME")</f>
        <v>ECE, EIE, MED ELEC, EEE, SCoFT, BME</v>
      </c>
      <c r="C73" s="2" t="str">
        <f>IFERROR(__xludf.DUMMYFUNCTION("""COMPUTED_VALUE"""),"EC1627")</f>
        <v>EC1627</v>
      </c>
      <c r="D73" s="2" t="str">
        <f>IFERROR(__xludf.DUMMYFUNCTION("""COMPUTED_VALUE"""),"19EC627")</f>
        <v>19EC627</v>
      </c>
      <c r="E73" s="2"/>
      <c r="F73" s="2" t="str">
        <f>IFERROR(__xludf.DUMMYFUNCTION("""COMPUTED_VALUE"""),"NPTEL")</f>
        <v>NPTEL</v>
      </c>
      <c r="G73" s="3" t="str">
        <f>IFERROR(__xludf.DUMMYFUNCTION("""COMPUTED_VALUE"""),"Cloud Computing (NPTEL)")</f>
        <v>Cloud Computing (NPTEL)</v>
      </c>
      <c r="H73" s="2" t="str">
        <f>IFERROR(__xludf.DUMMYFUNCTION("""COMPUTED_VALUE"""),"12 Weeks")</f>
        <v>12 Weeks</v>
      </c>
      <c r="I73" s="2" t="str">
        <f>IFERROR(__xludf.DUMMYFUNCTION("""COMPUTED_VALUE"""),"10 / 25")</f>
        <v>10 / 25</v>
      </c>
      <c r="J73" s="2" t="str">
        <f>IFERROR(__xludf.DUMMYFUNCTION("""COMPUTED_VALUE"""),"30 / 75")</f>
        <v>30 / 75</v>
      </c>
      <c r="K73" s="2" t="str">
        <f>IFERROR(__xludf.DUMMYFUNCTION("""COMPUTED_VALUE"""),"40 / 100")</f>
        <v>40 / 100</v>
      </c>
      <c r="L73" s="2" t="str">
        <f>IFERROR(__xludf.DUMMYFUNCTION("""COMPUTED_VALUE"""),"CGPA ")</f>
        <v>CGPA </v>
      </c>
      <c r="M73" s="2" t="str">
        <f>IFERROR(__xludf.DUMMYFUNCTION("""COMPUTED_VALUE"""),"Experiential Learning (Int and Grade from Certificate)")</f>
        <v>Experiential Learning (Int and Grade from Certificate)</v>
      </c>
      <c r="N73" s="2">
        <f>IFERROR(__xludf.DUMMYFUNCTION("""COMPUTED_VALUE"""),2)</f>
        <v>2</v>
      </c>
      <c r="O73" s="2">
        <f>IFERROR(__xludf.DUMMYFUNCTION("""COMPUTED_VALUE"""),3)</f>
        <v>3</v>
      </c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30.75" customHeight="1" spans="1:26">
      <c r="A74" s="2">
        <f>IFERROR(__xludf.DUMMYFUNCTION("""COMPUTED_VALUE"""),73)</f>
        <v>73</v>
      </c>
      <c r="B74" s="2" t="str">
        <f>IFERROR(__xludf.DUMMYFUNCTION("""COMPUTED_VALUE"""),"SCoFT")</f>
        <v>SCoFT</v>
      </c>
      <c r="C74" s="2" t="str">
        <f>IFERROR(__xludf.DUMMYFUNCTION("""COMPUTED_VALUE"""),"CS3013")</f>
        <v>CS3013</v>
      </c>
      <c r="D74" s="2" t="str">
        <f>IFERROR(__xludf.DUMMYFUNCTION("""COMPUTED_VALUE"""),"19AI013")</f>
        <v>19AI013</v>
      </c>
      <c r="E74" s="2"/>
      <c r="F74" s="2" t="str">
        <f>IFERROR(__xludf.DUMMYFUNCTION("""COMPUTED_VALUE"""),"NPTEL")</f>
        <v>NPTEL</v>
      </c>
      <c r="G74" s="3" t="str">
        <f>IFERROR(__xludf.DUMMYFUNCTION("""COMPUTED_VALUE"""),"Cloud Computing and Distributed Systems (NPTEL)")</f>
        <v>Cloud Computing and Distributed Systems (NPTEL)</v>
      </c>
      <c r="H74" s="2" t="str">
        <f>IFERROR(__xludf.DUMMYFUNCTION("""COMPUTED_VALUE"""),"8 Weeks")</f>
        <v>8 Weeks</v>
      </c>
      <c r="I74" s="2"/>
      <c r="J74" s="2"/>
      <c r="K74" s="2"/>
      <c r="L74" s="2" t="str">
        <f>IFERROR(__xludf.DUMMYFUNCTION("""COMPUTED_VALUE"""),"CGPA ")</f>
        <v>CGPA </v>
      </c>
      <c r="M74" s="2" t="str">
        <f>IFERROR(__xludf.DUMMYFUNCTION("""COMPUTED_VALUE"""),"Experiential Learning (Int and Grade from Certificate)")</f>
        <v>Experiential Learning (Int and Grade from Certificate)</v>
      </c>
      <c r="N74" s="2">
        <f>IFERROR(__xludf.DUMMYFUNCTION("""COMPUTED_VALUE"""),2)</f>
        <v>2</v>
      </c>
      <c r="O74" s="2">
        <f>IFERROR(__xludf.DUMMYFUNCTION("""COMPUTED_VALUE"""),2)</f>
        <v>2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30.75" customHeight="1" spans="1:26">
      <c r="A75" s="2">
        <f>IFERROR(__xludf.DUMMYFUNCTION("""COMPUTED_VALUE"""),74)</f>
        <v>74</v>
      </c>
      <c r="B75" s="2" t="str">
        <f>IFERROR(__xludf.DUMMYFUNCTION("""COMPUTED_VALUE"""),"SCoFT")</f>
        <v>SCoFT</v>
      </c>
      <c r="C75" s="2" t="str">
        <f>IFERROR(__xludf.DUMMYFUNCTION("""COMPUTED_VALUE"""),"CS3014")</f>
        <v>CS3014</v>
      </c>
      <c r="D75" s="2" t="str">
        <f>IFERROR(__xludf.DUMMYFUNCTION("""COMPUTED_VALUE"""),"19AI014")</f>
        <v>19AI014</v>
      </c>
      <c r="E75" s="2"/>
      <c r="F75" s="2" t="str">
        <f>IFERROR(__xludf.DUMMYFUNCTION("""COMPUTED_VALUE"""),"NPTEL")</f>
        <v>NPTEL</v>
      </c>
      <c r="G75" s="3" t="str">
        <f>IFERROR(__xludf.DUMMYFUNCTION("""COMPUTED_VALUE"""),"Compiler Design (NPTEL)")</f>
        <v>Compiler Design (NPTEL)</v>
      </c>
      <c r="H75" s="2" t="str">
        <f>IFERROR(__xludf.DUMMYFUNCTION("""COMPUTED_VALUE"""),"12 Weeks")</f>
        <v>12 Weeks</v>
      </c>
      <c r="I75" s="2"/>
      <c r="J75" s="2"/>
      <c r="K75" s="2"/>
      <c r="L75" s="2" t="str">
        <f>IFERROR(__xludf.DUMMYFUNCTION("""COMPUTED_VALUE"""),"CGPA ")</f>
        <v>CGPA </v>
      </c>
      <c r="M75" s="2" t="str">
        <f>IFERROR(__xludf.DUMMYFUNCTION("""COMPUTED_VALUE"""),"Experiential Learning (Int and Grade from Certificate)")</f>
        <v>Experiential Learning (Int and Grade from Certificate)</v>
      </c>
      <c r="N75" s="2">
        <f>IFERROR(__xludf.DUMMYFUNCTION("""COMPUTED_VALUE"""),3)</f>
        <v>3</v>
      </c>
      <c r="O75" s="2">
        <f>IFERROR(__xludf.DUMMYFUNCTION("""COMPUTED_VALUE"""),3)</f>
        <v>3</v>
      </c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0.75" customHeight="1" spans="1:26">
      <c r="A76" s="2">
        <f>IFERROR(__xludf.DUMMYFUNCTION("""COMPUTED_VALUE"""),75)</f>
        <v>75</v>
      </c>
      <c r="B76" s="2" t="str">
        <f>IFERROR(__xludf.DUMMYFUNCTION("""COMPUTED_VALUE"""),"SCoFT")</f>
        <v>SCoFT</v>
      </c>
      <c r="C76" s="2" t="str">
        <f>IFERROR(__xludf.DUMMYFUNCTION("""COMPUTED_VALUE"""),"CS3015")</f>
        <v>CS3015</v>
      </c>
      <c r="D76" s="2" t="str">
        <f>IFERROR(__xludf.DUMMYFUNCTION("""COMPUTED_VALUE"""),"19AI015")</f>
        <v>19AI015</v>
      </c>
      <c r="E76" s="2"/>
      <c r="F76" s="2" t="str">
        <f>IFERROR(__xludf.DUMMYFUNCTION("""COMPUTED_VALUE"""),"NPTEL")</f>
        <v>NPTEL</v>
      </c>
      <c r="G76" s="3" t="str">
        <f>IFERROR(__xludf.DUMMYFUNCTION("""COMPUTED_VALUE"""),"Computational Complexity (NPTEL)")</f>
        <v>Computational Complexity (NPTEL)</v>
      </c>
      <c r="H76" s="2" t="str">
        <f>IFERROR(__xludf.DUMMYFUNCTION("""COMPUTED_VALUE"""),"12 Weeks")</f>
        <v>12 Weeks</v>
      </c>
      <c r="I76" s="2"/>
      <c r="J76" s="2"/>
      <c r="K76" s="2"/>
      <c r="L76" s="2" t="str">
        <f>IFERROR(__xludf.DUMMYFUNCTION("""COMPUTED_VALUE"""),"CGPA ")</f>
        <v>CGPA </v>
      </c>
      <c r="M76" s="2" t="str">
        <f>IFERROR(__xludf.DUMMYFUNCTION("""COMPUTED_VALUE"""),"Experiential Learning (Int and Grade from Certificate)")</f>
        <v>Experiential Learning (Int and Grade from Certificate)</v>
      </c>
      <c r="N76" s="2">
        <f>IFERROR(__xludf.DUMMYFUNCTION("""COMPUTED_VALUE"""),3)</f>
        <v>3</v>
      </c>
      <c r="O76" s="2">
        <f>IFERROR(__xludf.DUMMYFUNCTION("""COMPUTED_VALUE"""),3)</f>
        <v>3</v>
      </c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30.75" customHeight="1" spans="1:26">
      <c r="A77" s="2">
        <f>IFERROR(__xludf.DUMMYFUNCTION("""COMPUTED_VALUE"""),76)</f>
        <v>76</v>
      </c>
      <c r="B77" s="2" t="str">
        <f>IFERROR(__xludf.DUMMYFUNCTION("""COMPUTED_VALUE"""),"ECE, SCoFT")</f>
        <v>ECE, SCoFT</v>
      </c>
      <c r="C77" s="2" t="str">
        <f>IFERROR(__xludf.DUMMYFUNCTION("""COMPUTED_VALUE"""),"EC1632")</f>
        <v>EC1632</v>
      </c>
      <c r="D77" s="2" t="str">
        <f>IFERROR(__xludf.DUMMYFUNCTION("""COMPUTED_VALUE"""),"19EC632")</f>
        <v>19EC632</v>
      </c>
      <c r="E77" s="2"/>
      <c r="F77" s="2" t="str">
        <f>IFERROR(__xludf.DUMMYFUNCTION("""COMPUTED_VALUE"""),"NPTEL")</f>
        <v>NPTEL</v>
      </c>
      <c r="G77" s="3" t="str">
        <f>IFERROR(__xludf.DUMMYFUNCTION("""COMPUTED_VALUE"""),"Computational Geometry (NPTEL)")</f>
        <v>Computational Geometry (NPTEL)</v>
      </c>
      <c r="H77" s="2" t="str">
        <f>IFERROR(__xludf.DUMMYFUNCTION("""COMPUTED_VALUE"""),"12 Weeks")</f>
        <v>12 Weeks</v>
      </c>
      <c r="I77" s="2"/>
      <c r="J77" s="2"/>
      <c r="K77" s="2"/>
      <c r="L77" s="2" t="str">
        <f>IFERROR(__xludf.DUMMYFUNCTION("""COMPUTED_VALUE"""),"CGPA ")</f>
        <v>CGPA </v>
      </c>
      <c r="M77" s="2" t="str">
        <f>IFERROR(__xludf.DUMMYFUNCTION("""COMPUTED_VALUE"""),"Experiential Learning (Int and Grade from Certificate)")</f>
        <v>Experiential Learning (Int and Grade from Certificate)</v>
      </c>
      <c r="N77" s="2">
        <f>IFERROR(__xludf.DUMMYFUNCTION("""COMPUTED_VALUE"""),2)</f>
        <v>2</v>
      </c>
      <c r="O77" s="2">
        <f>IFERROR(__xludf.DUMMYFUNCTION("""COMPUTED_VALUE"""),3)</f>
        <v>3</v>
      </c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30.75" customHeight="1" spans="1:26">
      <c r="A78" s="2">
        <f>IFERROR(__xludf.DUMMYFUNCTION("""COMPUTED_VALUE"""),77)</f>
        <v>77</v>
      </c>
      <c r="B78" s="2" t="str">
        <f>IFERROR(__xludf.DUMMYFUNCTION("""COMPUTED_VALUE"""),"SCoFT")</f>
        <v>SCoFT</v>
      </c>
      <c r="C78" s="2" t="str">
        <f>IFERROR(__xludf.DUMMYFUNCTION("""COMPUTED_VALUE"""),"CS3084")</f>
        <v>CS3084</v>
      </c>
      <c r="D78" s="2" t="str">
        <f>IFERROR(__xludf.DUMMYFUNCTION("""COMPUTED_VALUE"""),"19AI084")</f>
        <v>19AI084</v>
      </c>
      <c r="E78" s="2"/>
      <c r="F78" s="2" t="str">
        <f>IFERROR(__xludf.DUMMYFUNCTION("""COMPUTED_VALUE"""),"COURSERA")</f>
        <v>COURSERA</v>
      </c>
      <c r="G78" s="3" t="str">
        <f>IFERROR(__xludf.DUMMYFUNCTION("""COMPUTED_VALUE"""),"Computational Neuroscience (Coursera)")</f>
        <v>Computational Neuroscience (Coursera)</v>
      </c>
      <c r="H78" s="2" t="str">
        <f>IFERROR(__xludf.DUMMYFUNCTION("""COMPUTED_VALUE"""),"8 Weeks")</f>
        <v>8 Weeks</v>
      </c>
      <c r="I78" s="2"/>
      <c r="J78" s="2"/>
      <c r="K78" s="2"/>
      <c r="L78" s="2" t="str">
        <f>IFERROR(__xludf.DUMMYFUNCTION("""COMPUTED_VALUE"""),"CGPA")</f>
        <v>CGPA</v>
      </c>
      <c r="M78" s="2" t="str">
        <f>IFERROR(__xludf.DUMMYFUNCTION("""COMPUTED_VALUE"""),"Experiential Learning (Int and Grade from Certificate)")</f>
        <v>Experiential Learning (Int and Grade from Certificate)</v>
      </c>
      <c r="N78" s="2">
        <f>IFERROR(__xludf.DUMMYFUNCTION("""COMPUTED_VALUE"""),2)</f>
        <v>2</v>
      </c>
      <c r="O78" s="2">
        <f>IFERROR(__xludf.DUMMYFUNCTION("""COMPUTED_VALUE"""),2)</f>
        <v>2</v>
      </c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0.75" customHeight="1" spans="1:26">
      <c r="A79" s="2">
        <f>IFERROR(__xludf.DUMMYFUNCTION("""COMPUTED_VALUE"""),78)</f>
        <v>78</v>
      </c>
      <c r="B79" s="2" t="str">
        <f>IFERROR(__xludf.DUMMYFUNCTION("""COMPUTED_VALUE"""),"SCoFT")</f>
        <v>SCoFT</v>
      </c>
      <c r="C79" s="2" t="str">
        <f>IFERROR(__xludf.DUMMYFUNCTION("""COMPUTED_VALUE"""),"CS3016")</f>
        <v>CS3016</v>
      </c>
      <c r="D79" s="2" t="str">
        <f>IFERROR(__xludf.DUMMYFUNCTION("""COMPUTED_VALUE"""),"19AI016")</f>
        <v>19AI016</v>
      </c>
      <c r="E79" s="2"/>
      <c r="F79" s="2" t="str">
        <f>IFERROR(__xludf.DUMMYFUNCTION("""COMPUTED_VALUE"""),"NPTEL")</f>
        <v>NPTEL</v>
      </c>
      <c r="G79" s="3" t="str">
        <f>IFERROR(__xludf.DUMMYFUNCTION("""COMPUTED_VALUE"""),"Computational Number Theory and Algebra (NPTEL)")</f>
        <v>Computational Number Theory and Algebra (NPTEL)</v>
      </c>
      <c r="H79" s="2" t="str">
        <f>IFERROR(__xludf.DUMMYFUNCTION("""COMPUTED_VALUE"""),"12 Weeks")</f>
        <v>12 Weeks</v>
      </c>
      <c r="I79" s="2"/>
      <c r="J79" s="2"/>
      <c r="K79" s="2"/>
      <c r="L79" s="2" t="str">
        <f>IFERROR(__xludf.DUMMYFUNCTION("""COMPUTED_VALUE"""),"CGPA ")</f>
        <v>CGPA </v>
      </c>
      <c r="M79" s="2" t="str">
        <f>IFERROR(__xludf.DUMMYFUNCTION("""COMPUTED_VALUE"""),"Experiential Learning (Int and Grade from Certificate)")</f>
        <v>Experiential Learning (Int and Grade from Certificate)</v>
      </c>
      <c r="N79" s="2">
        <f>IFERROR(__xludf.DUMMYFUNCTION("""COMPUTED_VALUE"""),3)</f>
        <v>3</v>
      </c>
      <c r="O79" s="2">
        <f>IFERROR(__xludf.DUMMYFUNCTION("""COMPUTED_VALUE"""),3)</f>
        <v>3</v>
      </c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0.75" customHeight="1" spans="1:26">
      <c r="A80" s="2">
        <f>IFERROR(__xludf.DUMMYFUNCTION("""COMPUTED_VALUE"""),79)</f>
        <v>79</v>
      </c>
      <c r="B80" s="2" t="str">
        <f>IFERROR(__xludf.DUMMYFUNCTION("""COMPUTED_VALUE"""),"BME, MED ELEC")</f>
        <v>BME, MED ELEC</v>
      </c>
      <c r="C80" s="2" t="str">
        <f>IFERROR(__xludf.DUMMYFUNCTION("""COMPUTED_VALUE"""),"EC4634")</f>
        <v>EC4634</v>
      </c>
      <c r="D80" s="2" t="str">
        <f>IFERROR(__xludf.DUMMYFUNCTION("""COMPUTED_VALUE"""),"19BM634")</f>
        <v>19BM634</v>
      </c>
      <c r="E80" s="2"/>
      <c r="F80" s="2" t="str">
        <f>IFERROR(__xludf.DUMMYFUNCTION("""COMPUTED_VALUE"""),"NPTEL")</f>
        <v>NPTEL</v>
      </c>
      <c r="G80" s="3" t="str">
        <f>IFERROR(__xludf.DUMMYFUNCTION("""COMPUTED_VALUE"""),"Computational Systems Biology (NPTEL)")</f>
        <v>Computational Systems Biology (NPTEL)</v>
      </c>
      <c r="H80" s="2" t="str">
        <f>IFERROR(__xludf.DUMMYFUNCTION("""COMPUTED_VALUE"""),"12 Weeks")</f>
        <v>12 Weeks</v>
      </c>
      <c r="I80" s="2"/>
      <c r="J80" s="2"/>
      <c r="K80" s="2"/>
      <c r="L80" s="2" t="str">
        <f>IFERROR(__xludf.DUMMYFUNCTION("""COMPUTED_VALUE"""),"CGPA")</f>
        <v>CGPA</v>
      </c>
      <c r="M80" s="2" t="str">
        <f>IFERROR(__xludf.DUMMYFUNCTION("""COMPUTED_VALUE"""),"Experiential Learning (Int and Grade from Certificate)")</f>
        <v>Experiential Learning (Int and Grade from Certificate)</v>
      </c>
      <c r="N80" s="2">
        <f>IFERROR(__xludf.DUMMYFUNCTION("""COMPUTED_VALUE"""),3)</f>
        <v>3</v>
      </c>
      <c r="O80" s="2">
        <f>IFERROR(__xludf.DUMMYFUNCTION("""COMPUTED_VALUE"""),3)</f>
        <v>3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30.75" customHeight="1" spans="1:26">
      <c r="A81" s="2">
        <f>IFERROR(__xludf.DUMMYFUNCTION("""COMPUTED_VALUE"""),80)</f>
        <v>80</v>
      </c>
      <c r="B81" s="2" t="str">
        <f>IFERROR(__xludf.DUMMYFUNCTION("""COMPUTED_VALUE"""),"CHEMICAL")</f>
        <v>CHEMICAL</v>
      </c>
      <c r="C81" s="2" t="str">
        <f>IFERROR(__xludf.DUMMYFUNCTION("""COMPUTED_VALUE"""),"CH0604")</f>
        <v>CH0604</v>
      </c>
      <c r="D81" s="2" t="str">
        <f>IFERROR(__xludf.DUMMYFUNCTION("""COMPUTED_VALUE"""),"19CH604")</f>
        <v>19CH604</v>
      </c>
      <c r="E81" s="2"/>
      <c r="F81" s="2" t="str">
        <f>IFERROR(__xludf.DUMMYFUNCTION("""COMPUTED_VALUE"""),"NPTEL (IIT Guwahati)")</f>
        <v>NPTEL (IIT Guwahati)</v>
      </c>
      <c r="G81" s="3" t="str">
        <f>IFERROR(__xludf.DUMMYFUNCTION("""COMPUTED_VALUE"""),"Computer Aided Applied Single Objective Optimization (NPTEL)")</f>
        <v>Computer Aided Applied Single Objective Optimization (NPTEL)</v>
      </c>
      <c r="H81" s="2" t="str">
        <f>IFERROR(__xludf.DUMMYFUNCTION("""COMPUTED_VALUE"""),"12 Weeks")</f>
        <v>12 Weeks</v>
      </c>
      <c r="I81" s="2"/>
      <c r="J81" s="2"/>
      <c r="K81" s="2"/>
      <c r="L81" s="2" t="str">
        <f>IFERROR(__xludf.DUMMYFUNCTION("""COMPUTED_VALUE"""),"CGPA ")</f>
        <v>CGPA </v>
      </c>
      <c r="M81" s="2" t="str">
        <f>IFERROR(__xludf.DUMMYFUNCTION("""COMPUTED_VALUE"""),"Experiential Learning (Int and Grade from Certificate)")</f>
        <v>Experiential Learning (Int and Grade from Certificate)</v>
      </c>
      <c r="N81" s="2">
        <f>IFERROR(__xludf.DUMMYFUNCTION("""COMPUTED_VALUE"""),2)</f>
        <v>2</v>
      </c>
      <c r="O81" s="2">
        <f>IFERROR(__xludf.DUMMYFUNCTION("""COMPUTED_VALUE"""),3)</f>
        <v>3</v>
      </c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30.75" customHeight="1" spans="1:26">
      <c r="A82" s="2">
        <f>IFERROR(__xludf.DUMMYFUNCTION("""COMPUTED_VALUE"""),81)</f>
        <v>81</v>
      </c>
      <c r="B82" s="2" t="str">
        <f>IFERROR(__xludf.DUMMYFUNCTION("""COMPUTED_VALUE"""),"SCoFT")</f>
        <v>SCoFT</v>
      </c>
      <c r="C82" s="2" t="str">
        <f>IFERROR(__xludf.DUMMYFUNCTION("""COMPUTED_VALUE"""),"CS3103")</f>
        <v>CS3103</v>
      </c>
      <c r="D82" s="2" t="str">
        <f>IFERROR(__xludf.DUMMYFUNCTION("""COMPUTED_VALUE"""),"19AI103")</f>
        <v>19AI103</v>
      </c>
      <c r="E82" s="2"/>
      <c r="F82" s="2" t="str">
        <f>IFERROR(__xludf.DUMMYFUNCTION("""COMPUTED_VALUE"""),"COURSERA")</f>
        <v>COURSERA</v>
      </c>
      <c r="G82" s="3" t="str">
        <f>IFERROR(__xludf.DUMMYFUNCTION("""COMPUTED_VALUE"""),"Computer Architecture (Coursera)")</f>
        <v>Computer Architecture (Coursera)</v>
      </c>
      <c r="H82" s="2" t="str">
        <f>IFERROR(__xludf.DUMMYFUNCTION("""COMPUTED_VALUE"""),"11 weeks")</f>
        <v>11 weeks</v>
      </c>
      <c r="I82" s="2"/>
      <c r="J82" s="2"/>
      <c r="K82" s="2"/>
      <c r="L82" s="2" t="str">
        <f>IFERROR(__xludf.DUMMYFUNCTION("""COMPUTED_VALUE"""),"CGPA")</f>
        <v>CGPA</v>
      </c>
      <c r="M82" s="2" t="str">
        <f>IFERROR(__xludf.DUMMYFUNCTION("""COMPUTED_VALUE"""),"Experiential Learning (Int and Grade from Certificate)")</f>
        <v>Experiential Learning (Int and Grade from Certificate)</v>
      </c>
      <c r="N82" s="2">
        <f>IFERROR(__xludf.DUMMYFUNCTION("""COMPUTED_VALUE"""),2)</f>
        <v>2</v>
      </c>
      <c r="O82" s="2">
        <f>IFERROR(__xludf.DUMMYFUNCTION("""COMPUTED_VALUE"""),2)</f>
        <v>2</v>
      </c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30.75" customHeight="1" spans="1:26">
      <c r="A83" s="2">
        <f>IFERROR(__xludf.DUMMYFUNCTION("""COMPUTED_VALUE"""),82)</f>
        <v>82</v>
      </c>
      <c r="B83" s="2" t="str">
        <f>IFERROR(__xludf.DUMMYFUNCTION("""COMPUTED_VALUE"""),"SCoFT")</f>
        <v>SCoFT</v>
      </c>
      <c r="C83" s="2" t="str">
        <f>IFERROR(__xludf.DUMMYFUNCTION("""COMPUTED_VALUE"""),"CS3017")</f>
        <v>CS3017</v>
      </c>
      <c r="D83" s="2" t="str">
        <f>IFERROR(__xludf.DUMMYFUNCTION("""COMPUTED_VALUE"""),"19AI017")</f>
        <v>19AI017</v>
      </c>
      <c r="E83" s="2"/>
      <c r="F83" s="2" t="str">
        <f>IFERROR(__xludf.DUMMYFUNCTION("""COMPUTED_VALUE"""),"NPTEL")</f>
        <v>NPTEL</v>
      </c>
      <c r="G83" s="3" t="str">
        <f>IFERROR(__xludf.DUMMYFUNCTION("""COMPUTED_VALUE"""),"Computer Architecture (NPTEL)")</f>
        <v>Computer Architecture (NPTEL)</v>
      </c>
      <c r="H83" s="2" t="str">
        <f>IFERROR(__xludf.DUMMYFUNCTION("""COMPUTED_VALUE"""),"12 Weeks")</f>
        <v>12 Weeks</v>
      </c>
      <c r="I83" s="2"/>
      <c r="J83" s="2"/>
      <c r="K83" s="2"/>
      <c r="L83" s="2" t="str">
        <f>IFERROR(__xludf.DUMMYFUNCTION("""COMPUTED_VALUE"""),"CGPA ")</f>
        <v>CGPA </v>
      </c>
      <c r="M83" s="2" t="str">
        <f>IFERROR(__xludf.DUMMYFUNCTION("""COMPUTED_VALUE"""),"Experiential Learning (Int and Grade from Certificate)")</f>
        <v>Experiential Learning (Int and Grade from Certificate)</v>
      </c>
      <c r="N83" s="2">
        <f>IFERROR(__xludf.DUMMYFUNCTION("""COMPUTED_VALUE"""),3)</f>
        <v>3</v>
      </c>
      <c r="O83" s="2">
        <f>IFERROR(__xludf.DUMMYFUNCTION("""COMPUTED_VALUE"""),3)</f>
        <v>3</v>
      </c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30.75" customHeight="1" spans="1:26">
      <c r="A84" s="2">
        <f>IFERROR(__xludf.DUMMYFUNCTION("""COMPUTED_VALUE"""),83)</f>
        <v>83</v>
      </c>
      <c r="B84" s="2" t="str">
        <f>IFERROR(__xludf.DUMMYFUNCTION("""COMPUTED_VALUE"""),"SCoFT")</f>
        <v>SCoFT</v>
      </c>
      <c r="C84" s="2" t="str">
        <f>IFERROR(__xludf.DUMMYFUNCTION("""COMPUTED_VALUE"""),"CS3018")</f>
        <v>CS3018</v>
      </c>
      <c r="D84" s="2" t="str">
        <f>IFERROR(__xludf.DUMMYFUNCTION("""COMPUTED_VALUE"""),"19AI018")</f>
        <v>19AI018</v>
      </c>
      <c r="E84" s="2"/>
      <c r="F84" s="2" t="str">
        <f>IFERROR(__xludf.DUMMYFUNCTION("""COMPUTED_VALUE"""),"NPTEL")</f>
        <v>NPTEL</v>
      </c>
      <c r="G84" s="3" t="str">
        <f>IFERROR(__xludf.DUMMYFUNCTION("""COMPUTED_VALUE"""),"Computer Architecture and Organization (NPTEL)")</f>
        <v>Computer Architecture and Organization (NPTEL)</v>
      </c>
      <c r="H84" s="2" t="str">
        <f>IFERROR(__xludf.DUMMYFUNCTION("""COMPUTED_VALUE"""),"12 Weeks")</f>
        <v>12 Weeks</v>
      </c>
      <c r="I84" s="2"/>
      <c r="J84" s="2"/>
      <c r="K84" s="2"/>
      <c r="L84" s="2" t="str">
        <f>IFERROR(__xludf.DUMMYFUNCTION("""COMPUTED_VALUE"""),"CGPA ")</f>
        <v>CGPA </v>
      </c>
      <c r="M84" s="2" t="str">
        <f>IFERROR(__xludf.DUMMYFUNCTION("""COMPUTED_VALUE"""),"Experiential Learning (Int and Grade from Certificate)")</f>
        <v>Experiential Learning (Int and Grade from Certificate)</v>
      </c>
      <c r="N84" s="2">
        <f>IFERROR(__xludf.DUMMYFUNCTION("""COMPUTED_VALUE"""),3)</f>
        <v>3</v>
      </c>
      <c r="O84" s="2">
        <f>IFERROR(__xludf.DUMMYFUNCTION("""COMPUTED_VALUE"""),3)</f>
        <v>3</v>
      </c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30.75" customHeight="1" spans="1:26">
      <c r="A85" s="2">
        <f>IFERROR(__xludf.DUMMYFUNCTION("""COMPUTED_VALUE"""),84)</f>
        <v>84</v>
      </c>
      <c r="B85" s="2" t="str">
        <f>IFERROR(__xludf.DUMMYFUNCTION("""COMPUTED_VALUE"""),"SCoFT")</f>
        <v>SCoFT</v>
      </c>
      <c r="C85" s="2" t="str">
        <f>IFERROR(__xludf.DUMMYFUNCTION("""COMPUTED_VALUE"""),"CS3019")</f>
        <v>CS3019</v>
      </c>
      <c r="D85" s="2" t="str">
        <f>IFERROR(__xludf.DUMMYFUNCTION("""COMPUTED_VALUE"""),"19AI019")</f>
        <v>19AI019</v>
      </c>
      <c r="E85" s="2"/>
      <c r="F85" s="2" t="str">
        <f>IFERROR(__xludf.DUMMYFUNCTION("""COMPUTED_VALUE"""),"NPTEL")</f>
        <v>NPTEL</v>
      </c>
      <c r="G85" s="3" t="str">
        <f>IFERROR(__xludf.DUMMYFUNCTION("""COMPUTED_VALUE"""),"Computer Graphics (NPTEL)")</f>
        <v>Computer Graphics (NPTEL)</v>
      </c>
      <c r="H85" s="2" t="str">
        <f>IFERROR(__xludf.DUMMYFUNCTION("""COMPUTED_VALUE"""),"8 Weeks")</f>
        <v>8 Weeks</v>
      </c>
      <c r="I85" s="2"/>
      <c r="J85" s="2"/>
      <c r="K85" s="2"/>
      <c r="L85" s="2" t="str">
        <f>IFERROR(__xludf.DUMMYFUNCTION("""COMPUTED_VALUE"""),"CGPA ")</f>
        <v>CGPA </v>
      </c>
      <c r="M85" s="2" t="str">
        <f>IFERROR(__xludf.DUMMYFUNCTION("""COMPUTED_VALUE"""),"Experiential Learning (Int and Grade from Certificate)")</f>
        <v>Experiential Learning (Int and Grade from Certificate)</v>
      </c>
      <c r="N85" s="2">
        <f>IFERROR(__xludf.DUMMYFUNCTION("""COMPUTED_VALUE"""),2)</f>
        <v>2</v>
      </c>
      <c r="O85" s="2">
        <f>IFERROR(__xludf.DUMMYFUNCTION("""COMPUTED_VALUE"""),2)</f>
        <v>2</v>
      </c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30.75" customHeight="1" spans="1:26">
      <c r="A86" s="2">
        <f>IFERROR(__xludf.DUMMYFUNCTION("""COMPUTED_VALUE"""),85)</f>
        <v>85</v>
      </c>
      <c r="B86" s="2" t="str">
        <f>IFERROR(__xludf.DUMMYFUNCTION("""COMPUTED_VALUE"""),"ECE, SCoFT")</f>
        <v>ECE, SCoFT</v>
      </c>
      <c r="C86" s="2" t="str">
        <f>IFERROR(__xludf.DUMMYFUNCTION("""COMPUTED_VALUE"""),"EC1619")</f>
        <v>EC1619</v>
      </c>
      <c r="D86" s="2" t="str">
        <f>IFERROR(__xludf.DUMMYFUNCTION("""COMPUTED_VALUE"""),"19EC619")</f>
        <v>19EC619</v>
      </c>
      <c r="E86" s="2"/>
      <c r="F86" s="2" t="str">
        <f>IFERROR(__xludf.DUMMYFUNCTION("""COMPUTED_VALUE"""),"NPTEL")</f>
        <v>NPTEL</v>
      </c>
      <c r="G86" s="3" t="str">
        <f>IFERROR(__xludf.DUMMYFUNCTION("""COMPUTED_VALUE"""),"Computer Networks and Internet Protocol (NPTEL)")</f>
        <v>Computer Networks and Internet Protocol (NPTEL)</v>
      </c>
      <c r="H86" s="2" t="str">
        <f>IFERROR(__xludf.DUMMYFUNCTION("""COMPUTED_VALUE"""),"12 Weeks")</f>
        <v>12 Weeks</v>
      </c>
      <c r="I86" s="2"/>
      <c r="J86" s="2"/>
      <c r="K86" s="2"/>
      <c r="L86" s="2" t="str">
        <f>IFERROR(__xludf.DUMMYFUNCTION("""COMPUTED_VALUE"""),"CGPA ")</f>
        <v>CGPA </v>
      </c>
      <c r="M86" s="2" t="str">
        <f>IFERROR(__xludf.DUMMYFUNCTION("""COMPUTED_VALUE"""),"Experiential Learning (Int and Grade from Certificate)")</f>
        <v>Experiential Learning (Int and Grade from Certificate)</v>
      </c>
      <c r="N86" s="2">
        <f>IFERROR(__xludf.DUMMYFUNCTION("""COMPUTED_VALUE"""),2)</f>
        <v>2</v>
      </c>
      <c r="O86" s="2">
        <f>IFERROR(__xludf.DUMMYFUNCTION("""COMPUTED_VALUE"""),3)</f>
        <v>3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30.75" customHeight="1" spans="1:26">
      <c r="A87" s="2">
        <f>IFERROR(__xludf.DUMMYFUNCTION("""COMPUTED_VALUE"""),86)</f>
        <v>86</v>
      </c>
      <c r="B87" s="2" t="str">
        <f>IFERROR(__xludf.DUMMYFUNCTION("""COMPUTED_VALUE"""),"SCoFT")</f>
        <v>SCoFT</v>
      </c>
      <c r="C87" s="2" t="str">
        <f>IFERROR(__xludf.DUMMYFUNCTION("""COMPUTED_VALUE"""),"CS3082")</f>
        <v>CS3082</v>
      </c>
      <c r="D87" s="2" t="str">
        <f>IFERROR(__xludf.DUMMYFUNCTION("""COMPUTED_VALUE"""),"19AI082")</f>
        <v>19AI082</v>
      </c>
      <c r="E87" s="2"/>
      <c r="F87" s="2" t="str">
        <f>IFERROR(__xludf.DUMMYFUNCTION("""COMPUTED_VALUE"""),"COURSERA")</f>
        <v>COURSERA</v>
      </c>
      <c r="G87" s="3" t="str">
        <f>IFERROR(__xludf.DUMMYFUNCTION("""COMPUTED_VALUE"""),"Computer Science Algorithm Theory and Machines (Coursera)")</f>
        <v>Computer Science Algorithm Theory and Machines (Coursera)</v>
      </c>
      <c r="H87" s="2" t="str">
        <f>IFERROR(__xludf.DUMMYFUNCTION("""COMPUTED_VALUE"""),"5 weeks")</f>
        <v>5 weeks</v>
      </c>
      <c r="I87" s="2"/>
      <c r="J87" s="2"/>
      <c r="K87" s="2"/>
      <c r="L87" s="2" t="str">
        <f>IFERROR(__xludf.DUMMYFUNCTION("""COMPUTED_VALUE"""),"CGPA")</f>
        <v>CGPA</v>
      </c>
      <c r="M87" s="2" t="str">
        <f>IFERROR(__xludf.DUMMYFUNCTION("""COMPUTED_VALUE"""),"Experiential Learning (Int and Grade from Certificate)")</f>
        <v>Experiential Learning (Int and Grade from Certificate)</v>
      </c>
      <c r="N87" s="2">
        <f>IFERROR(__xludf.DUMMYFUNCTION("""COMPUTED_VALUE"""),1)</f>
        <v>1</v>
      </c>
      <c r="O87" s="2">
        <f>IFERROR(__xludf.DUMMYFUNCTION("""COMPUTED_VALUE"""),1)</f>
        <v>1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30.75" customHeight="1" spans="1:26">
      <c r="A88" s="2">
        <f>IFERROR(__xludf.DUMMYFUNCTION("""COMPUTED_VALUE"""),87)</f>
        <v>87</v>
      </c>
      <c r="B88" s="2" t="str">
        <f>IFERROR(__xludf.DUMMYFUNCTION("""COMPUTED_VALUE"""),"SCoFT")</f>
        <v>SCoFT</v>
      </c>
      <c r="C88" s="2" t="str">
        <f>IFERROR(__xludf.DUMMYFUNCTION("""COMPUTED_VALUE"""),"CS3020")</f>
        <v>CS3020</v>
      </c>
      <c r="D88" s="2" t="str">
        <f>IFERROR(__xludf.DUMMYFUNCTION("""COMPUTED_VALUE"""),"19AI020")</f>
        <v>19AI020</v>
      </c>
      <c r="E88" s="2"/>
      <c r="F88" s="2" t="str">
        <f>IFERROR(__xludf.DUMMYFUNCTION("""COMPUTED_VALUE"""),"NPTEL")</f>
        <v>NPTEL</v>
      </c>
      <c r="G88" s="3" t="str">
        <f>IFERROR(__xludf.DUMMYFUNCTION("""COMPUTED_VALUE"""),"Computer Vision (NPTEL)")</f>
        <v>Computer Vision (NPTEL)</v>
      </c>
      <c r="H88" s="2" t="str">
        <f>IFERROR(__xludf.DUMMYFUNCTION("""COMPUTED_VALUE"""),"12 Weeks")</f>
        <v>12 Weeks</v>
      </c>
      <c r="I88" s="2"/>
      <c r="J88" s="2"/>
      <c r="K88" s="2"/>
      <c r="L88" s="2" t="str">
        <f>IFERROR(__xludf.DUMMYFUNCTION("""COMPUTED_VALUE"""),"CGPA ")</f>
        <v>CGPA </v>
      </c>
      <c r="M88" s="2" t="str">
        <f>IFERROR(__xludf.DUMMYFUNCTION("""COMPUTED_VALUE"""),"Experiential Learning (Int and Grade from Certificate)")</f>
        <v>Experiential Learning (Int and Grade from Certificate)</v>
      </c>
      <c r="N88" s="2">
        <f>IFERROR(__xludf.DUMMYFUNCTION("""COMPUTED_VALUE"""),3)</f>
        <v>3</v>
      </c>
      <c r="O88" s="2">
        <f>IFERROR(__xludf.DUMMYFUNCTION("""COMPUTED_VALUE"""),3)</f>
        <v>3</v>
      </c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30.75" customHeight="1" spans="1:26">
      <c r="A89" s="2">
        <f>IFERROR(__xludf.DUMMYFUNCTION("""COMPUTED_VALUE"""),88)</f>
        <v>88</v>
      </c>
      <c r="B89" s="2" t="str">
        <f>IFERROR(__xludf.DUMMYFUNCTION("""COMPUTED_VALUE"""),"BME, MED ELEC")</f>
        <v>BME, MED ELEC</v>
      </c>
      <c r="C89" s="2" t="str">
        <f>IFERROR(__xludf.DUMMYFUNCTION("""COMPUTED_VALUE"""),"EC4635")</f>
        <v>EC4635</v>
      </c>
      <c r="D89" s="2" t="str">
        <f>IFERROR(__xludf.DUMMYFUNCTION("""COMPUTED_VALUE"""),"19BM635")</f>
        <v>19BM635</v>
      </c>
      <c r="E89" s="2"/>
      <c r="F89" s="2" t="str">
        <f>IFERROR(__xludf.DUMMYFUNCTION("""COMPUTED_VALUE"""),"NPTEL")</f>
        <v>NPTEL</v>
      </c>
      <c r="G89" s="3" t="str">
        <f>IFERROR(__xludf.DUMMYFUNCTION("""COMPUTED_VALUE"""),"Computer Vision And Image Processing - Fundamentals And Applications (NPTEL)")</f>
        <v>Computer Vision And Image Processing - Fundamentals And Applications (NPTEL)</v>
      </c>
      <c r="H89" s="2" t="str">
        <f>IFERROR(__xludf.DUMMYFUNCTION("""COMPUTED_VALUE"""),"12 Weeks")</f>
        <v>12 Weeks</v>
      </c>
      <c r="I89" s="2"/>
      <c r="J89" s="2"/>
      <c r="K89" s="2"/>
      <c r="L89" s="2" t="str">
        <f>IFERROR(__xludf.DUMMYFUNCTION("""COMPUTED_VALUE"""),"CGPA")</f>
        <v>CGPA</v>
      </c>
      <c r="M89" s="2" t="str">
        <f>IFERROR(__xludf.DUMMYFUNCTION("""COMPUTED_VALUE"""),"Experiential Learning (Int and Grade from Certificate)")</f>
        <v>Experiential Learning (Int and Grade from Certificate)</v>
      </c>
      <c r="N89" s="2">
        <f>IFERROR(__xludf.DUMMYFUNCTION("""COMPUTED_VALUE"""),3)</f>
        <v>3</v>
      </c>
      <c r="O89" s="2">
        <f>IFERROR(__xludf.DUMMYFUNCTION("""COMPUTED_VALUE"""),3)</f>
        <v>3</v>
      </c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30.75" customHeight="1" spans="1:26">
      <c r="A90" s="2">
        <f>IFERROR(__xludf.DUMMYFUNCTION("""COMPUTED_VALUE"""),89)</f>
        <v>89</v>
      </c>
      <c r="B90" s="2" t="str">
        <f>IFERROR(__xludf.DUMMYFUNCTION("""COMPUTED_VALUE"""),"SCoFT")</f>
        <v>SCoFT</v>
      </c>
      <c r="C90" s="2" t="str">
        <f>IFERROR(__xludf.DUMMYFUNCTION("""COMPUTED_VALUE"""),"CS3076")</f>
        <v>CS3076</v>
      </c>
      <c r="D90" s="2" t="str">
        <f>IFERROR(__xludf.DUMMYFUNCTION("""COMPUTED_VALUE"""),"19AI076")</f>
        <v>19AI076</v>
      </c>
      <c r="E90" s="2"/>
      <c r="F90" s="2" t="str">
        <f>IFERROR(__xludf.DUMMYFUNCTION("""COMPUTED_VALUE"""),"COURSERA")</f>
        <v>COURSERA</v>
      </c>
      <c r="G90" s="3" t="str">
        <f>IFERROR(__xludf.DUMMYFUNCTION("""COMPUTED_VALUE"""),"Computer Vision with Embedded Machine Learning (Coursera)")</f>
        <v>Computer Vision with Embedded Machine Learning (Coursera)</v>
      </c>
      <c r="H90" s="2" t="str">
        <f>IFERROR(__xludf.DUMMYFUNCTION("""COMPUTED_VALUE"""),"7 Weeks")</f>
        <v>7 Weeks</v>
      </c>
      <c r="I90" s="2"/>
      <c r="J90" s="2"/>
      <c r="K90" s="2"/>
      <c r="L90" s="2" t="str">
        <f>IFERROR(__xludf.DUMMYFUNCTION("""COMPUTED_VALUE"""),"CGPA")</f>
        <v>CGPA</v>
      </c>
      <c r="M90" s="2" t="str">
        <f>IFERROR(__xludf.DUMMYFUNCTION("""COMPUTED_VALUE"""),"Experiential Learning (Int and Grade from Certificate)")</f>
        <v>Experiential Learning (Int and Grade from Certificate)</v>
      </c>
      <c r="N90" s="2">
        <f>IFERROR(__xludf.DUMMYFUNCTION("""COMPUTED_VALUE"""),1)</f>
        <v>1</v>
      </c>
      <c r="O90" s="2">
        <f>IFERROR(__xludf.DUMMYFUNCTION("""COMPUTED_VALUE"""),1)</f>
        <v>1</v>
      </c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30.75" customHeight="1" spans="1:26">
      <c r="A91" s="2">
        <f>IFERROR(__xludf.DUMMYFUNCTION("""COMPUTED_VALUE"""),90)</f>
        <v>90</v>
      </c>
      <c r="B91" s="2" t="str">
        <f>IFERROR(__xludf.DUMMYFUNCTION("""COMPUTED_VALUE"""),"CIVIL")</f>
        <v>CIVIL</v>
      </c>
      <c r="C91" s="2" t="str">
        <f>IFERROR(__xludf.DUMMYFUNCTION("""COMPUTED_VALUE"""),"CE0617")</f>
        <v>CE0617</v>
      </c>
      <c r="D91" s="2" t="str">
        <f>IFERROR(__xludf.DUMMYFUNCTION("""COMPUTED_VALUE"""),"19CE617")</f>
        <v>19CE617</v>
      </c>
      <c r="E91" s="2"/>
      <c r="F91" s="2" t="str">
        <f>IFERROR(__xludf.DUMMYFUNCTION("""COMPUTED_VALUE"""),"NPTEL")</f>
        <v>NPTEL</v>
      </c>
      <c r="G91" s="3" t="str">
        <f>IFERROR(__xludf.DUMMYFUNCTION("""COMPUTED_VALUE"""),"Construction Methods and Equipment Management  (NPTEL)")</f>
        <v>Construction Methods and Equipment Management  (NPTEL)</v>
      </c>
      <c r="H91" s="2" t="str">
        <f>IFERROR(__xludf.DUMMYFUNCTION("""COMPUTED_VALUE"""),"8 weeks")</f>
        <v>8 weeks</v>
      </c>
      <c r="I91" s="2" t="str">
        <f>IFERROR(__xludf.DUMMYFUNCTION("""COMPUTED_VALUE"""),"10 / 25")</f>
        <v>10 / 25</v>
      </c>
      <c r="J91" s="2" t="str">
        <f>IFERROR(__xludf.DUMMYFUNCTION("""COMPUTED_VALUE"""),"30 / 75")</f>
        <v>30 / 75</v>
      </c>
      <c r="K91" s="2" t="str">
        <f>IFERROR(__xludf.DUMMYFUNCTION("""COMPUTED_VALUE"""),"40 / 100")</f>
        <v>40 / 100</v>
      </c>
      <c r="L91" s="2" t="str">
        <f>IFERROR(__xludf.DUMMYFUNCTION("""COMPUTED_VALUE"""),"CGPA")</f>
        <v>CGPA</v>
      </c>
      <c r="M91" s="2" t="str">
        <f>IFERROR(__xludf.DUMMYFUNCTION("""COMPUTED_VALUE"""),"Experiential Learning (Int and Grade from Certificate)")</f>
        <v>Experiential Learning (Int and Grade from Certificate)</v>
      </c>
      <c r="N91" s="2">
        <f>IFERROR(__xludf.DUMMYFUNCTION("""COMPUTED_VALUE"""),2)</f>
        <v>2</v>
      </c>
      <c r="O91" s="2">
        <f>IFERROR(__xludf.DUMMYFUNCTION("""COMPUTED_VALUE"""),2)</f>
        <v>2</v>
      </c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30.75" customHeight="1" spans="1:26">
      <c r="A92" s="2">
        <f>IFERROR(__xludf.DUMMYFUNCTION("""COMPUTED_VALUE"""),91)</f>
        <v>91</v>
      </c>
      <c r="B92" s="2" t="str">
        <f>IFERROR(__xludf.DUMMYFUNCTION("""COMPUTED_VALUE"""),"SCoFT")</f>
        <v>SCoFT</v>
      </c>
      <c r="C92" s="2" t="str">
        <f>IFERROR(__xludf.DUMMYFUNCTION("""COMPUTED_VALUE"""),"CS3110")</f>
        <v>CS3110</v>
      </c>
      <c r="D92" s="2" t="str">
        <f>IFERROR(__xludf.DUMMYFUNCTION("""COMPUTED_VALUE"""),"19AI110")</f>
        <v>19AI110</v>
      </c>
      <c r="E92" s="2"/>
      <c r="F92" s="2" t="str">
        <f>IFERROR(__xludf.DUMMYFUNCTION("""COMPUTED_VALUE"""),"COURSERA")</f>
        <v>COURSERA</v>
      </c>
      <c r="G92" s="3" t="str">
        <f>IFERROR(__xludf.DUMMYFUNCTION("""COMPUTED_VALUE"""),"Creative Programming for Digital Media &amp; Mobile Apps (Coursera)")</f>
        <v>Creative Programming for Digital Media &amp; Mobile Apps (Coursera)</v>
      </c>
      <c r="H92" s="2" t="str">
        <f>IFERROR(__xludf.DUMMYFUNCTION("""COMPUTED_VALUE"""),"5 weeks")</f>
        <v>5 weeks</v>
      </c>
      <c r="I92" s="2"/>
      <c r="J92" s="2"/>
      <c r="K92" s="2"/>
      <c r="L92" s="2" t="str">
        <f>IFERROR(__xludf.DUMMYFUNCTION("""COMPUTED_VALUE"""),"CGPA")</f>
        <v>CGPA</v>
      </c>
      <c r="M92" s="2" t="str">
        <f>IFERROR(__xludf.DUMMYFUNCTION("""COMPUTED_VALUE"""),"Experiential Learning (Int and Grade from Certificate)")</f>
        <v>Experiential Learning (Int and Grade from Certificate)</v>
      </c>
      <c r="N92" s="2">
        <f>IFERROR(__xludf.DUMMYFUNCTION("""COMPUTED_VALUE"""),1)</f>
        <v>1</v>
      </c>
      <c r="O92" s="2">
        <f>IFERROR(__xludf.DUMMYFUNCTION("""COMPUTED_VALUE"""),1)</f>
        <v>1</v>
      </c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30.75" customHeight="1" spans="1:26">
      <c r="A93" s="2">
        <f>IFERROR(__xludf.DUMMYFUNCTION("""COMPUTED_VALUE"""),92)</f>
        <v>92</v>
      </c>
      <c r="B93" s="2" t="str">
        <f>IFERROR(__xludf.DUMMYFUNCTION("""COMPUTED_VALUE"""),"MECH")</f>
        <v>MECH</v>
      </c>
      <c r="C93" s="2" t="str">
        <f>IFERROR(__xludf.DUMMYFUNCTION("""COMPUTED_VALUE"""),"ME0615")</f>
        <v>ME0615</v>
      </c>
      <c r="D93" s="2" t="str">
        <f>IFERROR(__xludf.DUMMYFUNCTION("""COMPUTED_VALUE"""),"19ME615")</f>
        <v>19ME615</v>
      </c>
      <c r="E93" s="2"/>
      <c r="F93" s="2" t="str">
        <f>IFERROR(__xludf.DUMMYFUNCTION("""COMPUTED_VALUE"""),"NPTEL")</f>
        <v>NPTEL</v>
      </c>
      <c r="G93" s="3" t="str">
        <f>IFERROR(__xludf.DUMMYFUNCTION("""COMPUTED_VALUE"""),"Cryogenic Hydrogen Technology (NPTEL)")</f>
        <v>Cryogenic Hydrogen Technology (NPTEL)</v>
      </c>
      <c r="H93" s="2" t="str">
        <f>IFERROR(__xludf.DUMMYFUNCTION("""COMPUTED_VALUE"""),"8 weeks")</f>
        <v>8 weeks</v>
      </c>
      <c r="I93" s="2" t="str">
        <f>IFERROR(__xludf.DUMMYFUNCTION("""COMPUTED_VALUE"""),"10 / 25")</f>
        <v>10 / 25</v>
      </c>
      <c r="J93" s="2" t="str">
        <f>IFERROR(__xludf.DUMMYFUNCTION("""COMPUTED_VALUE"""),"30 / 75")</f>
        <v>30 / 75</v>
      </c>
      <c r="K93" s="2" t="str">
        <f>IFERROR(__xludf.DUMMYFUNCTION("""COMPUTED_VALUE"""),"40 / 100")</f>
        <v>40 / 100</v>
      </c>
      <c r="L93" s="2" t="str">
        <f>IFERROR(__xludf.DUMMYFUNCTION("""COMPUTED_VALUE"""),"CGPA")</f>
        <v>CGPA</v>
      </c>
      <c r="M93" s="2" t="str">
        <f>IFERROR(__xludf.DUMMYFUNCTION("""COMPUTED_VALUE"""),"Experiential Learning (Int and Grade from Certificate)")</f>
        <v>Experiential Learning (Int and Grade from Certificate)</v>
      </c>
      <c r="N93" s="2">
        <f>IFERROR(__xludf.DUMMYFUNCTION("""COMPUTED_VALUE"""),2)</f>
        <v>2</v>
      </c>
      <c r="O93" s="2">
        <f>IFERROR(__xludf.DUMMYFUNCTION("""COMPUTED_VALUE"""),2)</f>
        <v>2</v>
      </c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30.75" customHeight="1" spans="1:26">
      <c r="A94" s="2">
        <f>IFERROR(__xludf.DUMMYFUNCTION("""COMPUTED_VALUE"""),93)</f>
        <v>93</v>
      </c>
      <c r="B94" s="2" t="str">
        <f>IFERROR(__xludf.DUMMYFUNCTION("""COMPUTED_VALUE"""),"SCoFT")</f>
        <v>SCoFT</v>
      </c>
      <c r="C94" s="2" t="str">
        <f>IFERROR(__xludf.DUMMYFUNCTION("""COMPUTED_VALUE"""),"CS3086")</f>
        <v>CS3086</v>
      </c>
      <c r="D94" s="2" t="str">
        <f>IFERROR(__xludf.DUMMYFUNCTION("""COMPUTED_VALUE"""),"19AI086")</f>
        <v>19AI086</v>
      </c>
      <c r="E94" s="2"/>
      <c r="F94" s="2" t="str">
        <f>IFERROR(__xludf.DUMMYFUNCTION("""COMPUTED_VALUE"""),"COURSERA")</f>
        <v>COURSERA</v>
      </c>
      <c r="G94" s="3" t="str">
        <f>IFERROR(__xludf.DUMMYFUNCTION("""COMPUTED_VALUE"""),"Cryptography (Coursera)")</f>
        <v>Cryptography (Coursera)</v>
      </c>
      <c r="H94" s="2" t="str">
        <f>IFERROR(__xludf.DUMMYFUNCTION("""COMPUTED_VALUE"""),"4 Weeks")</f>
        <v>4 Weeks</v>
      </c>
      <c r="I94" s="2"/>
      <c r="J94" s="2"/>
      <c r="K94" s="2"/>
      <c r="L94" s="2" t="str">
        <f>IFERROR(__xludf.DUMMYFUNCTION("""COMPUTED_VALUE"""),"CGPA")</f>
        <v>CGPA</v>
      </c>
      <c r="M94" s="2" t="str">
        <f>IFERROR(__xludf.DUMMYFUNCTION("""COMPUTED_VALUE"""),"Experiential Learning (Int and Grade from Certificate)")</f>
        <v>Experiential Learning (Int and Grade from Certificate)</v>
      </c>
      <c r="N94" s="2">
        <f>IFERROR(__xludf.DUMMYFUNCTION("""COMPUTED_VALUE"""),1)</f>
        <v>1</v>
      </c>
      <c r="O94" s="2">
        <f>IFERROR(__xludf.DUMMYFUNCTION("""COMPUTED_VALUE"""),1)</f>
        <v>1</v>
      </c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0.75" customHeight="1" spans="1:26">
      <c r="A95" s="2">
        <f>IFERROR(__xludf.DUMMYFUNCTION("""COMPUTED_VALUE"""),94)</f>
        <v>94</v>
      </c>
      <c r="B95" s="2" t="str">
        <f>IFERROR(__xludf.DUMMYFUNCTION("""COMPUTED_VALUE"""),"ECE, SCoFT")</f>
        <v>ECE, SCoFT</v>
      </c>
      <c r="C95" s="2" t="str">
        <f>IFERROR(__xludf.DUMMYFUNCTION("""COMPUTED_VALUE"""),"EC1612")</f>
        <v>EC1612</v>
      </c>
      <c r="D95" s="2" t="str">
        <f>IFERROR(__xludf.DUMMYFUNCTION("""COMPUTED_VALUE"""),"19EC612")</f>
        <v>19EC612</v>
      </c>
      <c r="E95" s="2"/>
      <c r="F95" s="2" t="str">
        <f>IFERROR(__xludf.DUMMYFUNCTION("""COMPUTED_VALUE"""),"NPTEL")</f>
        <v>NPTEL</v>
      </c>
      <c r="G95" s="3" t="str">
        <f>IFERROR(__xludf.DUMMYFUNCTION("""COMPUTED_VALUE"""),"Cryptography and Network Security (NPTEL)")</f>
        <v>Cryptography and Network Security (NPTEL)</v>
      </c>
      <c r="H95" s="2" t="str">
        <f>IFERROR(__xludf.DUMMYFUNCTION("""COMPUTED_VALUE"""),"12 Weeks")</f>
        <v>12 Weeks</v>
      </c>
      <c r="I95" s="4">
        <f>IFERROR(__xludf.DUMMYFUNCTION("""COMPUTED_VALUE"""),45224)</f>
        <v>45224</v>
      </c>
      <c r="J95" s="2" t="str">
        <f>IFERROR(__xludf.DUMMYFUNCTION("""COMPUTED_VALUE"""),"30/75")</f>
        <v>30/75</v>
      </c>
      <c r="K95" s="2" t="str">
        <f>IFERROR(__xludf.DUMMYFUNCTION("""COMPUTED_VALUE"""),"40/100")</f>
        <v>40/100</v>
      </c>
      <c r="L95" s="2" t="str">
        <f>IFERROR(__xludf.DUMMYFUNCTION("""COMPUTED_VALUE"""),"CGPA ")</f>
        <v>CGPA </v>
      </c>
      <c r="M95" s="2" t="str">
        <f>IFERROR(__xludf.DUMMYFUNCTION("""COMPUTED_VALUE"""),"Experiential Learning (Int and Grade from Certificate)")</f>
        <v>Experiential Learning (Int and Grade from Certificate)</v>
      </c>
      <c r="N95" s="2">
        <f>IFERROR(__xludf.DUMMYFUNCTION("""COMPUTED_VALUE"""),2)</f>
        <v>2</v>
      </c>
      <c r="O95" s="2">
        <f>IFERROR(__xludf.DUMMYFUNCTION("""COMPUTED_VALUE"""),3)</f>
        <v>3</v>
      </c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30.75" customHeight="1" spans="1:26">
      <c r="A96" s="2">
        <f>IFERROR(__xludf.DUMMYFUNCTION("""COMPUTED_VALUE"""),95)</f>
        <v>95</v>
      </c>
      <c r="B96" s="2" t="str">
        <f>IFERROR(__xludf.DUMMYFUNCTION("""COMPUTED_VALUE"""),"SCoFT")</f>
        <v>SCoFT</v>
      </c>
      <c r="C96" s="2" t="str">
        <f>IFERROR(__xludf.DUMMYFUNCTION("""COMPUTED_VALUE"""),"CS3109")</f>
        <v>CS3109</v>
      </c>
      <c r="D96" s="2" t="str">
        <f>IFERROR(__xludf.DUMMYFUNCTION("""COMPUTED_VALUE"""),"19AI109")</f>
        <v>19AI109</v>
      </c>
      <c r="E96" s="2"/>
      <c r="F96" s="2" t="str">
        <f>IFERROR(__xludf.DUMMYFUNCTION("""COMPUTED_VALUE"""),"COURSERA")</f>
        <v>COURSERA</v>
      </c>
      <c r="G96" s="3" t="str">
        <f>IFERROR(__xludf.DUMMYFUNCTION("""COMPUTED_VALUE"""),"Cyber Security for Everyone (Coursera)")</f>
        <v>Cyber Security for Everyone (Coursera)</v>
      </c>
      <c r="H96" s="2" t="str">
        <f>IFERROR(__xludf.DUMMYFUNCTION("""COMPUTED_VALUE"""),"6 weeks")</f>
        <v>6 weeks</v>
      </c>
      <c r="I96" s="2"/>
      <c r="J96" s="2"/>
      <c r="K96" s="2"/>
      <c r="L96" s="2" t="str">
        <f>IFERROR(__xludf.DUMMYFUNCTION("""COMPUTED_VALUE"""),"CGPA")</f>
        <v>CGPA</v>
      </c>
      <c r="M96" s="2" t="str">
        <f>IFERROR(__xludf.DUMMYFUNCTION("""COMPUTED_VALUE"""),"Experiential Learning (Int and Grade from Certificate)")</f>
        <v>Experiential Learning (Int and Grade from Certificate)</v>
      </c>
      <c r="N96" s="2">
        <f>IFERROR(__xludf.DUMMYFUNCTION("""COMPUTED_VALUE"""),1)</f>
        <v>1</v>
      </c>
      <c r="O96" s="2">
        <f>IFERROR(__xludf.DUMMYFUNCTION("""COMPUTED_VALUE"""),1)</f>
        <v>1</v>
      </c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0.75" customHeight="1" spans="1:26">
      <c r="A97" s="2">
        <f>IFERROR(__xludf.DUMMYFUNCTION("""COMPUTED_VALUE"""),96)</f>
        <v>96</v>
      </c>
      <c r="B97" s="2" t="str">
        <f>IFERROR(__xludf.DUMMYFUNCTION("""COMPUTED_VALUE"""),"SCoFT")</f>
        <v>SCoFT</v>
      </c>
      <c r="C97" s="2" t="str">
        <f>IFERROR(__xludf.DUMMYFUNCTION("""COMPUTED_VALUE"""),"CS3079")</f>
        <v>CS3079</v>
      </c>
      <c r="D97" s="2" t="str">
        <f>IFERROR(__xludf.DUMMYFUNCTION("""COMPUTED_VALUE"""),"19AI079")</f>
        <v>19AI079</v>
      </c>
      <c r="E97" s="2"/>
      <c r="F97" s="2" t="str">
        <f>IFERROR(__xludf.DUMMYFUNCTION("""COMPUTED_VALUE"""),"COURSERA")</f>
        <v>COURSERA</v>
      </c>
      <c r="G97" s="3" t="str">
        <f>IFERROR(__xludf.DUMMYFUNCTION("""COMPUTED_VALUE"""),"Cyber Security in Healthcare and Hospitals (Coursera)")</f>
        <v>Cyber Security in Healthcare and Hospitals (Coursera)</v>
      </c>
      <c r="H97" s="2" t="str">
        <f>IFERROR(__xludf.DUMMYFUNCTION("""COMPUTED_VALUE"""),"5 Weeks")</f>
        <v>5 Weeks</v>
      </c>
      <c r="I97" s="2"/>
      <c r="J97" s="2"/>
      <c r="K97" s="2"/>
      <c r="L97" s="2" t="str">
        <f>IFERROR(__xludf.DUMMYFUNCTION("""COMPUTED_VALUE"""),"CGPA")</f>
        <v>CGPA</v>
      </c>
      <c r="M97" s="2" t="str">
        <f>IFERROR(__xludf.DUMMYFUNCTION("""COMPUTED_VALUE"""),"Experiential Learning (Int and Grade from Certificate)")</f>
        <v>Experiential Learning (Int and Grade from Certificate)</v>
      </c>
      <c r="N97" s="2">
        <f>IFERROR(__xludf.DUMMYFUNCTION("""COMPUTED_VALUE"""),1)</f>
        <v>1</v>
      </c>
      <c r="O97" s="2">
        <f>IFERROR(__xludf.DUMMYFUNCTION("""COMPUTED_VALUE"""),1)</f>
        <v>1</v>
      </c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0.75" customHeight="1" spans="1:26">
      <c r="A98" s="2">
        <f>IFERROR(__xludf.DUMMYFUNCTION("""COMPUTED_VALUE"""),97)</f>
        <v>97</v>
      </c>
      <c r="B98" s="2" t="str">
        <f>IFERROR(__xludf.DUMMYFUNCTION("""COMPUTED_VALUE"""),"CHEMICAL")</f>
        <v>CHEMICAL</v>
      </c>
      <c r="C98" s="2" t="str">
        <f>IFERROR(__xludf.DUMMYFUNCTION("""COMPUTED_VALUE"""),"CH0615")</f>
        <v>CH0615</v>
      </c>
      <c r="D98" s="2" t="str">
        <f>IFERROR(__xludf.DUMMYFUNCTION("""COMPUTED_VALUE"""),"19CH615")</f>
        <v>19CH615</v>
      </c>
      <c r="E98" s="2"/>
      <c r="F98" s="2" t="str">
        <f>IFERROR(__xludf.DUMMYFUNCTION("""COMPUTED_VALUE"""),"NPTEL")</f>
        <v>NPTEL</v>
      </c>
      <c r="G98" s="3" t="str">
        <f>IFERROR(__xludf.DUMMYFUNCTION("""COMPUTED_VALUE"""),"Dairy and Food Process and Products Technology (NPTEL)")</f>
        <v>Dairy and Food Process and Products Technology (NPTEL)</v>
      </c>
      <c r="H98" s="2" t="str">
        <f>IFERROR(__xludf.DUMMYFUNCTION("""COMPUTED_VALUE"""),"12 Weeks")</f>
        <v>12 Weeks</v>
      </c>
      <c r="I98" s="2" t="str">
        <f>IFERROR(__xludf.DUMMYFUNCTION("""COMPUTED_VALUE"""),"10 / 25")</f>
        <v>10 / 25</v>
      </c>
      <c r="J98" s="2" t="str">
        <f>IFERROR(__xludf.DUMMYFUNCTION("""COMPUTED_VALUE"""),"30 / 75")</f>
        <v>30 / 75</v>
      </c>
      <c r="K98" s="2" t="str">
        <f>IFERROR(__xludf.DUMMYFUNCTION("""COMPUTED_VALUE"""),"40 / 100")</f>
        <v>40 / 100</v>
      </c>
      <c r="L98" s="2" t="str">
        <f>IFERROR(__xludf.DUMMYFUNCTION("""COMPUTED_VALUE"""),"CGPA ")</f>
        <v>CGPA </v>
      </c>
      <c r="M98" s="2" t="str">
        <f>IFERROR(__xludf.DUMMYFUNCTION("""COMPUTED_VALUE"""),"Experiential Learning (Int and Grade from Certificate)")</f>
        <v>Experiential Learning (Int and Grade from Certificate)</v>
      </c>
      <c r="N98" s="2">
        <f>IFERROR(__xludf.DUMMYFUNCTION("""COMPUTED_VALUE"""),2)</f>
        <v>2</v>
      </c>
      <c r="O98" s="2">
        <f>IFERROR(__xludf.DUMMYFUNCTION("""COMPUTED_VALUE"""),3)</f>
        <v>3</v>
      </c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0.75" customHeight="1" spans="1:26">
      <c r="A99" s="2">
        <f>IFERROR(__xludf.DUMMYFUNCTION("""COMPUTED_VALUE"""),98)</f>
        <v>98</v>
      </c>
      <c r="B99" s="2" t="str">
        <f>IFERROR(__xludf.DUMMYFUNCTION("""COMPUTED_VALUE"""),"BME, MED ELEC")</f>
        <v>BME, MED ELEC</v>
      </c>
      <c r="C99" s="2" t="str">
        <f>IFERROR(__xludf.DUMMYFUNCTION("""COMPUTED_VALUE"""),"EC4636")</f>
        <v>EC4636</v>
      </c>
      <c r="D99" s="2" t="str">
        <f>IFERROR(__xludf.DUMMYFUNCTION("""COMPUTED_VALUE"""),"19BM636")</f>
        <v>19BM636</v>
      </c>
      <c r="E99" s="2"/>
      <c r="F99" s="2" t="str">
        <f>IFERROR(__xludf.DUMMYFUNCTION("""COMPUTED_VALUE"""),"NPTEL")</f>
        <v>NPTEL</v>
      </c>
      <c r="G99" s="3" t="str">
        <f>IFERROR(__xludf.DUMMYFUNCTION("""COMPUTED_VALUE"""),"Data Analysis and Decision Making - I (NPTEL)")</f>
        <v>Data Analysis and Decision Making - I (NPTEL)</v>
      </c>
      <c r="H99" s="2" t="str">
        <f>IFERROR(__xludf.DUMMYFUNCTION("""COMPUTED_VALUE"""),"12 Weeks")</f>
        <v>12 Weeks</v>
      </c>
      <c r="I99" s="2"/>
      <c r="J99" s="2"/>
      <c r="K99" s="2"/>
      <c r="L99" s="2" t="str">
        <f>IFERROR(__xludf.DUMMYFUNCTION("""COMPUTED_VALUE"""),"CGPA")</f>
        <v>CGPA</v>
      </c>
      <c r="M99" s="2" t="str">
        <f>IFERROR(__xludf.DUMMYFUNCTION("""COMPUTED_VALUE"""),"Experiential Learning (Int and Grade from Certificate)")</f>
        <v>Experiential Learning (Int and Grade from Certificate)</v>
      </c>
      <c r="N99" s="2">
        <f>IFERROR(__xludf.DUMMYFUNCTION("""COMPUTED_VALUE"""),3)</f>
        <v>3</v>
      </c>
      <c r="O99" s="2">
        <f>IFERROR(__xludf.DUMMYFUNCTION("""COMPUTED_VALUE"""),3)</f>
        <v>3</v>
      </c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30.75" customHeight="1" spans="1:26">
      <c r="A100" s="2">
        <f>IFERROR(__xludf.DUMMYFUNCTION("""COMPUTED_VALUE"""),99)</f>
        <v>99</v>
      </c>
      <c r="B100" s="2" t="str">
        <f>IFERROR(__xludf.DUMMYFUNCTION("""COMPUTED_VALUE"""),"BME, MED ELEC")</f>
        <v>BME, MED ELEC</v>
      </c>
      <c r="C100" s="2" t="str">
        <f>IFERROR(__xludf.DUMMYFUNCTION("""COMPUTED_VALUE"""),"EC4637")</f>
        <v>EC4637</v>
      </c>
      <c r="D100" s="2" t="str">
        <f>IFERROR(__xludf.DUMMYFUNCTION("""COMPUTED_VALUE"""),"19BM637")</f>
        <v>19BM637</v>
      </c>
      <c r="E100" s="2"/>
      <c r="F100" s="2" t="str">
        <f>IFERROR(__xludf.DUMMYFUNCTION("""COMPUTED_VALUE"""),"NPTEL")</f>
        <v>NPTEL</v>
      </c>
      <c r="G100" s="3" t="str">
        <f>IFERROR(__xludf.DUMMYFUNCTION("""COMPUTED_VALUE"""),"Data Analysis for Biologists (NPTEL)")</f>
        <v>Data Analysis for Biologists (NPTEL)</v>
      </c>
      <c r="H100" s="2" t="str">
        <f>IFERROR(__xludf.DUMMYFUNCTION("""COMPUTED_VALUE"""),"8 Weeks")</f>
        <v>8 Weeks</v>
      </c>
      <c r="I100" s="2"/>
      <c r="J100" s="2"/>
      <c r="K100" s="2"/>
      <c r="L100" s="2" t="str">
        <f>IFERROR(__xludf.DUMMYFUNCTION("""COMPUTED_VALUE"""),"CGPA")</f>
        <v>CGPA</v>
      </c>
      <c r="M100" s="2" t="str">
        <f>IFERROR(__xludf.DUMMYFUNCTION("""COMPUTED_VALUE"""),"Experiential Learning (Int and Grade from Certificate)")</f>
        <v>Experiential Learning (Int and Grade from Certificate)</v>
      </c>
      <c r="N100" s="2">
        <f>IFERROR(__xludf.DUMMYFUNCTION("""COMPUTED_VALUE"""),2)</f>
        <v>2</v>
      </c>
      <c r="O100" s="2">
        <f>IFERROR(__xludf.DUMMYFUNCTION("""COMPUTED_VALUE"""),2)</f>
        <v>2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30.75" customHeight="1" spans="1:26">
      <c r="A101" s="2">
        <f>IFERROR(__xludf.DUMMYFUNCTION("""COMPUTED_VALUE"""),100)</f>
        <v>100</v>
      </c>
      <c r="B101" s="2" t="str">
        <f>IFERROR(__xludf.DUMMYFUNCTION("""COMPUTED_VALUE"""),"SCoFT")</f>
        <v>SCoFT</v>
      </c>
      <c r="C101" s="2" t="str">
        <f>IFERROR(__xludf.DUMMYFUNCTION("""COMPUTED_VALUE"""),"CS3090")</f>
        <v>CS3090</v>
      </c>
      <c r="D101" s="2" t="str">
        <f>IFERROR(__xludf.DUMMYFUNCTION("""COMPUTED_VALUE"""),"19AI090")</f>
        <v>19AI090</v>
      </c>
      <c r="E101" s="2"/>
      <c r="F101" s="2" t="str">
        <f>IFERROR(__xludf.DUMMYFUNCTION("""COMPUTED_VALUE"""),"COURSERA")</f>
        <v>COURSERA</v>
      </c>
      <c r="G101" s="3" t="str">
        <f>IFERROR(__xludf.DUMMYFUNCTION("""COMPUTED_VALUE"""),"Data Analytics for Lean Six Sigma (Coursera)")</f>
        <v>Data Analytics for Lean Six Sigma (Coursera)</v>
      </c>
      <c r="H101" s="2" t="str">
        <f>IFERROR(__xludf.DUMMYFUNCTION("""COMPUTED_VALUE"""),"5 weeks")</f>
        <v>5 weeks</v>
      </c>
      <c r="I101" s="2"/>
      <c r="J101" s="2"/>
      <c r="K101" s="2"/>
      <c r="L101" s="2" t="str">
        <f>IFERROR(__xludf.DUMMYFUNCTION("""COMPUTED_VALUE"""),"CGPA")</f>
        <v>CGPA</v>
      </c>
      <c r="M101" s="2" t="str">
        <f>IFERROR(__xludf.DUMMYFUNCTION("""COMPUTED_VALUE"""),"Experiential Learning (Int and Grade from Certificate)")</f>
        <v>Experiential Learning (Int and Grade from Certificate)</v>
      </c>
      <c r="N101" s="2">
        <f>IFERROR(__xludf.DUMMYFUNCTION("""COMPUTED_VALUE"""),1)</f>
        <v>1</v>
      </c>
      <c r="O101" s="2">
        <f>IFERROR(__xludf.DUMMYFUNCTION("""COMPUTED_VALUE"""),1)</f>
        <v>1</v>
      </c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30.75" customHeight="1" spans="1:26">
      <c r="A102" s="2">
        <f>IFERROR(__xludf.DUMMYFUNCTION("""COMPUTED_VALUE"""),101)</f>
        <v>101</v>
      </c>
      <c r="B102" s="2" t="str">
        <f>IFERROR(__xludf.DUMMYFUNCTION("""COMPUTED_VALUE"""),"ECE, EEE, EIE, SCoFT, BME, MED ELEC")</f>
        <v>ECE, EEE, EIE, SCoFT, BME, MED ELEC</v>
      </c>
      <c r="C102" s="2" t="str">
        <f>IFERROR(__xludf.DUMMYFUNCTION("""COMPUTED_VALUE"""),"EC1616")</f>
        <v>EC1616</v>
      </c>
      <c r="D102" s="2" t="str">
        <f>IFERROR(__xludf.DUMMYFUNCTION("""COMPUTED_VALUE"""),"19EC616")</f>
        <v>19EC616</v>
      </c>
      <c r="E102" s="2"/>
      <c r="F102" s="2" t="str">
        <f>IFERROR(__xludf.DUMMYFUNCTION("""COMPUTED_VALUE"""),"NPTEL")</f>
        <v>NPTEL</v>
      </c>
      <c r="G102" s="3" t="str">
        <f>IFERROR(__xludf.DUMMYFUNCTION("""COMPUTED_VALUE"""),"Data Analytics with Python (NPTEL)")</f>
        <v>Data Analytics with Python (NPTEL)</v>
      </c>
      <c r="H102" s="2" t="str">
        <f>IFERROR(__xludf.DUMMYFUNCTION("""COMPUTED_VALUE"""),"12 Weeks")</f>
        <v>12 Weeks</v>
      </c>
      <c r="I102" s="4">
        <f>IFERROR(__xludf.DUMMYFUNCTION("""COMPUTED_VALUE"""),45224)</f>
        <v>45224</v>
      </c>
      <c r="J102" s="2" t="str">
        <f>IFERROR(__xludf.DUMMYFUNCTION("""COMPUTED_VALUE"""),"30/75")</f>
        <v>30/75</v>
      </c>
      <c r="K102" s="2" t="str">
        <f>IFERROR(__xludf.DUMMYFUNCTION("""COMPUTED_VALUE"""),"40/100")</f>
        <v>40/100</v>
      </c>
      <c r="L102" s="2" t="str">
        <f>IFERROR(__xludf.DUMMYFUNCTION("""COMPUTED_VALUE"""),"CGPA ")</f>
        <v>CGPA </v>
      </c>
      <c r="M102" s="2" t="str">
        <f>IFERROR(__xludf.DUMMYFUNCTION("""COMPUTED_VALUE"""),"Experiential Learning (Int and Grade from Certificate)")</f>
        <v>Experiential Learning (Int and Grade from Certificate)</v>
      </c>
      <c r="N102" s="2">
        <f>IFERROR(__xludf.DUMMYFUNCTION("""COMPUTED_VALUE"""),2)</f>
        <v>2</v>
      </c>
      <c r="O102" s="2">
        <f>IFERROR(__xludf.DUMMYFUNCTION("""COMPUTED_VALUE"""),3)</f>
        <v>3</v>
      </c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30.75" customHeight="1" spans="1:26">
      <c r="A103" s="2">
        <f>IFERROR(__xludf.DUMMYFUNCTION("""COMPUTED_VALUE"""),102)</f>
        <v>102</v>
      </c>
      <c r="B103" s="2" t="str">
        <f>IFERROR(__xludf.DUMMYFUNCTION("""COMPUTED_VALUE"""),"SCoFT")</f>
        <v>SCoFT</v>
      </c>
      <c r="C103" s="2" t="str">
        <f>IFERROR(__xludf.DUMMYFUNCTION("""COMPUTED_VALUE"""),"CS3022")</f>
        <v>CS3022</v>
      </c>
      <c r="D103" s="2" t="str">
        <f>IFERROR(__xludf.DUMMYFUNCTION("""COMPUTED_VALUE"""),"19AI022")</f>
        <v>19AI022</v>
      </c>
      <c r="E103" s="2"/>
      <c r="F103" s="2" t="str">
        <f>IFERROR(__xludf.DUMMYFUNCTION("""COMPUTED_VALUE"""),"NPTEL")</f>
        <v>NPTEL</v>
      </c>
      <c r="G103" s="3" t="str">
        <f>IFERROR(__xludf.DUMMYFUNCTION("""COMPUTED_VALUE"""),"Data Mining (NPTEL)")</f>
        <v>Data Mining (NPTEL)</v>
      </c>
      <c r="H103" s="2" t="str">
        <f>IFERROR(__xludf.DUMMYFUNCTION("""COMPUTED_VALUE"""),"8 Weeks")</f>
        <v>8 Weeks</v>
      </c>
      <c r="I103" s="2"/>
      <c r="J103" s="2"/>
      <c r="K103" s="2"/>
      <c r="L103" s="2" t="str">
        <f>IFERROR(__xludf.DUMMYFUNCTION("""COMPUTED_VALUE"""),"CGPA ")</f>
        <v>CGPA </v>
      </c>
      <c r="M103" s="2" t="str">
        <f>IFERROR(__xludf.DUMMYFUNCTION("""COMPUTED_VALUE"""),"Experiential Learning (Int and Grade from Certificate)")</f>
        <v>Experiential Learning (Int and Grade from Certificate)</v>
      </c>
      <c r="N103" s="2">
        <f>IFERROR(__xludf.DUMMYFUNCTION("""COMPUTED_VALUE"""),2)</f>
        <v>2</v>
      </c>
      <c r="O103" s="2">
        <f>IFERROR(__xludf.DUMMYFUNCTION("""COMPUTED_VALUE"""),2)</f>
        <v>2</v>
      </c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30.75" customHeight="1" spans="1:26">
      <c r="A104" s="2">
        <f>IFERROR(__xludf.DUMMYFUNCTION("""COMPUTED_VALUE"""),103)</f>
        <v>103</v>
      </c>
      <c r="B104" s="2" t="str">
        <f>IFERROR(__xludf.DUMMYFUNCTION("""COMPUTED_VALUE"""),"SCoFT")</f>
        <v>SCoFT</v>
      </c>
      <c r="C104" s="2" t="str">
        <f>IFERROR(__xludf.DUMMYFUNCTION("""COMPUTED_VALUE"""),"CS3093")</f>
        <v>CS3093</v>
      </c>
      <c r="D104" s="2" t="str">
        <f>IFERROR(__xludf.DUMMYFUNCTION("""COMPUTED_VALUE"""),"19AI093")</f>
        <v>19AI093</v>
      </c>
      <c r="E104" s="2"/>
      <c r="F104" s="2" t="str">
        <f>IFERROR(__xludf.DUMMYFUNCTION("""COMPUTED_VALUE"""),"COURSERA")</f>
        <v>COURSERA</v>
      </c>
      <c r="G104" s="3" t="str">
        <f>IFERROR(__xludf.DUMMYFUNCTION("""COMPUTED_VALUE"""),"Data Processing using Python (Coursera)")</f>
        <v>Data Processing using Python (Coursera)</v>
      </c>
      <c r="H104" s="2" t="str">
        <f>IFERROR(__xludf.DUMMYFUNCTION("""COMPUTED_VALUE"""),"5 weeks")</f>
        <v>5 weeks</v>
      </c>
      <c r="I104" s="2"/>
      <c r="J104" s="2"/>
      <c r="K104" s="2"/>
      <c r="L104" s="2" t="str">
        <f>IFERROR(__xludf.DUMMYFUNCTION("""COMPUTED_VALUE"""),"CGPA")</f>
        <v>CGPA</v>
      </c>
      <c r="M104" s="2" t="str">
        <f>IFERROR(__xludf.DUMMYFUNCTION("""COMPUTED_VALUE"""),"Experiential Learning (Int and Grade from Certificate)")</f>
        <v>Experiential Learning (Int and Grade from Certificate)</v>
      </c>
      <c r="N104" s="2">
        <f>IFERROR(__xludf.DUMMYFUNCTION("""COMPUTED_VALUE"""),1)</f>
        <v>1</v>
      </c>
      <c r="O104" s="2">
        <f>IFERROR(__xludf.DUMMYFUNCTION("""COMPUTED_VALUE"""),1)</f>
        <v>1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30.75" customHeight="1" spans="1:26">
      <c r="A105" s="2">
        <f>IFERROR(__xludf.DUMMYFUNCTION("""COMPUTED_VALUE"""),104)</f>
        <v>104</v>
      </c>
      <c r="B105" s="2" t="str">
        <f>IFERROR(__xludf.DUMMYFUNCTION("""COMPUTED_VALUE"""),"SCoFT")</f>
        <v>SCoFT</v>
      </c>
      <c r="C105" s="2" t="str">
        <f>IFERROR(__xludf.DUMMYFUNCTION("""COMPUTED_VALUE"""),"CS3260")</f>
        <v>CS3260</v>
      </c>
      <c r="D105" s="2" t="str">
        <f>IFERROR(__xludf.DUMMYFUNCTION("""COMPUTED_VALUE"""),"19AI260")</f>
        <v>19AI260</v>
      </c>
      <c r="E105" s="2"/>
      <c r="F105" s="2" t="str">
        <f>IFERROR(__xludf.DUMMYFUNCTION("""COMPUTED_VALUE"""),"Coursera")</f>
        <v>Coursera</v>
      </c>
      <c r="G105" s="3" t="str">
        <f>IFERROR(__xludf.DUMMYFUNCTION("""COMPUTED_VALUE"""),"Data Science")</f>
        <v>Data Science</v>
      </c>
      <c r="H105" s="2" t="str">
        <f>IFERROR(__xludf.DUMMYFUNCTION("""COMPUTED_VALUE"""),"2 Months")</f>
        <v>2 Months</v>
      </c>
      <c r="I105" s="2" t="str">
        <f>IFERROR(__xludf.DUMMYFUNCTION("""COMPUTED_VALUE"""),"NA")</f>
        <v>NA</v>
      </c>
      <c r="J105" s="2" t="str">
        <f>IFERROR(__xludf.DUMMYFUNCTION("""COMPUTED_VALUE"""),"NA")</f>
        <v>NA</v>
      </c>
      <c r="K105" s="2" t="str">
        <f>IFERROR(__xludf.DUMMYFUNCTION("""COMPUTED_VALUE"""),"NA")</f>
        <v>NA</v>
      </c>
      <c r="L105" s="2" t="str">
        <f>IFERROR(__xludf.DUMMYFUNCTION("""COMPUTED_VALUE"""),"CGPA")</f>
        <v>CGPA</v>
      </c>
      <c r="M105" s="2" t="str">
        <f>IFERROR(__xludf.DUMMYFUNCTION("""COMPUTED_VALUE"""),"Experiential Learning (Int and Grade from Certificate)")</f>
        <v>Experiential Learning (Int and Grade from Certificate)</v>
      </c>
      <c r="N105" s="2">
        <f>IFERROR(__xludf.DUMMYFUNCTION("""COMPUTED_VALUE"""),2)</f>
        <v>2</v>
      </c>
      <c r="O105" s="2">
        <f>IFERROR(__xludf.DUMMYFUNCTION("""COMPUTED_VALUE"""),2)</f>
        <v>2</v>
      </c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30.75" customHeight="1" spans="1:26">
      <c r="A106" s="2">
        <f>IFERROR(__xludf.DUMMYFUNCTION("""COMPUTED_VALUE"""),105)</f>
        <v>105</v>
      </c>
      <c r="B106" s="2" t="str">
        <f>IFERROR(__xludf.DUMMYFUNCTION("""COMPUTED_VALUE"""),"SCoFT")</f>
        <v>SCoFT</v>
      </c>
      <c r="C106" s="2" t="str">
        <f>IFERROR(__xludf.DUMMYFUNCTION("""COMPUTED_VALUE"""),"CS3081")</f>
        <v>CS3081</v>
      </c>
      <c r="D106" s="2" t="str">
        <f>IFERROR(__xludf.DUMMYFUNCTION("""COMPUTED_VALUE"""),"19AI081")</f>
        <v>19AI081</v>
      </c>
      <c r="E106" s="2"/>
      <c r="F106" s="2" t="str">
        <f>IFERROR(__xludf.DUMMYFUNCTION("""COMPUTED_VALUE"""),"COURSERA")</f>
        <v>COURSERA</v>
      </c>
      <c r="G106" s="3" t="str">
        <f>IFERROR(__xludf.DUMMYFUNCTION("""COMPUTED_VALUE"""),"Data Science Ethics (Coursera)")</f>
        <v>Data Science Ethics (Coursera)</v>
      </c>
      <c r="H106" s="2" t="str">
        <f>IFERROR(__xludf.DUMMYFUNCTION("""COMPUTED_VALUE"""),"4 Weeks")</f>
        <v>4 Weeks</v>
      </c>
      <c r="I106" s="2"/>
      <c r="J106" s="2"/>
      <c r="K106" s="2"/>
      <c r="L106" s="2" t="str">
        <f>IFERROR(__xludf.DUMMYFUNCTION("""COMPUTED_VALUE"""),"CGPA")</f>
        <v>CGPA</v>
      </c>
      <c r="M106" s="2" t="str">
        <f>IFERROR(__xludf.DUMMYFUNCTION("""COMPUTED_VALUE"""),"Experiential Learning (Int and Grade from Certificate)")</f>
        <v>Experiential Learning (Int and Grade from Certificate)</v>
      </c>
      <c r="N106" s="2">
        <f>IFERROR(__xludf.DUMMYFUNCTION("""COMPUTED_VALUE"""),1)</f>
        <v>1</v>
      </c>
      <c r="O106" s="2">
        <f>IFERROR(__xludf.DUMMYFUNCTION("""COMPUTED_VALUE"""),1)</f>
        <v>1</v>
      </c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30.75" customHeight="1" spans="1:26">
      <c r="A107" s="2">
        <f>IFERROR(__xludf.DUMMYFUNCTION("""COMPUTED_VALUE"""),106)</f>
        <v>106</v>
      </c>
      <c r="B107" s="2" t="str">
        <f>IFERROR(__xludf.DUMMYFUNCTION("""COMPUTED_VALUE"""),"SCoFT, BME, MED ELEC")</f>
        <v>SCoFT, BME, MED ELEC</v>
      </c>
      <c r="C107" s="2" t="str">
        <f>IFERROR(__xludf.DUMMYFUNCTION("""COMPUTED_VALUE"""),"CS1604")</f>
        <v>CS1604</v>
      </c>
      <c r="D107" s="2" t="str">
        <f>IFERROR(__xludf.DUMMYFUNCTION("""COMPUTED_VALUE"""),"19CS604")</f>
        <v>19CS604</v>
      </c>
      <c r="E107" s="2"/>
      <c r="F107" s="2" t="str">
        <f>IFERROR(__xludf.DUMMYFUNCTION("""COMPUTED_VALUE"""),"NPTEL ( IITM )")</f>
        <v>NPTEL ( IITM )</v>
      </c>
      <c r="G107" s="3" t="str">
        <f>IFERROR(__xludf.DUMMYFUNCTION("""COMPUTED_VALUE"""),"Data Science for Engineers (NPTEL)")</f>
        <v>Data Science for Engineers (NPTEL)</v>
      </c>
      <c r="H107" s="2" t="str">
        <f>IFERROR(__xludf.DUMMYFUNCTION("""COMPUTED_VALUE"""),"8 Weeks")</f>
        <v>8 Weeks</v>
      </c>
      <c r="I107" s="4">
        <f>IFERROR(__xludf.DUMMYFUNCTION("""COMPUTED_VALUE"""),45224)</f>
        <v>45224</v>
      </c>
      <c r="J107" s="2" t="str">
        <f>IFERROR(__xludf.DUMMYFUNCTION("""COMPUTED_VALUE"""),"30/75")</f>
        <v>30/75</v>
      </c>
      <c r="K107" s="2" t="str">
        <f>IFERROR(__xludf.DUMMYFUNCTION("""COMPUTED_VALUE"""),"40/100")</f>
        <v>40/100</v>
      </c>
      <c r="L107" s="2" t="str">
        <f>IFERROR(__xludf.DUMMYFUNCTION("""COMPUTED_VALUE"""),"CGPA ")</f>
        <v>CGPA </v>
      </c>
      <c r="M107" s="2" t="str">
        <f>IFERROR(__xludf.DUMMYFUNCTION("""COMPUTED_VALUE"""),"Experiential Learning (Int and Grade from Certificate)")</f>
        <v>Experiential Learning (Int and Grade from Certificate)</v>
      </c>
      <c r="N107" s="2">
        <f>IFERROR(__xludf.DUMMYFUNCTION("""COMPUTED_VALUE"""),2)</f>
        <v>2</v>
      </c>
      <c r="O107" s="2">
        <f>IFERROR(__xludf.DUMMYFUNCTION("""COMPUTED_VALUE"""),2)</f>
        <v>2</v>
      </c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30.75" customHeight="1" spans="1:26">
      <c r="A108" s="2">
        <f>IFERROR(__xludf.DUMMYFUNCTION("""COMPUTED_VALUE"""),107)</f>
        <v>107</v>
      </c>
      <c r="B108" s="2" t="str">
        <f>IFERROR(__xludf.DUMMYFUNCTION("""COMPUTED_VALUE"""),"SCoFT")</f>
        <v>SCoFT</v>
      </c>
      <c r="C108" s="2" t="str">
        <f>IFERROR(__xludf.DUMMYFUNCTION("""COMPUTED_VALUE"""),"CS3113")</f>
        <v>CS3113</v>
      </c>
      <c r="D108" s="2" t="str">
        <f>IFERROR(__xludf.DUMMYFUNCTION("""COMPUTED_VALUE"""),"19AI113")</f>
        <v>19AI113</v>
      </c>
      <c r="E108" s="2"/>
      <c r="F108" s="2" t="str">
        <f>IFERROR(__xludf.DUMMYFUNCTION("""COMPUTED_VALUE"""),"COURSERA")</f>
        <v>COURSERA</v>
      </c>
      <c r="G108" s="3" t="str">
        <f>IFERROR(__xludf.DUMMYFUNCTION("""COMPUTED_VALUE"""),"Data Science in Stratified Healthcare and Precision Medicine (Coursera)")</f>
        <v>Data Science in Stratified Healthcare and Precision Medicine (Coursera)</v>
      </c>
      <c r="H108" s="2" t="str">
        <f>IFERROR(__xludf.DUMMYFUNCTION("""COMPUTED_VALUE"""),"5 weeks")</f>
        <v>5 weeks</v>
      </c>
      <c r="I108" s="2"/>
      <c r="J108" s="2"/>
      <c r="K108" s="2"/>
      <c r="L108" s="2" t="str">
        <f>IFERROR(__xludf.DUMMYFUNCTION("""COMPUTED_VALUE"""),"CGPA")</f>
        <v>CGPA</v>
      </c>
      <c r="M108" s="2" t="str">
        <f>IFERROR(__xludf.DUMMYFUNCTION("""COMPUTED_VALUE"""),"Experiential Learning (Int and Grade from Certificate)")</f>
        <v>Experiential Learning (Int and Grade from Certificate)</v>
      </c>
      <c r="N108" s="2">
        <f>IFERROR(__xludf.DUMMYFUNCTION("""COMPUTED_VALUE"""),1)</f>
        <v>1</v>
      </c>
      <c r="O108" s="2">
        <f>IFERROR(__xludf.DUMMYFUNCTION("""COMPUTED_VALUE"""),1)</f>
        <v>1</v>
      </c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30.75" customHeight="1" spans="1:26">
      <c r="A109" s="2">
        <f>IFERROR(__xludf.DUMMYFUNCTION("""COMPUTED_VALUE"""),108)</f>
        <v>108</v>
      </c>
      <c r="B109" s="2" t="str">
        <f>IFERROR(__xludf.DUMMYFUNCTION("""COMPUTED_VALUE"""),"SCoFT")</f>
        <v>SCoFT</v>
      </c>
      <c r="C109" s="2" t="str">
        <f>IFERROR(__xludf.DUMMYFUNCTION("""COMPUTED_VALUE"""),"CS3023")</f>
        <v>CS3023</v>
      </c>
      <c r="D109" s="2" t="str">
        <f>IFERROR(__xludf.DUMMYFUNCTION("""COMPUTED_VALUE"""),"19AI023")</f>
        <v>19AI023</v>
      </c>
      <c r="E109" s="2"/>
      <c r="F109" s="2" t="str">
        <f>IFERROR(__xludf.DUMMYFUNCTION("""COMPUTED_VALUE"""),"NPTEL")</f>
        <v>NPTEL</v>
      </c>
      <c r="G109" s="3" t="str">
        <f>IFERROR(__xludf.DUMMYFUNCTION("""COMPUTED_VALUE"""),"Data Structure and Algorithms using Java (NPTEL)")</f>
        <v>Data Structure and Algorithms using Java (NPTEL)</v>
      </c>
      <c r="H109" s="2" t="str">
        <f>IFERROR(__xludf.DUMMYFUNCTION("""COMPUTED_VALUE"""),"12 Weeks")</f>
        <v>12 Weeks</v>
      </c>
      <c r="I109" s="2"/>
      <c r="J109" s="2"/>
      <c r="K109" s="2"/>
      <c r="L109" s="2" t="str">
        <f>IFERROR(__xludf.DUMMYFUNCTION("""COMPUTED_VALUE"""),"CGPA ")</f>
        <v>CGPA </v>
      </c>
      <c r="M109" s="2" t="str">
        <f>IFERROR(__xludf.DUMMYFUNCTION("""COMPUTED_VALUE"""),"Experiential Learning (Int and Grade from Certificate)")</f>
        <v>Experiential Learning (Int and Grade from Certificate)</v>
      </c>
      <c r="N109" s="2">
        <f>IFERROR(__xludf.DUMMYFUNCTION("""COMPUTED_VALUE"""),3)</f>
        <v>3</v>
      </c>
      <c r="O109" s="2">
        <f>IFERROR(__xludf.DUMMYFUNCTION("""COMPUTED_VALUE"""),3)</f>
        <v>3</v>
      </c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30.75" customHeight="1" spans="1:26">
      <c r="A110" s="2">
        <f>IFERROR(__xludf.DUMMYFUNCTION("""COMPUTED_VALUE"""),109)</f>
        <v>109</v>
      </c>
      <c r="B110" s="2" t="str">
        <f>IFERROR(__xludf.DUMMYFUNCTION("""COMPUTED_VALUE"""),"SCoFT")</f>
        <v>SCoFT</v>
      </c>
      <c r="C110" s="2" t="str">
        <f>IFERROR(__xludf.DUMMYFUNCTION("""COMPUTED_VALUE"""),"CS3105")</f>
        <v>CS3105</v>
      </c>
      <c r="D110" s="2" t="str">
        <f>IFERROR(__xludf.DUMMYFUNCTION("""COMPUTED_VALUE"""),"19AI105")</f>
        <v>19AI105</v>
      </c>
      <c r="E110" s="2"/>
      <c r="F110" s="2" t="str">
        <f>IFERROR(__xludf.DUMMYFUNCTION("""COMPUTED_VALUE"""),"COURSERA")</f>
        <v>COURSERA</v>
      </c>
      <c r="G110" s="3" t="str">
        <f>IFERROR(__xludf.DUMMYFUNCTION("""COMPUTED_VALUE"""),"Data Structures (Coursera)")</f>
        <v>Data Structures (Coursera)</v>
      </c>
      <c r="H110" s="2" t="str">
        <f>IFERROR(__xludf.DUMMYFUNCTION("""COMPUTED_VALUE"""),"6 weeks")</f>
        <v>6 weeks</v>
      </c>
      <c r="I110" s="2"/>
      <c r="J110" s="2"/>
      <c r="K110" s="2"/>
      <c r="L110" s="2" t="str">
        <f>IFERROR(__xludf.DUMMYFUNCTION("""COMPUTED_VALUE"""),"CGPA")</f>
        <v>CGPA</v>
      </c>
      <c r="M110" s="2" t="str">
        <f>IFERROR(__xludf.DUMMYFUNCTION("""COMPUTED_VALUE"""),"Experiential Learning (Int and Grade from Certificate)")</f>
        <v>Experiential Learning (Int and Grade from Certificate)</v>
      </c>
      <c r="N110" s="2">
        <f>IFERROR(__xludf.DUMMYFUNCTION("""COMPUTED_VALUE"""),1)</f>
        <v>1</v>
      </c>
      <c r="O110" s="2">
        <f>IFERROR(__xludf.DUMMYFUNCTION("""COMPUTED_VALUE"""),1)</f>
        <v>1</v>
      </c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30.75" customHeight="1" spans="1:26">
      <c r="A111" s="2">
        <f>IFERROR(__xludf.DUMMYFUNCTION("""COMPUTED_VALUE"""),110)</f>
        <v>110</v>
      </c>
      <c r="B111" s="2" t="str">
        <f>IFERROR(__xludf.DUMMYFUNCTION("""COMPUTED_VALUE"""),"SCoFT")</f>
        <v>SCoFT</v>
      </c>
      <c r="C111" s="2" t="str">
        <f>IFERROR(__xludf.DUMMYFUNCTION("""COMPUTED_VALUE"""),"CS3021")</f>
        <v>CS3021</v>
      </c>
      <c r="D111" s="2" t="str">
        <f>IFERROR(__xludf.DUMMYFUNCTION("""COMPUTED_VALUE"""),"19AI021")</f>
        <v>19AI021</v>
      </c>
      <c r="E111" s="2"/>
      <c r="F111" s="2" t="str">
        <f>IFERROR(__xludf.DUMMYFUNCTION("""COMPUTED_VALUE"""),"NPTEL")</f>
        <v>NPTEL</v>
      </c>
      <c r="G111" s="3" t="str">
        <f>IFERROR(__xludf.DUMMYFUNCTION("""COMPUTED_VALUE"""),"Database Management System (NPTEL)")</f>
        <v>Database Management System (NPTEL)</v>
      </c>
      <c r="H111" s="2" t="str">
        <f>IFERROR(__xludf.DUMMYFUNCTION("""COMPUTED_VALUE"""),"8 Weeks")</f>
        <v>8 Weeks</v>
      </c>
      <c r="I111" s="2"/>
      <c r="J111" s="2"/>
      <c r="K111" s="2"/>
      <c r="L111" s="2" t="str">
        <f>IFERROR(__xludf.DUMMYFUNCTION("""COMPUTED_VALUE"""),"CGPA ")</f>
        <v>CGPA </v>
      </c>
      <c r="M111" s="2" t="str">
        <f>IFERROR(__xludf.DUMMYFUNCTION("""COMPUTED_VALUE"""),"Experiential Learning (Int and Grade from Certificate)")</f>
        <v>Experiential Learning (Int and Grade from Certificate)</v>
      </c>
      <c r="N111" s="2">
        <f>IFERROR(__xludf.DUMMYFUNCTION("""COMPUTED_VALUE"""),2)</f>
        <v>2</v>
      </c>
      <c r="O111" s="2">
        <f>IFERROR(__xludf.DUMMYFUNCTION("""COMPUTED_VALUE"""),2)</f>
        <v>2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30.75" customHeight="1" spans="1:26">
      <c r="A112" s="2">
        <f>IFERROR(__xludf.DUMMYFUNCTION("""COMPUTED_VALUE"""),111)</f>
        <v>111</v>
      </c>
      <c r="B112" s="2" t="str">
        <f>IFERROR(__xludf.DUMMYFUNCTION("""COMPUTED_VALUE"""),"EEE")</f>
        <v>EEE</v>
      </c>
      <c r="C112" s="2" t="str">
        <f>IFERROR(__xludf.DUMMYFUNCTION("""COMPUTED_VALUE"""),"EC2622")</f>
        <v>EC2622</v>
      </c>
      <c r="D112" s="2" t="str">
        <f>IFERROR(__xludf.DUMMYFUNCTION("""COMPUTED_VALUE"""),"19EE622")</f>
        <v>19EE622</v>
      </c>
      <c r="E112" s="2"/>
      <c r="F112" s="2" t="str">
        <f>IFERROR(__xludf.DUMMYFUNCTION("""COMPUTED_VALUE"""),"NPTEL")</f>
        <v>NPTEL</v>
      </c>
      <c r="G112" s="3" t="str">
        <f>IFERROR(__xludf.DUMMYFUNCTION("""COMPUTED_VALUE"""),"Decision Making with Spreadsheet  (NPTEL)")</f>
        <v>Decision Making with Spreadsheet  (NPTEL)</v>
      </c>
      <c r="H112" s="2" t="str">
        <f>IFERROR(__xludf.DUMMYFUNCTION("""COMPUTED_VALUE"""),"12 Weeks")</f>
        <v>12 Weeks</v>
      </c>
      <c r="I112" s="2"/>
      <c r="J112" s="2"/>
      <c r="K112" s="2"/>
      <c r="L112" s="2" t="str">
        <f>IFERROR(__xludf.DUMMYFUNCTION("""COMPUTED_VALUE"""),"CGPA")</f>
        <v>CGPA</v>
      </c>
      <c r="M112" s="2" t="str">
        <f>IFERROR(__xludf.DUMMYFUNCTION("""COMPUTED_VALUE"""),"Experiential Learning (Int and Grade from Certificate)")</f>
        <v>Experiential Learning (Int and Grade from Certificate)</v>
      </c>
      <c r="N112" s="2">
        <f>IFERROR(__xludf.DUMMYFUNCTION("""COMPUTED_VALUE"""),3)</f>
        <v>3</v>
      </c>
      <c r="O112" s="2">
        <f>IFERROR(__xludf.DUMMYFUNCTION("""COMPUTED_VALUE"""),3)</f>
        <v>3</v>
      </c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30.75" customHeight="1" spans="1:26">
      <c r="A113" s="2">
        <f>IFERROR(__xludf.DUMMYFUNCTION("""COMPUTED_VALUE"""),112)</f>
        <v>112</v>
      </c>
      <c r="B113" s="2" t="str">
        <f>IFERROR(__xludf.DUMMYFUNCTION("""COMPUTED_VALUE"""),"ECE, SCoFT, BME, MED ELEC")</f>
        <v>ECE, SCoFT, BME, MED ELEC</v>
      </c>
      <c r="C113" s="2" t="str">
        <f>IFERROR(__xludf.DUMMYFUNCTION("""COMPUTED_VALUE"""),"EC1622")</f>
        <v>EC1622</v>
      </c>
      <c r="D113" s="2" t="str">
        <f>IFERROR(__xludf.DUMMYFUNCTION("""COMPUTED_VALUE"""),"19EC622")</f>
        <v>19EC622</v>
      </c>
      <c r="E113" s="2"/>
      <c r="F113" s="2" t="str">
        <f>IFERROR(__xludf.DUMMYFUNCTION("""COMPUTED_VALUE"""),"NPTEL")</f>
        <v>NPTEL</v>
      </c>
      <c r="G113" s="3" t="str">
        <f>IFERROR(__xludf.DUMMYFUNCTION("""COMPUTED_VALUE"""),"Deep Learning (NPTEL)")</f>
        <v>Deep Learning (NPTEL)</v>
      </c>
      <c r="H113" s="2" t="str">
        <f>IFERROR(__xludf.DUMMYFUNCTION("""COMPUTED_VALUE"""),"12 Weeks")</f>
        <v>12 Weeks</v>
      </c>
      <c r="I113" s="4">
        <f>IFERROR(__xludf.DUMMYFUNCTION("""COMPUTED_VALUE"""),45224)</f>
        <v>45224</v>
      </c>
      <c r="J113" s="2" t="str">
        <f>IFERROR(__xludf.DUMMYFUNCTION("""COMPUTED_VALUE"""),"30/75")</f>
        <v>30/75</v>
      </c>
      <c r="K113" s="2" t="str">
        <f>IFERROR(__xludf.DUMMYFUNCTION("""COMPUTED_VALUE"""),"40/100")</f>
        <v>40/100</v>
      </c>
      <c r="L113" s="2" t="str">
        <f>IFERROR(__xludf.DUMMYFUNCTION("""COMPUTED_VALUE"""),"CGPA ")</f>
        <v>CGPA </v>
      </c>
      <c r="M113" s="2" t="str">
        <f>IFERROR(__xludf.DUMMYFUNCTION("""COMPUTED_VALUE"""),"Experiential Learning (Int and Grade from Certificate)")</f>
        <v>Experiential Learning (Int and Grade from Certificate)</v>
      </c>
      <c r="N113" s="2">
        <f>IFERROR(__xludf.DUMMYFUNCTION("""COMPUTED_VALUE"""),2)</f>
        <v>2</v>
      </c>
      <c r="O113" s="2">
        <f>IFERROR(__xludf.DUMMYFUNCTION("""COMPUTED_VALUE"""),3)</f>
        <v>3</v>
      </c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30.75" customHeight="1" spans="1:26">
      <c r="A114" s="2">
        <f>IFERROR(__xludf.DUMMYFUNCTION("""COMPUTED_VALUE"""),113)</f>
        <v>113</v>
      </c>
      <c r="B114" s="2" t="str">
        <f>IFERROR(__xludf.DUMMYFUNCTION("""COMPUTED_VALUE"""),"SCoFT")</f>
        <v>SCoFT</v>
      </c>
      <c r="C114" s="2" t="str">
        <f>IFERROR(__xludf.DUMMYFUNCTION("""COMPUTED_VALUE"""),"CS3108")</f>
        <v>CS3108</v>
      </c>
      <c r="D114" s="2" t="str">
        <f>IFERROR(__xludf.DUMMYFUNCTION("""COMPUTED_VALUE"""),"19AI108")</f>
        <v>19AI108</v>
      </c>
      <c r="E114" s="2"/>
      <c r="F114" s="2" t="str">
        <f>IFERROR(__xludf.DUMMYFUNCTION("""COMPUTED_VALUE"""),"COURSERA")</f>
        <v>COURSERA</v>
      </c>
      <c r="G114" s="3" t="str">
        <f>IFERROR(__xludf.DUMMYFUNCTION("""COMPUTED_VALUE"""),"Deep Learning Applications for Computer Vision (Coursera)")</f>
        <v>Deep Learning Applications for Computer Vision (Coursera)</v>
      </c>
      <c r="H114" s="2" t="str">
        <f>IFERROR(__xludf.DUMMYFUNCTION("""COMPUTED_VALUE"""),"5 weeks")</f>
        <v>5 weeks</v>
      </c>
      <c r="I114" s="2"/>
      <c r="J114" s="2"/>
      <c r="K114" s="2"/>
      <c r="L114" s="2" t="str">
        <f>IFERROR(__xludf.DUMMYFUNCTION("""COMPUTED_VALUE"""),"CGPA")</f>
        <v>CGPA</v>
      </c>
      <c r="M114" s="2" t="str">
        <f>IFERROR(__xludf.DUMMYFUNCTION("""COMPUTED_VALUE"""),"Experiential Learning (Int and Grade from Certificate)")</f>
        <v>Experiential Learning (Int and Grade from Certificate)</v>
      </c>
      <c r="N114" s="2">
        <f>IFERROR(__xludf.DUMMYFUNCTION("""COMPUTED_VALUE"""),1)</f>
        <v>1</v>
      </c>
      <c r="O114" s="2">
        <f>IFERROR(__xludf.DUMMYFUNCTION("""COMPUTED_VALUE"""),1)</f>
        <v>1</v>
      </c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30.75" customHeight="1" spans="1:26">
      <c r="A115" s="2">
        <f>IFERROR(__xludf.DUMMYFUNCTION("""COMPUTED_VALUE"""),114)</f>
        <v>114</v>
      </c>
      <c r="B115" s="2" t="str">
        <f>IFERROR(__xludf.DUMMYFUNCTION("""COMPUTED_VALUE"""),"SCoFT")</f>
        <v>SCoFT</v>
      </c>
      <c r="C115" s="2" t="str">
        <f>IFERROR(__xludf.DUMMYFUNCTION("""COMPUTED_VALUE"""),"CS3025")</f>
        <v>CS3025</v>
      </c>
      <c r="D115" s="2" t="str">
        <f>IFERROR(__xludf.DUMMYFUNCTION("""COMPUTED_VALUE"""),"19AI025")</f>
        <v>19AI025</v>
      </c>
      <c r="E115" s="2"/>
      <c r="F115" s="2" t="str">
        <f>IFERROR(__xludf.DUMMYFUNCTION("""COMPUTED_VALUE"""),"NPTEL")</f>
        <v>NPTEL</v>
      </c>
      <c r="G115" s="3" t="str">
        <f>IFERROR(__xludf.DUMMYFUNCTION("""COMPUTED_VALUE"""),"Deep Learning for Computer Vision (NPTEL)")</f>
        <v>Deep Learning for Computer Vision (NPTEL)</v>
      </c>
      <c r="H115" s="2" t="str">
        <f>IFERROR(__xludf.DUMMYFUNCTION("""COMPUTED_VALUE"""),"12 Weeks")</f>
        <v>12 Weeks</v>
      </c>
      <c r="I115" s="2"/>
      <c r="J115" s="2"/>
      <c r="K115" s="2"/>
      <c r="L115" s="2" t="str">
        <f>IFERROR(__xludf.DUMMYFUNCTION("""COMPUTED_VALUE"""),"CGPA ")</f>
        <v>CGPA </v>
      </c>
      <c r="M115" s="2" t="str">
        <f>IFERROR(__xludf.DUMMYFUNCTION("""COMPUTED_VALUE"""),"Experiential Learning (Int and Grade from Certificate)")</f>
        <v>Experiential Learning (Int and Grade from Certificate)</v>
      </c>
      <c r="N115" s="2">
        <f>IFERROR(__xludf.DUMMYFUNCTION("""COMPUTED_VALUE"""),3)</f>
        <v>3</v>
      </c>
      <c r="O115" s="2">
        <f>IFERROR(__xludf.DUMMYFUNCTION("""COMPUTED_VALUE"""),3)</f>
        <v>3</v>
      </c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30.75" customHeight="1" spans="1:26">
      <c r="A116" s="2">
        <f>IFERROR(__xludf.DUMMYFUNCTION("""COMPUTED_VALUE"""),115)</f>
        <v>115</v>
      </c>
      <c r="B116" s="2" t="str">
        <f>IFERROR(__xludf.DUMMYFUNCTION("""COMPUTED_VALUE"""),"SCoFT")</f>
        <v>SCoFT</v>
      </c>
      <c r="C116" s="2" t="str">
        <f>IFERROR(__xludf.DUMMYFUNCTION("""COMPUTED_VALUE"""),"CS3121")</f>
        <v>CS3121</v>
      </c>
      <c r="D116" s="2" t="str">
        <f>IFERROR(__xludf.DUMMYFUNCTION("""COMPUTED_VALUE"""),"19AI121")</f>
        <v>19AI121</v>
      </c>
      <c r="E116" s="2"/>
      <c r="F116" s="2" t="str">
        <f>IFERROR(__xludf.DUMMYFUNCTION("""COMPUTED_VALUE"""),"COURSERA")</f>
        <v>COURSERA</v>
      </c>
      <c r="G116" s="7" t="str">
        <f>IFERROR(__xludf.DUMMYFUNCTION("""COMPUTED_VALUE"""),"DeepLearning.AI Natural Language Processing Specialization (Coursera)")</f>
        <v>DeepLearning.AI Natural Language Processing Specialization (Coursera)</v>
      </c>
      <c r="H116" s="2" t="str">
        <f>IFERROR(__xludf.DUMMYFUNCTION("""COMPUTED_VALUE"""),"16 Weeks")</f>
        <v>16 Weeks</v>
      </c>
      <c r="I116" s="2"/>
      <c r="J116" s="2"/>
      <c r="K116" s="2"/>
      <c r="L116" s="2" t="str">
        <f>IFERROR(__xludf.DUMMYFUNCTION("""COMPUTED_VALUE"""),"CGPA")</f>
        <v>CGPA</v>
      </c>
      <c r="M116" s="2" t="str">
        <f>IFERROR(__xludf.DUMMYFUNCTION("""COMPUTED_VALUE"""),"Experiential Learning (Int and Grade from Certificate)")</f>
        <v>Experiential Learning (Int and Grade from Certificate)</v>
      </c>
      <c r="N116" s="2">
        <f>IFERROR(__xludf.DUMMYFUNCTION("""COMPUTED_VALUE"""),3)</f>
        <v>3</v>
      </c>
      <c r="O116" s="2">
        <f>IFERROR(__xludf.DUMMYFUNCTION("""COMPUTED_VALUE"""),3)</f>
        <v>3</v>
      </c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30.75" customHeight="1" spans="1:26">
      <c r="A117" s="2">
        <f>IFERROR(__xludf.DUMMYFUNCTION("""COMPUTED_VALUE"""),116)</f>
        <v>116</v>
      </c>
      <c r="B117" s="2" t="str">
        <f>IFERROR(__xludf.DUMMYFUNCTION("""COMPUTED_VALUE"""),"SCoFT")</f>
        <v>SCoFT</v>
      </c>
      <c r="C117" s="2" t="str">
        <f>IFERROR(__xludf.DUMMYFUNCTION("""COMPUTED_VALUE"""),"CS3122")</f>
        <v>CS3122</v>
      </c>
      <c r="D117" s="2" t="str">
        <f>IFERROR(__xludf.DUMMYFUNCTION("""COMPUTED_VALUE"""),"19AI122")</f>
        <v>19AI122</v>
      </c>
      <c r="E117" s="2"/>
      <c r="F117" s="2" t="str">
        <f>IFERROR(__xludf.DUMMYFUNCTION("""COMPUTED_VALUE"""),"COURSERA")</f>
        <v>COURSERA</v>
      </c>
      <c r="G117" s="3" t="str">
        <f>IFERROR(__xludf.DUMMYFUNCTION("""COMPUTED_VALUE"""),"DeepLearning.AI TensorFlow Developer (Coursera)")</f>
        <v>DeepLearning.AI TensorFlow Developer (Coursera)</v>
      </c>
      <c r="H117" s="2" t="str">
        <f>IFERROR(__xludf.DUMMYFUNCTION("""COMPUTED_VALUE"""),"16 Weeks")</f>
        <v>16 Weeks</v>
      </c>
      <c r="I117" s="2"/>
      <c r="J117" s="2"/>
      <c r="K117" s="2"/>
      <c r="L117" s="2" t="str">
        <f>IFERROR(__xludf.DUMMYFUNCTION("""COMPUTED_VALUE"""),"CGPA")</f>
        <v>CGPA</v>
      </c>
      <c r="M117" s="2" t="str">
        <f>IFERROR(__xludf.DUMMYFUNCTION("""COMPUTED_VALUE"""),"Experiential Learning (Int and Grade from Certificate)")</f>
        <v>Experiential Learning (Int and Grade from Certificate)</v>
      </c>
      <c r="N117" s="2">
        <f>IFERROR(__xludf.DUMMYFUNCTION("""COMPUTED_VALUE"""),3)</f>
        <v>3</v>
      </c>
      <c r="O117" s="2">
        <f>IFERROR(__xludf.DUMMYFUNCTION("""COMPUTED_VALUE"""),3)</f>
        <v>3</v>
      </c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30.75" customHeight="1" spans="1:26">
      <c r="A118" s="2">
        <f>IFERROR(__xludf.DUMMYFUNCTION("""COMPUTED_VALUE"""),117)</f>
        <v>117</v>
      </c>
      <c r="B118" s="2" t="str">
        <f>IFERROR(__xludf.DUMMYFUNCTION("""COMPUTED_VALUE"""),"SCoFT")</f>
        <v>SCoFT</v>
      </c>
      <c r="C118" s="2" t="str">
        <f>IFERROR(__xludf.DUMMYFUNCTION("""COMPUTED_VALUE"""),"CS3026")</f>
        <v>CS3026</v>
      </c>
      <c r="D118" s="2" t="str">
        <f>IFERROR(__xludf.DUMMYFUNCTION("""COMPUTED_VALUE"""),"19AI026")</f>
        <v>19AI026</v>
      </c>
      <c r="E118" s="2"/>
      <c r="F118" s="2" t="str">
        <f>IFERROR(__xludf.DUMMYFUNCTION("""COMPUTED_VALUE"""),"NPTEL")</f>
        <v>NPTEL</v>
      </c>
      <c r="G118" s="3" t="str">
        <f>IFERROR(__xludf.DUMMYFUNCTION("""COMPUTED_VALUE"""),"Demystifying Networking (NPTEL)")</f>
        <v>Demystifying Networking (NPTEL)</v>
      </c>
      <c r="H118" s="2" t="str">
        <f>IFERROR(__xludf.DUMMYFUNCTION("""COMPUTED_VALUE"""),"4 Weeks")</f>
        <v>4 Weeks</v>
      </c>
      <c r="I118" s="2"/>
      <c r="J118" s="2"/>
      <c r="K118" s="2"/>
      <c r="L118" s="2" t="str">
        <f>IFERROR(__xludf.DUMMYFUNCTION("""COMPUTED_VALUE"""),"CGPA ")</f>
        <v>CGPA </v>
      </c>
      <c r="M118" s="2" t="str">
        <f>IFERROR(__xludf.DUMMYFUNCTION("""COMPUTED_VALUE"""),"Experiential Learning (Int and Grade from Certificate)")</f>
        <v>Experiential Learning (Int and Grade from Certificate)</v>
      </c>
      <c r="N118" s="2">
        <f>IFERROR(__xludf.DUMMYFUNCTION("""COMPUTED_VALUE"""),1)</f>
        <v>1</v>
      </c>
      <c r="O118" s="2">
        <f>IFERROR(__xludf.DUMMYFUNCTION("""COMPUTED_VALUE"""),1)</f>
        <v>1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30.75" customHeight="1" spans="1:26">
      <c r="A119" s="2">
        <f>IFERROR(__xludf.DUMMYFUNCTION("""COMPUTED_VALUE"""),118)</f>
        <v>118</v>
      </c>
      <c r="B119" s="2" t="str">
        <f>IFERROR(__xludf.DUMMYFUNCTION("""COMPUTED_VALUE"""),"BME, MED ELEC")</f>
        <v>BME, MED ELEC</v>
      </c>
      <c r="C119" s="2" t="str">
        <f>IFERROR(__xludf.DUMMYFUNCTION("""COMPUTED_VALUE"""),"EC4638")</f>
        <v>EC4638</v>
      </c>
      <c r="D119" s="2" t="str">
        <f>IFERROR(__xludf.DUMMYFUNCTION("""COMPUTED_VALUE"""),"19BM638")</f>
        <v>19BM638</v>
      </c>
      <c r="E119" s="2"/>
      <c r="F119" s="2" t="str">
        <f>IFERROR(__xludf.DUMMYFUNCTION("""COMPUTED_VALUE"""),"NPTEL")</f>
        <v>NPTEL</v>
      </c>
      <c r="G119" s="3" t="str">
        <f>IFERROR(__xludf.DUMMYFUNCTION("""COMPUTED_VALUE"""),"Demystifying the Brain (NPTEL)")</f>
        <v>Demystifying the Brain (NPTEL)</v>
      </c>
      <c r="H119" s="2" t="str">
        <f>IFERROR(__xludf.DUMMYFUNCTION("""COMPUTED_VALUE"""),"4 Weeks")</f>
        <v>4 Weeks</v>
      </c>
      <c r="I119" s="2"/>
      <c r="J119" s="2"/>
      <c r="K119" s="2"/>
      <c r="L119" s="2" t="str">
        <f>IFERROR(__xludf.DUMMYFUNCTION("""COMPUTED_VALUE"""),"CGPA")</f>
        <v>CGPA</v>
      </c>
      <c r="M119" s="2" t="str">
        <f>IFERROR(__xludf.DUMMYFUNCTION("""COMPUTED_VALUE"""),"Experiential Learning (Int and Grade from Certificate)")</f>
        <v>Experiential Learning (Int and Grade from Certificate)</v>
      </c>
      <c r="N119" s="2">
        <f>IFERROR(__xludf.DUMMYFUNCTION("""COMPUTED_VALUE"""),1)</f>
        <v>1</v>
      </c>
      <c r="O119" s="2">
        <f>IFERROR(__xludf.DUMMYFUNCTION("""COMPUTED_VALUE"""),1)</f>
        <v>1</v>
      </c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30.75" customHeight="1" spans="1:26">
      <c r="A120" s="2">
        <f>IFERROR(__xludf.DUMMYFUNCTION("""COMPUTED_VALUE"""),119)</f>
        <v>119</v>
      </c>
      <c r="B120" s="2" t="str">
        <f>IFERROR(__xludf.DUMMYFUNCTION("""COMPUTED_VALUE"""),"SCoFT")</f>
        <v>SCoFT</v>
      </c>
      <c r="C120" s="2" t="str">
        <f>IFERROR(__xludf.DUMMYFUNCTION("""COMPUTED_VALUE"""),"CS3028")</f>
        <v>CS3028</v>
      </c>
      <c r="D120" s="2" t="str">
        <f>IFERROR(__xludf.DUMMYFUNCTION("""COMPUTED_VALUE"""),"19AI028")</f>
        <v>19AI028</v>
      </c>
      <c r="E120" s="2"/>
      <c r="F120" s="2" t="str">
        <f>IFERROR(__xludf.DUMMYFUNCTION("""COMPUTED_VALUE"""),"NPTEL")</f>
        <v>NPTEL</v>
      </c>
      <c r="G120" s="3" t="str">
        <f>IFERROR(__xludf.DUMMYFUNCTION("""COMPUTED_VALUE"""),"Design and Analysis of Algorithms (NPTEL)")</f>
        <v>Design and Analysis of Algorithms (NPTEL)</v>
      </c>
      <c r="H120" s="2" t="str">
        <f>IFERROR(__xludf.DUMMYFUNCTION("""COMPUTED_VALUE"""),"8 Weeks")</f>
        <v>8 Weeks</v>
      </c>
      <c r="I120" s="2"/>
      <c r="J120" s="2"/>
      <c r="K120" s="2"/>
      <c r="L120" s="2" t="str">
        <f>IFERROR(__xludf.DUMMYFUNCTION("""COMPUTED_VALUE"""),"CGPA ")</f>
        <v>CGPA </v>
      </c>
      <c r="M120" s="2" t="str">
        <f>IFERROR(__xludf.DUMMYFUNCTION("""COMPUTED_VALUE"""),"Experiential Learning (Int and Grade from Certificate)")</f>
        <v>Experiential Learning (Int and Grade from Certificate)</v>
      </c>
      <c r="N120" s="2">
        <f>IFERROR(__xludf.DUMMYFUNCTION("""COMPUTED_VALUE"""),2)</f>
        <v>2</v>
      </c>
      <c r="O120" s="2">
        <f>IFERROR(__xludf.DUMMYFUNCTION("""COMPUTED_VALUE"""),2)</f>
        <v>2</v>
      </c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30.75" customHeight="1" spans="1:26">
      <c r="A121" s="2">
        <f>IFERROR(__xludf.DUMMYFUNCTION("""COMPUTED_VALUE"""),120)</f>
        <v>120</v>
      </c>
      <c r="B121" s="2" t="str">
        <f>IFERROR(__xludf.DUMMYFUNCTION("""COMPUTED_VALUE"""),"ECE")</f>
        <v>ECE</v>
      </c>
      <c r="C121" s="2" t="str">
        <f>IFERROR(__xludf.DUMMYFUNCTION("""COMPUTED_VALUE"""),"EC1637")</f>
        <v>EC1637</v>
      </c>
      <c r="D121" s="2" t="str">
        <f>IFERROR(__xludf.DUMMYFUNCTION("""COMPUTED_VALUE"""),"19EC637")</f>
        <v>19EC637</v>
      </c>
      <c r="E121" s="2"/>
      <c r="F121" s="2" t="str">
        <f>IFERROR(__xludf.DUMMYFUNCTION("""COMPUTED_VALUE"""),"NPTEL")</f>
        <v>NPTEL</v>
      </c>
      <c r="G121" s="3" t="str">
        <f>IFERROR(__xludf.DUMMYFUNCTION("""COMPUTED_VALUE"""),"Design and Analysis of VLSI Subsystems (NPTEL)")</f>
        <v>Design and Analysis of VLSI Subsystems (NPTEL)</v>
      </c>
      <c r="H121" s="2" t="str">
        <f>IFERROR(__xludf.DUMMYFUNCTION("""COMPUTED_VALUE"""),"12 Weeks")</f>
        <v>12 Weeks</v>
      </c>
      <c r="I121" s="2"/>
      <c r="J121" s="2"/>
      <c r="K121" s="2"/>
      <c r="L121" s="2" t="str">
        <f>IFERROR(__xludf.DUMMYFUNCTION("""COMPUTED_VALUE"""),"CGPA ")</f>
        <v>CGPA </v>
      </c>
      <c r="M121" s="2" t="str">
        <f>IFERROR(__xludf.DUMMYFUNCTION("""COMPUTED_VALUE"""),"Experiential Learning (Int and Grade from Certificate)")</f>
        <v>Experiential Learning (Int and Grade from Certificate)</v>
      </c>
      <c r="N121" s="2">
        <f>IFERROR(__xludf.DUMMYFUNCTION("""COMPUTED_VALUE"""),2)</f>
        <v>2</v>
      </c>
      <c r="O121" s="2">
        <f>IFERROR(__xludf.DUMMYFUNCTION("""COMPUTED_VALUE"""),3)</f>
        <v>3</v>
      </c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30.75" customHeight="1" spans="1:26">
      <c r="A122" s="2">
        <f>IFERROR(__xludf.DUMMYFUNCTION("""COMPUTED_VALUE"""),121)</f>
        <v>121</v>
      </c>
      <c r="B122" s="2" t="str">
        <f>IFERROR(__xludf.DUMMYFUNCTION("""COMPUTED_VALUE"""),"SCoFT")</f>
        <v>SCoFT</v>
      </c>
      <c r="C122" s="2" t="str">
        <f>IFERROR(__xludf.DUMMYFUNCTION("""COMPUTED_VALUE"""),"CS3029")</f>
        <v>CS3029</v>
      </c>
      <c r="D122" s="2" t="str">
        <f>IFERROR(__xludf.DUMMYFUNCTION("""COMPUTED_VALUE"""),"19AI029")</f>
        <v>19AI029</v>
      </c>
      <c r="E122" s="2"/>
      <c r="F122" s="2" t="str">
        <f>IFERROR(__xludf.DUMMYFUNCTION("""COMPUTED_VALUE"""),"NPTEL")</f>
        <v>NPTEL</v>
      </c>
      <c r="G122" s="3" t="str">
        <f>IFERROR(__xludf.DUMMYFUNCTION("""COMPUTED_VALUE"""),"Design and Engineering of Computer Systems (NPTEL)")</f>
        <v>Design and Engineering of Computer Systems (NPTEL)</v>
      </c>
      <c r="H122" s="2" t="str">
        <f>IFERROR(__xludf.DUMMYFUNCTION("""COMPUTED_VALUE"""),"8 Weeks")</f>
        <v>8 Weeks</v>
      </c>
      <c r="I122" s="2"/>
      <c r="J122" s="2"/>
      <c r="K122" s="2"/>
      <c r="L122" s="2" t="str">
        <f>IFERROR(__xludf.DUMMYFUNCTION("""COMPUTED_VALUE"""),"CGPA ")</f>
        <v>CGPA </v>
      </c>
      <c r="M122" s="2" t="str">
        <f>IFERROR(__xludf.DUMMYFUNCTION("""COMPUTED_VALUE"""),"Experiential Learning (Int and Grade from Certificate)")</f>
        <v>Experiential Learning (Int and Grade from Certificate)</v>
      </c>
      <c r="N122" s="2">
        <f>IFERROR(__xludf.DUMMYFUNCTION("""COMPUTED_VALUE"""),2)</f>
        <v>2</v>
      </c>
      <c r="O122" s="2">
        <f>IFERROR(__xludf.DUMMYFUNCTION("""COMPUTED_VALUE"""),2)</f>
        <v>2</v>
      </c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30.75" customHeight="1" spans="1:26">
      <c r="A123" s="2">
        <f>IFERROR(__xludf.DUMMYFUNCTION("""COMPUTED_VALUE"""),122)</f>
        <v>122</v>
      </c>
      <c r="B123" s="2" t="str">
        <f>IFERROR(__xludf.DUMMYFUNCTION("""COMPUTED_VALUE"""),"SCoFT")</f>
        <v>SCoFT</v>
      </c>
      <c r="C123" s="2" t="str">
        <f>IFERROR(__xludf.DUMMYFUNCTION("""COMPUTED_VALUE"""),"CS3027")</f>
        <v>CS3027</v>
      </c>
      <c r="D123" s="2" t="str">
        <f>IFERROR(__xludf.DUMMYFUNCTION("""COMPUTED_VALUE"""),"19AI027")</f>
        <v>19AI027</v>
      </c>
      <c r="E123" s="2"/>
      <c r="F123" s="2" t="str">
        <f>IFERROR(__xludf.DUMMYFUNCTION("""COMPUTED_VALUE"""),"NPTEL")</f>
        <v>NPTEL</v>
      </c>
      <c r="G123" s="3" t="str">
        <f>IFERROR(__xludf.DUMMYFUNCTION("""COMPUTED_VALUE"""),"Design and Implementation of Human-Computer Interfaces (NPTEL)")</f>
        <v>Design and Implementation of Human-Computer Interfaces (NPTEL)</v>
      </c>
      <c r="H123" s="2" t="str">
        <f>IFERROR(__xludf.DUMMYFUNCTION("""COMPUTED_VALUE"""),"12 Weeks")</f>
        <v>12 Weeks</v>
      </c>
      <c r="I123" s="2"/>
      <c r="J123" s="2"/>
      <c r="K123" s="2"/>
      <c r="L123" s="2" t="str">
        <f>IFERROR(__xludf.DUMMYFUNCTION("""COMPUTED_VALUE"""),"CGPA ")</f>
        <v>CGPA </v>
      </c>
      <c r="M123" s="2" t="str">
        <f>IFERROR(__xludf.DUMMYFUNCTION("""COMPUTED_VALUE"""),"Experiential Learning (Int and Grade from Certificate)")</f>
        <v>Experiential Learning (Int and Grade from Certificate)</v>
      </c>
      <c r="N123" s="2">
        <f>IFERROR(__xludf.DUMMYFUNCTION("""COMPUTED_VALUE"""),3)</f>
        <v>3</v>
      </c>
      <c r="O123" s="2">
        <f>IFERROR(__xludf.DUMMYFUNCTION("""COMPUTED_VALUE"""),3)</f>
        <v>3</v>
      </c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30.75" customHeight="1" spans="1:26">
      <c r="A124" s="2">
        <f>IFERROR(__xludf.DUMMYFUNCTION("""COMPUTED_VALUE"""),123)</f>
        <v>123</v>
      </c>
      <c r="B124" s="2" t="str">
        <f>IFERROR(__xludf.DUMMYFUNCTION("""COMPUTED_VALUE"""),"SCoFT")</f>
        <v>SCoFT</v>
      </c>
      <c r="C124" s="2" t="str">
        <f>IFERROR(__xludf.DUMMYFUNCTION("""COMPUTED_VALUE"""),"CS3096")</f>
        <v>CS3096</v>
      </c>
      <c r="D124" s="2" t="str">
        <f>IFERROR(__xludf.DUMMYFUNCTION("""COMPUTED_VALUE"""),"19AI096")</f>
        <v>19AI096</v>
      </c>
      <c r="E124" s="2"/>
      <c r="F124" s="2" t="str">
        <f>IFERROR(__xludf.DUMMYFUNCTION("""COMPUTED_VALUE"""),"COURSERA")</f>
        <v>COURSERA</v>
      </c>
      <c r="G124" s="3" t="str">
        <f>IFERROR(__xludf.DUMMYFUNCTION("""COMPUTED_VALUE"""),"Design Computing: 3D Modeling in Rhinoceros with Python/Rhinoscript (Coursera)")</f>
        <v>Design Computing: 3D Modeling in Rhinoceros with Python/Rhinoscript (Coursera)</v>
      </c>
      <c r="H124" s="2" t="str">
        <f>IFERROR(__xludf.DUMMYFUNCTION("""COMPUTED_VALUE"""),"5 weeks")</f>
        <v>5 weeks</v>
      </c>
      <c r="I124" s="2"/>
      <c r="J124" s="2"/>
      <c r="K124" s="2"/>
      <c r="L124" s="2" t="str">
        <f>IFERROR(__xludf.DUMMYFUNCTION("""COMPUTED_VALUE"""),"CGPA")</f>
        <v>CGPA</v>
      </c>
      <c r="M124" s="2" t="str">
        <f>IFERROR(__xludf.DUMMYFUNCTION("""COMPUTED_VALUE"""),"Experiential Learning (Int and Grade from Certificate)")</f>
        <v>Experiential Learning (Int and Grade from Certificate)</v>
      </c>
      <c r="N124" s="2">
        <f>IFERROR(__xludf.DUMMYFUNCTION("""COMPUTED_VALUE"""),1)</f>
        <v>1</v>
      </c>
      <c r="O124" s="2">
        <f>IFERROR(__xludf.DUMMYFUNCTION("""COMPUTED_VALUE"""),1)</f>
        <v>1</v>
      </c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30.75" customHeight="1" spans="1:26">
      <c r="A125" s="2">
        <f>IFERROR(__xludf.DUMMYFUNCTION("""COMPUTED_VALUE"""),124)</f>
        <v>124</v>
      </c>
      <c r="B125" s="2" t="str">
        <f>IFERROR(__xludf.DUMMYFUNCTION("""COMPUTED_VALUE"""),"MECH")</f>
        <v>MECH</v>
      </c>
      <c r="C125" s="2" t="str">
        <f>IFERROR(__xludf.DUMMYFUNCTION("""COMPUTED_VALUE"""),"ME0606")</f>
        <v>ME0606</v>
      </c>
      <c r="D125" s="2" t="str">
        <f>IFERROR(__xludf.DUMMYFUNCTION("""COMPUTED_VALUE"""),"19ME606")</f>
        <v>19ME606</v>
      </c>
      <c r="E125" s="2"/>
      <c r="F125" s="2" t="str">
        <f>IFERROR(__xludf.DUMMYFUNCTION("""COMPUTED_VALUE"""),"NPTEL(IITB)")</f>
        <v>NPTEL(IITB)</v>
      </c>
      <c r="G125" s="3" t="str">
        <f>IFERROR(__xludf.DUMMYFUNCTION("""COMPUTED_VALUE"""),"Design of Mechatronic Systems (NPTEL)")</f>
        <v>Design of Mechatronic Systems (NPTEL)</v>
      </c>
      <c r="H125" s="2" t="str">
        <f>IFERROR(__xludf.DUMMYFUNCTION("""COMPUTED_VALUE"""),"12 Weeks")</f>
        <v>12 Weeks</v>
      </c>
      <c r="I125" s="4">
        <f>IFERROR(__xludf.DUMMYFUNCTION("""COMPUTED_VALUE"""),45224)</f>
        <v>45224</v>
      </c>
      <c r="J125" s="2" t="str">
        <f>IFERROR(__xludf.DUMMYFUNCTION("""COMPUTED_VALUE"""),"30/75")</f>
        <v>30/75</v>
      </c>
      <c r="K125" s="2" t="str">
        <f>IFERROR(__xludf.DUMMYFUNCTION("""COMPUTED_VALUE"""),"40/100")</f>
        <v>40/100</v>
      </c>
      <c r="L125" s="2" t="str">
        <f>IFERROR(__xludf.DUMMYFUNCTION("""COMPUTED_VALUE"""),"CGPA ")</f>
        <v>CGPA </v>
      </c>
      <c r="M125" s="2" t="str">
        <f>IFERROR(__xludf.DUMMYFUNCTION("""COMPUTED_VALUE"""),"Experiential Learning (Int and Grade from Certificate)")</f>
        <v>Experiential Learning (Int and Grade from Certificate)</v>
      </c>
      <c r="N125" s="2">
        <f>IFERROR(__xludf.DUMMYFUNCTION("""COMPUTED_VALUE"""),2)</f>
        <v>2</v>
      </c>
      <c r="O125" s="2">
        <f>IFERROR(__xludf.DUMMYFUNCTION("""COMPUTED_VALUE"""),3)</f>
        <v>3</v>
      </c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30.75" customHeight="1" spans="1:26">
      <c r="A126" s="2">
        <f>IFERROR(__xludf.DUMMYFUNCTION("""COMPUTED_VALUE"""),125)</f>
        <v>125</v>
      </c>
      <c r="B126" s="2" t="str">
        <f>IFERROR(__xludf.DUMMYFUNCTION("""COMPUTED_VALUE"""),"BME, MED ELEC")</f>
        <v>BME, MED ELEC</v>
      </c>
      <c r="C126" s="2" t="str">
        <f>IFERROR(__xludf.DUMMYFUNCTION("""COMPUTED_VALUE"""),"EC4639")</f>
        <v>EC4639</v>
      </c>
      <c r="D126" s="2" t="str">
        <f>IFERROR(__xludf.DUMMYFUNCTION("""COMPUTED_VALUE"""),"19BM639")</f>
        <v>19BM639</v>
      </c>
      <c r="E126" s="2"/>
      <c r="F126" s="2" t="str">
        <f>IFERROR(__xludf.DUMMYFUNCTION("""COMPUTED_VALUE"""),"NPTEL")</f>
        <v>NPTEL</v>
      </c>
      <c r="G126" s="3" t="str">
        <f>IFERROR(__xludf.DUMMYFUNCTION("""COMPUTED_VALUE"""),"Design Practices for Intelligent Product Design (NPTEL)")</f>
        <v>Design Practices for Intelligent Product Design (NPTEL)</v>
      </c>
      <c r="H126" s="2" t="str">
        <f>IFERROR(__xludf.DUMMYFUNCTION("""COMPUTED_VALUE"""),"8 Weeks")</f>
        <v>8 Weeks</v>
      </c>
      <c r="I126" s="2"/>
      <c r="J126" s="2"/>
      <c r="K126" s="2"/>
      <c r="L126" s="2" t="str">
        <f>IFERROR(__xludf.DUMMYFUNCTION("""COMPUTED_VALUE"""),"CGPA")</f>
        <v>CGPA</v>
      </c>
      <c r="M126" s="2" t="str">
        <f>IFERROR(__xludf.DUMMYFUNCTION("""COMPUTED_VALUE"""),"Experiential Learning (Int and Grade from Certificate)")</f>
        <v>Experiential Learning (Int and Grade from Certificate)</v>
      </c>
      <c r="N126" s="2">
        <f>IFERROR(__xludf.DUMMYFUNCTION("""COMPUTED_VALUE"""),2)</f>
        <v>2</v>
      </c>
      <c r="O126" s="2">
        <f>IFERROR(__xludf.DUMMYFUNCTION("""COMPUTED_VALUE"""),2)</f>
        <v>2</v>
      </c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30.75" customHeight="1" spans="1:26">
      <c r="A127" s="2">
        <f>IFERROR(__xludf.DUMMYFUNCTION("""COMPUTED_VALUE"""),126)</f>
        <v>126</v>
      </c>
      <c r="B127" s="2" t="str">
        <f>IFERROR(__xludf.DUMMYFUNCTION("""COMPUTED_VALUE"""),"SCoFT, BME, MED ELEC")</f>
        <v>SCoFT, BME, MED ELEC</v>
      </c>
      <c r="C127" s="2" t="str">
        <f>IFERROR(__xludf.DUMMYFUNCTION("""COMPUTED_VALUE"""),"CS3030")</f>
        <v>CS3030</v>
      </c>
      <c r="D127" s="2" t="str">
        <f>IFERROR(__xludf.DUMMYFUNCTION("""COMPUTED_VALUE"""),"19AI030")</f>
        <v>19AI030</v>
      </c>
      <c r="E127" s="2"/>
      <c r="F127" s="2" t="str">
        <f>IFERROR(__xludf.DUMMYFUNCTION("""COMPUTED_VALUE"""),"NPTEL")</f>
        <v>NPTEL</v>
      </c>
      <c r="G127" s="3" t="str">
        <f>IFERROR(__xludf.DUMMYFUNCTION("""COMPUTED_VALUE"""),"Design, Technology and Innovation (NPTEL)")</f>
        <v>Design, Technology and Innovation (NPTEL)</v>
      </c>
      <c r="H127" s="2" t="str">
        <f>IFERROR(__xludf.DUMMYFUNCTION("""COMPUTED_VALUE"""),"8 Weeks")</f>
        <v>8 Weeks</v>
      </c>
      <c r="I127" s="2"/>
      <c r="J127" s="2"/>
      <c r="K127" s="2"/>
      <c r="L127" s="2" t="str">
        <f>IFERROR(__xludf.DUMMYFUNCTION("""COMPUTED_VALUE"""),"CGPA ")</f>
        <v>CGPA </v>
      </c>
      <c r="M127" s="2" t="str">
        <f>IFERROR(__xludf.DUMMYFUNCTION("""COMPUTED_VALUE"""),"Experiential Learning (Int and Grade from Certificate)")</f>
        <v>Experiential Learning (Int and Grade from Certificate)</v>
      </c>
      <c r="N127" s="2">
        <f>IFERROR(__xludf.DUMMYFUNCTION("""COMPUTED_VALUE"""),2)</f>
        <v>2</v>
      </c>
      <c r="O127" s="2">
        <f>IFERROR(__xludf.DUMMYFUNCTION("""COMPUTED_VALUE"""),2)</f>
        <v>2</v>
      </c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30.75" customHeight="1" spans="1:26">
      <c r="A128" s="2">
        <f>IFERROR(__xludf.DUMMYFUNCTION("""COMPUTED_VALUE"""),127)</f>
        <v>127</v>
      </c>
      <c r="B128" s="2" t="str">
        <f>IFERROR(__xludf.DUMMYFUNCTION("""COMPUTED_VALUE"""),"SCoFT")</f>
        <v>SCoFT</v>
      </c>
      <c r="C128" s="2" t="str">
        <f>IFERROR(__xludf.DUMMYFUNCTION("""COMPUTED_VALUE"""),"CS3162")</f>
        <v>CS3162</v>
      </c>
      <c r="D128" s="2" t="str">
        <f>IFERROR(__xludf.DUMMYFUNCTION("""COMPUTED_VALUE"""),"19AI162")</f>
        <v>19AI162</v>
      </c>
      <c r="E128" s="2"/>
      <c r="F128" s="2" t="str">
        <f>IFERROR(__xludf.DUMMYFUNCTION("""COMPUTED_VALUE"""),"Microsoft (Exam AZ-400)")</f>
        <v>Microsoft (Exam AZ-400)</v>
      </c>
      <c r="G128" s="3" t="str">
        <f>IFERROR(__xludf.DUMMYFUNCTION("""COMPUTED_VALUE"""),"Designing and Implementing Microsoft DevOps Solutions (Microsoft)")</f>
        <v>Designing and Implementing Microsoft DevOps Solutions (Microsoft)</v>
      </c>
      <c r="H128" s="2" t="str">
        <f>IFERROR(__xludf.DUMMYFUNCTION("""COMPUTED_VALUE"""),"8 Weeks")</f>
        <v>8 Weeks</v>
      </c>
      <c r="I128" s="2"/>
      <c r="J128" s="2"/>
      <c r="K128" s="2"/>
      <c r="L128" s="2" t="str">
        <f>IFERROR(__xludf.DUMMYFUNCTION("""COMPUTED_VALUE"""),"CGPA")</f>
        <v>CGPA</v>
      </c>
      <c r="M128" s="2" t="str">
        <f>IFERROR(__xludf.DUMMYFUNCTION("""COMPUTED_VALUE"""),"Experiential Learning (Int and Grade from Certificate)")</f>
        <v>Experiential Learning (Int and Grade from Certificate)</v>
      </c>
      <c r="N128" s="2">
        <f>IFERROR(__xludf.DUMMYFUNCTION("""COMPUTED_VALUE"""),2)</f>
        <v>2</v>
      </c>
      <c r="O128" s="2">
        <f>IFERROR(__xludf.DUMMYFUNCTION("""COMPUTED_VALUE"""),2)</f>
        <v>2</v>
      </c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30.75" customHeight="1" spans="1:26">
      <c r="A129" s="2">
        <f>IFERROR(__xludf.DUMMYFUNCTION("""COMPUTED_VALUE"""),128)</f>
        <v>128</v>
      </c>
      <c r="B129" s="2" t="str">
        <f>IFERROR(__xludf.DUMMYFUNCTION("""COMPUTED_VALUE"""),"SCoFT")</f>
        <v>SCoFT</v>
      </c>
      <c r="C129" s="2" t="str">
        <f>IFERROR(__xludf.DUMMYFUNCTION("""COMPUTED_VALUE"""),"CS1612")</f>
        <v>CS1612</v>
      </c>
      <c r="D129" s="2" t="str">
        <f>IFERROR(__xludf.DUMMYFUNCTION("""COMPUTED_VALUE"""),"19CS612")</f>
        <v>19CS612</v>
      </c>
      <c r="E129" s="2"/>
      <c r="F129" s="2" t="str">
        <f>IFERROR(__xludf.DUMMYFUNCTION("""COMPUTED_VALUE"""),"COURSERA")</f>
        <v>COURSERA</v>
      </c>
      <c r="G129" s="3" t="str">
        <f>IFERROR(__xludf.DUMMYFUNCTION("""COMPUTED_VALUE"""),"Developing Android Apps with App Inventor (Coursera)")</f>
        <v>Developing Android Apps with App Inventor (Coursera)</v>
      </c>
      <c r="H129" s="2"/>
      <c r="I129" s="2"/>
      <c r="J129" s="2"/>
      <c r="K129" s="2"/>
      <c r="L129" s="2" t="str">
        <f>IFERROR(__xludf.DUMMYFUNCTION("""COMPUTED_VALUE"""),"CGPA ")</f>
        <v>CGPA </v>
      </c>
      <c r="M129" s="2" t="str">
        <f>IFERROR(__xludf.DUMMYFUNCTION("""COMPUTED_VALUE"""),"Experiential Learning (Int and Grade from Certificate)")</f>
        <v>Experiential Learning (Int and Grade from Certificate)</v>
      </c>
      <c r="N129" s="2">
        <f>IFERROR(__xludf.DUMMYFUNCTION("""COMPUTED_VALUE"""),2)</f>
        <v>2</v>
      </c>
      <c r="O129" s="2">
        <f>IFERROR(__xludf.DUMMYFUNCTION("""COMPUTED_VALUE"""),2)</f>
        <v>2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30.75" customHeight="1" spans="1:26">
      <c r="A130" s="2">
        <f>IFERROR(__xludf.DUMMYFUNCTION("""COMPUTED_VALUE"""),129)</f>
        <v>129</v>
      </c>
      <c r="B130" s="2" t="str">
        <f>IFERROR(__xludf.DUMMYFUNCTION("""COMPUTED_VALUE"""),"SCoFT")</f>
        <v>SCoFT</v>
      </c>
      <c r="C130" s="2" t="str">
        <f>IFERROR(__xludf.DUMMYFUNCTION("""COMPUTED_VALUE"""),"CS3031")</f>
        <v>CS3031</v>
      </c>
      <c r="D130" s="2" t="str">
        <f>IFERROR(__xludf.DUMMYFUNCTION("""COMPUTED_VALUE"""),"19AI031")</f>
        <v>19AI031</v>
      </c>
      <c r="E130" s="2"/>
      <c r="F130" s="2" t="str">
        <f>IFERROR(__xludf.DUMMYFUNCTION("""COMPUTED_VALUE"""),"NPTEL")</f>
        <v>NPTEL</v>
      </c>
      <c r="G130" s="3" t="str">
        <f>IFERROR(__xludf.DUMMYFUNCTION("""COMPUTED_VALUE"""),"Developing Soft Skills and Personality (NPTEL)")</f>
        <v>Developing Soft Skills and Personality (NPTEL)</v>
      </c>
      <c r="H130" s="2" t="str">
        <f>IFERROR(__xludf.DUMMYFUNCTION("""COMPUTED_VALUE"""),"8 Weeks")</f>
        <v>8 Weeks</v>
      </c>
      <c r="I130" s="2"/>
      <c r="J130" s="2"/>
      <c r="K130" s="2"/>
      <c r="L130" s="2" t="str">
        <f>IFERROR(__xludf.DUMMYFUNCTION("""COMPUTED_VALUE"""),"CGPA ")</f>
        <v>CGPA </v>
      </c>
      <c r="M130" s="2" t="str">
        <f>IFERROR(__xludf.DUMMYFUNCTION("""COMPUTED_VALUE"""),"Experiential Learning (Int and Grade from Certificate)")</f>
        <v>Experiential Learning (Int and Grade from Certificate)</v>
      </c>
      <c r="N130" s="2">
        <f>IFERROR(__xludf.DUMMYFUNCTION("""COMPUTED_VALUE"""),2)</f>
        <v>2</v>
      </c>
      <c r="O130" s="2">
        <f>IFERROR(__xludf.DUMMYFUNCTION("""COMPUTED_VALUE"""),2)</f>
        <v>2</v>
      </c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30.75" customHeight="1" spans="1:26">
      <c r="A131" s="2">
        <f>IFERROR(__xludf.DUMMYFUNCTION("""COMPUTED_VALUE"""),130)</f>
        <v>130</v>
      </c>
      <c r="B131" s="2" t="str">
        <f>IFERROR(__xludf.DUMMYFUNCTION("""COMPUTED_VALUE"""),"ECE")</f>
        <v>ECE</v>
      </c>
      <c r="C131" s="2" t="str">
        <f>IFERROR(__xludf.DUMMYFUNCTION("""COMPUTED_VALUE"""),"EC1608")</f>
        <v>EC1608</v>
      </c>
      <c r="D131" s="2" t="str">
        <f>IFERROR(__xludf.DUMMYFUNCTION("""COMPUTED_VALUE"""),"19EC608")</f>
        <v>19EC608</v>
      </c>
      <c r="E131" s="2"/>
      <c r="F131" s="2" t="str">
        <f>IFERROR(__xludf.DUMMYFUNCTION("""COMPUTED_VALUE"""),"NPTEL")</f>
        <v>NPTEL</v>
      </c>
      <c r="G131" s="3" t="str">
        <f>IFERROR(__xludf.DUMMYFUNCTION("""COMPUTED_VALUE"""),"Digital IC Design (NPTEL)")</f>
        <v>Digital IC Design (NPTEL)</v>
      </c>
      <c r="H131" s="2" t="str">
        <f>IFERROR(__xludf.DUMMYFUNCTION("""COMPUTED_VALUE"""),"12 Weeks")</f>
        <v>12 Weeks</v>
      </c>
      <c r="I131" s="2"/>
      <c r="J131" s="2"/>
      <c r="K131" s="2"/>
      <c r="L131" s="2" t="str">
        <f>IFERROR(__xludf.DUMMYFUNCTION("""COMPUTED_VALUE"""),"CGPA ")</f>
        <v>CGPA </v>
      </c>
      <c r="M131" s="2" t="str">
        <f>IFERROR(__xludf.DUMMYFUNCTION("""COMPUTED_VALUE"""),"Experiential Learning (Int and Grade from Certificate)")</f>
        <v>Experiential Learning (Int and Grade from Certificate)</v>
      </c>
      <c r="N131" s="2">
        <f>IFERROR(__xludf.DUMMYFUNCTION("""COMPUTED_VALUE"""),2)</f>
        <v>2</v>
      </c>
      <c r="O131" s="2">
        <f>IFERROR(__xludf.DUMMYFUNCTION("""COMPUTED_VALUE"""),3)</f>
        <v>3</v>
      </c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30.75" customHeight="1" spans="1:26">
      <c r="A132" s="2">
        <f>IFERROR(__xludf.DUMMYFUNCTION("""COMPUTED_VALUE"""),131)</f>
        <v>131</v>
      </c>
      <c r="B132" s="2" t="str">
        <f>IFERROR(__xludf.DUMMYFUNCTION("""COMPUTED_VALUE"""),"EEE")</f>
        <v>EEE</v>
      </c>
      <c r="C132" s="2" t="str">
        <f>IFERROR(__xludf.DUMMYFUNCTION("""COMPUTED_VALUE"""),"EC2607")</f>
        <v>EC2607</v>
      </c>
      <c r="D132" s="2" t="str">
        <f>IFERROR(__xludf.DUMMYFUNCTION("""COMPUTED_VALUE"""),"19EE607")</f>
        <v>19EE607</v>
      </c>
      <c r="E132" s="2"/>
      <c r="F132" s="2" t="str">
        <f>IFERROR(__xludf.DUMMYFUNCTION("""COMPUTED_VALUE"""),"NPTEL")</f>
        <v>NPTEL</v>
      </c>
      <c r="G132" s="3" t="str">
        <f>IFERROR(__xludf.DUMMYFUNCTION("""COMPUTED_VALUE"""),"Digital Image Processing (NPTEL)")</f>
        <v>Digital Image Processing (NPTEL)</v>
      </c>
      <c r="H132" s="2" t="str">
        <f>IFERROR(__xludf.DUMMYFUNCTION("""COMPUTED_VALUE"""),"12 Weeks")</f>
        <v>12 Weeks</v>
      </c>
      <c r="I132" s="2" t="str">
        <f>IFERROR(__xludf.DUMMYFUNCTION("""COMPUTED_VALUE"""),"10 / 25")</f>
        <v>10 / 25</v>
      </c>
      <c r="J132" s="2" t="str">
        <f>IFERROR(__xludf.DUMMYFUNCTION("""COMPUTED_VALUE"""),"30 / 75")</f>
        <v>30 / 75</v>
      </c>
      <c r="K132" s="2" t="str">
        <f>IFERROR(__xludf.DUMMYFUNCTION("""COMPUTED_VALUE"""),"40 / 100")</f>
        <v>40 / 100</v>
      </c>
      <c r="L132" s="2" t="str">
        <f>IFERROR(__xludf.DUMMYFUNCTION("""COMPUTED_VALUE"""),"CGPA ")</f>
        <v>CGPA </v>
      </c>
      <c r="M132" s="2" t="str">
        <f>IFERROR(__xludf.DUMMYFUNCTION("""COMPUTED_VALUE"""),"Experiential Learning (Int and Grade from Certificate)")</f>
        <v>Experiential Learning (Int and Grade from Certificate)</v>
      </c>
      <c r="N132" s="2">
        <f>IFERROR(__xludf.DUMMYFUNCTION("""COMPUTED_VALUE"""),2)</f>
        <v>2</v>
      </c>
      <c r="O132" s="2">
        <f>IFERROR(__xludf.DUMMYFUNCTION("""COMPUTED_VALUE"""),3)</f>
        <v>3</v>
      </c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30.75" customHeight="1" spans="1:26">
      <c r="A133" s="2">
        <f>IFERROR(__xludf.DUMMYFUNCTION("""COMPUTED_VALUE"""),132)</f>
        <v>132</v>
      </c>
      <c r="B133" s="2" t="str">
        <f>IFERROR(__xludf.DUMMYFUNCTION("""COMPUTED_VALUE"""),"SCoFT")</f>
        <v>SCoFT</v>
      </c>
      <c r="C133" s="2" t="str">
        <f>IFERROR(__xludf.DUMMYFUNCTION("""COMPUTED_VALUE"""),"CS3071")</f>
        <v>CS3071</v>
      </c>
      <c r="D133" s="2" t="str">
        <f>IFERROR(__xludf.DUMMYFUNCTION("""COMPUTED_VALUE"""),"19AI071")</f>
        <v>19AI071</v>
      </c>
      <c r="E133" s="2"/>
      <c r="F133" s="2" t="str">
        <f>IFERROR(__xludf.DUMMYFUNCTION("""COMPUTED_VALUE"""),"NPTEL")</f>
        <v>NPTEL</v>
      </c>
      <c r="G133" s="3" t="str">
        <f>IFERROR(__xludf.DUMMYFUNCTION("""COMPUTED_VALUE"""),"Discrete Mathematics (NPTEL)")</f>
        <v>Discrete Mathematics (NPTEL)</v>
      </c>
      <c r="H133" s="2" t="str">
        <f>IFERROR(__xludf.DUMMYFUNCTION("""COMPUTED_VALUE"""),"12 Weeks")</f>
        <v>12 Weeks</v>
      </c>
      <c r="I133" s="2"/>
      <c r="J133" s="2"/>
      <c r="K133" s="2"/>
      <c r="L133" s="2" t="str">
        <f>IFERROR(__xludf.DUMMYFUNCTION("""COMPUTED_VALUE"""),"CGPA ")</f>
        <v>CGPA </v>
      </c>
      <c r="M133" s="2" t="str">
        <f>IFERROR(__xludf.DUMMYFUNCTION("""COMPUTED_VALUE"""),"Experiential Learning (Int and Grade from Certificate)")</f>
        <v>Experiential Learning (Int and Grade from Certificate)</v>
      </c>
      <c r="N133" s="2">
        <f>IFERROR(__xludf.DUMMYFUNCTION("""COMPUTED_VALUE"""),3)</f>
        <v>3</v>
      </c>
      <c r="O133" s="2">
        <f>IFERROR(__xludf.DUMMYFUNCTION("""COMPUTED_VALUE"""),3)</f>
        <v>3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30.75" customHeight="1" spans="1:26">
      <c r="A134" s="2">
        <f>IFERROR(__xludf.DUMMYFUNCTION("""COMPUTED_VALUE"""),133)</f>
        <v>133</v>
      </c>
      <c r="B134" s="2" t="str">
        <f>IFERROR(__xludf.DUMMYFUNCTION("""COMPUTED_VALUE"""),"SCoFT")</f>
        <v>SCoFT</v>
      </c>
      <c r="C134" s="2" t="str">
        <f>IFERROR(__xludf.DUMMYFUNCTION("""COMPUTED_VALUE"""),"CS3032")</f>
        <v>CS3032</v>
      </c>
      <c r="D134" s="2" t="str">
        <f>IFERROR(__xludf.DUMMYFUNCTION("""COMPUTED_VALUE"""),"19AI032")</f>
        <v>19AI032</v>
      </c>
      <c r="E134" s="2"/>
      <c r="F134" s="2" t="str">
        <f>IFERROR(__xludf.DUMMYFUNCTION("""COMPUTED_VALUE"""),"NPTEL")</f>
        <v>NPTEL</v>
      </c>
      <c r="G134" s="3" t="str">
        <f>IFERROR(__xludf.DUMMYFUNCTION("""COMPUTED_VALUE"""),"Distributed Systems (NPTEL)")</f>
        <v>Distributed Systems (NPTEL)</v>
      </c>
      <c r="H134" s="2" t="str">
        <f>IFERROR(__xludf.DUMMYFUNCTION("""COMPUTED_VALUE"""),"8 Weeks")</f>
        <v>8 Weeks</v>
      </c>
      <c r="I134" s="2"/>
      <c r="J134" s="2"/>
      <c r="K134" s="2"/>
      <c r="L134" s="2" t="str">
        <f>IFERROR(__xludf.DUMMYFUNCTION("""COMPUTED_VALUE"""),"CGPA ")</f>
        <v>CGPA </v>
      </c>
      <c r="M134" s="2" t="str">
        <f>IFERROR(__xludf.DUMMYFUNCTION("""COMPUTED_VALUE"""),"Experiential Learning (Int and Grade from Certificate)")</f>
        <v>Experiential Learning (Int and Grade from Certificate)</v>
      </c>
      <c r="N134" s="2">
        <f>IFERROR(__xludf.DUMMYFUNCTION("""COMPUTED_VALUE"""),2)</f>
        <v>2</v>
      </c>
      <c r="O134" s="2">
        <f>IFERROR(__xludf.DUMMYFUNCTION("""COMPUTED_VALUE"""),2)</f>
        <v>2</v>
      </c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30.75" customHeight="1" spans="1:26">
      <c r="A135" s="2">
        <f>IFERROR(__xludf.DUMMYFUNCTION("""COMPUTED_VALUE"""),134)</f>
        <v>134</v>
      </c>
      <c r="B135" s="2" t="str">
        <f>IFERROR(__xludf.DUMMYFUNCTION("""COMPUTED_VALUE"""),"BME, MED ELEC, CHEMICAL")</f>
        <v>BME, MED ELEC, CHEMICAL</v>
      </c>
      <c r="C135" s="2" t="str">
        <f>IFERROR(__xludf.DUMMYFUNCTION("""COMPUTED_VALUE"""),"EC4610")</f>
        <v>EC4610</v>
      </c>
      <c r="D135" s="2" t="str">
        <f>IFERROR(__xludf.DUMMYFUNCTION("""COMPUTED_VALUE"""),"19BM610")</f>
        <v>19BM610</v>
      </c>
      <c r="E135" s="2"/>
      <c r="F135" s="2" t="str">
        <f>IFERROR(__xludf.DUMMYFUNCTION("""COMPUTED_VALUE"""),"NPTEL")</f>
        <v>NPTEL</v>
      </c>
      <c r="G135" s="3" t="str">
        <f>IFERROR(__xludf.DUMMYFUNCTION("""COMPUTED_VALUE"""),"Drug Delivery: Principles and Engineering (NPTEL)")</f>
        <v>Drug Delivery: Principles and Engineering (NPTEL)</v>
      </c>
      <c r="H135" s="2" t="str">
        <f>IFERROR(__xludf.DUMMYFUNCTION("""COMPUTED_VALUE"""),"12 Weeks")</f>
        <v>12 Weeks</v>
      </c>
      <c r="I135" s="2" t="str">
        <f>IFERROR(__xludf.DUMMYFUNCTION("""COMPUTED_VALUE"""),"10 / 25")</f>
        <v>10 / 25</v>
      </c>
      <c r="J135" s="2" t="str">
        <f>IFERROR(__xludf.DUMMYFUNCTION("""COMPUTED_VALUE"""),"30 / 75")</f>
        <v>30 / 75</v>
      </c>
      <c r="K135" s="2" t="str">
        <f>IFERROR(__xludf.DUMMYFUNCTION("""COMPUTED_VALUE"""),"40 / 100")</f>
        <v>40 / 100</v>
      </c>
      <c r="L135" s="2" t="str">
        <f>IFERROR(__xludf.DUMMYFUNCTION("""COMPUTED_VALUE"""),"CGPA ")</f>
        <v>CGPA </v>
      </c>
      <c r="M135" s="2" t="str">
        <f>IFERROR(__xludf.DUMMYFUNCTION("""COMPUTED_VALUE"""),"Experiential Learning (Int and Grade from Certificate)")</f>
        <v>Experiential Learning (Int and Grade from Certificate)</v>
      </c>
      <c r="N135" s="2">
        <f>IFERROR(__xludf.DUMMYFUNCTION("""COMPUTED_VALUE"""),2)</f>
        <v>2</v>
      </c>
      <c r="O135" s="2">
        <f>IFERROR(__xludf.DUMMYFUNCTION("""COMPUTED_VALUE"""),3)</f>
        <v>3</v>
      </c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30.75" customHeight="1" spans="1:26">
      <c r="A136" s="2">
        <f>IFERROR(__xludf.DUMMYFUNCTION("""COMPUTED_VALUE"""),135)</f>
        <v>135</v>
      </c>
      <c r="B136" s="2" t="str">
        <f>IFERROR(__xludf.DUMMYFUNCTION("""COMPUTED_VALUE"""),"EEE, BME, MED ELEC")</f>
        <v>EEE, BME, MED ELEC</v>
      </c>
      <c r="C136" s="2" t="str">
        <f>IFERROR(__xludf.DUMMYFUNCTION("""COMPUTED_VALUE"""),"EC2624")</f>
        <v>EC2624</v>
      </c>
      <c r="D136" s="2" t="str">
        <f>IFERROR(__xludf.DUMMYFUNCTION("""COMPUTED_VALUE"""),"19EE624")</f>
        <v>19EE624</v>
      </c>
      <c r="E136" s="2"/>
      <c r="F136" s="2" t="str">
        <f>IFERROR(__xludf.DUMMYFUNCTION("""COMPUTED_VALUE"""),"NPTEL")</f>
        <v>NPTEL</v>
      </c>
      <c r="G136" s="3" t="str">
        <f>IFERROR(__xludf.DUMMYFUNCTION("""COMPUTED_VALUE"""),"E-Business  (NPTEL)")</f>
        <v>E-Business  (NPTEL)</v>
      </c>
      <c r="H136" s="2" t="str">
        <f>IFERROR(__xludf.DUMMYFUNCTION("""COMPUTED_VALUE"""),"12 Weeks")</f>
        <v>12 Weeks</v>
      </c>
      <c r="I136" s="2" t="str">
        <f>IFERROR(__xludf.DUMMYFUNCTION("""COMPUTED_VALUE"""),"10 / 25")</f>
        <v>10 / 25</v>
      </c>
      <c r="J136" s="2" t="str">
        <f>IFERROR(__xludf.DUMMYFUNCTION("""COMPUTED_VALUE"""),"30 / 75")</f>
        <v>30 / 75</v>
      </c>
      <c r="K136" s="2" t="str">
        <f>IFERROR(__xludf.DUMMYFUNCTION("""COMPUTED_VALUE"""),"40 / 100")</f>
        <v>40 / 100</v>
      </c>
      <c r="L136" s="2" t="str">
        <f>IFERROR(__xludf.DUMMYFUNCTION("""COMPUTED_VALUE"""),"CGPA")</f>
        <v>CGPA</v>
      </c>
      <c r="M136" s="2" t="str">
        <f>IFERROR(__xludf.DUMMYFUNCTION("""COMPUTED_VALUE"""),"Experiential Learning (Int and Grade from Certificate)")</f>
        <v>Experiential Learning (Int and Grade from Certificate)</v>
      </c>
      <c r="N136" s="2">
        <f>IFERROR(__xludf.DUMMYFUNCTION("""COMPUTED_VALUE"""),3)</f>
        <v>3</v>
      </c>
      <c r="O136" s="2">
        <f>IFERROR(__xludf.DUMMYFUNCTION("""COMPUTED_VALUE"""),3)</f>
        <v>3</v>
      </c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30.75" customHeight="1" spans="1:26">
      <c r="A137" s="2">
        <f>IFERROR(__xludf.DUMMYFUNCTION("""COMPUTED_VALUE"""),136)</f>
        <v>136</v>
      </c>
      <c r="B137" s="2" t="str">
        <f>IFERROR(__xludf.DUMMYFUNCTION("""COMPUTED_VALUE"""),"EEE, ECE")</f>
        <v>EEE, ECE</v>
      </c>
      <c r="C137" s="2" t="str">
        <f>IFERROR(__xludf.DUMMYFUNCTION("""COMPUTED_VALUE"""),"EC2614")</f>
        <v>EC2614</v>
      </c>
      <c r="D137" s="2" t="str">
        <f>IFERROR(__xludf.DUMMYFUNCTION("""COMPUTED_VALUE"""),"19EE614")</f>
        <v>19EE614</v>
      </c>
      <c r="E137" s="2"/>
      <c r="F137" s="2" t="str">
        <f>IFERROR(__xludf.DUMMYFUNCTION("""COMPUTED_VALUE"""),"NPTEL")</f>
        <v>NPTEL</v>
      </c>
      <c r="G137" s="3" t="str">
        <f>IFERROR(__xludf.DUMMYFUNCTION("""COMPUTED_VALUE"""),"Economic Growth and Development (NPTEL)")</f>
        <v>Economic Growth and Development (NPTEL)</v>
      </c>
      <c r="H137" s="2" t="str">
        <f>IFERROR(__xludf.DUMMYFUNCTION("""COMPUTED_VALUE"""),"8 Weeks")</f>
        <v>8 Weeks</v>
      </c>
      <c r="I137" s="2" t="str">
        <f>IFERROR(__xludf.DUMMYFUNCTION("""COMPUTED_VALUE"""),"10 / 25")</f>
        <v>10 / 25</v>
      </c>
      <c r="J137" s="2" t="str">
        <f>IFERROR(__xludf.DUMMYFUNCTION("""COMPUTED_VALUE"""),"30 / 75")</f>
        <v>30 / 75</v>
      </c>
      <c r="K137" s="2" t="str">
        <f>IFERROR(__xludf.DUMMYFUNCTION("""COMPUTED_VALUE"""),"40 / 100")</f>
        <v>40 / 100</v>
      </c>
      <c r="L137" s="2" t="str">
        <f>IFERROR(__xludf.DUMMYFUNCTION("""COMPUTED_VALUE"""),"CGPA ")</f>
        <v>CGPA </v>
      </c>
      <c r="M137" s="2" t="str">
        <f>IFERROR(__xludf.DUMMYFUNCTION("""COMPUTED_VALUE"""),"Experiential Learning (Int and Grade from Certificate)")</f>
        <v>Experiential Learning (Int and Grade from Certificate)</v>
      </c>
      <c r="N137" s="2">
        <f>IFERROR(__xludf.DUMMYFUNCTION("""COMPUTED_VALUE"""),2)</f>
        <v>2</v>
      </c>
      <c r="O137" s="2">
        <f>IFERROR(__xludf.DUMMYFUNCTION("""COMPUTED_VALUE"""),2)</f>
        <v>2</v>
      </c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30.75" customHeight="1" spans="1:26">
      <c r="A138" s="2">
        <f>IFERROR(__xludf.DUMMYFUNCTION("""COMPUTED_VALUE"""),137)</f>
        <v>137</v>
      </c>
      <c r="B138" s="2" t="str">
        <f>IFERROR(__xludf.DUMMYFUNCTION("""COMPUTED_VALUE"""),"BME, MED ELEC")</f>
        <v>BME, MED ELEC</v>
      </c>
      <c r="C138" s="2" t="str">
        <f>IFERROR(__xludf.DUMMYFUNCTION("""COMPUTED_VALUE"""),"EC4640")</f>
        <v>EC4640</v>
      </c>
      <c r="D138" s="2" t="str">
        <f>IFERROR(__xludf.DUMMYFUNCTION("""COMPUTED_VALUE"""),"19BM640")</f>
        <v>19BM640</v>
      </c>
      <c r="E138" s="2"/>
      <c r="F138" s="2" t="str">
        <f>IFERROR(__xludf.DUMMYFUNCTION("""COMPUTED_VALUE"""),"NPTEL")</f>
        <v>NPTEL</v>
      </c>
      <c r="G138" s="3" t="str">
        <f>IFERROR(__xludf.DUMMYFUNCTION("""COMPUTED_VALUE"""),"Economics of Health and Health Care (NPTEL)")</f>
        <v>Economics of Health and Health Care (NPTEL)</v>
      </c>
      <c r="H138" s="2" t="str">
        <f>IFERROR(__xludf.DUMMYFUNCTION("""COMPUTED_VALUE"""),"8 Weeks")</f>
        <v>8 Weeks</v>
      </c>
      <c r="I138" s="2"/>
      <c r="J138" s="2"/>
      <c r="K138" s="2"/>
      <c r="L138" s="2" t="str">
        <f>IFERROR(__xludf.DUMMYFUNCTION("""COMPUTED_VALUE"""),"CGPA")</f>
        <v>CGPA</v>
      </c>
      <c r="M138" s="2" t="str">
        <f>IFERROR(__xludf.DUMMYFUNCTION("""COMPUTED_VALUE"""),"Experiential Learning (Int and Grade from Certificate)")</f>
        <v>Experiential Learning (Int and Grade from Certificate)</v>
      </c>
      <c r="N138" s="2">
        <f>IFERROR(__xludf.DUMMYFUNCTION("""COMPUTED_VALUE"""),2)</f>
        <v>2</v>
      </c>
      <c r="O138" s="2">
        <f>IFERROR(__xludf.DUMMYFUNCTION("""COMPUTED_VALUE"""),2)</f>
        <v>2</v>
      </c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30.75" customHeight="1" spans="1:26">
      <c r="A139" s="2">
        <f>IFERROR(__xludf.DUMMYFUNCTION("""COMPUTED_VALUE"""),138)</f>
        <v>138</v>
      </c>
      <c r="B139" s="2" t="str">
        <f>IFERROR(__xludf.DUMMYFUNCTION("""COMPUTED_VALUE"""),"EEE")</f>
        <v>EEE</v>
      </c>
      <c r="C139" s="2" t="str">
        <f>IFERROR(__xludf.DUMMYFUNCTION("""COMPUTED_VALUE"""),"EC2610")</f>
        <v>EC2610</v>
      </c>
      <c r="D139" s="2" t="str">
        <f>IFERROR(__xludf.DUMMYFUNCTION("""COMPUTED_VALUE"""),"19EE610")</f>
        <v>19EE610</v>
      </c>
      <c r="E139" s="2"/>
      <c r="F139" s="2" t="str">
        <f>IFERROR(__xludf.DUMMYFUNCTION("""COMPUTED_VALUE"""),"NPTEL")</f>
        <v>NPTEL</v>
      </c>
      <c r="G139" s="3" t="str">
        <f>IFERROR(__xludf.DUMMYFUNCTION("""COMPUTED_VALUE"""),"Electrochemical Energy Storage (NPTEL)")</f>
        <v>Electrochemical Energy Storage (NPTEL)</v>
      </c>
      <c r="H139" s="2" t="str">
        <f>IFERROR(__xludf.DUMMYFUNCTION("""COMPUTED_VALUE"""),"12 Weeks")</f>
        <v>12 Weeks</v>
      </c>
      <c r="I139" s="2"/>
      <c r="J139" s="2"/>
      <c r="K139" s="2"/>
      <c r="L139" s="2" t="str">
        <f>IFERROR(__xludf.DUMMYFUNCTION("""COMPUTED_VALUE"""),"CGPA ")</f>
        <v>CGPA </v>
      </c>
      <c r="M139" s="2" t="str">
        <f>IFERROR(__xludf.DUMMYFUNCTION("""COMPUTED_VALUE"""),"Experiential Learning (Int and Grade from Certificate)")</f>
        <v>Experiential Learning (Int and Grade from Certificate)</v>
      </c>
      <c r="N139" s="2">
        <f>IFERROR(__xludf.DUMMYFUNCTION("""COMPUTED_VALUE"""),2)</f>
        <v>2</v>
      </c>
      <c r="O139" s="2">
        <f>IFERROR(__xludf.DUMMYFUNCTION("""COMPUTED_VALUE"""),3)</f>
        <v>3</v>
      </c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30.75" customHeight="1" spans="1:26">
      <c r="A140" s="2">
        <f>IFERROR(__xludf.DUMMYFUNCTION("""COMPUTED_VALUE"""),139)</f>
        <v>139</v>
      </c>
      <c r="B140" s="2" t="str">
        <f>IFERROR(__xludf.DUMMYFUNCTION("""COMPUTED_VALUE"""),"CHEMICAL")</f>
        <v>CHEMICAL</v>
      </c>
      <c r="C140" s="2" t="str">
        <f>IFERROR(__xludf.DUMMYFUNCTION("""COMPUTED_VALUE"""),"CH0622")</f>
        <v>CH0622</v>
      </c>
      <c r="D140" s="2" t="str">
        <f>IFERROR(__xludf.DUMMYFUNCTION("""COMPUTED_VALUE"""),"19CH622")</f>
        <v>19CH622</v>
      </c>
      <c r="E140" s="2"/>
      <c r="F140" s="2" t="str">
        <f>IFERROR(__xludf.DUMMYFUNCTION("""COMPUTED_VALUE"""),"NPTEL")</f>
        <v>NPTEL</v>
      </c>
      <c r="G140" s="3" t="str">
        <f>IFERROR(__xludf.DUMMYFUNCTION("""COMPUTED_VALUE"""),"Electrochemical Technology in Pollution Control (NPTEL)")</f>
        <v>Electrochemical Technology in Pollution Control (NPTEL)</v>
      </c>
      <c r="H140" s="2" t="str">
        <f>IFERROR(__xludf.DUMMYFUNCTION("""COMPUTED_VALUE"""),"8 Weeks")</f>
        <v>8 Weeks</v>
      </c>
      <c r="I140" s="2"/>
      <c r="J140" s="2"/>
      <c r="K140" s="2"/>
      <c r="L140" s="2" t="str">
        <f>IFERROR(__xludf.DUMMYFUNCTION("""COMPUTED_VALUE"""),"CGPA ")</f>
        <v>CGPA </v>
      </c>
      <c r="M140" s="2" t="str">
        <f>IFERROR(__xludf.DUMMYFUNCTION("""COMPUTED_VALUE"""),"Experiential Learning (Int and Grade from Certificate)")</f>
        <v>Experiential Learning (Int and Grade from Certificate)</v>
      </c>
      <c r="N140" s="2">
        <f>IFERROR(__xludf.DUMMYFUNCTION("""COMPUTED_VALUE"""),2)</f>
        <v>2</v>
      </c>
      <c r="O140" s="2">
        <f>IFERROR(__xludf.DUMMYFUNCTION("""COMPUTED_VALUE"""),2)</f>
        <v>2</v>
      </c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30.75" customHeight="1" spans="1:26">
      <c r="A141" s="2">
        <f>IFERROR(__xludf.DUMMYFUNCTION("""COMPUTED_VALUE"""),140)</f>
        <v>140</v>
      </c>
      <c r="B141" s="2" t="str">
        <f>IFERROR(__xludf.DUMMYFUNCTION("""COMPUTED_VALUE"""),"EEE, MECH")</f>
        <v>EEE, MECH</v>
      </c>
      <c r="C141" s="2" t="str">
        <f>IFERROR(__xludf.DUMMYFUNCTION("""COMPUTED_VALUE"""),"EC2620")</f>
        <v>EC2620</v>
      </c>
      <c r="D141" s="2" t="str">
        <f>IFERROR(__xludf.DUMMYFUNCTION("""COMPUTED_VALUE"""),"19EE620")</f>
        <v>19EE620</v>
      </c>
      <c r="E141" s="2"/>
      <c r="F141" s="2" t="str">
        <f>IFERROR(__xludf.DUMMYFUNCTION("""COMPUTED_VALUE"""),"NPTEL")</f>
        <v>NPTEL</v>
      </c>
      <c r="G141" s="3" t="str">
        <f>IFERROR(__xludf.DUMMYFUNCTION("""COMPUTED_VALUE"""),"Electronic Packaging and Manufacturing (NPTEL)")</f>
        <v>Electronic Packaging and Manufacturing (NPTEL)</v>
      </c>
      <c r="H141" s="2" t="str">
        <f>IFERROR(__xludf.DUMMYFUNCTION("""COMPUTED_VALUE"""),"8 Weeks")</f>
        <v>8 Weeks</v>
      </c>
      <c r="I141" s="2" t="str">
        <f>IFERROR(__xludf.DUMMYFUNCTION("""COMPUTED_VALUE"""),"10 / 25")</f>
        <v>10 / 25</v>
      </c>
      <c r="J141" s="2" t="str">
        <f>IFERROR(__xludf.DUMMYFUNCTION("""COMPUTED_VALUE"""),"30 / 75")</f>
        <v>30 / 75</v>
      </c>
      <c r="K141" s="2" t="str">
        <f>IFERROR(__xludf.DUMMYFUNCTION("""COMPUTED_VALUE"""),"40 / 100")</f>
        <v>40 / 100</v>
      </c>
      <c r="L141" s="2" t="str">
        <f>IFERROR(__xludf.DUMMYFUNCTION("""COMPUTED_VALUE"""),"CGPA ")</f>
        <v>CGPA </v>
      </c>
      <c r="M141" s="2" t="str">
        <f>IFERROR(__xludf.DUMMYFUNCTION("""COMPUTED_VALUE"""),"Experiential Learning (Int and Grade from Certificate)")</f>
        <v>Experiential Learning (Int and Grade from Certificate)</v>
      </c>
      <c r="N141" s="2">
        <f>IFERROR(__xludf.DUMMYFUNCTION("""COMPUTED_VALUE"""),2)</f>
        <v>2</v>
      </c>
      <c r="O141" s="2">
        <f>IFERROR(__xludf.DUMMYFUNCTION("""COMPUTED_VALUE"""),2)</f>
        <v>2</v>
      </c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30.75" customHeight="1" spans="1:26">
      <c r="A142" s="2">
        <f>IFERROR(__xludf.DUMMYFUNCTION("""COMPUTED_VALUE"""),141)</f>
        <v>141</v>
      </c>
      <c r="B142" s="2" t="str">
        <f>IFERROR(__xludf.DUMMYFUNCTION("""COMPUTED_VALUE"""),"BME, MED ELEC")</f>
        <v>BME, MED ELEC</v>
      </c>
      <c r="C142" s="2" t="str">
        <f>IFERROR(__xludf.DUMMYFUNCTION("""COMPUTED_VALUE"""),"EC4641")</f>
        <v>EC4641</v>
      </c>
      <c r="D142" s="2" t="str">
        <f>IFERROR(__xludf.DUMMYFUNCTION("""COMPUTED_VALUE"""),"19BM641")</f>
        <v>19BM641</v>
      </c>
      <c r="E142" s="2"/>
      <c r="F142" s="2" t="str">
        <f>IFERROR(__xludf.DUMMYFUNCTION("""COMPUTED_VALUE"""),"NPTEL")</f>
        <v>NPTEL</v>
      </c>
      <c r="G142" s="3" t="str">
        <f>IFERROR(__xludf.DUMMYFUNCTION("""COMPUTED_VALUE"""),"Electronic Waste Management - Issues and Challenges (NPTEL)")</f>
        <v>Electronic Waste Management - Issues and Challenges (NPTEL)</v>
      </c>
      <c r="H142" s="2" t="str">
        <f>IFERROR(__xludf.DUMMYFUNCTION("""COMPUTED_VALUE"""),"4 Weeks")</f>
        <v>4 Weeks</v>
      </c>
      <c r="I142" s="2"/>
      <c r="J142" s="2"/>
      <c r="K142" s="2"/>
      <c r="L142" s="2" t="str">
        <f>IFERROR(__xludf.DUMMYFUNCTION("""COMPUTED_VALUE"""),"CGPA")</f>
        <v>CGPA</v>
      </c>
      <c r="M142" s="2" t="str">
        <f>IFERROR(__xludf.DUMMYFUNCTION("""COMPUTED_VALUE"""),"Experiential Learning (Int and Grade from Certificate)")</f>
        <v>Experiential Learning (Int and Grade from Certificate)</v>
      </c>
      <c r="N142" s="2">
        <f>IFERROR(__xludf.DUMMYFUNCTION("""COMPUTED_VALUE"""),1)</f>
        <v>1</v>
      </c>
      <c r="O142" s="2">
        <f>IFERROR(__xludf.DUMMYFUNCTION("""COMPUTED_VALUE"""),1)</f>
        <v>1</v>
      </c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30.75" customHeight="1" spans="1:26">
      <c r="A143" s="2">
        <f>IFERROR(__xludf.DUMMYFUNCTION("""COMPUTED_VALUE"""),142)</f>
        <v>142</v>
      </c>
      <c r="B143" s="2" t="str">
        <f>IFERROR(__xludf.DUMMYFUNCTION("""COMPUTED_VALUE"""),"BME, MED ELEC")</f>
        <v>BME, MED ELEC</v>
      </c>
      <c r="C143" s="2" t="str">
        <f>IFERROR(__xludf.DUMMYFUNCTION("""COMPUTED_VALUE"""),"EC4642")</f>
        <v>EC4642</v>
      </c>
      <c r="D143" s="2" t="str">
        <f>IFERROR(__xludf.DUMMYFUNCTION("""COMPUTED_VALUE"""),"19BM642")</f>
        <v>19BM642</v>
      </c>
      <c r="E143" s="2"/>
      <c r="F143" s="2" t="str">
        <f>IFERROR(__xludf.DUMMYFUNCTION("""COMPUTED_VALUE"""),"NPTEL")</f>
        <v>NPTEL</v>
      </c>
      <c r="G143" s="3" t="str">
        <f>IFERROR(__xludf.DUMMYFUNCTION("""COMPUTED_VALUE"""),"Embedded Sensing, Actuation and Interfacing Systems (NPTEL)")</f>
        <v>Embedded Sensing, Actuation and Interfacing Systems (NPTEL)</v>
      </c>
      <c r="H143" s="2" t="str">
        <f>IFERROR(__xludf.DUMMYFUNCTION("""COMPUTED_VALUE"""),"12 Weeks")</f>
        <v>12 Weeks</v>
      </c>
      <c r="I143" s="2"/>
      <c r="J143" s="2"/>
      <c r="K143" s="2"/>
      <c r="L143" s="2" t="str">
        <f>IFERROR(__xludf.DUMMYFUNCTION("""COMPUTED_VALUE"""),"CGPA")</f>
        <v>CGPA</v>
      </c>
      <c r="M143" s="2" t="str">
        <f>IFERROR(__xludf.DUMMYFUNCTION("""COMPUTED_VALUE"""),"Experiential Learning (Int and Grade from Certificate)")</f>
        <v>Experiential Learning (Int and Grade from Certificate)</v>
      </c>
      <c r="N143" s="2">
        <f>IFERROR(__xludf.DUMMYFUNCTION("""COMPUTED_VALUE"""),3)</f>
        <v>3</v>
      </c>
      <c r="O143" s="2">
        <f>IFERROR(__xludf.DUMMYFUNCTION("""COMPUTED_VALUE"""),3)</f>
        <v>3</v>
      </c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30.75" customHeight="1" spans="1:26">
      <c r="A144" s="2">
        <f>IFERROR(__xludf.DUMMYFUNCTION("""COMPUTED_VALUE"""),143)</f>
        <v>143</v>
      </c>
      <c r="B144" s="2" t="str">
        <f>IFERROR(__xludf.DUMMYFUNCTION("""COMPUTED_VALUE"""),"SCoFT, BME, MED ELEC")</f>
        <v>SCoFT, BME, MED ELEC</v>
      </c>
      <c r="C144" s="2" t="str">
        <f>IFERROR(__xludf.DUMMYFUNCTION("""COMPUTED_VALUE"""),"CS3033")</f>
        <v>CS3033</v>
      </c>
      <c r="D144" s="2" t="str">
        <f>IFERROR(__xludf.DUMMYFUNCTION("""COMPUTED_VALUE"""),"19AI033")</f>
        <v>19AI033</v>
      </c>
      <c r="E144" s="2"/>
      <c r="F144" s="2" t="str">
        <f>IFERROR(__xludf.DUMMYFUNCTION("""COMPUTED_VALUE"""),"NPTEL")</f>
        <v>NPTEL</v>
      </c>
      <c r="G144" s="3" t="str">
        <f>IFERROR(__xludf.DUMMYFUNCTION("""COMPUTED_VALUE"""),"Embedded System Design with ARM (NPTEL)")</f>
        <v>Embedded System Design with ARM (NPTEL)</v>
      </c>
      <c r="H144" s="2" t="str">
        <f>IFERROR(__xludf.DUMMYFUNCTION("""COMPUTED_VALUE"""),"8 Weeks")</f>
        <v>8 Weeks</v>
      </c>
      <c r="I144" s="2"/>
      <c r="J144" s="2"/>
      <c r="K144" s="2"/>
      <c r="L144" s="2" t="str">
        <f>IFERROR(__xludf.DUMMYFUNCTION("""COMPUTED_VALUE"""),"CGPA ")</f>
        <v>CGPA </v>
      </c>
      <c r="M144" s="2" t="str">
        <f>IFERROR(__xludf.DUMMYFUNCTION("""COMPUTED_VALUE"""),"Experiential Learning (Int and Grade from Certificate)")</f>
        <v>Experiential Learning (Int and Grade from Certificate)</v>
      </c>
      <c r="N144" s="2">
        <f>IFERROR(__xludf.DUMMYFUNCTION("""COMPUTED_VALUE"""),2)</f>
        <v>2</v>
      </c>
      <c r="O144" s="2">
        <f>IFERROR(__xludf.DUMMYFUNCTION("""COMPUTED_VALUE"""),2)</f>
        <v>2</v>
      </c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30.75" customHeight="1" spans="1:26">
      <c r="A145" s="2">
        <f>IFERROR(__xludf.DUMMYFUNCTION("""COMPUTED_VALUE"""),144)</f>
        <v>144</v>
      </c>
      <c r="B145" s="2" t="str">
        <f>IFERROR(__xludf.DUMMYFUNCTION("""COMPUTED_VALUE"""),"SCoFT")</f>
        <v>SCoFT</v>
      </c>
      <c r="C145" s="2" t="str">
        <f>IFERROR(__xludf.DUMMYFUNCTION("""COMPUTED_VALUE"""),"CS3034")</f>
        <v>CS3034</v>
      </c>
      <c r="D145" s="2" t="str">
        <f>IFERROR(__xludf.DUMMYFUNCTION("""COMPUTED_VALUE"""),"19AI034")</f>
        <v>19AI034</v>
      </c>
      <c r="E145" s="2"/>
      <c r="F145" s="2" t="str">
        <f>IFERROR(__xludf.DUMMYFUNCTION("""COMPUTED_VALUE"""),"NPTEL")</f>
        <v>NPTEL</v>
      </c>
      <c r="G145" s="3" t="str">
        <f>IFERROR(__xludf.DUMMYFUNCTION("""COMPUTED_VALUE"""),"Embedded Systems Design (NPTEL)")</f>
        <v>Embedded Systems Design (NPTEL)</v>
      </c>
      <c r="H145" s="2" t="str">
        <f>IFERROR(__xludf.DUMMYFUNCTION("""COMPUTED_VALUE"""),"12 Weeks")</f>
        <v>12 Weeks</v>
      </c>
      <c r="I145" s="2"/>
      <c r="J145" s="2"/>
      <c r="K145" s="2"/>
      <c r="L145" s="2" t="str">
        <f>IFERROR(__xludf.DUMMYFUNCTION("""COMPUTED_VALUE"""),"CGPA ")</f>
        <v>CGPA </v>
      </c>
      <c r="M145" s="2" t="str">
        <f>IFERROR(__xludf.DUMMYFUNCTION("""COMPUTED_VALUE"""),"Experiential Learning (Int and Grade from Certificate)")</f>
        <v>Experiential Learning (Int and Grade from Certificate)</v>
      </c>
      <c r="N145" s="2">
        <f>IFERROR(__xludf.DUMMYFUNCTION("""COMPUTED_VALUE"""),3)</f>
        <v>3</v>
      </c>
      <c r="O145" s="2">
        <f>IFERROR(__xludf.DUMMYFUNCTION("""COMPUTED_VALUE"""),3)</f>
        <v>3</v>
      </c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30.75" customHeight="1" spans="1:26">
      <c r="A146" s="2">
        <f>IFERROR(__xludf.DUMMYFUNCTION("""COMPUTED_VALUE"""),145)</f>
        <v>145</v>
      </c>
      <c r="B146" s="2" t="str">
        <f>IFERROR(__xludf.DUMMYFUNCTION("""COMPUTED_VALUE"""),"BME, MED ELEC")</f>
        <v>BME, MED ELEC</v>
      </c>
      <c r="C146" s="2" t="str">
        <f>IFERROR(__xludf.DUMMYFUNCTION("""COMPUTED_VALUE"""),"EC4643")</f>
        <v>EC4643</v>
      </c>
      <c r="D146" s="2" t="str">
        <f>IFERROR(__xludf.DUMMYFUNCTION("""COMPUTED_VALUE"""),"19BM643")</f>
        <v>19BM643</v>
      </c>
      <c r="E146" s="2"/>
      <c r="F146" s="2" t="str">
        <f>IFERROR(__xludf.DUMMYFUNCTION("""COMPUTED_VALUE"""),"NPTEL")</f>
        <v>NPTEL</v>
      </c>
      <c r="G146" s="3" t="str">
        <f>IFERROR(__xludf.DUMMYFUNCTION("""COMPUTED_VALUE"""),"EMI /EMC and Signal Integrity: Principles, Techniques and Applications (NPTEL)")</f>
        <v>EMI /EMC and Signal Integrity: Principles, Techniques and Applications (NPTEL)</v>
      </c>
      <c r="H146" s="2" t="str">
        <f>IFERROR(__xludf.DUMMYFUNCTION("""COMPUTED_VALUE"""),"12 Weeks")</f>
        <v>12 Weeks</v>
      </c>
      <c r="I146" s="2"/>
      <c r="J146" s="2"/>
      <c r="K146" s="2"/>
      <c r="L146" s="2" t="str">
        <f>IFERROR(__xludf.DUMMYFUNCTION("""COMPUTED_VALUE"""),"CGPA")</f>
        <v>CGPA</v>
      </c>
      <c r="M146" s="2" t="str">
        <f>IFERROR(__xludf.DUMMYFUNCTION("""COMPUTED_VALUE"""),"Experiential Learning (Int and Grade from Certificate)")</f>
        <v>Experiential Learning (Int and Grade from Certificate)</v>
      </c>
      <c r="N146" s="2">
        <f>IFERROR(__xludf.DUMMYFUNCTION("""COMPUTED_VALUE"""),3)</f>
        <v>3</v>
      </c>
      <c r="O146" s="2">
        <f>IFERROR(__xludf.DUMMYFUNCTION("""COMPUTED_VALUE"""),3)</f>
        <v>3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30.75" customHeight="1" spans="1:26">
      <c r="A147" s="2">
        <f>IFERROR(__xludf.DUMMYFUNCTION("""COMPUTED_VALUE"""),146)</f>
        <v>146</v>
      </c>
      <c r="B147" s="2" t="str">
        <f>IFERROR(__xludf.DUMMYFUNCTION("""COMPUTED_VALUE"""),"MECH")</f>
        <v>MECH</v>
      </c>
      <c r="C147" s="2" t="str">
        <f>IFERROR(__xludf.DUMMYFUNCTION("""COMPUTED_VALUE"""),"ME0607")</f>
        <v>ME0607</v>
      </c>
      <c r="D147" s="2" t="str">
        <f>IFERROR(__xludf.DUMMYFUNCTION("""COMPUTED_VALUE"""),"19ME607")</f>
        <v>19ME607</v>
      </c>
      <c r="E147" s="2"/>
      <c r="F147" s="2" t="str">
        <f>IFERROR(__xludf.DUMMYFUNCTION("""COMPUTED_VALUE"""),"NPTEL(IITKGP)")</f>
        <v>NPTEL(IITKGP)</v>
      </c>
      <c r="G147" s="3" t="str">
        <f>IFERROR(__xludf.DUMMYFUNCTION("""COMPUTED_VALUE"""),"Energy Conservation and Waste Heat Recovery (NPTEL)")</f>
        <v>Energy Conservation and Waste Heat Recovery (NPTEL)</v>
      </c>
      <c r="H147" s="2" t="str">
        <f>IFERROR(__xludf.DUMMYFUNCTION("""COMPUTED_VALUE"""),"12 Weeks")</f>
        <v>12 Weeks</v>
      </c>
      <c r="I147" s="4">
        <f>IFERROR(__xludf.DUMMYFUNCTION("""COMPUTED_VALUE"""),45224)</f>
        <v>45224</v>
      </c>
      <c r="J147" s="2" t="str">
        <f>IFERROR(__xludf.DUMMYFUNCTION("""COMPUTED_VALUE"""),"30/75")</f>
        <v>30/75</v>
      </c>
      <c r="K147" s="2" t="str">
        <f>IFERROR(__xludf.DUMMYFUNCTION("""COMPUTED_VALUE"""),"40/100")</f>
        <v>40/100</v>
      </c>
      <c r="L147" s="2" t="str">
        <f>IFERROR(__xludf.DUMMYFUNCTION("""COMPUTED_VALUE"""),"CGPA ")</f>
        <v>CGPA </v>
      </c>
      <c r="M147" s="2" t="str">
        <f>IFERROR(__xludf.DUMMYFUNCTION("""COMPUTED_VALUE"""),"Experiential Learning (Int and Grade from Certificate)")</f>
        <v>Experiential Learning (Int and Grade from Certificate)</v>
      </c>
      <c r="N147" s="2">
        <f>IFERROR(__xludf.DUMMYFUNCTION("""COMPUTED_VALUE"""),2)</f>
        <v>2</v>
      </c>
      <c r="O147" s="2">
        <f>IFERROR(__xludf.DUMMYFUNCTION("""COMPUTED_VALUE"""),3)</f>
        <v>3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30.75" customHeight="1" spans="1:26">
      <c r="A148" s="2">
        <f>IFERROR(__xludf.DUMMYFUNCTION("""COMPUTED_VALUE"""),147)</f>
        <v>147</v>
      </c>
      <c r="B148" s="2" t="str">
        <f>IFERROR(__xludf.DUMMYFUNCTION("""COMPUTED_VALUE"""),"CHEMICAL")</f>
        <v>CHEMICAL</v>
      </c>
      <c r="C148" s="2" t="str">
        <f>IFERROR(__xludf.DUMMYFUNCTION("""COMPUTED_VALUE"""),"CH0623")</f>
        <v>CH0623</v>
      </c>
      <c r="D148" s="2" t="str">
        <f>IFERROR(__xludf.DUMMYFUNCTION("""COMPUTED_VALUE"""),"19CH623")</f>
        <v>19CH623</v>
      </c>
      <c r="E148" s="2"/>
      <c r="F148" s="2" t="str">
        <f>IFERROR(__xludf.DUMMYFUNCTION("""COMPUTED_VALUE"""),"NPTEL")</f>
        <v>NPTEL</v>
      </c>
      <c r="G148" s="7" t="str">
        <f>IFERROR(__xludf.DUMMYFUNCTION("""COMPUTED_VALUE"""),"Energy Conversion Technologies (Biomass and Coal) (NPTEL)")</f>
        <v>Energy Conversion Technologies (Biomass and Coal) (NPTEL)</v>
      </c>
      <c r="H148" s="2" t="str">
        <f>IFERROR(__xludf.DUMMYFUNCTION("""COMPUTED_VALUE"""),"8 Weeks")</f>
        <v>8 Weeks</v>
      </c>
      <c r="I148" s="2" t="str">
        <f>IFERROR(__xludf.DUMMYFUNCTION("""COMPUTED_VALUE"""),"10 / 25")</f>
        <v>10 / 25</v>
      </c>
      <c r="J148" s="2" t="str">
        <f>IFERROR(__xludf.DUMMYFUNCTION("""COMPUTED_VALUE"""),"30 / 75")</f>
        <v>30 / 75</v>
      </c>
      <c r="K148" s="2" t="str">
        <f>IFERROR(__xludf.DUMMYFUNCTION("""COMPUTED_VALUE"""),"40 / 100")</f>
        <v>40 / 100</v>
      </c>
      <c r="L148" s="2" t="str">
        <f>IFERROR(__xludf.DUMMYFUNCTION("""COMPUTED_VALUE"""),"CGPA")</f>
        <v>CGPA</v>
      </c>
      <c r="M148" s="2" t="str">
        <f>IFERROR(__xludf.DUMMYFUNCTION("""COMPUTED_VALUE"""),"Experiential Learning (Int and Grade from Certificate)")</f>
        <v>Experiential Learning (Int and Grade from Certificate)</v>
      </c>
      <c r="N148" s="2">
        <f>IFERROR(__xludf.DUMMYFUNCTION("""COMPUTED_VALUE"""),2)</f>
        <v>2</v>
      </c>
      <c r="O148" s="2">
        <f>IFERROR(__xludf.DUMMYFUNCTION("""COMPUTED_VALUE"""),2)</f>
        <v>2</v>
      </c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30.75" customHeight="1" spans="1:26">
      <c r="A149" s="2">
        <f>IFERROR(__xludf.DUMMYFUNCTION("""COMPUTED_VALUE"""),148)</f>
        <v>148</v>
      </c>
      <c r="B149" s="2" t="str">
        <f>IFERROR(__xludf.DUMMYFUNCTION("""COMPUTED_VALUE"""),"EEE")</f>
        <v>EEE</v>
      </c>
      <c r="C149" s="2" t="str">
        <f>IFERROR(__xludf.DUMMYFUNCTION("""COMPUTED_VALUE"""),"EC2623")</f>
        <v>EC2623</v>
      </c>
      <c r="D149" s="2" t="str">
        <f>IFERROR(__xludf.DUMMYFUNCTION("""COMPUTED_VALUE"""),"19EE623")</f>
        <v>19EE623</v>
      </c>
      <c r="E149" s="2"/>
      <c r="F149" s="2" t="str">
        <f>IFERROR(__xludf.DUMMYFUNCTION("""COMPUTED_VALUE"""),"NPTEL")</f>
        <v>NPTEL</v>
      </c>
      <c r="G149" s="3" t="str">
        <f>IFERROR(__xludf.DUMMYFUNCTION("""COMPUTED_VALUE"""),"Energy Resources, Economics, and Sustainability  (NPTEL)")</f>
        <v>Energy Resources, Economics, and Sustainability  (NPTEL)</v>
      </c>
      <c r="H149" s="2" t="str">
        <f>IFERROR(__xludf.DUMMYFUNCTION("""COMPUTED_VALUE"""),"8 weeks")</f>
        <v>8 weeks</v>
      </c>
      <c r="I149" s="2" t="str">
        <f>IFERROR(__xludf.DUMMYFUNCTION("""COMPUTED_VALUE"""),"10 / 25")</f>
        <v>10 / 25</v>
      </c>
      <c r="J149" s="2" t="str">
        <f>IFERROR(__xludf.DUMMYFUNCTION("""COMPUTED_VALUE"""),"30 / 75")</f>
        <v>30 / 75</v>
      </c>
      <c r="K149" s="2" t="str">
        <f>IFERROR(__xludf.DUMMYFUNCTION("""COMPUTED_VALUE"""),"40 / 100")</f>
        <v>40 / 100</v>
      </c>
      <c r="L149" s="2" t="str">
        <f>IFERROR(__xludf.DUMMYFUNCTION("""COMPUTED_VALUE"""),"CGPA")</f>
        <v>CGPA</v>
      </c>
      <c r="M149" s="2" t="str">
        <f>IFERROR(__xludf.DUMMYFUNCTION("""COMPUTED_VALUE"""),"Experiential Learning (Int and Grade from Certificate)")</f>
        <v>Experiential Learning (Int and Grade from Certificate)</v>
      </c>
      <c r="N149" s="2">
        <f>IFERROR(__xludf.DUMMYFUNCTION("""COMPUTED_VALUE"""),2)</f>
        <v>2</v>
      </c>
      <c r="O149" s="2">
        <f>IFERROR(__xludf.DUMMYFUNCTION("""COMPUTED_VALUE"""),2)</f>
        <v>2</v>
      </c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30.75" customHeight="1" spans="1:26">
      <c r="A150" s="2">
        <f>IFERROR(__xludf.DUMMYFUNCTION("""COMPUTED_VALUE"""),149)</f>
        <v>149</v>
      </c>
      <c r="B150" s="2" t="str">
        <f>IFERROR(__xludf.DUMMYFUNCTION("""COMPUTED_VALUE"""),"BME")</f>
        <v>BME</v>
      </c>
      <c r="C150" s="2" t="str">
        <f>IFERROR(__xludf.DUMMYFUNCTION("""COMPUTED_VALUE"""),"EC4608")</f>
        <v>EC4608</v>
      </c>
      <c r="D150" s="2" t="str">
        <f>IFERROR(__xludf.DUMMYFUNCTION("""COMPUTED_VALUE"""),"19BM608")</f>
        <v>19BM608</v>
      </c>
      <c r="E150" s="2"/>
      <c r="F150" s="2" t="str">
        <f>IFERROR(__xludf.DUMMYFUNCTION("""COMPUTED_VALUE"""),"NPTEL")</f>
        <v>NPTEL</v>
      </c>
      <c r="G150" s="3" t="str">
        <f>IFERROR(__xludf.DUMMYFUNCTION("""COMPUTED_VALUE"""),"Engineering Mechanics (NPTEL)")</f>
        <v>Engineering Mechanics (NPTEL)</v>
      </c>
      <c r="H150" s="2" t="str">
        <f>IFERROR(__xludf.DUMMYFUNCTION("""COMPUTED_VALUE"""),"12 Weeks")</f>
        <v>12 Weeks</v>
      </c>
      <c r="I150" s="4">
        <f>IFERROR(__xludf.DUMMYFUNCTION("""COMPUTED_VALUE"""),45224)</f>
        <v>45224</v>
      </c>
      <c r="J150" s="2" t="str">
        <f>IFERROR(__xludf.DUMMYFUNCTION("""COMPUTED_VALUE"""),"30/75")</f>
        <v>30/75</v>
      </c>
      <c r="K150" s="2" t="str">
        <f>IFERROR(__xludf.DUMMYFUNCTION("""COMPUTED_VALUE"""),"40/100")</f>
        <v>40/100</v>
      </c>
      <c r="L150" s="2" t="str">
        <f>IFERROR(__xludf.DUMMYFUNCTION("""COMPUTED_VALUE"""),"CGPA ")</f>
        <v>CGPA </v>
      </c>
      <c r="M150" s="2" t="str">
        <f>IFERROR(__xludf.DUMMYFUNCTION("""COMPUTED_VALUE"""),"Experiential Learning (Int and Grade from Certificate)")</f>
        <v>Experiential Learning (Int and Grade from Certificate)</v>
      </c>
      <c r="N150" s="2">
        <f>IFERROR(__xludf.DUMMYFUNCTION("""COMPUTED_VALUE"""),2)</f>
        <v>2</v>
      </c>
      <c r="O150" s="2">
        <f>IFERROR(__xludf.DUMMYFUNCTION("""COMPUTED_VALUE"""),3)</f>
        <v>3</v>
      </c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30.75" customHeight="1" spans="1:26">
      <c r="A151" s="2">
        <f>IFERROR(__xludf.DUMMYFUNCTION("""COMPUTED_VALUE"""),150)</f>
        <v>150</v>
      </c>
      <c r="B151" s="2" t="str">
        <f>IFERROR(__xludf.DUMMYFUNCTION("""COMPUTED_VALUE"""),"EEE,ECE")</f>
        <v>EEE,ECE</v>
      </c>
      <c r="C151" s="2" t="str">
        <f>IFERROR(__xludf.DUMMYFUNCTION("""COMPUTED_VALUE"""),"EC2609")</f>
        <v>EC2609</v>
      </c>
      <c r="D151" s="2" t="str">
        <f>IFERROR(__xludf.DUMMYFUNCTION("""COMPUTED_VALUE"""),"19EE609")</f>
        <v>19EE609</v>
      </c>
      <c r="E151" s="2"/>
      <c r="F151" s="2" t="str">
        <f>IFERROR(__xludf.DUMMYFUNCTION("""COMPUTED_VALUE"""),"NPTEL")</f>
        <v>NPTEL</v>
      </c>
      <c r="G151" s="3" t="str">
        <f>IFERROR(__xludf.DUMMYFUNCTION("""COMPUTED_VALUE"""),"Entrepreneurship (NPTEL)")</f>
        <v>Entrepreneurship (NPTEL)</v>
      </c>
      <c r="H151" s="2" t="str">
        <f>IFERROR(__xludf.DUMMYFUNCTION("""COMPUTED_VALUE"""),"12 Weeks")</f>
        <v>12 Weeks</v>
      </c>
      <c r="I151" s="2" t="str">
        <f>IFERROR(__xludf.DUMMYFUNCTION("""COMPUTED_VALUE"""),"10 / 25")</f>
        <v>10 / 25</v>
      </c>
      <c r="J151" s="2" t="str">
        <f>IFERROR(__xludf.DUMMYFUNCTION("""COMPUTED_VALUE"""),"30 / 75")</f>
        <v>30 / 75</v>
      </c>
      <c r="K151" s="2" t="str">
        <f>IFERROR(__xludf.DUMMYFUNCTION("""COMPUTED_VALUE"""),"40 / 100")</f>
        <v>40 / 100</v>
      </c>
      <c r="L151" s="2" t="str">
        <f>IFERROR(__xludf.DUMMYFUNCTION("""COMPUTED_VALUE"""),"CGPA ")</f>
        <v>CGPA </v>
      </c>
      <c r="M151" s="2" t="str">
        <f>IFERROR(__xludf.DUMMYFUNCTION("""COMPUTED_VALUE"""),"Experiential Learning (Int and Grade from Certificate)")</f>
        <v>Experiential Learning (Int and Grade from Certificate)</v>
      </c>
      <c r="N151" s="2">
        <f>IFERROR(__xludf.DUMMYFUNCTION("""COMPUTED_VALUE"""),2)</f>
        <v>2</v>
      </c>
      <c r="O151" s="2">
        <f>IFERROR(__xludf.DUMMYFUNCTION("""COMPUTED_VALUE"""),3)</f>
        <v>3</v>
      </c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30.75" customHeight="1" spans="1:26">
      <c r="A152" s="2">
        <f>IFERROR(__xludf.DUMMYFUNCTION("""COMPUTED_VALUE"""),151)</f>
        <v>151</v>
      </c>
      <c r="B152" s="2" t="str">
        <f>IFERROR(__xludf.DUMMYFUNCTION("""COMPUTED_VALUE"""),"ECE")</f>
        <v>ECE</v>
      </c>
      <c r="C152" s="2" t="str">
        <f>IFERROR(__xludf.DUMMYFUNCTION("""COMPUTED_VALUE"""),"EC1652")</f>
        <v>EC1652</v>
      </c>
      <c r="D152" s="2" t="str">
        <f>IFERROR(__xludf.DUMMYFUNCTION("""COMPUTED_VALUE"""),"19EC652")</f>
        <v>19EC652</v>
      </c>
      <c r="E152" s="2"/>
      <c r="F152" s="2" t="str">
        <f>IFERROR(__xludf.DUMMYFUNCTION("""COMPUTED_VALUE"""),"NPTEL")</f>
        <v>NPTEL</v>
      </c>
      <c r="G152" s="3" t="str">
        <f>IFERROR(__xludf.DUMMYFUNCTION("""COMPUTED_VALUE"""),"Entrepreneurship and IP Strategy (NPTEL)")</f>
        <v>Entrepreneurship and IP Strategy (NPTEL)</v>
      </c>
      <c r="H152" s="2" t="str">
        <f>IFERROR(__xludf.DUMMYFUNCTION("""COMPUTED_VALUE"""),"8 Weeks")</f>
        <v>8 Weeks</v>
      </c>
      <c r="I152" s="2"/>
      <c r="J152" s="2"/>
      <c r="K152" s="2"/>
      <c r="L152" s="2" t="str">
        <f>IFERROR(__xludf.DUMMYFUNCTION("""COMPUTED_VALUE"""),"CGPA")</f>
        <v>CGPA</v>
      </c>
      <c r="M152" s="2" t="str">
        <f>IFERROR(__xludf.DUMMYFUNCTION("""COMPUTED_VALUE"""),"Experiential Learning (Int and Grade from Certificate)")</f>
        <v>Experiential Learning (Int and Grade from Certificate)</v>
      </c>
      <c r="N152" s="2">
        <f>IFERROR(__xludf.DUMMYFUNCTION("""COMPUTED_VALUE"""),2)</f>
        <v>2</v>
      </c>
      <c r="O152" s="2">
        <f>IFERROR(__xludf.DUMMYFUNCTION("""COMPUTED_VALUE"""),2)</f>
        <v>2</v>
      </c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30.75" customHeight="1" spans="1:26">
      <c r="A153" s="2">
        <f>IFERROR(__xludf.DUMMYFUNCTION("""COMPUTED_VALUE"""),152)</f>
        <v>152</v>
      </c>
      <c r="B153" s="2" t="str">
        <f>IFERROR(__xludf.DUMMYFUNCTION("""COMPUTED_VALUE"""),"BME, MED ELEC")</f>
        <v>BME, MED ELEC</v>
      </c>
      <c r="C153" s="2" t="str">
        <f>IFERROR(__xludf.DUMMYFUNCTION("""COMPUTED_VALUE"""),"EC4644")</f>
        <v>EC4644</v>
      </c>
      <c r="D153" s="2" t="str">
        <f>IFERROR(__xludf.DUMMYFUNCTION("""COMPUTED_VALUE"""),"19BM644")</f>
        <v>19BM644</v>
      </c>
      <c r="E153" s="2"/>
      <c r="F153" s="2" t="str">
        <f>IFERROR(__xludf.DUMMYFUNCTION("""COMPUTED_VALUE"""),"NPTEL")</f>
        <v>NPTEL</v>
      </c>
      <c r="G153" s="3" t="str">
        <f>IFERROR(__xludf.DUMMYFUNCTION("""COMPUTED_VALUE"""),"Entrepreneurship Essentials (NPTEL)")</f>
        <v>Entrepreneurship Essentials (NPTEL)</v>
      </c>
      <c r="H153" s="2" t="str">
        <f>IFERROR(__xludf.DUMMYFUNCTION("""COMPUTED_VALUE"""),"12 Weeks")</f>
        <v>12 Weeks</v>
      </c>
      <c r="I153" s="2"/>
      <c r="J153" s="2"/>
      <c r="K153" s="2"/>
      <c r="L153" s="2" t="str">
        <f>IFERROR(__xludf.DUMMYFUNCTION("""COMPUTED_VALUE"""),"CGPA")</f>
        <v>CGPA</v>
      </c>
      <c r="M153" s="2" t="str">
        <f>IFERROR(__xludf.DUMMYFUNCTION("""COMPUTED_VALUE"""),"Experiential Learning (Int and Grade from Certificate)")</f>
        <v>Experiential Learning (Int and Grade from Certificate)</v>
      </c>
      <c r="N153" s="2">
        <f>IFERROR(__xludf.DUMMYFUNCTION("""COMPUTED_VALUE"""),3)</f>
        <v>3</v>
      </c>
      <c r="O153" s="2">
        <f>IFERROR(__xludf.DUMMYFUNCTION("""COMPUTED_VALUE"""),3)</f>
        <v>3</v>
      </c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30.75" customHeight="1" spans="1:26">
      <c r="A154" s="2">
        <f>IFERROR(__xludf.DUMMYFUNCTION("""COMPUTED_VALUE"""),153)</f>
        <v>153</v>
      </c>
      <c r="B154" s="2" t="str">
        <f>IFERROR(__xludf.DUMMYFUNCTION("""COMPUTED_VALUE"""),"ECE")</f>
        <v>ECE</v>
      </c>
      <c r="C154" s="2" t="str">
        <f>IFERROR(__xludf.DUMMYFUNCTION("""COMPUTED_VALUE"""),"EC1641")</f>
        <v>EC1641</v>
      </c>
      <c r="D154" s="2" t="str">
        <f>IFERROR(__xludf.DUMMYFUNCTION("""COMPUTED_VALUE"""),"19EC641")</f>
        <v>19EC641</v>
      </c>
      <c r="E154" s="2"/>
      <c r="F154" s="2" t="str">
        <f>IFERROR(__xludf.DUMMYFUNCTION("""COMPUTED_VALUE"""),"NPTEL")</f>
        <v>NPTEL</v>
      </c>
      <c r="G154" s="3" t="str">
        <f>IFERROR(__xludf.DUMMYFUNCTION("""COMPUTED_VALUE"""),"Environmental Impact Assessment (NPTEL)")</f>
        <v>Environmental Impact Assessment (NPTEL)</v>
      </c>
      <c r="H154" s="2" t="str">
        <f>IFERROR(__xludf.DUMMYFUNCTION("""COMPUTED_VALUE"""),"12 Weeks")</f>
        <v>12 Weeks</v>
      </c>
      <c r="I154" s="2" t="str">
        <f>IFERROR(__xludf.DUMMYFUNCTION("""COMPUTED_VALUE"""),"10 / 25")</f>
        <v>10 / 25</v>
      </c>
      <c r="J154" s="2" t="str">
        <f>IFERROR(__xludf.DUMMYFUNCTION("""COMPUTED_VALUE"""),"30 / 75")</f>
        <v>30 / 75</v>
      </c>
      <c r="K154" s="2" t="str">
        <f>IFERROR(__xludf.DUMMYFUNCTION("""COMPUTED_VALUE"""),"40 / 100")</f>
        <v>40 / 100</v>
      </c>
      <c r="L154" s="2" t="str">
        <f>IFERROR(__xludf.DUMMYFUNCTION("""COMPUTED_VALUE"""),"CGPA")</f>
        <v>CGPA</v>
      </c>
      <c r="M154" s="2" t="str">
        <f>IFERROR(__xludf.DUMMYFUNCTION("""COMPUTED_VALUE"""),"Experiential Learning (Int and Grade from Certificate)")</f>
        <v>Experiential Learning (Int and Grade from Certificate)</v>
      </c>
      <c r="N154" s="2">
        <f>IFERROR(__xludf.DUMMYFUNCTION("""COMPUTED_VALUE"""),3)</f>
        <v>3</v>
      </c>
      <c r="O154" s="2">
        <f>IFERROR(__xludf.DUMMYFUNCTION("""COMPUTED_VALUE"""),3)</f>
        <v>3</v>
      </c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30.75" customHeight="1" spans="1:26">
      <c r="A155" s="2">
        <f>IFERROR(__xludf.DUMMYFUNCTION("""COMPUTED_VALUE"""),154)</f>
        <v>154</v>
      </c>
      <c r="B155" s="2" t="str">
        <f>IFERROR(__xludf.DUMMYFUNCTION("""COMPUTED_VALUE"""),"CHEMICAL")</f>
        <v>CHEMICAL</v>
      </c>
      <c r="C155" s="2" t="str">
        <f>IFERROR(__xludf.DUMMYFUNCTION("""COMPUTED_VALUE"""),"CH0610")</f>
        <v>CH0610</v>
      </c>
      <c r="D155" s="2" t="str">
        <f>IFERROR(__xludf.DUMMYFUNCTION("""COMPUTED_VALUE"""),"19CH610")</f>
        <v>19CH610</v>
      </c>
      <c r="E155" s="2"/>
      <c r="F155" s="2" t="str">
        <f>IFERROR(__xludf.DUMMYFUNCTION("""COMPUTED_VALUE"""),"NPTEL")</f>
        <v>NPTEL</v>
      </c>
      <c r="G155" s="3" t="str">
        <f>IFERROR(__xludf.DUMMYFUNCTION("""COMPUTED_VALUE"""),"Environmental Quality Monitoring and Analysis (NPTEL)")</f>
        <v>Environmental Quality Monitoring and Analysis (NPTEL)</v>
      </c>
      <c r="H155" s="2" t="str">
        <f>IFERROR(__xludf.DUMMYFUNCTION("""COMPUTED_VALUE"""),"12 Weeks")</f>
        <v>12 Weeks</v>
      </c>
      <c r="I155" s="2" t="str">
        <f>IFERROR(__xludf.DUMMYFUNCTION("""COMPUTED_VALUE"""),"10 / 25")</f>
        <v>10 / 25</v>
      </c>
      <c r="J155" s="2" t="str">
        <f>IFERROR(__xludf.DUMMYFUNCTION("""COMPUTED_VALUE"""),"30 / 75")</f>
        <v>30 / 75</v>
      </c>
      <c r="K155" s="2" t="str">
        <f>IFERROR(__xludf.DUMMYFUNCTION("""COMPUTED_VALUE"""),"40 / 100")</f>
        <v>40 / 100</v>
      </c>
      <c r="L155" s="2" t="str">
        <f>IFERROR(__xludf.DUMMYFUNCTION("""COMPUTED_VALUE"""),"CGPA ")</f>
        <v>CGPA </v>
      </c>
      <c r="M155" s="2" t="str">
        <f>IFERROR(__xludf.DUMMYFUNCTION("""COMPUTED_VALUE"""),"Experiential Learning (Int and Grade from Certificate)")</f>
        <v>Experiential Learning (Int and Grade from Certificate)</v>
      </c>
      <c r="N155" s="2">
        <f>IFERROR(__xludf.DUMMYFUNCTION("""COMPUTED_VALUE"""),2)</f>
        <v>2</v>
      </c>
      <c r="O155" s="2">
        <f>IFERROR(__xludf.DUMMYFUNCTION("""COMPUTED_VALUE"""),3)</f>
        <v>3</v>
      </c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30.75" customHeight="1" spans="1:26">
      <c r="A156" s="2">
        <f>IFERROR(__xludf.DUMMYFUNCTION("""COMPUTED_VALUE"""),155)</f>
        <v>155</v>
      </c>
      <c r="B156" s="2" t="str">
        <f>IFERROR(__xludf.DUMMYFUNCTION("""COMPUTED_VALUE"""),"SCoFT")</f>
        <v>SCoFT</v>
      </c>
      <c r="C156" s="2" t="str">
        <f>IFERROR(__xludf.DUMMYFUNCTION("""COMPUTED_VALUE"""),"CS3035")</f>
        <v>CS3035</v>
      </c>
      <c r="D156" s="2" t="str">
        <f>IFERROR(__xludf.DUMMYFUNCTION("""COMPUTED_VALUE"""),"19AI035")</f>
        <v>19AI035</v>
      </c>
      <c r="E156" s="2"/>
      <c r="F156" s="2" t="str">
        <f>IFERROR(__xludf.DUMMYFUNCTION("""COMPUTED_VALUE"""),"NPTEL")</f>
        <v>NPTEL</v>
      </c>
      <c r="G156" s="3" t="str">
        <f>IFERROR(__xludf.DUMMYFUNCTION("""COMPUTED_VALUE"""),"Essential Mathematics for Machine Learning (NPTEL)")</f>
        <v>Essential Mathematics for Machine Learning (NPTEL)</v>
      </c>
      <c r="H156" s="2" t="str">
        <f>IFERROR(__xludf.DUMMYFUNCTION("""COMPUTED_VALUE"""),"12 Weeks")</f>
        <v>12 Weeks</v>
      </c>
      <c r="I156" s="2"/>
      <c r="J156" s="2"/>
      <c r="K156" s="2"/>
      <c r="L156" s="2" t="str">
        <f>IFERROR(__xludf.DUMMYFUNCTION("""COMPUTED_VALUE"""),"CGPA ")</f>
        <v>CGPA </v>
      </c>
      <c r="M156" s="2" t="str">
        <f>IFERROR(__xludf.DUMMYFUNCTION("""COMPUTED_VALUE"""),"Experiential Learning (Int and Grade from Certificate)")</f>
        <v>Experiential Learning (Int and Grade from Certificate)</v>
      </c>
      <c r="N156" s="2">
        <f>IFERROR(__xludf.DUMMYFUNCTION("""COMPUTED_VALUE"""),3)</f>
        <v>3</v>
      </c>
      <c r="O156" s="2">
        <f>IFERROR(__xludf.DUMMYFUNCTION("""COMPUTED_VALUE"""),3)</f>
        <v>3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30.75" customHeight="1" spans="1:26">
      <c r="A157" s="2">
        <f>IFERROR(__xludf.DUMMYFUNCTION("""COMPUTED_VALUE"""),156)</f>
        <v>156</v>
      </c>
      <c r="B157" s="2" t="str">
        <f>IFERROR(__xludf.DUMMYFUNCTION("""COMPUTED_VALUE"""),"BME, MED ELEC")</f>
        <v>BME, MED ELEC</v>
      </c>
      <c r="C157" s="2" t="str">
        <f>IFERROR(__xludf.DUMMYFUNCTION("""COMPUTED_VALUE"""),"EC4645")</f>
        <v>EC4645</v>
      </c>
      <c r="D157" s="2" t="str">
        <f>IFERROR(__xludf.DUMMYFUNCTION("""COMPUTED_VALUE"""),"19BM645")</f>
        <v>19BM645</v>
      </c>
      <c r="E157" s="2"/>
      <c r="F157" s="2" t="str">
        <f>IFERROR(__xludf.DUMMYFUNCTION("""COMPUTED_VALUE"""),"NPTEL")</f>
        <v>NPTEL</v>
      </c>
      <c r="G157" s="3" t="str">
        <f>IFERROR(__xludf.DUMMYFUNCTION("""COMPUTED_VALUE"""),"Essentials of Sports Injury Prevention &amp; Rehabilitation (NPTEL)")</f>
        <v>Essentials of Sports Injury Prevention &amp; Rehabilitation (NPTEL)</v>
      </c>
      <c r="H157" s="2" t="str">
        <f>IFERROR(__xludf.DUMMYFUNCTION("""COMPUTED_VALUE"""),"8 Weeks")</f>
        <v>8 Weeks</v>
      </c>
      <c r="I157" s="2"/>
      <c r="J157" s="2"/>
      <c r="K157" s="2"/>
      <c r="L157" s="2" t="str">
        <f>IFERROR(__xludf.DUMMYFUNCTION("""COMPUTED_VALUE"""),"CGPA")</f>
        <v>CGPA</v>
      </c>
      <c r="M157" s="2" t="str">
        <f>IFERROR(__xludf.DUMMYFUNCTION("""COMPUTED_VALUE"""),"Experiential Learning (Int and Grade from Certificate)")</f>
        <v>Experiential Learning (Int and Grade from Certificate)</v>
      </c>
      <c r="N157" s="2">
        <f>IFERROR(__xludf.DUMMYFUNCTION("""COMPUTED_VALUE"""),2)</f>
        <v>2</v>
      </c>
      <c r="O157" s="2">
        <f>IFERROR(__xludf.DUMMYFUNCTION("""COMPUTED_VALUE"""),2)</f>
        <v>2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30.75" customHeight="1" spans="1:26">
      <c r="A158" s="2">
        <f>IFERROR(__xludf.DUMMYFUNCTION("""COMPUTED_VALUE"""),157)</f>
        <v>157</v>
      </c>
      <c r="B158" s="2" t="str">
        <f>IFERROR(__xludf.DUMMYFUNCTION("""COMPUTED_VALUE"""),"ECE,SCoFT")</f>
        <v>ECE,SCoFT</v>
      </c>
      <c r="C158" s="2" t="str">
        <f>IFERROR(__xludf.DUMMYFUNCTION("""COMPUTED_VALUE"""),"CS2603")</f>
        <v>CS2603</v>
      </c>
      <c r="D158" s="2" t="str">
        <f>IFERROR(__xludf.DUMMYFUNCTION("""COMPUTED_VALUE"""),"19IT603")</f>
        <v>19IT603</v>
      </c>
      <c r="E158" s="2"/>
      <c r="F158" s="2" t="str">
        <f>IFERROR(__xludf.DUMMYFUNCTION("""COMPUTED_VALUE"""),"NPTEL(IIT Kharagpur)")</f>
        <v>NPTEL(IIT Kharagpur)</v>
      </c>
      <c r="G158" s="3" t="str">
        <f>IFERROR(__xludf.DUMMYFUNCTION("""COMPUTED_VALUE"""),"Ethical Hacking (NPTEL)")</f>
        <v>Ethical Hacking (NPTEL)</v>
      </c>
      <c r="H158" s="2" t="str">
        <f>IFERROR(__xludf.DUMMYFUNCTION("""COMPUTED_VALUE"""),"12 Weeks")</f>
        <v>12 Weeks</v>
      </c>
      <c r="I158" s="2" t="str">
        <f>IFERROR(__xludf.DUMMYFUNCTION("""COMPUTED_VALUE"""),"10 / 25")</f>
        <v>10 / 25</v>
      </c>
      <c r="J158" s="2" t="str">
        <f>IFERROR(__xludf.DUMMYFUNCTION("""COMPUTED_VALUE"""),"30 / 75")</f>
        <v>30 / 75</v>
      </c>
      <c r="K158" s="2" t="str">
        <f>IFERROR(__xludf.DUMMYFUNCTION("""COMPUTED_VALUE"""),"40 / 100")</f>
        <v>40 / 100</v>
      </c>
      <c r="L158" s="2" t="str">
        <f>IFERROR(__xludf.DUMMYFUNCTION("""COMPUTED_VALUE"""),"CGPA ")</f>
        <v>CGPA </v>
      </c>
      <c r="M158" s="2" t="str">
        <f>IFERROR(__xludf.DUMMYFUNCTION("""COMPUTED_VALUE"""),"Experiential Learning (Int and Grade from Certificate)")</f>
        <v>Experiential Learning (Int and Grade from Certificate)</v>
      </c>
      <c r="N158" s="2">
        <f>IFERROR(__xludf.DUMMYFUNCTION("""COMPUTED_VALUE"""),2)</f>
        <v>2</v>
      </c>
      <c r="O158" s="2">
        <f>IFERROR(__xludf.DUMMYFUNCTION("""COMPUTED_VALUE"""),3)</f>
        <v>3</v>
      </c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30.75" customHeight="1" spans="1:26">
      <c r="A159" s="2">
        <f>IFERROR(__xludf.DUMMYFUNCTION("""COMPUTED_VALUE"""),158)</f>
        <v>158</v>
      </c>
      <c r="B159" s="2" t="str">
        <f>IFERROR(__xludf.DUMMYFUNCTION("""COMPUTED_VALUE"""),"ECE, BME, MED ELEC")</f>
        <v>ECE, BME, MED ELEC</v>
      </c>
      <c r="C159" s="2" t="str">
        <f>IFERROR(__xludf.DUMMYFUNCTION("""COMPUTED_VALUE"""),"EC1653")</f>
        <v>EC1653</v>
      </c>
      <c r="D159" s="2" t="str">
        <f>IFERROR(__xludf.DUMMYFUNCTION("""COMPUTED_VALUE"""),"19EC653")</f>
        <v>19EC653</v>
      </c>
      <c r="E159" s="2"/>
      <c r="F159" s="2" t="str">
        <f>IFERROR(__xludf.DUMMYFUNCTION("""COMPUTED_VALUE"""),"NPTEL")</f>
        <v>NPTEL</v>
      </c>
      <c r="G159" s="3" t="str">
        <f>IFERROR(__xludf.DUMMYFUNCTION("""COMPUTED_VALUE"""),"Ethics in Engineering Practice (NPTEL)")</f>
        <v>Ethics in Engineering Practice (NPTEL)</v>
      </c>
      <c r="H159" s="2" t="str">
        <f>IFERROR(__xludf.DUMMYFUNCTION("""COMPUTED_VALUE"""),"8 Weeks")</f>
        <v>8 Weeks</v>
      </c>
      <c r="I159" s="2" t="str">
        <f>IFERROR(__xludf.DUMMYFUNCTION("""COMPUTED_VALUE"""),"10 / 25")</f>
        <v>10 / 25</v>
      </c>
      <c r="J159" s="2" t="str">
        <f>IFERROR(__xludf.DUMMYFUNCTION("""COMPUTED_VALUE"""),"30 / 75")</f>
        <v>30 / 75</v>
      </c>
      <c r="K159" s="2" t="str">
        <f>IFERROR(__xludf.DUMMYFUNCTION("""COMPUTED_VALUE"""),"40 / 100")</f>
        <v>40 / 100</v>
      </c>
      <c r="L159" s="2" t="str">
        <f>IFERROR(__xludf.DUMMYFUNCTION("""COMPUTED_VALUE"""),"CGPA")</f>
        <v>CGPA</v>
      </c>
      <c r="M159" s="2" t="str">
        <f>IFERROR(__xludf.DUMMYFUNCTION("""COMPUTED_VALUE"""),"Experiential Learning (Int and Grade from Certificate)")</f>
        <v>Experiential Learning (Int and Grade from Certificate)</v>
      </c>
      <c r="N159" s="2">
        <f>IFERROR(__xludf.DUMMYFUNCTION("""COMPUTED_VALUE"""),2)</f>
        <v>2</v>
      </c>
      <c r="O159" s="2">
        <f>IFERROR(__xludf.DUMMYFUNCTION("""COMPUTED_VALUE"""),2)</f>
        <v>2</v>
      </c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30.75" customHeight="1" spans="1:26">
      <c r="A160" s="2">
        <f>IFERROR(__xludf.DUMMYFUNCTION("""COMPUTED_VALUE"""),159)</f>
        <v>159</v>
      </c>
      <c r="B160" s="2" t="str">
        <f>IFERROR(__xludf.DUMMYFUNCTION("""COMPUTED_VALUE"""),"SCoFT")</f>
        <v>SCoFT</v>
      </c>
      <c r="C160" s="2" t="str">
        <f>IFERROR(__xludf.DUMMYFUNCTION("""COMPUTED_VALUE"""),"CS3112")</f>
        <v>CS3112</v>
      </c>
      <c r="D160" s="2" t="str">
        <f>IFERROR(__xludf.DUMMYFUNCTION("""COMPUTED_VALUE"""),"19AI112")</f>
        <v>19AI112</v>
      </c>
      <c r="E160" s="2"/>
      <c r="F160" s="2" t="str">
        <f>IFERROR(__xludf.DUMMYFUNCTION("""COMPUTED_VALUE"""),"COURSERA")</f>
        <v>COURSERA</v>
      </c>
      <c r="G160" s="3" t="str">
        <f>IFERROR(__xludf.DUMMYFUNCTION("""COMPUTED_VALUE"""),"Executive Data Science Specialization (Coursera)")</f>
        <v>Executive Data Science Specialization (Coursera)</v>
      </c>
      <c r="H160" s="2" t="str">
        <f>IFERROR(__xludf.DUMMYFUNCTION("""COMPUTED_VALUE"""),"8 weeks")</f>
        <v>8 weeks</v>
      </c>
      <c r="I160" s="2"/>
      <c r="J160" s="2"/>
      <c r="K160" s="2"/>
      <c r="L160" s="2" t="str">
        <f>IFERROR(__xludf.DUMMYFUNCTION("""COMPUTED_VALUE"""),"CGPA")</f>
        <v>CGPA</v>
      </c>
      <c r="M160" s="2" t="str">
        <f>IFERROR(__xludf.DUMMYFUNCTION("""COMPUTED_VALUE"""),"Experiential Learning (Int and Grade from Certificate)")</f>
        <v>Experiential Learning (Int and Grade from Certificate)</v>
      </c>
      <c r="N160" s="2">
        <f>IFERROR(__xludf.DUMMYFUNCTION("""COMPUTED_VALUE"""),2)</f>
        <v>2</v>
      </c>
      <c r="O160" s="2">
        <f>IFERROR(__xludf.DUMMYFUNCTION("""COMPUTED_VALUE"""),2)</f>
        <v>2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30.75" customHeight="1" spans="1:26">
      <c r="A161" s="2">
        <f>IFERROR(__xludf.DUMMYFUNCTION("""COMPUTED_VALUE"""),160)</f>
        <v>160</v>
      </c>
      <c r="B161" s="2" t="str">
        <f>IFERROR(__xludf.DUMMYFUNCTION("""COMPUTED_VALUE"""),"BME, MED ELEC")</f>
        <v>BME, MED ELEC</v>
      </c>
      <c r="C161" s="2" t="str">
        <f>IFERROR(__xludf.DUMMYFUNCTION("""COMPUTED_VALUE"""),"EC4646")</f>
        <v>EC4646</v>
      </c>
      <c r="D161" s="2" t="str">
        <f>IFERROR(__xludf.DUMMYFUNCTION("""COMPUTED_VALUE"""),"19BM646")</f>
        <v>19BM646</v>
      </c>
      <c r="E161" s="2"/>
      <c r="F161" s="2" t="str">
        <f>IFERROR(__xludf.DUMMYFUNCTION("""COMPUTED_VALUE"""),"NPTEL")</f>
        <v>NPTEL</v>
      </c>
      <c r="G161" s="3" t="str">
        <f>IFERROR(__xludf.DUMMYFUNCTION("""COMPUTED_VALUE"""),"Exercise and Sports Biomechanics (NPTEL)")</f>
        <v>Exercise and Sports Biomechanics (NPTEL)</v>
      </c>
      <c r="H161" s="2" t="str">
        <f>IFERROR(__xludf.DUMMYFUNCTION("""COMPUTED_VALUE"""),"12 Weeks")</f>
        <v>12 Weeks</v>
      </c>
      <c r="I161" s="2"/>
      <c r="J161" s="2"/>
      <c r="K161" s="2"/>
      <c r="L161" s="2" t="str">
        <f>IFERROR(__xludf.DUMMYFUNCTION("""COMPUTED_VALUE"""),"CGPA")</f>
        <v>CGPA</v>
      </c>
      <c r="M161" s="2" t="str">
        <f>IFERROR(__xludf.DUMMYFUNCTION("""COMPUTED_VALUE"""),"Experiential Learning (Int and Grade from Certificate)")</f>
        <v>Experiential Learning (Int and Grade from Certificate)</v>
      </c>
      <c r="N161" s="2">
        <f>IFERROR(__xludf.DUMMYFUNCTION("""COMPUTED_VALUE"""),3)</f>
        <v>3</v>
      </c>
      <c r="O161" s="2">
        <f>IFERROR(__xludf.DUMMYFUNCTION("""COMPUTED_VALUE"""),3)</f>
        <v>3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30.75" customHeight="1" spans="1:26">
      <c r="A162" s="2">
        <f>IFERROR(__xludf.DUMMYFUNCTION("""COMPUTED_VALUE"""),161)</f>
        <v>161</v>
      </c>
      <c r="B162" s="2" t="str">
        <f>IFERROR(__xludf.DUMMYFUNCTION("""COMPUTED_VALUE"""),"EEE")</f>
        <v>EEE</v>
      </c>
      <c r="C162" s="2" t="str">
        <f>IFERROR(__xludf.DUMMYFUNCTION("""COMPUTED_VALUE"""),"EC2608")</f>
        <v>EC2608</v>
      </c>
      <c r="D162" s="2" t="str">
        <f>IFERROR(__xludf.DUMMYFUNCTION("""COMPUTED_VALUE"""),"19EE608")</f>
        <v>19EE608</v>
      </c>
      <c r="E162" s="2"/>
      <c r="F162" s="2" t="str">
        <f>IFERROR(__xludf.DUMMYFUNCTION("""COMPUTED_VALUE"""),"NPTEL")</f>
        <v>NPTEL</v>
      </c>
      <c r="G162" s="3" t="str">
        <f>IFERROR(__xludf.DUMMYFUNCTION("""COMPUTED_VALUE"""),"Fiber Optic Communication Technology (NPTEL)")</f>
        <v>Fiber Optic Communication Technology (NPTEL)</v>
      </c>
      <c r="H162" s="2" t="str">
        <f>IFERROR(__xludf.DUMMYFUNCTION("""COMPUTED_VALUE"""),"12 Weeks")</f>
        <v>12 Weeks</v>
      </c>
      <c r="I162" s="2" t="str">
        <f>IFERROR(__xludf.DUMMYFUNCTION("""COMPUTED_VALUE"""),"10 / 25")</f>
        <v>10 / 25</v>
      </c>
      <c r="J162" s="2" t="str">
        <f>IFERROR(__xludf.DUMMYFUNCTION("""COMPUTED_VALUE"""),"30 / 75")</f>
        <v>30 / 75</v>
      </c>
      <c r="K162" s="2" t="str">
        <f>IFERROR(__xludf.DUMMYFUNCTION("""COMPUTED_VALUE"""),"40 / 100")</f>
        <v>40 / 100</v>
      </c>
      <c r="L162" s="2" t="str">
        <f>IFERROR(__xludf.DUMMYFUNCTION("""COMPUTED_VALUE"""),"CGPA ")</f>
        <v>CGPA </v>
      </c>
      <c r="M162" s="2" t="str">
        <f>IFERROR(__xludf.DUMMYFUNCTION("""COMPUTED_VALUE"""),"Experiential Learning (Int and Grade from Certificate)")</f>
        <v>Experiential Learning (Int and Grade from Certificate)</v>
      </c>
      <c r="N162" s="2">
        <f>IFERROR(__xludf.DUMMYFUNCTION("""COMPUTED_VALUE"""),2)</f>
        <v>2</v>
      </c>
      <c r="O162" s="2">
        <f>IFERROR(__xludf.DUMMYFUNCTION("""COMPUTED_VALUE"""),3)</f>
        <v>3</v>
      </c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30.75" customHeight="1" spans="1:26">
      <c r="A163" s="2">
        <f>IFERROR(__xludf.DUMMYFUNCTION("""COMPUTED_VALUE"""),162)</f>
        <v>162</v>
      </c>
      <c r="B163" s="2" t="str">
        <f>IFERROR(__xludf.DUMMYFUNCTION("""COMPUTED_VALUE"""),"BME, MED ELEC")</f>
        <v>BME, MED ELEC</v>
      </c>
      <c r="C163" s="2" t="str">
        <f>IFERROR(__xludf.DUMMYFUNCTION("""COMPUTED_VALUE"""),"EC4613")</f>
        <v>EC4613</v>
      </c>
      <c r="D163" s="2" t="str">
        <f>IFERROR(__xludf.DUMMYFUNCTION("""COMPUTED_VALUE"""),"19BM613")</f>
        <v>19BM613</v>
      </c>
      <c r="E163" s="2"/>
      <c r="F163" s="2" t="str">
        <f>IFERROR(__xludf.DUMMYFUNCTION("""COMPUTED_VALUE"""),"NPTEL")</f>
        <v>NPTEL</v>
      </c>
      <c r="G163" s="3" t="str">
        <f>IFERROR(__xludf.DUMMYFUNCTION("""COMPUTED_VALUE"""),"Fluid Mechanics (NPTEL)")</f>
        <v>Fluid Mechanics (NPTEL)</v>
      </c>
      <c r="H163" s="2" t="str">
        <f>IFERROR(__xludf.DUMMYFUNCTION("""COMPUTED_VALUE"""),"12 Weeks")</f>
        <v>12 Weeks</v>
      </c>
      <c r="I163" s="2" t="str">
        <f>IFERROR(__xludf.DUMMYFUNCTION("""COMPUTED_VALUE"""),"10 / 25")</f>
        <v>10 / 25</v>
      </c>
      <c r="J163" s="2" t="str">
        <f>IFERROR(__xludf.DUMMYFUNCTION("""COMPUTED_VALUE"""),"30 / 75")</f>
        <v>30 / 75</v>
      </c>
      <c r="K163" s="2" t="str">
        <f>IFERROR(__xludf.DUMMYFUNCTION("""COMPUTED_VALUE"""),"40 / 100")</f>
        <v>40 / 100</v>
      </c>
      <c r="L163" s="2" t="str">
        <f>IFERROR(__xludf.DUMMYFUNCTION("""COMPUTED_VALUE"""),"CGPA ")</f>
        <v>CGPA </v>
      </c>
      <c r="M163" s="2" t="str">
        <f>IFERROR(__xludf.DUMMYFUNCTION("""COMPUTED_VALUE"""),"Experiential Learning (Int and Grade from Certificate)")</f>
        <v>Experiential Learning (Int and Grade from Certificate)</v>
      </c>
      <c r="N163" s="2">
        <f>IFERROR(__xludf.DUMMYFUNCTION("""COMPUTED_VALUE"""),2)</f>
        <v>2</v>
      </c>
      <c r="O163" s="2">
        <f>IFERROR(__xludf.DUMMYFUNCTION("""COMPUTED_VALUE"""),3)</f>
        <v>3</v>
      </c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30.75" customHeight="1" spans="1:26">
      <c r="A164" s="2">
        <f>IFERROR(__xludf.DUMMYFUNCTION("""COMPUTED_VALUE"""),163)</f>
        <v>163</v>
      </c>
      <c r="B164" s="2" t="str">
        <f>IFERROR(__xludf.DUMMYFUNCTION("""COMPUTED_VALUE"""),"CHEMICAL")</f>
        <v>CHEMICAL</v>
      </c>
      <c r="C164" s="2" t="str">
        <f>IFERROR(__xludf.DUMMYFUNCTION("""COMPUTED_VALUE"""),"CH0616")</f>
        <v>CH0616</v>
      </c>
      <c r="D164" s="2" t="str">
        <f>IFERROR(__xludf.DUMMYFUNCTION("""COMPUTED_VALUE"""),"19CH616")</f>
        <v>19CH616</v>
      </c>
      <c r="E164" s="2"/>
      <c r="F164" s="2" t="str">
        <f>IFERROR(__xludf.DUMMYFUNCTION("""COMPUTED_VALUE"""),"NPTEL")</f>
        <v>NPTEL</v>
      </c>
      <c r="G164" s="3" t="str">
        <f>IFERROR(__xludf.DUMMYFUNCTION("""COMPUTED_VALUE"""),"Food Preservation Technology (NPTEL)")</f>
        <v>Food Preservation Technology (NPTEL)</v>
      </c>
      <c r="H164" s="2" t="str">
        <f>IFERROR(__xludf.DUMMYFUNCTION("""COMPUTED_VALUE"""),"12 Weeks")</f>
        <v>12 Weeks</v>
      </c>
      <c r="I164" s="2"/>
      <c r="J164" s="2"/>
      <c r="K164" s="2"/>
      <c r="L164" s="2" t="str">
        <f>IFERROR(__xludf.DUMMYFUNCTION("""COMPUTED_VALUE"""),"CGPA ")</f>
        <v>CGPA </v>
      </c>
      <c r="M164" s="2" t="str">
        <f>IFERROR(__xludf.DUMMYFUNCTION("""COMPUTED_VALUE"""),"Experiential Learning (Int and Grade from Certificate)")</f>
        <v>Experiential Learning (Int and Grade from Certificate)</v>
      </c>
      <c r="N164" s="2">
        <f>IFERROR(__xludf.DUMMYFUNCTION("""COMPUTED_VALUE"""),2)</f>
        <v>2</v>
      </c>
      <c r="O164" s="2">
        <f>IFERROR(__xludf.DUMMYFUNCTION("""COMPUTED_VALUE"""),3)</f>
        <v>3</v>
      </c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30.75" customHeight="1" spans="1:26">
      <c r="A165" s="2">
        <f>IFERROR(__xludf.DUMMYFUNCTION("""COMPUTED_VALUE"""),164)</f>
        <v>164</v>
      </c>
      <c r="B165" s="2" t="str">
        <f>IFERROR(__xludf.DUMMYFUNCTION("""COMPUTED_VALUE"""),"ECE")</f>
        <v>ECE</v>
      </c>
      <c r="C165" s="2" t="str">
        <f>IFERROR(__xludf.DUMMYFUNCTION("""COMPUTED_VALUE"""),"EC1656")</f>
        <v>EC1656</v>
      </c>
      <c r="D165" s="2" t="str">
        <f>IFERROR(__xludf.DUMMYFUNCTION("""COMPUTED_VALUE"""),"19EC656")</f>
        <v>19EC656</v>
      </c>
      <c r="E165" s="2"/>
      <c r="F165" s="2" t="str">
        <f>IFERROR(__xludf.DUMMYFUNCTION("""COMPUTED_VALUE"""),"NPTEL")</f>
        <v>NPTEL</v>
      </c>
      <c r="G165" s="3" t="str">
        <f>IFERROR(__xludf.DUMMYFUNCTION("""COMPUTED_VALUE"""),"Forests and their Management (NPTEL)")</f>
        <v>Forests and their Management (NPTEL)</v>
      </c>
      <c r="H165" s="2" t="str">
        <f>IFERROR(__xludf.DUMMYFUNCTION("""COMPUTED_VALUE"""),"12 Weeks")</f>
        <v>12 Weeks</v>
      </c>
      <c r="I165" s="2"/>
      <c r="J165" s="2"/>
      <c r="K165" s="2"/>
      <c r="L165" s="2" t="str">
        <f>IFERROR(__xludf.DUMMYFUNCTION("""COMPUTED_VALUE"""),"CGPA")</f>
        <v>CGPA</v>
      </c>
      <c r="M165" s="2" t="str">
        <f>IFERROR(__xludf.DUMMYFUNCTION("""COMPUTED_VALUE"""),"Experiential Learning (Int and Grade from Certificate)")</f>
        <v>Experiential Learning (Int and Grade from Certificate)</v>
      </c>
      <c r="N165" s="2">
        <f>IFERROR(__xludf.DUMMYFUNCTION("""COMPUTED_VALUE"""),3)</f>
        <v>3</v>
      </c>
      <c r="O165" s="2">
        <f>IFERROR(__xludf.DUMMYFUNCTION("""COMPUTED_VALUE"""),3)</f>
        <v>3</v>
      </c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30.75" customHeight="1" spans="1:26">
      <c r="A166" s="2">
        <f>IFERROR(__xludf.DUMMYFUNCTION("""COMPUTED_VALUE"""),165)</f>
        <v>165</v>
      </c>
      <c r="B166" s="2" t="str">
        <f>IFERROR(__xludf.DUMMYFUNCTION("""COMPUTED_VALUE"""),"BME, MED ELEC")</f>
        <v>BME, MED ELEC</v>
      </c>
      <c r="C166" s="2" t="str">
        <f>IFERROR(__xludf.DUMMYFUNCTION("""COMPUTED_VALUE"""),"EC4647")</f>
        <v>EC4647</v>
      </c>
      <c r="D166" s="2" t="str">
        <f>IFERROR(__xludf.DUMMYFUNCTION("""COMPUTED_VALUE"""),"19BM647")</f>
        <v>19BM647</v>
      </c>
      <c r="E166" s="2"/>
      <c r="F166" s="2" t="str">
        <f>IFERROR(__xludf.DUMMYFUNCTION("""COMPUTED_VALUE"""),"NPTEL")</f>
        <v>NPTEL</v>
      </c>
      <c r="G166" s="3" t="str">
        <f>IFERROR(__xludf.DUMMYFUNCTION("""COMPUTED_VALUE"""),"Foundation Certificate In Palliative Care (NPTEL)")</f>
        <v>Foundation Certificate In Palliative Care (NPTEL)</v>
      </c>
      <c r="H166" s="2" t="str">
        <f>IFERROR(__xludf.DUMMYFUNCTION("""COMPUTED_VALUE"""),"12 Weeks")</f>
        <v>12 Weeks</v>
      </c>
      <c r="I166" s="2"/>
      <c r="J166" s="2"/>
      <c r="K166" s="2"/>
      <c r="L166" s="2" t="str">
        <f>IFERROR(__xludf.DUMMYFUNCTION("""COMPUTED_VALUE"""),"CGPA")</f>
        <v>CGPA</v>
      </c>
      <c r="M166" s="2" t="str">
        <f>IFERROR(__xludf.DUMMYFUNCTION("""COMPUTED_VALUE"""),"Experiential Learning (Int and Grade from Certificate)")</f>
        <v>Experiential Learning (Int and Grade from Certificate)</v>
      </c>
      <c r="N166" s="2">
        <f>IFERROR(__xludf.DUMMYFUNCTION("""COMPUTED_VALUE"""),3)</f>
        <v>3</v>
      </c>
      <c r="O166" s="2">
        <f>IFERROR(__xludf.DUMMYFUNCTION("""COMPUTED_VALUE"""),3)</f>
        <v>3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30.75" customHeight="1" spans="1:26">
      <c r="A167" s="2">
        <f>IFERROR(__xludf.DUMMYFUNCTION("""COMPUTED_VALUE"""),166)</f>
        <v>166</v>
      </c>
      <c r="B167" s="2" t="str">
        <f>IFERROR(__xludf.DUMMYFUNCTION("""COMPUTED_VALUE"""),"EEE")</f>
        <v>EEE</v>
      </c>
      <c r="C167" s="2" t="str">
        <f>IFERROR(__xludf.DUMMYFUNCTION("""COMPUTED_VALUE"""),"EC2619")</f>
        <v>EC2619</v>
      </c>
      <c r="D167" s="2" t="str">
        <f>IFERROR(__xludf.DUMMYFUNCTION("""COMPUTED_VALUE"""),"19EE619")</f>
        <v>19EE619</v>
      </c>
      <c r="E167" s="2"/>
      <c r="F167" s="2" t="str">
        <f>IFERROR(__xludf.DUMMYFUNCTION("""COMPUTED_VALUE"""),"NPTEL")</f>
        <v>NPTEL</v>
      </c>
      <c r="G167" s="3" t="str">
        <f>IFERROR(__xludf.DUMMYFUNCTION("""COMPUTED_VALUE"""),"Foundation Course in Managerial Economics (NPTEL)")</f>
        <v>Foundation Course in Managerial Economics (NPTEL)</v>
      </c>
      <c r="H167" s="2" t="str">
        <f>IFERROR(__xludf.DUMMYFUNCTION("""COMPUTED_VALUE"""),"8 Weeks")</f>
        <v>8 Weeks</v>
      </c>
      <c r="I167" s="2"/>
      <c r="J167" s="2"/>
      <c r="K167" s="2"/>
      <c r="L167" s="2" t="str">
        <f>IFERROR(__xludf.DUMMYFUNCTION("""COMPUTED_VALUE"""),"CGPA ")</f>
        <v>CGPA </v>
      </c>
      <c r="M167" s="2" t="str">
        <f>IFERROR(__xludf.DUMMYFUNCTION("""COMPUTED_VALUE"""),"Experiential Learning (Int and Grade from Certificate)")</f>
        <v>Experiential Learning (Int and Grade from Certificate)</v>
      </c>
      <c r="N167" s="2">
        <f>IFERROR(__xludf.DUMMYFUNCTION("""COMPUTED_VALUE"""),2)</f>
        <v>2</v>
      </c>
      <c r="O167" s="2">
        <f>IFERROR(__xludf.DUMMYFUNCTION("""COMPUTED_VALUE"""),2)</f>
        <v>2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30.75" customHeight="1" spans="1:26">
      <c r="A168" s="2">
        <f>IFERROR(__xludf.DUMMYFUNCTION("""COMPUTED_VALUE"""),167)</f>
        <v>167</v>
      </c>
      <c r="B168" s="2" t="str">
        <f>IFERROR(__xludf.DUMMYFUNCTION("""COMPUTED_VALUE"""),"ECE")</f>
        <v>ECE</v>
      </c>
      <c r="C168" s="2" t="str">
        <f>IFERROR(__xludf.DUMMYFUNCTION("""COMPUTED_VALUE"""),"EC1654")</f>
        <v>EC1654</v>
      </c>
      <c r="D168" s="2" t="str">
        <f>IFERROR(__xludf.DUMMYFUNCTION("""COMPUTED_VALUE"""),"19EC654")</f>
        <v>19EC654</v>
      </c>
      <c r="E168" s="2"/>
      <c r="F168" s="2" t="str">
        <f>IFERROR(__xludf.DUMMYFUNCTION("""COMPUTED_VALUE"""),"NPTEL")</f>
        <v>NPTEL</v>
      </c>
      <c r="G168" s="3" t="str">
        <f>IFERROR(__xludf.DUMMYFUNCTION("""COMPUTED_VALUE"""),"Foundation of Cloud IoT Edge ML (NPTEL)")</f>
        <v>Foundation of Cloud IoT Edge ML (NPTEL)</v>
      </c>
      <c r="H168" s="2" t="str">
        <f>IFERROR(__xludf.DUMMYFUNCTION("""COMPUTED_VALUE"""),"8 Weeks")</f>
        <v>8 Weeks</v>
      </c>
      <c r="I168" s="2"/>
      <c r="J168" s="2"/>
      <c r="K168" s="2"/>
      <c r="L168" s="2" t="str">
        <f>IFERROR(__xludf.DUMMYFUNCTION("""COMPUTED_VALUE"""),"CGPA")</f>
        <v>CGPA</v>
      </c>
      <c r="M168" s="2" t="str">
        <f>IFERROR(__xludf.DUMMYFUNCTION("""COMPUTED_VALUE"""),"Experiential Learning (Int and Grade from Certificate)")</f>
        <v>Experiential Learning (Int and Grade from Certificate)</v>
      </c>
      <c r="N168" s="2">
        <f>IFERROR(__xludf.DUMMYFUNCTION("""COMPUTED_VALUE"""),2)</f>
        <v>2</v>
      </c>
      <c r="O168" s="2">
        <f>IFERROR(__xludf.DUMMYFUNCTION("""COMPUTED_VALUE"""),2)</f>
        <v>2</v>
      </c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30.75" customHeight="1" spans="1:26">
      <c r="A169" s="2">
        <f>IFERROR(__xludf.DUMMYFUNCTION("""COMPUTED_VALUE"""),168)</f>
        <v>168</v>
      </c>
      <c r="B169" s="2" t="str">
        <f>IFERROR(__xludf.DUMMYFUNCTION("""COMPUTED_VALUE"""),"BME, MED ELEC")</f>
        <v>BME, MED ELEC</v>
      </c>
      <c r="C169" s="2" t="str">
        <f>IFERROR(__xludf.DUMMYFUNCTION("""COMPUTED_VALUE"""),"EC4648")</f>
        <v>EC4648</v>
      </c>
      <c r="D169" s="2" t="str">
        <f>IFERROR(__xludf.DUMMYFUNCTION("""COMPUTED_VALUE"""),"19BM648")</f>
        <v>19BM648</v>
      </c>
      <c r="E169" s="2"/>
      <c r="F169" s="2" t="str">
        <f>IFERROR(__xludf.DUMMYFUNCTION("""COMPUTED_VALUE"""),"NPTEL")</f>
        <v>NPTEL</v>
      </c>
      <c r="G169" s="3" t="str">
        <f>IFERROR(__xludf.DUMMYFUNCTION("""COMPUTED_VALUE"""),"Foundations of Cryptography (NPTEL)")</f>
        <v>Foundations of Cryptography (NPTEL)</v>
      </c>
      <c r="H169" s="2" t="str">
        <f>IFERROR(__xludf.DUMMYFUNCTION("""COMPUTED_VALUE"""),"12 Weeks")</f>
        <v>12 Weeks</v>
      </c>
      <c r="I169" s="2"/>
      <c r="J169" s="2"/>
      <c r="K169" s="2"/>
      <c r="L169" s="2" t="str">
        <f>IFERROR(__xludf.DUMMYFUNCTION("""COMPUTED_VALUE"""),"CGPA")</f>
        <v>CGPA</v>
      </c>
      <c r="M169" s="2" t="str">
        <f>IFERROR(__xludf.DUMMYFUNCTION("""COMPUTED_VALUE"""),"Experiential Learning (Int and Grade from Certificate)")</f>
        <v>Experiential Learning (Int and Grade from Certificate)</v>
      </c>
      <c r="N169" s="2">
        <f>IFERROR(__xludf.DUMMYFUNCTION("""COMPUTED_VALUE"""),3)</f>
        <v>3</v>
      </c>
      <c r="O169" s="2">
        <f>IFERROR(__xludf.DUMMYFUNCTION("""COMPUTED_VALUE"""),3)</f>
        <v>3</v>
      </c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30.75" customHeight="1" spans="1:26">
      <c r="A170" s="2">
        <f>IFERROR(__xludf.DUMMYFUNCTION("""COMPUTED_VALUE"""),169)</f>
        <v>169</v>
      </c>
      <c r="B170" s="2" t="str">
        <f>IFERROR(__xludf.DUMMYFUNCTION("""COMPUTED_VALUE"""),"ECE, SCoFT")</f>
        <v>ECE, SCoFT</v>
      </c>
      <c r="C170" s="2" t="str">
        <f>IFERROR(__xludf.DUMMYFUNCTION("""COMPUTED_VALUE"""),"EC1620")</f>
        <v>EC1620</v>
      </c>
      <c r="D170" s="2" t="str">
        <f>IFERROR(__xludf.DUMMYFUNCTION("""COMPUTED_VALUE"""),"19EC620")</f>
        <v>19EC620</v>
      </c>
      <c r="E170" s="2"/>
      <c r="F170" s="2" t="str">
        <f>IFERROR(__xludf.DUMMYFUNCTION("""COMPUTED_VALUE"""),"NPTEL")</f>
        <v>NPTEL</v>
      </c>
      <c r="G170" s="3" t="str">
        <f>IFERROR(__xludf.DUMMYFUNCTION("""COMPUTED_VALUE"""),"Foundations of Cryptography (NPTEL)")</f>
        <v>Foundations of Cryptography (NPTEL)</v>
      </c>
      <c r="H170" s="2" t="str">
        <f>IFERROR(__xludf.DUMMYFUNCTION("""COMPUTED_VALUE"""),"12 Weeks")</f>
        <v>12 Weeks</v>
      </c>
      <c r="I170" s="2"/>
      <c r="J170" s="2"/>
      <c r="K170" s="2"/>
      <c r="L170" s="2" t="str">
        <f>IFERROR(__xludf.DUMMYFUNCTION("""COMPUTED_VALUE"""),"CGPA ")</f>
        <v>CGPA </v>
      </c>
      <c r="M170" s="2" t="str">
        <f>IFERROR(__xludf.DUMMYFUNCTION("""COMPUTED_VALUE"""),"Experiential Learning (Int and Grade from Certificate)")</f>
        <v>Experiential Learning (Int and Grade from Certificate)</v>
      </c>
      <c r="N170" s="2">
        <f>IFERROR(__xludf.DUMMYFUNCTION("""COMPUTED_VALUE"""),2)</f>
        <v>2</v>
      </c>
      <c r="O170" s="2">
        <f>IFERROR(__xludf.DUMMYFUNCTION("""COMPUTED_VALUE"""),3)</f>
        <v>3</v>
      </c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30.75" customHeight="1" spans="1:26">
      <c r="A171" s="2">
        <f>IFERROR(__xludf.DUMMYFUNCTION("""COMPUTED_VALUE"""),170)</f>
        <v>170</v>
      </c>
      <c r="B171" s="2" t="str">
        <f>IFERROR(__xludf.DUMMYFUNCTION("""COMPUTED_VALUE"""),"BME, MED ELEC")</f>
        <v>BME, MED ELEC</v>
      </c>
      <c r="C171" s="2" t="str">
        <f>IFERROR(__xludf.DUMMYFUNCTION("""COMPUTED_VALUE"""),"EC4649")</f>
        <v>EC4649</v>
      </c>
      <c r="D171" s="2" t="str">
        <f>IFERROR(__xludf.DUMMYFUNCTION("""COMPUTED_VALUE"""),"19BM649")</f>
        <v>19BM649</v>
      </c>
      <c r="E171" s="2"/>
      <c r="F171" s="2" t="str">
        <f>IFERROR(__xludf.DUMMYFUNCTION("""COMPUTED_VALUE"""),"NPTEL")</f>
        <v>NPTEL</v>
      </c>
      <c r="G171" s="3" t="str">
        <f>IFERROR(__xludf.DUMMYFUNCTION("""COMPUTED_VALUE"""),"Foundations of quantum theory: Relativistic approach (NPTEL)")</f>
        <v>Foundations of quantum theory: Relativistic approach (NPTEL)</v>
      </c>
      <c r="H171" s="2" t="str">
        <f>IFERROR(__xludf.DUMMYFUNCTION("""COMPUTED_VALUE"""),"12 Weeks")</f>
        <v>12 Weeks</v>
      </c>
      <c r="I171" s="2"/>
      <c r="J171" s="2"/>
      <c r="K171" s="2"/>
      <c r="L171" s="2" t="str">
        <f>IFERROR(__xludf.DUMMYFUNCTION("""COMPUTED_VALUE"""),"CGPA")</f>
        <v>CGPA</v>
      </c>
      <c r="M171" s="2" t="str">
        <f>IFERROR(__xludf.DUMMYFUNCTION("""COMPUTED_VALUE"""),"Experiential Learning (Int and Grade from Certificate)")</f>
        <v>Experiential Learning (Int and Grade from Certificate)</v>
      </c>
      <c r="N171" s="2">
        <f>IFERROR(__xludf.DUMMYFUNCTION("""COMPUTED_VALUE"""),3)</f>
        <v>3</v>
      </c>
      <c r="O171" s="2">
        <f>IFERROR(__xludf.DUMMYFUNCTION("""COMPUTED_VALUE"""),3)</f>
        <v>3</v>
      </c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30.75" customHeight="1" spans="1:26">
      <c r="A172" s="2">
        <f>IFERROR(__xludf.DUMMYFUNCTION("""COMPUTED_VALUE"""),171)</f>
        <v>171</v>
      </c>
      <c r="B172" s="2" t="str">
        <f>IFERROR(__xludf.DUMMYFUNCTION("""COMPUTED_VALUE"""),"SCoFT")</f>
        <v>SCoFT</v>
      </c>
      <c r="C172" s="2" t="str">
        <f>IFERROR(__xludf.DUMMYFUNCTION("""COMPUTED_VALUE"""),"CS3190")</f>
        <v>CS3190</v>
      </c>
      <c r="D172" s="2" t="str">
        <f>IFERROR(__xludf.DUMMYFUNCTION("""COMPUTED_VALUE"""),"19AI190")</f>
        <v>19AI190</v>
      </c>
      <c r="E172" s="2"/>
      <c r="F172" s="2" t="str">
        <f>IFERROR(__xludf.DUMMYFUNCTION("""COMPUTED_VALUE"""),"Coursera")</f>
        <v>Coursera</v>
      </c>
      <c r="G172" s="3" t="str">
        <f>IFERROR(__xludf.DUMMYFUNCTION("""COMPUTED_VALUE"""),"Fractal Data Science Professional Certificate")</f>
        <v>Fractal Data Science Professional Certificate</v>
      </c>
      <c r="H172" s="2" t="str">
        <f>IFERROR(__xludf.DUMMYFUNCTION("""COMPUTED_VALUE"""),"5 Months")</f>
        <v>5 Months</v>
      </c>
      <c r="I172" s="2" t="str">
        <f>IFERROR(__xludf.DUMMYFUNCTION("""COMPUTED_VALUE"""),"NA")</f>
        <v>NA</v>
      </c>
      <c r="J172" s="2" t="str">
        <f>IFERROR(__xludf.DUMMYFUNCTION("""COMPUTED_VALUE"""),"NA")</f>
        <v>NA</v>
      </c>
      <c r="K172" s="2" t="str">
        <f>IFERROR(__xludf.DUMMYFUNCTION("""COMPUTED_VALUE"""),"NA")</f>
        <v>NA</v>
      </c>
      <c r="L172" s="2" t="str">
        <f>IFERROR(__xludf.DUMMYFUNCTION("""COMPUTED_VALUE"""),"CGPA")</f>
        <v>CGPA</v>
      </c>
      <c r="M172" s="2" t="str">
        <f>IFERROR(__xludf.DUMMYFUNCTION("""COMPUTED_VALUE"""),"Experiential Learning (Int and Grade from Certificate)")</f>
        <v>Experiential Learning (Int and Grade from Certificate)</v>
      </c>
      <c r="N172" s="2">
        <f>IFERROR(__xludf.DUMMYFUNCTION("""COMPUTED_VALUE"""),3)</f>
        <v>3</v>
      </c>
      <c r="O172" s="2">
        <f>IFERROR(__xludf.DUMMYFUNCTION("""COMPUTED_VALUE"""),3)</f>
        <v>3</v>
      </c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30.75" customHeight="1" spans="1:26">
      <c r="A173" s="2">
        <f>IFERROR(__xludf.DUMMYFUNCTION("""COMPUTED_VALUE"""),172)</f>
        <v>172</v>
      </c>
      <c r="B173" s="2" t="str">
        <f>IFERROR(__xludf.DUMMYFUNCTION("""COMPUTED_VALUE"""),"SCoFT")</f>
        <v>SCoFT</v>
      </c>
      <c r="C173" s="2" t="str">
        <f>IFERROR(__xludf.DUMMYFUNCTION("""COMPUTED_VALUE"""),"CS3036")</f>
        <v>CS3036</v>
      </c>
      <c r="D173" s="2" t="str">
        <f>IFERROR(__xludf.DUMMYFUNCTION("""COMPUTED_VALUE"""),"19AI036")</f>
        <v>19AI036</v>
      </c>
      <c r="E173" s="2"/>
      <c r="F173" s="2" t="str">
        <f>IFERROR(__xludf.DUMMYFUNCTION("""COMPUTED_VALUE"""),"NPTEL")</f>
        <v>NPTEL</v>
      </c>
      <c r="G173" s="3" t="str">
        <f>IFERROR(__xludf.DUMMYFUNCTION("""COMPUTED_VALUE"""),"Fundamental Algorithms: Design and Analysis (NPTEL)")</f>
        <v>Fundamental Algorithms: Design and Analysis (NPTEL)</v>
      </c>
      <c r="H173" s="2" t="str">
        <f>IFERROR(__xludf.DUMMYFUNCTION("""COMPUTED_VALUE"""),"4 Weeks")</f>
        <v>4 Weeks</v>
      </c>
      <c r="I173" s="2"/>
      <c r="J173" s="2"/>
      <c r="K173" s="2"/>
      <c r="L173" s="2" t="str">
        <f>IFERROR(__xludf.DUMMYFUNCTION("""COMPUTED_VALUE"""),"CGPA ")</f>
        <v>CGPA </v>
      </c>
      <c r="M173" s="2" t="str">
        <f>IFERROR(__xludf.DUMMYFUNCTION("""COMPUTED_VALUE"""),"Experiential Learning (Int and Grade from Certificate)")</f>
        <v>Experiential Learning (Int and Grade from Certificate)</v>
      </c>
      <c r="N173" s="2">
        <f>IFERROR(__xludf.DUMMYFUNCTION("""COMPUTED_VALUE"""),1)</f>
        <v>1</v>
      </c>
      <c r="O173" s="2">
        <f>IFERROR(__xludf.DUMMYFUNCTION("""COMPUTED_VALUE"""),1)</f>
        <v>1</v>
      </c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30.75" customHeight="1" spans="1:26">
      <c r="A174" s="2">
        <f>IFERROR(__xludf.DUMMYFUNCTION("""COMPUTED_VALUE"""),173)</f>
        <v>173</v>
      </c>
      <c r="B174" s="2" t="str">
        <f>IFERROR(__xludf.DUMMYFUNCTION("""COMPUTED_VALUE"""),"ECE")</f>
        <v>ECE</v>
      </c>
      <c r="C174" s="2" t="str">
        <f>IFERROR(__xludf.DUMMYFUNCTION("""COMPUTED_VALUE"""),"EC1639")</f>
        <v>EC1639</v>
      </c>
      <c r="D174" s="2" t="str">
        <f>IFERROR(__xludf.DUMMYFUNCTION("""COMPUTED_VALUE"""),"19EC639")</f>
        <v>19EC639</v>
      </c>
      <c r="E174" s="2"/>
      <c r="F174" s="2" t="str">
        <f>IFERROR(__xludf.DUMMYFUNCTION("""COMPUTED_VALUE"""),"NPTEL")</f>
        <v>NPTEL</v>
      </c>
      <c r="G174" s="3" t="str">
        <f>IFERROR(__xludf.DUMMYFUNCTION("""COMPUTED_VALUE"""),"Fundamental of Power Electronics (NPTEL)")</f>
        <v>Fundamental of Power Electronics (NPTEL)</v>
      </c>
      <c r="H174" s="2" t="str">
        <f>IFERROR(__xludf.DUMMYFUNCTION("""COMPUTED_VALUE"""),"12 Weeks")</f>
        <v>12 Weeks</v>
      </c>
      <c r="I174" s="2"/>
      <c r="J174" s="2"/>
      <c r="K174" s="2"/>
      <c r="L174" s="2" t="str">
        <f>IFERROR(__xludf.DUMMYFUNCTION("""COMPUTED_VALUE"""),"CGPA ")</f>
        <v>CGPA </v>
      </c>
      <c r="M174" s="2" t="str">
        <f>IFERROR(__xludf.DUMMYFUNCTION("""COMPUTED_VALUE"""),"Experiential Learning (Int and Grade from Certificate)")</f>
        <v>Experiential Learning (Int and Grade from Certificate)</v>
      </c>
      <c r="N174" s="2">
        <f>IFERROR(__xludf.DUMMYFUNCTION("""COMPUTED_VALUE"""),2)</f>
        <v>2</v>
      </c>
      <c r="O174" s="2">
        <f>IFERROR(__xludf.DUMMYFUNCTION("""COMPUTED_VALUE"""),3)</f>
        <v>3</v>
      </c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30.75" customHeight="1" spans="1:26">
      <c r="A175" s="2">
        <f>IFERROR(__xludf.DUMMYFUNCTION("""COMPUTED_VALUE"""),174)</f>
        <v>174</v>
      </c>
      <c r="B175" s="2" t="str">
        <f>IFERROR(__xludf.DUMMYFUNCTION("""COMPUTED_VALUE"""),"MECH")</f>
        <v>MECH</v>
      </c>
      <c r="C175" s="2" t="str">
        <f>IFERROR(__xludf.DUMMYFUNCTION("""COMPUTED_VALUE"""),"ME0604")</f>
        <v>ME0604</v>
      </c>
      <c r="D175" s="2" t="str">
        <f>IFERROR(__xludf.DUMMYFUNCTION("""COMPUTED_VALUE"""),"19ME604")</f>
        <v>19ME604</v>
      </c>
      <c r="E175" s="2"/>
      <c r="F175" s="2" t="str">
        <f>IFERROR(__xludf.DUMMYFUNCTION("""COMPUTED_VALUE"""),"NPTEL(IITG)")</f>
        <v>NPTEL(IITG)</v>
      </c>
      <c r="G175" s="3" t="str">
        <f>IFERROR(__xludf.DUMMYFUNCTION("""COMPUTED_VALUE"""),"Fundamentals of Additive Manufacturing Technologies (NPTEL)")</f>
        <v>Fundamentals of Additive Manufacturing Technologies (NPTEL)</v>
      </c>
      <c r="H175" s="2" t="str">
        <f>IFERROR(__xludf.DUMMYFUNCTION("""COMPUTED_VALUE"""),"12 Weeks")</f>
        <v>12 Weeks</v>
      </c>
      <c r="I175" s="4">
        <f>IFERROR(__xludf.DUMMYFUNCTION("""COMPUTED_VALUE"""),45224)</f>
        <v>45224</v>
      </c>
      <c r="J175" s="2" t="str">
        <f>IFERROR(__xludf.DUMMYFUNCTION("""COMPUTED_VALUE"""),"30/75")</f>
        <v>30/75</v>
      </c>
      <c r="K175" s="2" t="str">
        <f>IFERROR(__xludf.DUMMYFUNCTION("""COMPUTED_VALUE"""),"40/100")</f>
        <v>40/100</v>
      </c>
      <c r="L175" s="2" t="str">
        <f>IFERROR(__xludf.DUMMYFUNCTION("""COMPUTED_VALUE"""),"CGPA ")</f>
        <v>CGPA </v>
      </c>
      <c r="M175" s="2" t="str">
        <f>IFERROR(__xludf.DUMMYFUNCTION("""COMPUTED_VALUE"""),"Experiential Learning (Int and Grade from Certificate)")</f>
        <v>Experiential Learning (Int and Grade from Certificate)</v>
      </c>
      <c r="N175" s="2">
        <f>IFERROR(__xludf.DUMMYFUNCTION("""COMPUTED_VALUE"""),2)</f>
        <v>2</v>
      </c>
      <c r="O175" s="2">
        <f>IFERROR(__xludf.DUMMYFUNCTION("""COMPUTED_VALUE"""),3)</f>
        <v>3</v>
      </c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30.75" customHeight="1" spans="1:26">
      <c r="A176" s="2">
        <f>IFERROR(__xludf.DUMMYFUNCTION("""COMPUTED_VALUE"""),175)</f>
        <v>175</v>
      </c>
      <c r="B176" s="2" t="str">
        <f>IFERROR(__xludf.DUMMYFUNCTION("""COMPUTED_VALUE"""),"BME, MED ELEC, MECH")</f>
        <v>BME, MED ELEC, MECH</v>
      </c>
      <c r="C176" s="2" t="str">
        <f>IFERROR(__xludf.DUMMYFUNCTION("""COMPUTED_VALUE"""),"EC4614")</f>
        <v>EC4614</v>
      </c>
      <c r="D176" s="2" t="str">
        <f>IFERROR(__xludf.DUMMYFUNCTION("""COMPUTED_VALUE"""),"19BM614")</f>
        <v>19BM614</v>
      </c>
      <c r="E176" s="2"/>
      <c r="F176" s="2" t="str">
        <f>IFERROR(__xludf.DUMMYFUNCTION("""COMPUTED_VALUE"""),"NPTEL")</f>
        <v>NPTEL</v>
      </c>
      <c r="G176" s="3" t="str">
        <f>IFERROR(__xludf.DUMMYFUNCTION("""COMPUTED_VALUE"""),"Fundamentals of Artificial Intelligence (NPTEL)")</f>
        <v>Fundamentals of Artificial Intelligence (NPTEL)</v>
      </c>
      <c r="H176" s="2" t="str">
        <f>IFERROR(__xludf.DUMMYFUNCTION("""COMPUTED_VALUE"""),"12 Weeks")</f>
        <v>12 Weeks</v>
      </c>
      <c r="I176" s="2" t="str">
        <f>IFERROR(__xludf.DUMMYFUNCTION("""COMPUTED_VALUE"""),"10 / 25")</f>
        <v>10 / 25</v>
      </c>
      <c r="J176" s="2" t="str">
        <f>IFERROR(__xludf.DUMMYFUNCTION("""COMPUTED_VALUE"""),"30 / 75")</f>
        <v>30 / 75</v>
      </c>
      <c r="K176" s="2" t="str">
        <f>IFERROR(__xludf.DUMMYFUNCTION("""COMPUTED_VALUE"""),"40 / 100")</f>
        <v>40 / 100</v>
      </c>
      <c r="L176" s="2" t="str">
        <f>IFERROR(__xludf.DUMMYFUNCTION("""COMPUTED_VALUE"""),"CGPA ")</f>
        <v>CGPA </v>
      </c>
      <c r="M176" s="2" t="str">
        <f>IFERROR(__xludf.DUMMYFUNCTION("""COMPUTED_VALUE"""),"Experiential Learning (Int and Grade from Certificate)")</f>
        <v>Experiential Learning (Int and Grade from Certificate)</v>
      </c>
      <c r="N176" s="2">
        <f>IFERROR(__xludf.DUMMYFUNCTION("""COMPUTED_VALUE"""),2)</f>
        <v>2</v>
      </c>
      <c r="O176" s="2">
        <f>IFERROR(__xludf.DUMMYFUNCTION("""COMPUTED_VALUE"""),3)</f>
        <v>3</v>
      </c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30.75" customHeight="1" spans="1:26">
      <c r="A177" s="2">
        <f>IFERROR(__xludf.DUMMYFUNCTION("""COMPUTED_VALUE"""),176)</f>
        <v>176</v>
      </c>
      <c r="B177" s="2" t="str">
        <f>IFERROR(__xludf.DUMMYFUNCTION("""COMPUTED_VALUE"""),"SCoFT")</f>
        <v>SCoFT</v>
      </c>
      <c r="C177" s="2" t="str">
        <f>IFERROR(__xludf.DUMMYFUNCTION("""COMPUTED_VALUE"""),"CS3115")</f>
        <v>CS3115</v>
      </c>
      <c r="D177" s="2" t="str">
        <f>IFERROR(__xludf.DUMMYFUNCTION("""COMPUTED_VALUE"""),"19AI115")</f>
        <v>19AI115</v>
      </c>
      <c r="E177" s="2"/>
      <c r="F177" s="2" t="str">
        <f>IFERROR(__xludf.DUMMYFUNCTION("""COMPUTED_VALUE"""),"COURSERA")</f>
        <v>COURSERA</v>
      </c>
      <c r="G177" s="3" t="str">
        <f>IFERROR(__xludf.DUMMYFUNCTION("""COMPUTED_VALUE"""),"Fundamentals of CNNs and RNNs (Coursera)")</f>
        <v>Fundamentals of CNNs and RNNs (Coursera)</v>
      </c>
      <c r="H177" s="2" t="str">
        <f>IFERROR(__xludf.DUMMYFUNCTION("""COMPUTED_VALUE"""),"5 weeks")</f>
        <v>5 weeks</v>
      </c>
      <c r="I177" s="2"/>
      <c r="J177" s="2"/>
      <c r="K177" s="2"/>
      <c r="L177" s="2" t="str">
        <f>IFERROR(__xludf.DUMMYFUNCTION("""COMPUTED_VALUE"""),"CGPA")</f>
        <v>CGPA</v>
      </c>
      <c r="M177" s="2" t="str">
        <f>IFERROR(__xludf.DUMMYFUNCTION("""COMPUTED_VALUE"""),"Experiential Learning (Int and Grade from Certificate)")</f>
        <v>Experiential Learning (Int and Grade from Certificate)</v>
      </c>
      <c r="N177" s="2">
        <f>IFERROR(__xludf.DUMMYFUNCTION("""COMPUTED_VALUE"""),1)</f>
        <v>1</v>
      </c>
      <c r="O177" s="2">
        <f>IFERROR(__xludf.DUMMYFUNCTION("""COMPUTED_VALUE"""),1)</f>
        <v>1</v>
      </c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30.75" customHeight="1" spans="1:26">
      <c r="A178" s="2">
        <f>IFERROR(__xludf.DUMMYFUNCTION("""COMPUTED_VALUE"""),177)</f>
        <v>177</v>
      </c>
      <c r="B178" s="2" t="str">
        <f>IFERROR(__xludf.DUMMYFUNCTION("""COMPUTED_VALUE"""),"SCoFT")</f>
        <v>SCoFT</v>
      </c>
      <c r="C178" s="2" t="str">
        <f>IFERROR(__xludf.DUMMYFUNCTION("""COMPUTED_VALUE"""),"CS3104")</f>
        <v>CS3104</v>
      </c>
      <c r="D178" s="2" t="str">
        <f>IFERROR(__xludf.DUMMYFUNCTION("""COMPUTED_VALUE"""),"19AI104")</f>
        <v>19AI104</v>
      </c>
      <c r="E178" s="2"/>
      <c r="F178" s="2" t="str">
        <f>IFERROR(__xludf.DUMMYFUNCTION("""COMPUTED_VALUE"""),"COURSERA")</f>
        <v>COURSERA</v>
      </c>
      <c r="G178" s="3" t="str">
        <f>IFERROR(__xludf.DUMMYFUNCTION("""COMPUTED_VALUE"""),"Fundamentals of Graphic Design (Coursera)")</f>
        <v>Fundamentals of Graphic Design (Coursera)</v>
      </c>
      <c r="H178" s="2" t="str">
        <f>IFERROR(__xludf.DUMMYFUNCTION("""COMPUTED_VALUE"""),"4 Weeks")</f>
        <v>4 Weeks</v>
      </c>
      <c r="I178" s="2"/>
      <c r="J178" s="2"/>
      <c r="K178" s="2"/>
      <c r="L178" s="2" t="str">
        <f>IFERROR(__xludf.DUMMYFUNCTION("""COMPUTED_VALUE"""),"CGPA")</f>
        <v>CGPA</v>
      </c>
      <c r="M178" s="2" t="str">
        <f>IFERROR(__xludf.DUMMYFUNCTION("""COMPUTED_VALUE"""),"Experiential Learning (Int and Grade from Certificate)")</f>
        <v>Experiential Learning (Int and Grade from Certificate)</v>
      </c>
      <c r="N178" s="2">
        <f>IFERROR(__xludf.DUMMYFUNCTION("""COMPUTED_VALUE"""),1)</f>
        <v>1</v>
      </c>
      <c r="O178" s="2">
        <f>IFERROR(__xludf.DUMMYFUNCTION("""COMPUTED_VALUE"""),1)</f>
        <v>1</v>
      </c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30.75" customHeight="1" spans="1:26">
      <c r="A179" s="2">
        <f>IFERROR(__xludf.DUMMYFUNCTION("""COMPUTED_VALUE"""),178)</f>
        <v>178</v>
      </c>
      <c r="B179" s="2" t="str">
        <f>IFERROR(__xludf.DUMMYFUNCTION("""COMPUTED_VALUE"""),"ECE, BME, MED ELEC")</f>
        <v>ECE, BME, MED ELEC</v>
      </c>
      <c r="C179" s="2" t="str">
        <f>IFERROR(__xludf.DUMMYFUNCTION("""COMPUTED_VALUE"""),"EC1629")</f>
        <v>EC1629</v>
      </c>
      <c r="D179" s="2" t="str">
        <f>IFERROR(__xludf.DUMMYFUNCTION("""COMPUTED_VALUE"""),"19EC629")</f>
        <v>19EC629</v>
      </c>
      <c r="E179" s="2"/>
      <c r="F179" s="2" t="str">
        <f>IFERROR(__xludf.DUMMYFUNCTION("""COMPUTED_VALUE"""),"NPTEL")</f>
        <v>NPTEL</v>
      </c>
      <c r="G179" s="3" t="str">
        <f>IFERROR(__xludf.DUMMYFUNCTION("""COMPUTED_VALUE"""),"Fuzzy Sets, Logic and Systems and Applications (NPTEL)")</f>
        <v>Fuzzy Sets, Logic and Systems and Applications (NPTEL)</v>
      </c>
      <c r="H179" s="2" t="str">
        <f>IFERROR(__xludf.DUMMYFUNCTION("""COMPUTED_VALUE"""),"12 Weeks")</f>
        <v>12 Weeks</v>
      </c>
      <c r="I179" s="2"/>
      <c r="J179" s="2"/>
      <c r="K179" s="2"/>
      <c r="L179" s="2" t="str">
        <f>IFERROR(__xludf.DUMMYFUNCTION("""COMPUTED_VALUE"""),"CGPA ")</f>
        <v>CGPA </v>
      </c>
      <c r="M179" s="2" t="str">
        <f>IFERROR(__xludf.DUMMYFUNCTION("""COMPUTED_VALUE"""),"Experiential Learning (Int and Grade from Certificate)")</f>
        <v>Experiential Learning (Int and Grade from Certificate)</v>
      </c>
      <c r="N179" s="2">
        <f>IFERROR(__xludf.DUMMYFUNCTION("""COMPUTED_VALUE"""),2)</f>
        <v>2</v>
      </c>
      <c r="O179" s="2">
        <f>IFERROR(__xludf.DUMMYFUNCTION("""COMPUTED_VALUE"""),3)</f>
        <v>3</v>
      </c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30.75" customHeight="1" spans="1:26">
      <c r="A180" s="2">
        <f>IFERROR(__xludf.DUMMYFUNCTION("""COMPUTED_VALUE"""),179)</f>
        <v>179</v>
      </c>
      <c r="B180" s="2" t="str">
        <f>IFERROR(__xludf.DUMMYFUNCTION("""COMPUTED_VALUE"""),"SCoFT")</f>
        <v>SCoFT</v>
      </c>
      <c r="C180" s="2" t="str">
        <f>IFERROR(__xludf.DUMMYFUNCTION("""COMPUTED_VALUE"""),"CS3037")</f>
        <v>CS3037</v>
      </c>
      <c r="D180" s="2" t="str">
        <f>IFERROR(__xludf.DUMMYFUNCTION("""COMPUTED_VALUE"""),"19AI037")</f>
        <v>19AI037</v>
      </c>
      <c r="E180" s="2"/>
      <c r="F180" s="2" t="str">
        <f>IFERROR(__xludf.DUMMYFUNCTION("""COMPUTED_VALUE"""),"NPTEL")</f>
        <v>NPTEL</v>
      </c>
      <c r="G180" s="3" t="str">
        <f>IFERROR(__xludf.DUMMYFUNCTION("""COMPUTED_VALUE"""),"Getting Started with Competitive Programming (NPTEL)")</f>
        <v>Getting Started with Competitive Programming (NPTEL)</v>
      </c>
      <c r="H180" s="2" t="str">
        <f>IFERROR(__xludf.DUMMYFUNCTION("""COMPUTED_VALUE"""),"12 Weeks")</f>
        <v>12 Weeks</v>
      </c>
      <c r="I180" s="2"/>
      <c r="J180" s="2"/>
      <c r="K180" s="2"/>
      <c r="L180" s="2" t="str">
        <f>IFERROR(__xludf.DUMMYFUNCTION("""COMPUTED_VALUE"""),"CGPA ")</f>
        <v>CGPA </v>
      </c>
      <c r="M180" s="2" t="str">
        <f>IFERROR(__xludf.DUMMYFUNCTION("""COMPUTED_VALUE"""),"Experiential Learning (Int and Grade from Certificate)")</f>
        <v>Experiential Learning (Int and Grade from Certificate)</v>
      </c>
      <c r="N180" s="2">
        <f>IFERROR(__xludf.DUMMYFUNCTION("""COMPUTED_VALUE"""),3)</f>
        <v>3</v>
      </c>
      <c r="O180" s="2">
        <f>IFERROR(__xludf.DUMMYFUNCTION("""COMPUTED_VALUE"""),3)</f>
        <v>3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30.75" customHeight="1" spans="1:26">
      <c r="A181" s="2">
        <f>IFERROR(__xludf.DUMMYFUNCTION("""COMPUTED_VALUE"""),180)</f>
        <v>180</v>
      </c>
      <c r="B181" s="2" t="str">
        <f>IFERROR(__xludf.DUMMYFUNCTION("""COMPUTED_VALUE"""),"Civil")</f>
        <v>Civil</v>
      </c>
      <c r="C181" s="2" t="str">
        <f>IFERROR(__xludf.DUMMYFUNCTION("""COMPUTED_VALUE"""),"CE0602")</f>
        <v>CE0602</v>
      </c>
      <c r="D181" s="2" t="str">
        <f>IFERROR(__xludf.DUMMYFUNCTION("""COMPUTED_VALUE"""),"19CE602")</f>
        <v>19CE602</v>
      </c>
      <c r="E181" s="2"/>
      <c r="F181" s="2" t="str">
        <f>IFERROR(__xludf.DUMMYFUNCTION("""COMPUTED_VALUE"""),"NPTEL")</f>
        <v>NPTEL</v>
      </c>
      <c r="G181" s="3" t="str">
        <f>IFERROR(__xludf.DUMMYFUNCTION("""COMPUTED_VALUE"""),"Glass in Buildings: Design and Applications (NPTEL)")</f>
        <v>Glass in Buildings: Design and Applications (NPTEL)</v>
      </c>
      <c r="H181" s="2" t="str">
        <f>IFERROR(__xludf.DUMMYFUNCTION("""COMPUTED_VALUE"""),"12 Weeks")</f>
        <v>12 Weeks</v>
      </c>
      <c r="I181" s="2"/>
      <c r="J181" s="2"/>
      <c r="K181" s="2"/>
      <c r="L181" s="2" t="str">
        <f>IFERROR(__xludf.DUMMYFUNCTION("""COMPUTED_VALUE"""),"CGPA ")</f>
        <v>CGPA </v>
      </c>
      <c r="M181" s="2" t="str">
        <f>IFERROR(__xludf.DUMMYFUNCTION("""COMPUTED_VALUE"""),"Experiential Learning (Int and Grade from Certificate)")</f>
        <v>Experiential Learning (Int and Grade from Certificate)</v>
      </c>
      <c r="N181" s="2">
        <f>IFERROR(__xludf.DUMMYFUNCTION("""COMPUTED_VALUE"""),2)</f>
        <v>2</v>
      </c>
      <c r="O181" s="2">
        <f>IFERROR(__xludf.DUMMYFUNCTION("""COMPUTED_VALUE"""),3)</f>
        <v>3</v>
      </c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30.75" customHeight="1" spans="1:26">
      <c r="A182" s="2">
        <f>IFERROR(__xludf.DUMMYFUNCTION("""COMPUTED_VALUE"""),181)</f>
        <v>181</v>
      </c>
      <c r="B182" s="2" t="str">
        <f>IFERROR(__xludf.DUMMYFUNCTION("""COMPUTED_VALUE"""),"SCoFT")</f>
        <v>SCoFT</v>
      </c>
      <c r="C182" s="2" t="str">
        <f>IFERROR(__xludf.DUMMYFUNCTION("""COMPUTED_VALUE"""),"CS3191")</f>
        <v>CS3191</v>
      </c>
      <c r="D182" s="2" t="str">
        <f>IFERROR(__xludf.DUMMYFUNCTION("""COMPUTED_VALUE"""),"19AI191")</f>
        <v>19AI191</v>
      </c>
      <c r="E182" s="2"/>
      <c r="F182" s="2" t="str">
        <f>IFERROR(__xludf.DUMMYFUNCTION("""COMPUTED_VALUE"""),"Coursera")</f>
        <v>Coursera</v>
      </c>
      <c r="G182" s="3" t="str">
        <f>IFERROR(__xludf.DUMMYFUNCTION("""COMPUTED_VALUE"""),"Google Advanced Data Analytics Professional Certificate")</f>
        <v>Google Advanced Data Analytics Professional Certificate</v>
      </c>
      <c r="H182" s="2" t="str">
        <f>IFERROR(__xludf.DUMMYFUNCTION("""COMPUTED_VALUE"""),"6 Months")</f>
        <v>6 Months</v>
      </c>
      <c r="I182" s="2" t="str">
        <f>IFERROR(__xludf.DUMMYFUNCTION("""COMPUTED_VALUE"""),"NA")</f>
        <v>NA</v>
      </c>
      <c r="J182" s="2" t="str">
        <f>IFERROR(__xludf.DUMMYFUNCTION("""COMPUTED_VALUE"""),"NA")</f>
        <v>NA</v>
      </c>
      <c r="K182" s="2" t="str">
        <f>IFERROR(__xludf.DUMMYFUNCTION("""COMPUTED_VALUE"""),"NA")</f>
        <v>NA</v>
      </c>
      <c r="L182" s="2" t="str">
        <f>IFERROR(__xludf.DUMMYFUNCTION("""COMPUTED_VALUE"""),"CGPA")</f>
        <v>CGPA</v>
      </c>
      <c r="M182" s="2" t="str">
        <f>IFERROR(__xludf.DUMMYFUNCTION("""COMPUTED_VALUE"""),"Experiential Learning (Int and Grade from Certificate)")</f>
        <v>Experiential Learning (Int and Grade from Certificate)</v>
      </c>
      <c r="N182" s="2">
        <f>IFERROR(__xludf.DUMMYFUNCTION("""COMPUTED_VALUE"""),3)</f>
        <v>3</v>
      </c>
      <c r="O182" s="2">
        <f>IFERROR(__xludf.DUMMYFUNCTION("""COMPUTED_VALUE"""),3)</f>
        <v>3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30.75" customHeight="1" spans="1:26">
      <c r="A183" s="2">
        <f>IFERROR(__xludf.DUMMYFUNCTION("""COMPUTED_VALUE"""),182)</f>
        <v>182</v>
      </c>
      <c r="B183" s="2" t="str">
        <f>IFERROR(__xludf.DUMMYFUNCTION("""COMPUTED_VALUE"""),"SCoFT")</f>
        <v>SCoFT</v>
      </c>
      <c r="C183" s="2" t="str">
        <f>IFERROR(__xludf.DUMMYFUNCTION("""COMPUTED_VALUE"""),"CS3192")</f>
        <v>CS3192</v>
      </c>
      <c r="D183" s="2" t="str">
        <f>IFERROR(__xludf.DUMMYFUNCTION("""COMPUTED_VALUE"""),"19AI192")</f>
        <v>19AI192</v>
      </c>
      <c r="E183" s="2"/>
      <c r="F183" s="2" t="str">
        <f>IFERROR(__xludf.DUMMYFUNCTION("""COMPUTED_VALUE"""),"Coursera")</f>
        <v>Coursera</v>
      </c>
      <c r="G183" s="3" t="str">
        <f>IFERROR(__xludf.DUMMYFUNCTION("""COMPUTED_VALUE"""),"Google Business Intelligence Professional Certificate")</f>
        <v>Google Business Intelligence Professional Certificate</v>
      </c>
      <c r="H183" s="2" t="str">
        <f>IFERROR(__xludf.DUMMYFUNCTION("""COMPUTED_VALUE"""),"2 Months")</f>
        <v>2 Months</v>
      </c>
      <c r="I183" s="2" t="str">
        <f>IFERROR(__xludf.DUMMYFUNCTION("""COMPUTED_VALUE"""),"NA")</f>
        <v>NA</v>
      </c>
      <c r="J183" s="2" t="str">
        <f>IFERROR(__xludf.DUMMYFUNCTION("""COMPUTED_VALUE"""),"NA")</f>
        <v>NA</v>
      </c>
      <c r="K183" s="2" t="str">
        <f>IFERROR(__xludf.DUMMYFUNCTION("""COMPUTED_VALUE"""),"NA")</f>
        <v>NA</v>
      </c>
      <c r="L183" s="2" t="str">
        <f>IFERROR(__xludf.DUMMYFUNCTION("""COMPUTED_VALUE"""),"CGPA")</f>
        <v>CGPA</v>
      </c>
      <c r="M183" s="2" t="str">
        <f>IFERROR(__xludf.DUMMYFUNCTION("""COMPUTED_VALUE"""),"Experiential Learning (Int and Grade from Certificate)")</f>
        <v>Experiential Learning (Int and Grade from Certificate)</v>
      </c>
      <c r="N183" s="2">
        <f>IFERROR(__xludf.DUMMYFUNCTION("""COMPUTED_VALUE"""),2)</f>
        <v>2</v>
      </c>
      <c r="O183" s="2">
        <f>IFERROR(__xludf.DUMMYFUNCTION("""COMPUTED_VALUE"""),2)</f>
        <v>2</v>
      </c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30.75" customHeight="1" spans="1:26">
      <c r="A184" s="2">
        <f>IFERROR(__xludf.DUMMYFUNCTION("""COMPUTED_VALUE"""),183)</f>
        <v>183</v>
      </c>
      <c r="B184" s="2" t="str">
        <f>IFERROR(__xludf.DUMMYFUNCTION("""COMPUTED_VALUE"""),"SCoFT")</f>
        <v>SCoFT</v>
      </c>
      <c r="C184" s="2" t="str">
        <f>IFERROR(__xludf.DUMMYFUNCTION("""COMPUTED_VALUE"""),"CS3181")</f>
        <v>CS3181</v>
      </c>
      <c r="D184" s="2" t="str">
        <f>IFERROR(__xludf.DUMMYFUNCTION("""COMPUTED_VALUE"""),"19AI181")</f>
        <v>19AI181</v>
      </c>
      <c r="E184" s="2"/>
      <c r="F184" s="2" t="str">
        <f>IFERROR(__xludf.DUMMYFUNCTION("""COMPUTED_VALUE"""),"Google")</f>
        <v>Google</v>
      </c>
      <c r="G184" s="3" t="str">
        <f>IFERROR(__xludf.DUMMYFUNCTION("""COMPUTED_VALUE"""),"Google Cloud Career Readiness Associate Cloud Engineer Track")</f>
        <v>Google Cloud Career Readiness Associate Cloud Engineer Track</v>
      </c>
      <c r="H184" s="2" t="str">
        <f>IFERROR(__xludf.DUMMYFUNCTION("""COMPUTED_VALUE"""),"3 Months")</f>
        <v>3 Months</v>
      </c>
      <c r="I184" s="2" t="str">
        <f>IFERROR(__xludf.DUMMYFUNCTION("""COMPUTED_VALUE"""),"NA")</f>
        <v>NA</v>
      </c>
      <c r="J184" s="2" t="str">
        <f>IFERROR(__xludf.DUMMYFUNCTION("""COMPUTED_VALUE"""),"NA")</f>
        <v>NA</v>
      </c>
      <c r="K184" s="2" t="str">
        <f>IFERROR(__xludf.DUMMYFUNCTION("""COMPUTED_VALUE"""),"NA")</f>
        <v>NA</v>
      </c>
      <c r="L184" s="2" t="str">
        <f>IFERROR(__xludf.DUMMYFUNCTION("""COMPUTED_VALUE"""),"CGPA")</f>
        <v>CGPA</v>
      </c>
      <c r="M184" s="2" t="str">
        <f>IFERROR(__xludf.DUMMYFUNCTION("""COMPUTED_VALUE"""),"Experiential Learning (Int and Grade from Certificate)")</f>
        <v>Experiential Learning (Int and Grade from Certificate)</v>
      </c>
      <c r="N184" s="2">
        <f>IFERROR(__xludf.DUMMYFUNCTION("""COMPUTED_VALUE"""),3)</f>
        <v>3</v>
      </c>
      <c r="O184" s="2">
        <f>IFERROR(__xludf.DUMMYFUNCTION("""COMPUTED_VALUE"""),3)</f>
        <v>3</v>
      </c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30.75" customHeight="1" spans="1:26">
      <c r="A185" s="2">
        <f>IFERROR(__xludf.DUMMYFUNCTION("""COMPUTED_VALUE"""),184)</f>
        <v>184</v>
      </c>
      <c r="B185" s="2" t="str">
        <f>IFERROR(__xludf.DUMMYFUNCTION("""COMPUTED_VALUE"""),"SCoFT")</f>
        <v>SCoFT</v>
      </c>
      <c r="C185" s="2" t="str">
        <f>IFERROR(__xludf.DUMMYFUNCTION("""COMPUTED_VALUE"""),"CS3193")</f>
        <v>CS3193</v>
      </c>
      <c r="D185" s="2" t="str">
        <f>IFERROR(__xludf.DUMMYFUNCTION("""COMPUTED_VALUE"""),"19AI193")</f>
        <v>19AI193</v>
      </c>
      <c r="E185" s="2"/>
      <c r="F185" s="2" t="str">
        <f>IFERROR(__xludf.DUMMYFUNCTION("""COMPUTED_VALUE"""),"Coursera")</f>
        <v>Coursera</v>
      </c>
      <c r="G185" s="3" t="str">
        <f>IFERROR(__xludf.DUMMYFUNCTION("""COMPUTED_VALUE"""),"Google Cloud Cybersecurity Professional Certificate")</f>
        <v>Google Cloud Cybersecurity Professional Certificate</v>
      </c>
      <c r="H185" s="2" t="str">
        <f>IFERROR(__xludf.DUMMYFUNCTION("""COMPUTED_VALUE"""),"2 Months")</f>
        <v>2 Months</v>
      </c>
      <c r="I185" s="2" t="str">
        <f>IFERROR(__xludf.DUMMYFUNCTION("""COMPUTED_VALUE"""),"NA")</f>
        <v>NA</v>
      </c>
      <c r="J185" s="2" t="str">
        <f>IFERROR(__xludf.DUMMYFUNCTION("""COMPUTED_VALUE"""),"NA")</f>
        <v>NA</v>
      </c>
      <c r="K185" s="2" t="str">
        <f>IFERROR(__xludf.DUMMYFUNCTION("""COMPUTED_VALUE"""),"NA")</f>
        <v>NA</v>
      </c>
      <c r="L185" s="2" t="str">
        <f>IFERROR(__xludf.DUMMYFUNCTION("""COMPUTED_VALUE"""),"CGPA")</f>
        <v>CGPA</v>
      </c>
      <c r="M185" s="2" t="str">
        <f>IFERROR(__xludf.DUMMYFUNCTION("""COMPUTED_VALUE"""),"Experiential Learning (Int and Grade from Certificate)")</f>
        <v>Experiential Learning (Int and Grade from Certificate)</v>
      </c>
      <c r="N185" s="2">
        <f>IFERROR(__xludf.DUMMYFUNCTION("""COMPUTED_VALUE"""),2)</f>
        <v>2</v>
      </c>
      <c r="O185" s="2">
        <f>IFERROR(__xludf.DUMMYFUNCTION("""COMPUTED_VALUE"""),2)</f>
        <v>2</v>
      </c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30.75" customHeight="1" spans="1:26">
      <c r="A186" s="2">
        <f>IFERROR(__xludf.DUMMYFUNCTION("""COMPUTED_VALUE"""),185)</f>
        <v>185</v>
      </c>
      <c r="B186" s="2" t="str">
        <f>IFERROR(__xludf.DUMMYFUNCTION("""COMPUTED_VALUE"""),"SCoFT")</f>
        <v>SCoFT</v>
      </c>
      <c r="C186" s="2" t="str">
        <f>IFERROR(__xludf.DUMMYFUNCTION("""COMPUTED_VALUE"""),"CS3194")</f>
        <v>CS3194</v>
      </c>
      <c r="D186" s="2" t="str">
        <f>IFERROR(__xludf.DUMMYFUNCTION("""COMPUTED_VALUE"""),"19AI194")</f>
        <v>19AI194</v>
      </c>
      <c r="E186" s="2"/>
      <c r="F186" s="2" t="str">
        <f>IFERROR(__xludf.DUMMYFUNCTION("""COMPUTED_VALUE"""),"Coursera")</f>
        <v>Coursera</v>
      </c>
      <c r="G186" s="3" t="str">
        <f>IFERROR(__xludf.DUMMYFUNCTION("""COMPUTED_VALUE"""),"Google Cloud Data Analytics Professional Certificate")</f>
        <v>Google Cloud Data Analytics Professional Certificate</v>
      </c>
      <c r="H186" s="2" t="str">
        <f>IFERROR(__xludf.DUMMYFUNCTION("""COMPUTED_VALUE"""),"2 Months")</f>
        <v>2 Months</v>
      </c>
      <c r="I186" s="2" t="str">
        <f>IFERROR(__xludf.DUMMYFUNCTION("""COMPUTED_VALUE"""),"NA")</f>
        <v>NA</v>
      </c>
      <c r="J186" s="2" t="str">
        <f>IFERROR(__xludf.DUMMYFUNCTION("""COMPUTED_VALUE"""),"NA")</f>
        <v>NA</v>
      </c>
      <c r="K186" s="2" t="str">
        <f>IFERROR(__xludf.DUMMYFUNCTION("""COMPUTED_VALUE"""),"NA")</f>
        <v>NA</v>
      </c>
      <c r="L186" s="2" t="str">
        <f>IFERROR(__xludf.DUMMYFUNCTION("""COMPUTED_VALUE"""),"CGPA")</f>
        <v>CGPA</v>
      </c>
      <c r="M186" s="2" t="str">
        <f>IFERROR(__xludf.DUMMYFUNCTION("""COMPUTED_VALUE"""),"Experiential Learning (Int and Grade from Certificate)")</f>
        <v>Experiential Learning (Int and Grade from Certificate)</v>
      </c>
      <c r="N186" s="2">
        <f>IFERROR(__xludf.DUMMYFUNCTION("""COMPUTED_VALUE"""),2)</f>
        <v>2</v>
      </c>
      <c r="O186" s="2">
        <f>IFERROR(__xludf.DUMMYFUNCTION("""COMPUTED_VALUE"""),2)</f>
        <v>2</v>
      </c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30.75" customHeight="1" spans="1:26">
      <c r="A187" s="2">
        <f>IFERROR(__xludf.DUMMYFUNCTION("""COMPUTED_VALUE"""),186)</f>
        <v>186</v>
      </c>
      <c r="B187" s="2" t="str">
        <f>IFERROR(__xludf.DUMMYFUNCTION("""COMPUTED_VALUE"""),"SCoFT")</f>
        <v>SCoFT</v>
      </c>
      <c r="C187" s="2" t="str">
        <f>IFERROR(__xludf.DUMMYFUNCTION("""COMPUTED_VALUE"""),"CS3195")</f>
        <v>CS3195</v>
      </c>
      <c r="D187" s="2" t="str">
        <f>IFERROR(__xludf.DUMMYFUNCTION("""COMPUTED_VALUE"""),"19AI195")</f>
        <v>19AI195</v>
      </c>
      <c r="E187" s="2"/>
      <c r="F187" s="2" t="str">
        <f>IFERROR(__xludf.DUMMYFUNCTION("""COMPUTED_VALUE"""),"Coursera")</f>
        <v>Coursera</v>
      </c>
      <c r="G187" s="3" t="str">
        <f>IFERROR(__xludf.DUMMYFUNCTION("""COMPUTED_VALUE"""),"Google Cloud Digital Leader Training Professional Certificate")</f>
        <v>Google Cloud Digital Leader Training Professional Certificate</v>
      </c>
      <c r="H187" s="2" t="str">
        <f>IFERROR(__xludf.DUMMYFUNCTION("""COMPUTED_VALUE"""),"1 Month")</f>
        <v>1 Month</v>
      </c>
      <c r="I187" s="2" t="str">
        <f>IFERROR(__xludf.DUMMYFUNCTION("""COMPUTED_VALUE"""),"NA")</f>
        <v>NA</v>
      </c>
      <c r="J187" s="2" t="str">
        <f>IFERROR(__xludf.DUMMYFUNCTION("""COMPUTED_VALUE"""),"NA")</f>
        <v>NA</v>
      </c>
      <c r="K187" s="2" t="str">
        <f>IFERROR(__xludf.DUMMYFUNCTION("""COMPUTED_VALUE"""),"NA")</f>
        <v>NA</v>
      </c>
      <c r="L187" s="2" t="str">
        <f>IFERROR(__xludf.DUMMYFUNCTION("""COMPUTED_VALUE"""),"CGPA")</f>
        <v>CGPA</v>
      </c>
      <c r="M187" s="2" t="str">
        <f>IFERROR(__xludf.DUMMYFUNCTION("""COMPUTED_VALUE"""),"Experiential Learning (Int and Grade from Certificate)")</f>
        <v>Experiential Learning (Int and Grade from Certificate)</v>
      </c>
      <c r="N187" s="2">
        <f>IFERROR(__xludf.DUMMYFUNCTION("""COMPUTED_VALUE"""),1)</f>
        <v>1</v>
      </c>
      <c r="O187" s="2">
        <f>IFERROR(__xludf.DUMMYFUNCTION("""COMPUTED_VALUE"""),1)</f>
        <v>1</v>
      </c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30.75" customHeight="1" spans="1:26">
      <c r="A188" s="2">
        <f>IFERROR(__xludf.DUMMYFUNCTION("""COMPUTED_VALUE"""),187)</f>
        <v>187</v>
      </c>
      <c r="B188" s="2" t="str">
        <f>IFERROR(__xludf.DUMMYFUNCTION("""COMPUTED_VALUE"""),"SCoFT")</f>
        <v>SCoFT</v>
      </c>
      <c r="C188" s="2" t="str">
        <f>IFERROR(__xludf.DUMMYFUNCTION("""COMPUTED_VALUE"""),"CS3183")</f>
        <v>CS3183</v>
      </c>
      <c r="D188" s="2" t="str">
        <f>IFERROR(__xludf.DUMMYFUNCTION("""COMPUTED_VALUE"""),"19AI183")</f>
        <v>19AI183</v>
      </c>
      <c r="E188" s="2"/>
      <c r="F188" s="2" t="str">
        <f>IFERROR(__xludf.DUMMYFUNCTION("""COMPUTED_VALUE"""),"Coursera")</f>
        <v>Coursera</v>
      </c>
      <c r="G188" s="3" t="str">
        <f>IFERROR(__xludf.DUMMYFUNCTION("""COMPUTED_VALUE"""),"Google Cybersecurity Professional Certificate")</f>
        <v>Google Cybersecurity Professional Certificate</v>
      </c>
      <c r="H188" s="2" t="str">
        <f>IFERROR(__xludf.DUMMYFUNCTION("""COMPUTED_VALUE"""),"6 Months")</f>
        <v>6 Months</v>
      </c>
      <c r="I188" s="2" t="str">
        <f>IFERROR(__xludf.DUMMYFUNCTION("""COMPUTED_VALUE"""),"NA")</f>
        <v>NA</v>
      </c>
      <c r="J188" s="2" t="str">
        <f>IFERROR(__xludf.DUMMYFUNCTION("""COMPUTED_VALUE"""),"NA")</f>
        <v>NA</v>
      </c>
      <c r="K188" s="2" t="str">
        <f>IFERROR(__xludf.DUMMYFUNCTION("""COMPUTED_VALUE"""),"NA")</f>
        <v>NA</v>
      </c>
      <c r="L188" s="2" t="str">
        <f>IFERROR(__xludf.DUMMYFUNCTION("""COMPUTED_VALUE"""),"CGPA")</f>
        <v>CGPA</v>
      </c>
      <c r="M188" s="2" t="str">
        <f>IFERROR(__xludf.DUMMYFUNCTION("""COMPUTED_VALUE"""),"Experiential Learning (Int and Grade from Certificate)")</f>
        <v>Experiential Learning (Int and Grade from Certificate)</v>
      </c>
      <c r="N188" s="2">
        <f>IFERROR(__xludf.DUMMYFUNCTION("""COMPUTED_VALUE"""),3)</f>
        <v>3</v>
      </c>
      <c r="O188" s="2">
        <f>IFERROR(__xludf.DUMMYFUNCTION("""COMPUTED_VALUE"""),3)</f>
        <v>3</v>
      </c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30.75" customHeight="1" spans="1:26">
      <c r="A189" s="2">
        <f>IFERROR(__xludf.DUMMYFUNCTION("""COMPUTED_VALUE"""),188)</f>
        <v>188</v>
      </c>
      <c r="B189" s="2" t="str">
        <f>IFERROR(__xludf.DUMMYFUNCTION("""COMPUTED_VALUE"""),"SCoFT")</f>
        <v>SCoFT</v>
      </c>
      <c r="C189" s="2" t="str">
        <f>IFERROR(__xludf.DUMMYFUNCTION("""COMPUTED_VALUE"""),"CS3118")</f>
        <v>CS3118</v>
      </c>
      <c r="D189" s="2" t="str">
        <f>IFERROR(__xludf.DUMMYFUNCTION("""COMPUTED_VALUE"""),"19AI118")</f>
        <v>19AI118</v>
      </c>
      <c r="E189" s="2"/>
      <c r="F189" s="2" t="str">
        <f>IFERROR(__xludf.DUMMYFUNCTION("""COMPUTED_VALUE"""),"COURSERA")</f>
        <v>COURSERA</v>
      </c>
      <c r="G189" s="3" t="str">
        <f>IFERROR(__xludf.DUMMYFUNCTION("""COMPUTED_VALUE"""),"Google Data Analytics (Coursera)")</f>
        <v>Google Data Analytics (Coursera)</v>
      </c>
      <c r="H189" s="2" t="str">
        <f>IFERROR(__xludf.DUMMYFUNCTION("""COMPUTED_VALUE"""),"24 Weeks")</f>
        <v>24 Weeks</v>
      </c>
      <c r="I189" s="2"/>
      <c r="J189" s="2"/>
      <c r="K189" s="2"/>
      <c r="L189" s="2" t="str">
        <f>IFERROR(__xludf.DUMMYFUNCTION("""COMPUTED_VALUE"""),"CGPA")</f>
        <v>CGPA</v>
      </c>
      <c r="M189" s="2" t="str">
        <f>IFERROR(__xludf.DUMMYFUNCTION("""COMPUTED_VALUE"""),"Experiential Learning (Int and Grade from Certificate)")</f>
        <v>Experiential Learning (Int and Grade from Certificate)</v>
      </c>
      <c r="N189" s="2">
        <f>IFERROR(__xludf.DUMMYFUNCTION("""COMPUTED_VALUE"""),3)</f>
        <v>3</v>
      </c>
      <c r="O189" s="2">
        <f>IFERROR(__xludf.DUMMYFUNCTION("""COMPUTED_VALUE"""),3)</f>
        <v>3</v>
      </c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30.75" customHeight="1" spans="1:26">
      <c r="A190" s="2">
        <f>IFERROR(__xludf.DUMMYFUNCTION("""COMPUTED_VALUE"""),189)</f>
        <v>189</v>
      </c>
      <c r="B190" s="2" t="str">
        <f>IFERROR(__xludf.DUMMYFUNCTION("""COMPUTED_VALUE"""),"SCoFT")</f>
        <v>SCoFT</v>
      </c>
      <c r="C190" s="2" t="str">
        <f>IFERROR(__xludf.DUMMYFUNCTION("""COMPUTED_VALUE"""),"CS3197")</f>
        <v>CS3197</v>
      </c>
      <c r="D190" s="2" t="str">
        <f>IFERROR(__xludf.DUMMYFUNCTION("""COMPUTED_VALUE"""),"19AI197")</f>
        <v>19AI197</v>
      </c>
      <c r="E190" s="2"/>
      <c r="F190" s="2" t="str">
        <f>IFERROR(__xludf.DUMMYFUNCTION("""COMPUTED_VALUE"""),"Coursera")</f>
        <v>Coursera</v>
      </c>
      <c r="G190" s="3" t="str">
        <f>IFERROR(__xludf.DUMMYFUNCTION("""COMPUTED_VALUE"""),"Google Digital Marketing &amp; E-commerce Professional Certificate")</f>
        <v>Google Digital Marketing &amp; E-commerce Professional Certificate</v>
      </c>
      <c r="H190" s="2" t="str">
        <f>IFERROR(__xludf.DUMMYFUNCTION("""COMPUTED_VALUE"""),"6 Months")</f>
        <v>6 Months</v>
      </c>
      <c r="I190" s="2" t="str">
        <f>IFERROR(__xludf.DUMMYFUNCTION("""COMPUTED_VALUE"""),"NA")</f>
        <v>NA</v>
      </c>
      <c r="J190" s="2" t="str">
        <f>IFERROR(__xludf.DUMMYFUNCTION("""COMPUTED_VALUE"""),"NA")</f>
        <v>NA</v>
      </c>
      <c r="K190" s="2" t="str">
        <f>IFERROR(__xludf.DUMMYFUNCTION("""COMPUTED_VALUE"""),"NA")</f>
        <v>NA</v>
      </c>
      <c r="L190" s="2" t="str">
        <f>IFERROR(__xludf.DUMMYFUNCTION("""COMPUTED_VALUE"""),"CGPA")</f>
        <v>CGPA</v>
      </c>
      <c r="M190" s="2" t="str">
        <f>IFERROR(__xludf.DUMMYFUNCTION("""COMPUTED_VALUE"""),"Experiential Learning (Int and Grade from Certificate)")</f>
        <v>Experiential Learning (Int and Grade from Certificate)</v>
      </c>
      <c r="N190" s="2">
        <f>IFERROR(__xludf.DUMMYFUNCTION("""COMPUTED_VALUE"""),3)</f>
        <v>3</v>
      </c>
      <c r="O190" s="2">
        <f>IFERROR(__xludf.DUMMYFUNCTION("""COMPUTED_VALUE"""),3)</f>
        <v>3</v>
      </c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30.75" customHeight="1" spans="1:26">
      <c r="A191" s="2">
        <f>IFERROR(__xludf.DUMMYFUNCTION("""COMPUTED_VALUE"""),190)</f>
        <v>190</v>
      </c>
      <c r="B191" s="2" t="str">
        <f>IFERROR(__xludf.DUMMYFUNCTION("""COMPUTED_VALUE"""),"SCoFT")</f>
        <v>SCoFT</v>
      </c>
      <c r="C191" s="2" t="str">
        <f>IFERROR(__xludf.DUMMYFUNCTION("""COMPUTED_VALUE"""),"CS3198")</f>
        <v>CS3198</v>
      </c>
      <c r="D191" s="2" t="str">
        <f>IFERROR(__xludf.DUMMYFUNCTION("""COMPUTED_VALUE"""),"19AI198")</f>
        <v>19AI198</v>
      </c>
      <c r="E191" s="2"/>
      <c r="F191" s="2" t="str">
        <f>IFERROR(__xludf.DUMMYFUNCTION("""COMPUTED_VALUE"""),"Coursera")</f>
        <v>Coursera</v>
      </c>
      <c r="G191" s="3" t="str">
        <f>IFERROR(__xludf.DUMMYFUNCTION("""COMPUTED_VALUE"""),"Google IT Automation with Python Professional Certificate")</f>
        <v>Google IT Automation with Python Professional Certificate</v>
      </c>
      <c r="H191" s="2" t="str">
        <f>IFERROR(__xludf.DUMMYFUNCTION("""COMPUTED_VALUE"""),"6 Months")</f>
        <v>6 Months</v>
      </c>
      <c r="I191" s="2" t="str">
        <f>IFERROR(__xludf.DUMMYFUNCTION("""COMPUTED_VALUE"""),"NA")</f>
        <v>NA</v>
      </c>
      <c r="J191" s="2" t="str">
        <f>IFERROR(__xludf.DUMMYFUNCTION("""COMPUTED_VALUE"""),"NA")</f>
        <v>NA</v>
      </c>
      <c r="K191" s="2" t="str">
        <f>IFERROR(__xludf.DUMMYFUNCTION("""COMPUTED_VALUE"""),"NA")</f>
        <v>NA</v>
      </c>
      <c r="L191" s="2" t="str">
        <f>IFERROR(__xludf.DUMMYFUNCTION("""COMPUTED_VALUE"""),"CGPA")</f>
        <v>CGPA</v>
      </c>
      <c r="M191" s="2" t="str">
        <f>IFERROR(__xludf.DUMMYFUNCTION("""COMPUTED_VALUE"""),"Experiential Learning (Int and Grade from Certificate)")</f>
        <v>Experiential Learning (Int and Grade from Certificate)</v>
      </c>
      <c r="N191" s="2">
        <f>IFERROR(__xludf.DUMMYFUNCTION("""COMPUTED_VALUE"""),3)</f>
        <v>3</v>
      </c>
      <c r="O191" s="2">
        <f>IFERROR(__xludf.DUMMYFUNCTION("""COMPUTED_VALUE"""),3)</f>
        <v>3</v>
      </c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30.75" customHeight="1" spans="1:26">
      <c r="A192" s="2">
        <f>IFERROR(__xludf.DUMMYFUNCTION("""COMPUTED_VALUE"""),191)</f>
        <v>191</v>
      </c>
      <c r="B192" s="2" t="str">
        <f>IFERROR(__xludf.DUMMYFUNCTION("""COMPUTED_VALUE"""),"SCoFT")</f>
        <v>SCoFT</v>
      </c>
      <c r="C192" s="2" t="str">
        <f>IFERROR(__xludf.DUMMYFUNCTION("""COMPUTED_VALUE"""),"CS3119")</f>
        <v>CS3119</v>
      </c>
      <c r="D192" s="2" t="str">
        <f>IFERROR(__xludf.DUMMYFUNCTION("""COMPUTED_VALUE"""),"19AI119")</f>
        <v>19AI119</v>
      </c>
      <c r="E192" s="2"/>
      <c r="F192" s="2" t="str">
        <f>IFERROR(__xludf.DUMMYFUNCTION("""COMPUTED_VALUE"""),"COURSERA")</f>
        <v>COURSERA</v>
      </c>
      <c r="G192" s="3" t="str">
        <f>IFERROR(__xludf.DUMMYFUNCTION("""COMPUTED_VALUE"""),"Google IT Support (Coursera)")</f>
        <v>Google IT Support (Coursera)</v>
      </c>
      <c r="H192" s="2" t="str">
        <f>IFERROR(__xludf.DUMMYFUNCTION("""COMPUTED_VALUE"""),"24 Weeks")</f>
        <v>24 Weeks</v>
      </c>
      <c r="I192" s="2"/>
      <c r="J192" s="2"/>
      <c r="K192" s="2"/>
      <c r="L192" s="2" t="str">
        <f>IFERROR(__xludf.DUMMYFUNCTION("""COMPUTED_VALUE"""),"CGPA")</f>
        <v>CGPA</v>
      </c>
      <c r="M192" s="2" t="str">
        <f>IFERROR(__xludf.DUMMYFUNCTION("""COMPUTED_VALUE"""),"Experiential Learning (Int and Grade from Certificate)")</f>
        <v>Experiential Learning (Int and Grade from Certificate)</v>
      </c>
      <c r="N192" s="2">
        <f>IFERROR(__xludf.DUMMYFUNCTION("""COMPUTED_VALUE"""),3)</f>
        <v>3</v>
      </c>
      <c r="O192" s="2">
        <f>IFERROR(__xludf.DUMMYFUNCTION("""COMPUTED_VALUE"""),3)</f>
        <v>3</v>
      </c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30.75" customHeight="1" spans="1:26">
      <c r="A193" s="2">
        <f>IFERROR(__xludf.DUMMYFUNCTION("""COMPUTED_VALUE"""),192)</f>
        <v>192</v>
      </c>
      <c r="B193" s="2" t="str">
        <f>IFERROR(__xludf.DUMMYFUNCTION("""COMPUTED_VALUE"""),"SCoFT")</f>
        <v>SCoFT</v>
      </c>
      <c r="C193" s="2" t="str">
        <f>IFERROR(__xludf.DUMMYFUNCTION("""COMPUTED_VALUE"""),"CS3146")</f>
        <v>CS3146</v>
      </c>
      <c r="D193" s="2" t="str">
        <f>IFERROR(__xludf.DUMMYFUNCTION("""COMPUTED_VALUE"""),"19AI146")</f>
        <v>19AI146</v>
      </c>
      <c r="E193" s="2"/>
      <c r="F193" s="2" t="str">
        <f>IFERROR(__xludf.DUMMYFUNCTION("""COMPUTED_VALUE"""),"Google")</f>
        <v>Google</v>
      </c>
      <c r="G193" s="3" t="str">
        <f>IFERROR(__xludf.DUMMYFUNCTION("""COMPUTED_VALUE"""),"Google Professional Cloud Architect (Google)")</f>
        <v>Google Professional Cloud Architect (Google)</v>
      </c>
      <c r="H193" s="2" t="str">
        <f>IFERROR(__xludf.DUMMYFUNCTION("""COMPUTED_VALUE"""),"8 Weeks")</f>
        <v>8 Weeks</v>
      </c>
      <c r="I193" s="2"/>
      <c r="J193" s="2"/>
      <c r="K193" s="2"/>
      <c r="L193" s="2" t="str">
        <f>IFERROR(__xludf.DUMMYFUNCTION("""COMPUTED_VALUE"""),"CGPA")</f>
        <v>CGPA</v>
      </c>
      <c r="M193" s="2" t="str">
        <f>IFERROR(__xludf.DUMMYFUNCTION("""COMPUTED_VALUE"""),"Experiential Learning (Int and Grade from Certificate)")</f>
        <v>Experiential Learning (Int and Grade from Certificate)</v>
      </c>
      <c r="N193" s="2">
        <f>IFERROR(__xludf.DUMMYFUNCTION("""COMPUTED_VALUE"""),2)</f>
        <v>2</v>
      </c>
      <c r="O193" s="2">
        <f>IFERROR(__xludf.DUMMYFUNCTION("""COMPUTED_VALUE"""),2)</f>
        <v>2</v>
      </c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30.75" customHeight="1" spans="1:26">
      <c r="A194" s="2">
        <f>IFERROR(__xludf.DUMMYFUNCTION("""COMPUTED_VALUE"""),193)</f>
        <v>193</v>
      </c>
      <c r="B194" s="2" t="str">
        <f>IFERROR(__xludf.DUMMYFUNCTION("""COMPUTED_VALUE"""),"SCoFT")</f>
        <v>SCoFT</v>
      </c>
      <c r="C194" s="2" t="str">
        <f>IFERROR(__xludf.DUMMYFUNCTION("""COMPUTED_VALUE"""),"CS3147")</f>
        <v>CS3147</v>
      </c>
      <c r="D194" s="2" t="str">
        <f>IFERROR(__xludf.DUMMYFUNCTION("""COMPUTED_VALUE"""),"19AI147")</f>
        <v>19AI147</v>
      </c>
      <c r="E194" s="2"/>
      <c r="F194" s="2" t="str">
        <f>IFERROR(__xludf.DUMMYFUNCTION("""COMPUTED_VALUE"""),"Google")</f>
        <v>Google</v>
      </c>
      <c r="G194" s="3" t="str">
        <f>IFERROR(__xludf.DUMMYFUNCTION("""COMPUTED_VALUE"""),"Google Professional Cloud Database Engineer (Google)")</f>
        <v>Google Professional Cloud Database Engineer (Google)</v>
      </c>
      <c r="H194" s="2" t="str">
        <f>IFERROR(__xludf.DUMMYFUNCTION("""COMPUTED_VALUE"""),"8 Weeks")</f>
        <v>8 Weeks</v>
      </c>
      <c r="I194" s="2"/>
      <c r="J194" s="2"/>
      <c r="K194" s="2"/>
      <c r="L194" s="2" t="str">
        <f>IFERROR(__xludf.DUMMYFUNCTION("""COMPUTED_VALUE"""),"CGPA")</f>
        <v>CGPA</v>
      </c>
      <c r="M194" s="2" t="str">
        <f>IFERROR(__xludf.DUMMYFUNCTION("""COMPUTED_VALUE"""),"Experiential Learning (Int and Grade from Certificate)")</f>
        <v>Experiential Learning (Int and Grade from Certificate)</v>
      </c>
      <c r="N194" s="2">
        <f>IFERROR(__xludf.DUMMYFUNCTION("""COMPUTED_VALUE"""),2)</f>
        <v>2</v>
      </c>
      <c r="O194" s="2">
        <f>IFERROR(__xludf.DUMMYFUNCTION("""COMPUTED_VALUE"""),2)</f>
        <v>2</v>
      </c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30.75" customHeight="1" spans="1:26">
      <c r="A195" s="2">
        <f>IFERROR(__xludf.DUMMYFUNCTION("""COMPUTED_VALUE"""),194)</f>
        <v>194</v>
      </c>
      <c r="B195" s="2" t="str">
        <f>IFERROR(__xludf.DUMMYFUNCTION("""COMPUTED_VALUE"""),"SCoFT")</f>
        <v>SCoFT</v>
      </c>
      <c r="C195" s="2" t="str">
        <f>IFERROR(__xludf.DUMMYFUNCTION("""COMPUTED_VALUE"""),"CS3149")</f>
        <v>CS3149</v>
      </c>
      <c r="D195" s="2" t="str">
        <f>IFERROR(__xludf.DUMMYFUNCTION("""COMPUTED_VALUE"""),"19AI149")</f>
        <v>19AI149</v>
      </c>
      <c r="E195" s="2"/>
      <c r="F195" s="2" t="str">
        <f>IFERROR(__xludf.DUMMYFUNCTION("""COMPUTED_VALUE"""),"Google")</f>
        <v>Google</v>
      </c>
      <c r="G195" s="3" t="str">
        <f>IFERROR(__xludf.DUMMYFUNCTION("""COMPUTED_VALUE"""),"Google Professional Cloud DevOps Engineer (Google)")</f>
        <v>Google Professional Cloud DevOps Engineer (Google)</v>
      </c>
      <c r="H195" s="2" t="str">
        <f>IFERROR(__xludf.DUMMYFUNCTION("""COMPUTED_VALUE"""),"8 Weeks")</f>
        <v>8 Weeks</v>
      </c>
      <c r="I195" s="2"/>
      <c r="J195" s="2"/>
      <c r="K195" s="2"/>
      <c r="L195" s="2" t="str">
        <f>IFERROR(__xludf.DUMMYFUNCTION("""COMPUTED_VALUE"""),"CGPA")</f>
        <v>CGPA</v>
      </c>
      <c r="M195" s="2" t="str">
        <f>IFERROR(__xludf.DUMMYFUNCTION("""COMPUTED_VALUE"""),"Experiential Learning (Int and Grade from Certificate)")</f>
        <v>Experiential Learning (Int and Grade from Certificate)</v>
      </c>
      <c r="N195" s="2">
        <f>IFERROR(__xludf.DUMMYFUNCTION("""COMPUTED_VALUE"""),2)</f>
        <v>2</v>
      </c>
      <c r="O195" s="2">
        <f>IFERROR(__xludf.DUMMYFUNCTION("""COMPUTED_VALUE"""),2)</f>
        <v>2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30.75" customHeight="1" spans="1:26">
      <c r="A196" s="2">
        <f>IFERROR(__xludf.DUMMYFUNCTION("""COMPUTED_VALUE"""),195)</f>
        <v>195</v>
      </c>
      <c r="B196" s="2" t="str">
        <f>IFERROR(__xludf.DUMMYFUNCTION("""COMPUTED_VALUE"""),"SCoFT")</f>
        <v>SCoFT</v>
      </c>
      <c r="C196" s="2" t="str">
        <f>IFERROR(__xludf.DUMMYFUNCTION("""COMPUTED_VALUE"""),"CS3151")</f>
        <v>CS3151</v>
      </c>
      <c r="D196" s="2" t="str">
        <f>IFERROR(__xludf.DUMMYFUNCTION("""COMPUTED_VALUE"""),"19AI151")</f>
        <v>19AI151</v>
      </c>
      <c r="E196" s="2"/>
      <c r="F196" s="2" t="str">
        <f>IFERROR(__xludf.DUMMYFUNCTION("""COMPUTED_VALUE"""),"Google")</f>
        <v>Google</v>
      </c>
      <c r="G196" s="3" t="str">
        <f>IFERROR(__xludf.DUMMYFUNCTION("""COMPUTED_VALUE"""),"Google Professional Cloud Security Engineer (Google)")</f>
        <v>Google Professional Cloud Security Engineer (Google)</v>
      </c>
      <c r="H196" s="2" t="str">
        <f>IFERROR(__xludf.DUMMYFUNCTION("""COMPUTED_VALUE"""),"8 Weeks")</f>
        <v>8 Weeks</v>
      </c>
      <c r="I196" s="2"/>
      <c r="J196" s="2"/>
      <c r="K196" s="2"/>
      <c r="L196" s="2" t="str">
        <f>IFERROR(__xludf.DUMMYFUNCTION("""COMPUTED_VALUE"""),"CGPA")</f>
        <v>CGPA</v>
      </c>
      <c r="M196" s="2" t="str">
        <f>IFERROR(__xludf.DUMMYFUNCTION("""COMPUTED_VALUE"""),"Experiential Learning (Int and Grade from Certificate)")</f>
        <v>Experiential Learning (Int and Grade from Certificate)</v>
      </c>
      <c r="N196" s="2">
        <f>IFERROR(__xludf.DUMMYFUNCTION("""COMPUTED_VALUE"""),2)</f>
        <v>2</v>
      </c>
      <c r="O196" s="2">
        <f>IFERROR(__xludf.DUMMYFUNCTION("""COMPUTED_VALUE"""),2)</f>
        <v>2</v>
      </c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30.75" customHeight="1" spans="1:26">
      <c r="A197" s="2">
        <f>IFERROR(__xludf.DUMMYFUNCTION("""COMPUTED_VALUE"""),196)</f>
        <v>196</v>
      </c>
      <c r="B197" s="2" t="str">
        <f>IFERROR(__xludf.DUMMYFUNCTION("""COMPUTED_VALUE"""),"SCoFT")</f>
        <v>SCoFT</v>
      </c>
      <c r="C197" s="2" t="str">
        <f>IFERROR(__xludf.DUMMYFUNCTION("""COMPUTED_VALUE"""),"CS3148")</f>
        <v>CS3148</v>
      </c>
      <c r="D197" s="2" t="str">
        <f>IFERROR(__xludf.DUMMYFUNCTION("""COMPUTED_VALUE"""),"19AI148")</f>
        <v>19AI148</v>
      </c>
      <c r="E197" s="2"/>
      <c r="F197" s="2" t="str">
        <f>IFERROR(__xludf.DUMMYFUNCTION("""COMPUTED_VALUE"""),"Google")</f>
        <v>Google</v>
      </c>
      <c r="G197" s="3" t="str">
        <f>IFERROR(__xludf.DUMMYFUNCTION("""COMPUTED_VALUE"""),"Google Professional Data Engineer (Google)")</f>
        <v>Google Professional Data Engineer (Google)</v>
      </c>
      <c r="H197" s="2" t="str">
        <f>IFERROR(__xludf.DUMMYFUNCTION("""COMPUTED_VALUE"""),"8 Weeks")</f>
        <v>8 Weeks</v>
      </c>
      <c r="I197" s="2"/>
      <c r="J197" s="2"/>
      <c r="K197" s="2"/>
      <c r="L197" s="2" t="str">
        <f>IFERROR(__xludf.DUMMYFUNCTION("""COMPUTED_VALUE"""),"CGPA")</f>
        <v>CGPA</v>
      </c>
      <c r="M197" s="2" t="str">
        <f>IFERROR(__xludf.DUMMYFUNCTION("""COMPUTED_VALUE"""),"Experiential Learning (Int and Grade from Certificate)")</f>
        <v>Experiential Learning (Int and Grade from Certificate)</v>
      </c>
      <c r="N197" s="2">
        <f>IFERROR(__xludf.DUMMYFUNCTION("""COMPUTED_VALUE"""),2)</f>
        <v>2</v>
      </c>
      <c r="O197" s="2">
        <f>IFERROR(__xludf.DUMMYFUNCTION("""COMPUTED_VALUE"""),2)</f>
        <v>2</v>
      </c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30.75" customHeight="1" spans="1:26">
      <c r="A198" s="2">
        <f>IFERROR(__xludf.DUMMYFUNCTION("""COMPUTED_VALUE"""),197)</f>
        <v>197</v>
      </c>
      <c r="B198" s="2" t="str">
        <f>IFERROR(__xludf.DUMMYFUNCTION("""COMPUTED_VALUE"""),"SCoFT")</f>
        <v>SCoFT</v>
      </c>
      <c r="C198" s="2" t="str">
        <f>IFERROR(__xludf.DUMMYFUNCTION("""COMPUTED_VALUE"""),"CS3150")</f>
        <v>CS3150</v>
      </c>
      <c r="D198" s="2" t="str">
        <f>IFERROR(__xludf.DUMMYFUNCTION("""COMPUTED_VALUE"""),"19AI150")</f>
        <v>19AI150</v>
      </c>
      <c r="E198" s="2"/>
      <c r="F198" s="2" t="str">
        <f>IFERROR(__xludf.DUMMYFUNCTION("""COMPUTED_VALUE"""),"Google")</f>
        <v>Google</v>
      </c>
      <c r="G198" s="3" t="str">
        <f>IFERROR(__xludf.DUMMYFUNCTION("""COMPUTED_VALUE"""),"Google Professional Machine Learning Engineer (Google)")</f>
        <v>Google Professional Machine Learning Engineer (Google)</v>
      </c>
      <c r="H198" s="2" t="str">
        <f>IFERROR(__xludf.DUMMYFUNCTION("""COMPUTED_VALUE"""),"8 Weeks")</f>
        <v>8 Weeks</v>
      </c>
      <c r="I198" s="2"/>
      <c r="J198" s="2"/>
      <c r="K198" s="2"/>
      <c r="L198" s="2" t="str">
        <f>IFERROR(__xludf.DUMMYFUNCTION("""COMPUTED_VALUE"""),"CGPA")</f>
        <v>CGPA</v>
      </c>
      <c r="M198" s="2" t="str">
        <f>IFERROR(__xludf.DUMMYFUNCTION("""COMPUTED_VALUE"""),"Experiential Learning (Int and Grade from Certificate)")</f>
        <v>Experiential Learning (Int and Grade from Certificate)</v>
      </c>
      <c r="N198" s="2">
        <f>IFERROR(__xludf.DUMMYFUNCTION("""COMPUTED_VALUE"""),2)</f>
        <v>2</v>
      </c>
      <c r="O198" s="2">
        <f>IFERROR(__xludf.DUMMYFUNCTION("""COMPUTED_VALUE"""),2)</f>
        <v>2</v>
      </c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30.75" customHeight="1" spans="1:26">
      <c r="A199" s="2">
        <f>IFERROR(__xludf.DUMMYFUNCTION("""COMPUTED_VALUE"""),198)</f>
        <v>198</v>
      </c>
      <c r="B199" s="2" t="str">
        <f>IFERROR(__xludf.DUMMYFUNCTION("""COMPUTED_VALUE"""),"SCoFT")</f>
        <v>SCoFT</v>
      </c>
      <c r="C199" s="2" t="str">
        <f>IFERROR(__xludf.DUMMYFUNCTION("""COMPUTED_VALUE"""),"CS3199")</f>
        <v>CS3199</v>
      </c>
      <c r="D199" s="2" t="str">
        <f>IFERROR(__xludf.DUMMYFUNCTION("""COMPUTED_VALUE"""),"19AI199")</f>
        <v>19AI199</v>
      </c>
      <c r="E199" s="2"/>
      <c r="F199" s="2" t="str">
        <f>IFERROR(__xludf.DUMMYFUNCTION("""COMPUTED_VALUE"""),"Coursera")</f>
        <v>Coursera</v>
      </c>
      <c r="G199" s="3" t="str">
        <f>IFERROR(__xludf.DUMMYFUNCTION("""COMPUTED_VALUE"""),"Google Professional Workspace Administrator Professional Certificate")</f>
        <v>Google Professional Workspace Administrator Professional Certificate</v>
      </c>
      <c r="H199" s="2" t="str">
        <f>IFERROR(__xludf.DUMMYFUNCTION("""COMPUTED_VALUE"""),"1 Month")</f>
        <v>1 Month</v>
      </c>
      <c r="I199" s="2" t="str">
        <f>IFERROR(__xludf.DUMMYFUNCTION("""COMPUTED_VALUE"""),"NA")</f>
        <v>NA</v>
      </c>
      <c r="J199" s="2" t="str">
        <f>IFERROR(__xludf.DUMMYFUNCTION("""COMPUTED_VALUE"""),"NA")</f>
        <v>NA</v>
      </c>
      <c r="K199" s="2" t="str">
        <f>IFERROR(__xludf.DUMMYFUNCTION("""COMPUTED_VALUE"""),"NA")</f>
        <v>NA</v>
      </c>
      <c r="L199" s="2" t="str">
        <f>IFERROR(__xludf.DUMMYFUNCTION("""COMPUTED_VALUE"""),"CGPA")</f>
        <v>CGPA</v>
      </c>
      <c r="M199" s="2" t="str">
        <f>IFERROR(__xludf.DUMMYFUNCTION("""COMPUTED_VALUE"""),"Experiential Learning (Int and Grade from Certificate)")</f>
        <v>Experiential Learning (Int and Grade from Certificate)</v>
      </c>
      <c r="N199" s="2">
        <f>IFERROR(__xludf.DUMMYFUNCTION("""COMPUTED_VALUE"""),1)</f>
        <v>1</v>
      </c>
      <c r="O199" s="2">
        <f>IFERROR(__xludf.DUMMYFUNCTION("""COMPUTED_VALUE"""),1)</f>
        <v>1</v>
      </c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30.75" customHeight="1" spans="1:26">
      <c r="A200" s="2">
        <f>IFERROR(__xludf.DUMMYFUNCTION("""COMPUTED_VALUE"""),199)</f>
        <v>199</v>
      </c>
      <c r="B200" s="2" t="str">
        <f>IFERROR(__xludf.DUMMYFUNCTION("""COMPUTED_VALUE"""),"SCoFT")</f>
        <v>SCoFT</v>
      </c>
      <c r="C200" s="2" t="str">
        <f>IFERROR(__xludf.DUMMYFUNCTION("""COMPUTED_VALUE"""),"CS3200")</f>
        <v>CS3200</v>
      </c>
      <c r="D200" s="2" t="str">
        <f>IFERROR(__xludf.DUMMYFUNCTION("""COMPUTED_VALUE"""),"19AI200")</f>
        <v>19AI200</v>
      </c>
      <c r="E200" s="2"/>
      <c r="F200" s="2" t="str">
        <f>IFERROR(__xludf.DUMMYFUNCTION("""COMPUTED_VALUE"""),"Coursera")</f>
        <v>Coursera</v>
      </c>
      <c r="G200" s="3" t="str">
        <f>IFERROR(__xludf.DUMMYFUNCTION("""COMPUTED_VALUE"""),"Google Project Management: Professional Certificate")</f>
        <v>Google Project Management: Professional Certificate</v>
      </c>
      <c r="H200" s="2" t="str">
        <f>IFERROR(__xludf.DUMMYFUNCTION("""COMPUTED_VALUE"""),"6 Months")</f>
        <v>6 Months</v>
      </c>
      <c r="I200" s="2" t="str">
        <f>IFERROR(__xludf.DUMMYFUNCTION("""COMPUTED_VALUE"""),"NA")</f>
        <v>NA</v>
      </c>
      <c r="J200" s="2" t="str">
        <f>IFERROR(__xludf.DUMMYFUNCTION("""COMPUTED_VALUE"""),"NA")</f>
        <v>NA</v>
      </c>
      <c r="K200" s="2" t="str">
        <f>IFERROR(__xludf.DUMMYFUNCTION("""COMPUTED_VALUE"""),"NA")</f>
        <v>NA</v>
      </c>
      <c r="L200" s="2" t="str">
        <f>IFERROR(__xludf.DUMMYFUNCTION("""COMPUTED_VALUE"""),"CGPA")</f>
        <v>CGPA</v>
      </c>
      <c r="M200" s="2" t="str">
        <f>IFERROR(__xludf.DUMMYFUNCTION("""COMPUTED_VALUE"""),"Experiential Learning (Int and Grade from Certificate)")</f>
        <v>Experiential Learning (Int and Grade from Certificate)</v>
      </c>
      <c r="N200" s="2">
        <f>IFERROR(__xludf.DUMMYFUNCTION("""COMPUTED_VALUE"""),3)</f>
        <v>3</v>
      </c>
      <c r="O200" s="2">
        <f>IFERROR(__xludf.DUMMYFUNCTION("""COMPUTED_VALUE"""),3)</f>
        <v>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30.75" customHeight="1" spans="1:26">
      <c r="A201" s="2">
        <f>IFERROR(__xludf.DUMMYFUNCTION("""COMPUTED_VALUE"""),200)</f>
        <v>200</v>
      </c>
      <c r="B201" s="2" t="str">
        <f>IFERROR(__xludf.DUMMYFUNCTION("""COMPUTED_VALUE"""),"SCoFT")</f>
        <v>SCoFT</v>
      </c>
      <c r="C201" s="2" t="str">
        <f>IFERROR(__xludf.DUMMYFUNCTION("""COMPUTED_VALUE"""),"CS3201")</f>
        <v>CS3201</v>
      </c>
      <c r="D201" s="2" t="str">
        <f>IFERROR(__xludf.DUMMYFUNCTION("""COMPUTED_VALUE"""),"19AI201")</f>
        <v>19AI201</v>
      </c>
      <c r="E201" s="2"/>
      <c r="F201" s="2" t="str">
        <f>IFERROR(__xludf.DUMMYFUNCTION("""COMPUTED_VALUE"""),"Coursera")</f>
        <v>Coursera</v>
      </c>
      <c r="G201" s="3" t="str">
        <f>IFERROR(__xludf.DUMMYFUNCTION("""COMPUTED_VALUE"""),"Google UX Design Professional Certificate")</f>
        <v>Google UX Design Professional Certificate</v>
      </c>
      <c r="H201" s="2" t="str">
        <f>IFERROR(__xludf.DUMMYFUNCTION("""COMPUTED_VALUE"""),"6 Months")</f>
        <v>6 Months</v>
      </c>
      <c r="I201" s="2" t="str">
        <f>IFERROR(__xludf.DUMMYFUNCTION("""COMPUTED_VALUE"""),"NA")</f>
        <v>NA</v>
      </c>
      <c r="J201" s="2" t="str">
        <f>IFERROR(__xludf.DUMMYFUNCTION("""COMPUTED_VALUE"""),"NA")</f>
        <v>NA</v>
      </c>
      <c r="K201" s="2" t="str">
        <f>IFERROR(__xludf.DUMMYFUNCTION("""COMPUTED_VALUE"""),"NA")</f>
        <v>NA</v>
      </c>
      <c r="L201" s="2" t="str">
        <f>IFERROR(__xludf.DUMMYFUNCTION("""COMPUTED_VALUE"""),"CGPA")</f>
        <v>CGPA</v>
      </c>
      <c r="M201" s="2" t="str">
        <f>IFERROR(__xludf.DUMMYFUNCTION("""COMPUTED_VALUE"""),"Experiential Learning (Int and Grade from Certificate)")</f>
        <v>Experiential Learning (Int and Grade from Certificate)</v>
      </c>
      <c r="N201" s="2">
        <f>IFERROR(__xludf.DUMMYFUNCTION("""COMPUTED_VALUE"""),3)</f>
        <v>3</v>
      </c>
      <c r="O201" s="2">
        <f>IFERROR(__xludf.DUMMYFUNCTION("""COMPUTED_VALUE"""),3)</f>
        <v>3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30.75" customHeight="1" spans="1:26">
      <c r="A202" s="2">
        <f>IFERROR(__xludf.DUMMYFUNCTION("""COMPUTED_VALUE"""),201)</f>
        <v>201</v>
      </c>
      <c r="B202" s="2" t="str">
        <f>IFERROR(__xludf.DUMMYFUNCTION("""COMPUTED_VALUE"""),"ECE, SCoFT")</f>
        <v>ECE, SCoFT</v>
      </c>
      <c r="C202" s="2" t="str">
        <f>IFERROR(__xludf.DUMMYFUNCTION("""COMPUTED_VALUE"""),"EC1630")</f>
        <v>EC1630</v>
      </c>
      <c r="D202" s="2" t="str">
        <f>IFERROR(__xludf.DUMMYFUNCTION("""COMPUTED_VALUE"""),"19EC630")</f>
        <v>19EC630</v>
      </c>
      <c r="E202" s="2"/>
      <c r="F202" s="2" t="str">
        <f>IFERROR(__xludf.DUMMYFUNCTION("""COMPUTED_VALUE"""),"NPTEL")</f>
        <v>NPTEL</v>
      </c>
      <c r="G202" s="3" t="str">
        <f>IFERROR(__xludf.DUMMYFUNCTION("""COMPUTED_VALUE"""),"GPU Architectures and Programming (NPTEL)")</f>
        <v>GPU Architectures and Programming (NPTEL)</v>
      </c>
      <c r="H202" s="2" t="str">
        <f>IFERROR(__xludf.DUMMYFUNCTION("""COMPUTED_VALUE"""),"12 Weeks")</f>
        <v>12 Weeks</v>
      </c>
      <c r="I202" s="2"/>
      <c r="J202" s="2"/>
      <c r="K202" s="2"/>
      <c r="L202" s="2" t="str">
        <f>IFERROR(__xludf.DUMMYFUNCTION("""COMPUTED_VALUE"""),"CGPA ")</f>
        <v>CGPA </v>
      </c>
      <c r="M202" s="2" t="str">
        <f>IFERROR(__xludf.DUMMYFUNCTION("""COMPUTED_VALUE"""),"Experiential Learning (Int and Grade from Certificate)")</f>
        <v>Experiential Learning (Int and Grade from Certificate)</v>
      </c>
      <c r="N202" s="2">
        <f>IFERROR(__xludf.DUMMYFUNCTION("""COMPUTED_VALUE"""),2)</f>
        <v>2</v>
      </c>
      <c r="O202" s="2">
        <f>IFERROR(__xludf.DUMMYFUNCTION("""COMPUTED_VALUE"""),3)</f>
        <v>3</v>
      </c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30.75" customHeight="1" spans="1:26">
      <c r="A203" s="2">
        <f>IFERROR(__xludf.DUMMYFUNCTION("""COMPUTED_VALUE"""),202)</f>
        <v>202</v>
      </c>
      <c r="B203" s="2" t="str">
        <f>IFERROR(__xludf.DUMMYFUNCTION("""COMPUTED_VALUE"""),"Civil")</f>
        <v>Civil</v>
      </c>
      <c r="C203" s="2" t="str">
        <f>IFERROR(__xludf.DUMMYFUNCTION("""COMPUTED_VALUE"""),"CE0601")</f>
        <v>CE0601</v>
      </c>
      <c r="D203" s="2" t="str">
        <f>IFERROR(__xludf.DUMMYFUNCTION("""COMPUTED_VALUE"""),"19CE601")</f>
        <v>19CE601</v>
      </c>
      <c r="E203" s="2"/>
      <c r="F203" s="2" t="str">
        <f>IFERROR(__xludf.DUMMYFUNCTION("""COMPUTED_VALUE"""),"NPTEL")</f>
        <v>NPTEL</v>
      </c>
      <c r="G203" s="3" t="str">
        <f>IFERROR(__xludf.DUMMYFUNCTION("""COMPUTED_VALUE"""),"Ground Improvement (NPTEL)")</f>
        <v>Ground Improvement (NPTEL)</v>
      </c>
      <c r="H203" s="2" t="str">
        <f>IFERROR(__xludf.DUMMYFUNCTION("""COMPUTED_VALUE"""),"12 Weeks")</f>
        <v>12 Weeks</v>
      </c>
      <c r="I203" s="4">
        <f>IFERROR(__xludf.DUMMYFUNCTION("""COMPUTED_VALUE"""),45224)</f>
        <v>45224</v>
      </c>
      <c r="J203" s="2" t="str">
        <f>IFERROR(__xludf.DUMMYFUNCTION("""COMPUTED_VALUE"""),"30/75")</f>
        <v>30/75</v>
      </c>
      <c r="K203" s="2" t="str">
        <f>IFERROR(__xludf.DUMMYFUNCTION("""COMPUTED_VALUE"""),"40/100")</f>
        <v>40/100</v>
      </c>
      <c r="L203" s="2" t="str">
        <f>IFERROR(__xludf.DUMMYFUNCTION("""COMPUTED_VALUE"""),"CGPA ")</f>
        <v>CGPA </v>
      </c>
      <c r="M203" s="2" t="str">
        <f>IFERROR(__xludf.DUMMYFUNCTION("""COMPUTED_VALUE"""),"Experiential Learning (Int and Grade from Certificate)")</f>
        <v>Experiential Learning (Int and Grade from Certificate)</v>
      </c>
      <c r="N203" s="2">
        <f>IFERROR(__xludf.DUMMYFUNCTION("""COMPUTED_VALUE"""),2)</f>
        <v>2</v>
      </c>
      <c r="O203" s="2">
        <f>IFERROR(__xludf.DUMMYFUNCTION("""COMPUTED_VALUE"""),3)</f>
        <v>3</v>
      </c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30.75" customHeight="1" spans="1:26">
      <c r="A204" s="2">
        <f>IFERROR(__xludf.DUMMYFUNCTION("""COMPUTED_VALUE"""),203)</f>
        <v>203</v>
      </c>
      <c r="B204" s="2" t="str">
        <f>IFERROR(__xludf.DUMMYFUNCTION("""COMPUTED_VALUE"""),"SCoFT")</f>
        <v>SCoFT</v>
      </c>
      <c r="C204" s="2" t="str">
        <f>IFERROR(__xludf.DUMMYFUNCTION("""COMPUTED_VALUE"""),"CS3114")</f>
        <v>CS3114</v>
      </c>
      <c r="D204" s="2" t="str">
        <f>IFERROR(__xludf.DUMMYFUNCTION("""COMPUTED_VALUE"""),"19AI114")</f>
        <v>19AI114</v>
      </c>
      <c r="E204" s="2"/>
      <c r="F204" s="2" t="str">
        <f>IFERROR(__xludf.DUMMYFUNCTION("""COMPUTED_VALUE"""),"COURSERA")</f>
        <v>COURSERA</v>
      </c>
      <c r="G204" s="3" t="str">
        <f>IFERROR(__xludf.DUMMYFUNCTION("""COMPUTED_VALUE"""),"Hadoop Platform and Application Framework (Coursera)")</f>
        <v>Hadoop Platform and Application Framework (Coursera)</v>
      </c>
      <c r="H204" s="2" t="str">
        <f>IFERROR(__xludf.DUMMYFUNCTION("""COMPUTED_VALUE"""),"5 weeks")</f>
        <v>5 weeks</v>
      </c>
      <c r="I204" s="2"/>
      <c r="J204" s="2"/>
      <c r="K204" s="2"/>
      <c r="L204" s="2" t="str">
        <f>IFERROR(__xludf.DUMMYFUNCTION("""COMPUTED_VALUE"""),"CGPA")</f>
        <v>CGPA</v>
      </c>
      <c r="M204" s="2" t="str">
        <f>IFERROR(__xludf.DUMMYFUNCTION("""COMPUTED_VALUE"""),"Experiential Learning (Int and Grade from Certificate)")</f>
        <v>Experiential Learning (Int and Grade from Certificate)</v>
      </c>
      <c r="N204" s="2">
        <f>IFERROR(__xludf.DUMMYFUNCTION("""COMPUTED_VALUE"""),1)</f>
        <v>1</v>
      </c>
      <c r="O204" s="2">
        <f>IFERROR(__xludf.DUMMYFUNCTION("""COMPUTED_VALUE"""),1)</f>
        <v>1</v>
      </c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30.75" customHeight="1" spans="1:26">
      <c r="A205" s="2">
        <f>IFERROR(__xludf.DUMMYFUNCTION("""COMPUTED_VALUE"""),204)</f>
        <v>204</v>
      </c>
      <c r="B205" s="2" t="str">
        <f>IFERROR(__xludf.DUMMYFUNCTION("""COMPUTED_VALUE"""),"ECE, SCoFT")</f>
        <v>ECE, SCoFT</v>
      </c>
      <c r="C205" s="2" t="str">
        <f>IFERROR(__xludf.DUMMYFUNCTION("""COMPUTED_VALUE"""),"EC1649")</f>
        <v>EC1649</v>
      </c>
      <c r="D205" s="2" t="str">
        <f>IFERROR(__xludf.DUMMYFUNCTION("""COMPUTED_VALUE"""),"19EC649")</f>
        <v>19EC649</v>
      </c>
      <c r="E205" s="2"/>
      <c r="F205" s="2" t="str">
        <f>IFERROR(__xludf.DUMMYFUNCTION("""COMPUTED_VALUE"""),"NPTEL")</f>
        <v>NPTEL</v>
      </c>
      <c r="G205" s="3" t="str">
        <f>IFERROR(__xludf.DUMMYFUNCTION("""COMPUTED_VALUE"""),"Hardware Modeling Using Verilog (NPTEL)")</f>
        <v>Hardware Modeling Using Verilog (NPTEL)</v>
      </c>
      <c r="H205" s="2" t="str">
        <f>IFERROR(__xludf.DUMMYFUNCTION("""COMPUTED_VALUE"""),"8 Weeks")</f>
        <v>8 Weeks</v>
      </c>
      <c r="I205" s="2"/>
      <c r="J205" s="2"/>
      <c r="K205" s="2"/>
      <c r="L205" s="2" t="str">
        <f>IFERROR(__xludf.DUMMYFUNCTION("""COMPUTED_VALUE"""),"CGPA")</f>
        <v>CGPA</v>
      </c>
      <c r="M205" s="2" t="str">
        <f>IFERROR(__xludf.DUMMYFUNCTION("""COMPUTED_VALUE"""),"Experiential Learning (Int and Grade from Certificate)")</f>
        <v>Experiential Learning (Int and Grade from Certificate)</v>
      </c>
      <c r="N205" s="2">
        <f>IFERROR(__xludf.DUMMYFUNCTION("""COMPUTED_VALUE"""),2)</f>
        <v>2</v>
      </c>
      <c r="O205" s="2">
        <f>IFERROR(__xludf.DUMMYFUNCTION("""COMPUTED_VALUE"""),2)</f>
        <v>2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30.75" customHeight="1" spans="1:26">
      <c r="A206" s="2">
        <f>IFERROR(__xludf.DUMMYFUNCTION("""COMPUTED_VALUE"""),205)</f>
        <v>205</v>
      </c>
      <c r="B206" s="2" t="str">
        <f>IFERROR(__xludf.DUMMYFUNCTION("""COMPUTED_VALUE"""),"ECE, SCoFT")</f>
        <v>ECE, SCoFT</v>
      </c>
      <c r="C206" s="2" t="str">
        <f>IFERROR(__xludf.DUMMYFUNCTION("""COMPUTED_VALUE"""),"EC1634")</f>
        <v>EC1634</v>
      </c>
      <c r="D206" s="2" t="str">
        <f>IFERROR(__xludf.DUMMYFUNCTION("""COMPUTED_VALUE"""),"19EC634")</f>
        <v>19EC634</v>
      </c>
      <c r="E206" s="2"/>
      <c r="F206" s="2" t="str">
        <f>IFERROR(__xludf.DUMMYFUNCTION("""COMPUTED_VALUE"""),"NPTEL")</f>
        <v>NPTEL</v>
      </c>
      <c r="G206" s="3" t="str">
        <f>IFERROR(__xludf.DUMMYFUNCTION("""COMPUTED_VALUE"""),"Hardware Security (NPTEL)")</f>
        <v>Hardware Security (NPTEL)</v>
      </c>
      <c r="H206" s="2" t="str">
        <f>IFERROR(__xludf.DUMMYFUNCTION("""COMPUTED_VALUE"""),"12 Weeks")</f>
        <v>12 Weeks</v>
      </c>
      <c r="I206" s="2"/>
      <c r="J206" s="2"/>
      <c r="K206" s="2"/>
      <c r="L206" s="2" t="str">
        <f>IFERROR(__xludf.DUMMYFUNCTION("""COMPUTED_VALUE"""),"CGPA ")</f>
        <v>CGPA </v>
      </c>
      <c r="M206" s="2" t="str">
        <f>IFERROR(__xludf.DUMMYFUNCTION("""COMPUTED_VALUE"""),"Experiential Learning (Int and Grade from Certificate)")</f>
        <v>Experiential Learning (Int and Grade from Certificate)</v>
      </c>
      <c r="N206" s="2">
        <f>IFERROR(__xludf.DUMMYFUNCTION("""COMPUTED_VALUE"""),2)</f>
        <v>2</v>
      </c>
      <c r="O206" s="2">
        <f>IFERROR(__xludf.DUMMYFUNCTION("""COMPUTED_VALUE"""),3)</f>
        <v>3</v>
      </c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30.75" customHeight="1" spans="1:26">
      <c r="A207" s="2">
        <f>IFERROR(__xludf.DUMMYFUNCTION("""COMPUTED_VALUE"""),206)</f>
        <v>206</v>
      </c>
      <c r="B207" s="2" t="str">
        <f>IFERROR(__xludf.DUMMYFUNCTION("""COMPUTED_VALUE"""),"BME, MED ELEC")</f>
        <v>BME, MED ELEC</v>
      </c>
      <c r="C207" s="2" t="str">
        <f>IFERROR(__xludf.DUMMYFUNCTION("""COMPUTED_VALUE"""),"EC4650")</f>
        <v>EC4650</v>
      </c>
      <c r="D207" s="2" t="str">
        <f>IFERROR(__xludf.DUMMYFUNCTION("""COMPUTED_VALUE"""),"19BM650")</f>
        <v>19BM650</v>
      </c>
      <c r="E207" s="2"/>
      <c r="F207" s="2" t="str">
        <f>IFERROR(__xludf.DUMMYFUNCTION("""COMPUTED_VALUE"""),"NPTEL")</f>
        <v>NPTEL</v>
      </c>
      <c r="G207" s="3" t="str">
        <f>IFERROR(__xludf.DUMMYFUNCTION("""COMPUTED_VALUE"""),"Health Research Fundamentals (NPTEL)")</f>
        <v>Health Research Fundamentals (NPTEL)</v>
      </c>
      <c r="H207" s="2" t="str">
        <f>IFERROR(__xludf.DUMMYFUNCTION("""COMPUTED_VALUE"""),"8 Weeks")</f>
        <v>8 Weeks</v>
      </c>
      <c r="I207" s="2"/>
      <c r="J207" s="2"/>
      <c r="K207" s="2"/>
      <c r="L207" s="2" t="str">
        <f>IFERROR(__xludf.DUMMYFUNCTION("""COMPUTED_VALUE"""),"CGPA")</f>
        <v>CGPA</v>
      </c>
      <c r="M207" s="2" t="str">
        <f>IFERROR(__xludf.DUMMYFUNCTION("""COMPUTED_VALUE"""),"Experiential Learning (Int and Grade from Certificate)")</f>
        <v>Experiential Learning (Int and Grade from Certificate)</v>
      </c>
      <c r="N207" s="2">
        <f>IFERROR(__xludf.DUMMYFUNCTION("""COMPUTED_VALUE"""),2)</f>
        <v>2</v>
      </c>
      <c r="O207" s="2">
        <f>IFERROR(__xludf.DUMMYFUNCTION("""COMPUTED_VALUE"""),2)</f>
        <v>2</v>
      </c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30.75" customHeight="1" spans="1:26">
      <c r="A208" s="2">
        <f>IFERROR(__xludf.DUMMYFUNCTION("""COMPUTED_VALUE"""),207)</f>
        <v>207</v>
      </c>
      <c r="B208" s="2" t="str">
        <f>IFERROR(__xludf.DUMMYFUNCTION("""COMPUTED_VALUE"""),"SCoFT")</f>
        <v>SCoFT</v>
      </c>
      <c r="C208" s="2" t="str">
        <f>IFERROR(__xludf.DUMMYFUNCTION("""COMPUTED_VALUE"""),"CS3202")</f>
        <v>CS3202</v>
      </c>
      <c r="D208" s="2" t="str">
        <f>IFERROR(__xludf.DUMMYFUNCTION("""COMPUTED_VALUE"""),"19AI202")</f>
        <v>19AI202</v>
      </c>
      <c r="E208" s="2"/>
      <c r="F208" s="2" t="str">
        <f>IFERROR(__xludf.DUMMYFUNCTION("""COMPUTED_VALUE"""),"Coursera")</f>
        <v>Coursera</v>
      </c>
      <c r="G208" s="3" t="str">
        <f>IFERROR(__xludf.DUMMYFUNCTION("""COMPUTED_VALUE"""),"HRCI Human Resource Associate Professional Certificate")</f>
        <v>HRCI Human Resource Associate Professional Certificate</v>
      </c>
      <c r="H208" s="2" t="str">
        <f>IFERROR(__xludf.DUMMYFUNCTION("""COMPUTED_VALUE"""),"5 Months")</f>
        <v>5 Months</v>
      </c>
      <c r="I208" s="2" t="str">
        <f>IFERROR(__xludf.DUMMYFUNCTION("""COMPUTED_VALUE"""),"NA")</f>
        <v>NA</v>
      </c>
      <c r="J208" s="2" t="str">
        <f>IFERROR(__xludf.DUMMYFUNCTION("""COMPUTED_VALUE"""),"NA")</f>
        <v>NA</v>
      </c>
      <c r="K208" s="2" t="str">
        <f>IFERROR(__xludf.DUMMYFUNCTION("""COMPUTED_VALUE"""),"NA")</f>
        <v>NA</v>
      </c>
      <c r="L208" s="2" t="str">
        <f>IFERROR(__xludf.DUMMYFUNCTION("""COMPUTED_VALUE"""),"CGPA")</f>
        <v>CGPA</v>
      </c>
      <c r="M208" s="2" t="str">
        <f>IFERROR(__xludf.DUMMYFUNCTION("""COMPUTED_VALUE"""),"Experiential Learning (Int and Grade from Certificate)")</f>
        <v>Experiential Learning (Int and Grade from Certificate)</v>
      </c>
      <c r="N208" s="2">
        <f>IFERROR(__xludf.DUMMYFUNCTION("""COMPUTED_VALUE"""),3)</f>
        <v>3</v>
      </c>
      <c r="O208" s="2">
        <f>IFERROR(__xludf.DUMMYFUNCTION("""COMPUTED_VALUE"""),3)</f>
        <v>3</v>
      </c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30.75" customHeight="1" spans="1:26">
      <c r="A209" s="2">
        <f>IFERROR(__xludf.DUMMYFUNCTION("""COMPUTED_VALUE"""),208)</f>
        <v>208</v>
      </c>
      <c r="B209" s="2" t="str">
        <f>IFERROR(__xludf.DUMMYFUNCTION("""COMPUTED_VALUE"""),"SCoFT")</f>
        <v>SCoFT</v>
      </c>
      <c r="C209" s="2" t="str">
        <f>IFERROR(__xludf.DUMMYFUNCTION("""COMPUTED_VALUE"""),"CS3092")</f>
        <v>CS3092</v>
      </c>
      <c r="D209" s="2" t="str">
        <f>IFERROR(__xludf.DUMMYFUNCTION("""COMPUTED_VALUE"""),"19AI092")</f>
        <v>19AI092</v>
      </c>
      <c r="E209" s="2"/>
      <c r="F209" s="2" t="str">
        <f>IFERROR(__xludf.DUMMYFUNCTION("""COMPUTED_VALUE"""),"COURSERA")</f>
        <v>COURSERA</v>
      </c>
      <c r="G209" s="3" t="str">
        <f>IFERROR(__xludf.DUMMYFUNCTION("""COMPUTED_VALUE"""),"HTML, CSS, and Javascript for Web Developers (Coursera)")</f>
        <v>HTML, CSS, and Javascript for Web Developers (Coursera)</v>
      </c>
      <c r="H209" s="2" t="str">
        <f>IFERROR(__xludf.DUMMYFUNCTION("""COMPUTED_VALUE"""),"5 weeks")</f>
        <v>5 weeks</v>
      </c>
      <c r="I209" s="2"/>
      <c r="J209" s="2"/>
      <c r="K209" s="2"/>
      <c r="L209" s="2" t="str">
        <f>IFERROR(__xludf.DUMMYFUNCTION("""COMPUTED_VALUE"""),"CGPA")</f>
        <v>CGPA</v>
      </c>
      <c r="M209" s="2" t="str">
        <f>IFERROR(__xludf.DUMMYFUNCTION("""COMPUTED_VALUE"""),"Experiential Learning (Int and Grade from Certificate)")</f>
        <v>Experiential Learning (Int and Grade from Certificate)</v>
      </c>
      <c r="N209" s="2">
        <f>IFERROR(__xludf.DUMMYFUNCTION("""COMPUTED_VALUE"""),1)</f>
        <v>1</v>
      </c>
      <c r="O209" s="2">
        <f>IFERROR(__xludf.DUMMYFUNCTION("""COMPUTED_VALUE"""),1)</f>
        <v>1</v>
      </c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30.75" customHeight="1" spans="1:26">
      <c r="A210" s="2">
        <f>IFERROR(__xludf.DUMMYFUNCTION("""COMPUTED_VALUE"""),209)</f>
        <v>209</v>
      </c>
      <c r="B210" s="2" t="str">
        <f>IFERROR(__xludf.DUMMYFUNCTION("""COMPUTED_VALUE"""),"BME, MED ELEC")</f>
        <v>BME, MED ELEC</v>
      </c>
      <c r="C210" s="2" t="str">
        <f>IFERROR(__xludf.DUMMYFUNCTION("""COMPUTED_VALUE"""),"EC4651")</f>
        <v>EC4651</v>
      </c>
      <c r="D210" s="2" t="str">
        <f>IFERROR(__xludf.DUMMYFUNCTION("""COMPUTED_VALUE"""),"19BM651")</f>
        <v>19BM651</v>
      </c>
      <c r="E210" s="2"/>
      <c r="F210" s="2" t="str">
        <f>IFERROR(__xludf.DUMMYFUNCTION("""COMPUTED_VALUE"""),"NPTEL")</f>
        <v>NPTEL</v>
      </c>
      <c r="G210" s="3" t="str">
        <f>IFERROR(__xludf.DUMMYFUNCTION("""COMPUTED_VALUE"""),"Human Movement Science (NPTEL)")</f>
        <v>Human Movement Science (NPTEL)</v>
      </c>
      <c r="H210" s="2" t="str">
        <f>IFERROR(__xludf.DUMMYFUNCTION("""COMPUTED_VALUE"""),"8 Weeks")</f>
        <v>8 Weeks</v>
      </c>
      <c r="I210" s="2"/>
      <c r="J210" s="2"/>
      <c r="K210" s="2"/>
      <c r="L210" s="2" t="str">
        <f>IFERROR(__xludf.DUMMYFUNCTION("""COMPUTED_VALUE"""),"CGPA")</f>
        <v>CGPA</v>
      </c>
      <c r="M210" s="2" t="str">
        <f>IFERROR(__xludf.DUMMYFUNCTION("""COMPUTED_VALUE"""),"Experiential Learning (Int and Grade from Certificate)")</f>
        <v>Experiential Learning (Int and Grade from Certificate)</v>
      </c>
      <c r="N210" s="2">
        <f>IFERROR(__xludf.DUMMYFUNCTION("""COMPUTED_VALUE"""),2)</f>
        <v>2</v>
      </c>
      <c r="O210" s="2">
        <f>IFERROR(__xludf.DUMMYFUNCTION("""COMPUTED_VALUE"""),2)</f>
        <v>2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30.75" customHeight="1" spans="1:26">
      <c r="A211" s="2">
        <f>IFERROR(__xludf.DUMMYFUNCTION("""COMPUTED_VALUE"""),210)</f>
        <v>210</v>
      </c>
      <c r="B211" s="2" t="str">
        <f>IFERROR(__xludf.DUMMYFUNCTION("""COMPUTED_VALUE"""),"BME, MED ELEC")</f>
        <v>BME, MED ELEC</v>
      </c>
      <c r="C211" s="2" t="str">
        <f>IFERROR(__xludf.DUMMYFUNCTION("""COMPUTED_VALUE"""),"EC4652")</f>
        <v>EC4652</v>
      </c>
      <c r="D211" s="2" t="str">
        <f>IFERROR(__xludf.DUMMYFUNCTION("""COMPUTED_VALUE"""),"19BM652")</f>
        <v>19BM652</v>
      </c>
      <c r="E211" s="2"/>
      <c r="F211" s="2" t="str">
        <f>IFERROR(__xludf.DUMMYFUNCTION("""COMPUTED_VALUE"""),"NPTEL")</f>
        <v>NPTEL</v>
      </c>
      <c r="G211" s="3" t="str">
        <f>IFERROR(__xludf.DUMMYFUNCTION("""COMPUTED_VALUE"""),"Human Physiology (NPTEL)")</f>
        <v>Human Physiology (NPTEL)</v>
      </c>
      <c r="H211" s="2" t="str">
        <f>IFERROR(__xludf.DUMMYFUNCTION("""COMPUTED_VALUE"""),"12 Weeks")</f>
        <v>12 Weeks</v>
      </c>
      <c r="I211" s="2"/>
      <c r="J211" s="2"/>
      <c r="K211" s="2"/>
      <c r="L211" s="2" t="str">
        <f>IFERROR(__xludf.DUMMYFUNCTION("""COMPUTED_VALUE"""),"CGPA")</f>
        <v>CGPA</v>
      </c>
      <c r="M211" s="2" t="str">
        <f>IFERROR(__xludf.DUMMYFUNCTION("""COMPUTED_VALUE"""),"Experiential Learning (Int and Grade from Certificate)")</f>
        <v>Experiential Learning (Int and Grade from Certificate)</v>
      </c>
      <c r="N211" s="2">
        <f>IFERROR(__xludf.DUMMYFUNCTION("""COMPUTED_VALUE"""),3)</f>
        <v>3</v>
      </c>
      <c r="O211" s="2">
        <f>IFERROR(__xludf.DUMMYFUNCTION("""COMPUTED_VALUE"""),3)</f>
        <v>3</v>
      </c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30.75" customHeight="1" spans="1:26">
      <c r="A212" s="2">
        <f>IFERROR(__xludf.DUMMYFUNCTION("""COMPUTED_VALUE"""),211)</f>
        <v>211</v>
      </c>
      <c r="B212" s="2" t="str">
        <f>IFERROR(__xludf.DUMMYFUNCTION("""COMPUTED_VALUE"""),"ECE, BME, MED ELEC")</f>
        <v>ECE, BME, MED ELEC</v>
      </c>
      <c r="C212" s="2" t="str">
        <f>IFERROR(__xludf.DUMMYFUNCTION("""COMPUTED_VALUE"""),"EC1651")</f>
        <v>EC1651</v>
      </c>
      <c r="D212" s="2" t="str">
        <f>IFERROR(__xludf.DUMMYFUNCTION("""COMPUTED_VALUE"""),"19EC651")</f>
        <v>19EC651</v>
      </c>
      <c r="E212" s="2"/>
      <c r="F212" s="2" t="str">
        <f>IFERROR(__xludf.DUMMYFUNCTION("""COMPUTED_VALUE"""),"NPTEL")</f>
        <v>NPTEL</v>
      </c>
      <c r="G212" s="3" t="str">
        <f>IFERROR(__xludf.DUMMYFUNCTION("""COMPUTED_VALUE"""),"Human Resource Development (NPTEL)")</f>
        <v>Human Resource Development (NPTEL)</v>
      </c>
      <c r="H212" s="2" t="str">
        <f>IFERROR(__xludf.DUMMYFUNCTION("""COMPUTED_VALUE"""),"12 Weeks")</f>
        <v>12 Weeks</v>
      </c>
      <c r="I212" s="2"/>
      <c r="J212" s="2"/>
      <c r="K212" s="2"/>
      <c r="L212" s="2" t="str">
        <f>IFERROR(__xludf.DUMMYFUNCTION("""COMPUTED_VALUE"""),"CGPA")</f>
        <v>CGPA</v>
      </c>
      <c r="M212" s="2" t="str">
        <f>IFERROR(__xludf.DUMMYFUNCTION("""COMPUTED_VALUE"""),"Experiential Learning (Int and Grade from Certificate)")</f>
        <v>Experiential Learning (Int and Grade from Certificate)</v>
      </c>
      <c r="N212" s="2">
        <f>IFERROR(__xludf.DUMMYFUNCTION("""COMPUTED_VALUE"""),3)</f>
        <v>3</v>
      </c>
      <c r="O212" s="2">
        <f>IFERROR(__xludf.DUMMYFUNCTION("""COMPUTED_VALUE"""),3)</f>
        <v>3</v>
      </c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30.75" customHeight="1" spans="1:26">
      <c r="A213" s="2">
        <f>IFERROR(__xludf.DUMMYFUNCTION("""COMPUTED_VALUE"""),212)</f>
        <v>212</v>
      </c>
      <c r="B213" s="2" t="str">
        <f>IFERROR(__xludf.DUMMYFUNCTION("""COMPUTED_VALUE"""),"CHEMICAL")</f>
        <v>CHEMICAL</v>
      </c>
      <c r="C213" s="2" t="str">
        <f>IFERROR(__xludf.DUMMYFUNCTION("""COMPUTED_VALUE"""),"CH0613")</f>
        <v>CH0613</v>
      </c>
      <c r="D213" s="2" t="str">
        <f>IFERROR(__xludf.DUMMYFUNCTION("""COMPUTED_VALUE"""),"19CH613")</f>
        <v>19CH613</v>
      </c>
      <c r="E213" s="2"/>
      <c r="F213" s="2" t="str">
        <f>IFERROR(__xludf.DUMMYFUNCTION("""COMPUTED_VALUE"""),"NPTEL")</f>
        <v>NPTEL</v>
      </c>
      <c r="G213" s="3" t="str">
        <f>IFERROR(__xludf.DUMMYFUNCTION("""COMPUTED_VALUE"""),"Hydrogen Energy: Production, Storage, Transportation and Safety (NPTEL)")</f>
        <v>Hydrogen Energy: Production, Storage, Transportation and Safety (NPTEL)</v>
      </c>
      <c r="H213" s="2" t="str">
        <f>IFERROR(__xludf.DUMMYFUNCTION("""COMPUTED_VALUE"""),"12 Weeks")</f>
        <v>12 Weeks</v>
      </c>
      <c r="I213" s="2" t="str">
        <f>IFERROR(__xludf.DUMMYFUNCTION("""COMPUTED_VALUE"""),"10 / 25")</f>
        <v>10 / 25</v>
      </c>
      <c r="J213" s="2" t="str">
        <f>IFERROR(__xludf.DUMMYFUNCTION("""COMPUTED_VALUE"""),"30 / 75")</f>
        <v>30 / 75</v>
      </c>
      <c r="K213" s="2" t="str">
        <f>IFERROR(__xludf.DUMMYFUNCTION("""COMPUTED_VALUE"""),"40 / 100")</f>
        <v>40 / 100</v>
      </c>
      <c r="L213" s="2" t="str">
        <f>IFERROR(__xludf.DUMMYFUNCTION("""COMPUTED_VALUE"""),"CGPA ")</f>
        <v>CGPA </v>
      </c>
      <c r="M213" s="2" t="str">
        <f>IFERROR(__xludf.DUMMYFUNCTION("""COMPUTED_VALUE"""),"Experiential Learning (Int and Grade from Certificate)")</f>
        <v>Experiential Learning (Int and Grade from Certificate)</v>
      </c>
      <c r="N213" s="2">
        <f>IFERROR(__xludf.DUMMYFUNCTION("""COMPUTED_VALUE"""),2)</f>
        <v>2</v>
      </c>
      <c r="O213" s="2">
        <f>IFERROR(__xludf.DUMMYFUNCTION("""COMPUTED_VALUE"""),3)</f>
        <v>3</v>
      </c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30.75" customHeight="1" spans="1:26">
      <c r="A214" s="2">
        <f>IFERROR(__xludf.DUMMYFUNCTION("""COMPUTED_VALUE"""),213)</f>
        <v>213</v>
      </c>
      <c r="B214" s="2" t="str">
        <f>IFERROR(__xludf.DUMMYFUNCTION("""COMPUTED_VALUE"""),"SCoFT")</f>
        <v>SCoFT</v>
      </c>
      <c r="C214" s="2" t="str">
        <f>IFERROR(__xludf.DUMMYFUNCTION("""COMPUTED_VALUE"""),"CS3203")</f>
        <v>CS3203</v>
      </c>
      <c r="D214" s="2" t="str">
        <f>IFERROR(__xludf.DUMMYFUNCTION("""COMPUTED_VALUE"""),"19AI203")</f>
        <v>19AI203</v>
      </c>
      <c r="E214" s="2"/>
      <c r="F214" s="2" t="str">
        <f>IFERROR(__xludf.DUMMYFUNCTION("""COMPUTED_VALUE"""),"Coursera")</f>
        <v>Coursera</v>
      </c>
      <c r="G214" s="3" t="str">
        <f>IFERROR(__xludf.DUMMYFUNCTION("""COMPUTED_VALUE"""),"IBM AI Developer Professional Certificate")</f>
        <v>IBM AI Developer Professional Certificate</v>
      </c>
      <c r="H214" s="2" t="str">
        <f>IFERROR(__xludf.DUMMYFUNCTION("""COMPUTED_VALUE"""),"6 Months")</f>
        <v>6 Months</v>
      </c>
      <c r="I214" s="2" t="str">
        <f>IFERROR(__xludf.DUMMYFUNCTION("""COMPUTED_VALUE"""),"NA")</f>
        <v>NA</v>
      </c>
      <c r="J214" s="2" t="str">
        <f>IFERROR(__xludf.DUMMYFUNCTION("""COMPUTED_VALUE"""),"NA")</f>
        <v>NA</v>
      </c>
      <c r="K214" s="2" t="str">
        <f>IFERROR(__xludf.DUMMYFUNCTION("""COMPUTED_VALUE"""),"NA")</f>
        <v>NA</v>
      </c>
      <c r="L214" s="2" t="str">
        <f>IFERROR(__xludf.DUMMYFUNCTION("""COMPUTED_VALUE"""),"CGPA")</f>
        <v>CGPA</v>
      </c>
      <c r="M214" s="2" t="str">
        <f>IFERROR(__xludf.DUMMYFUNCTION("""COMPUTED_VALUE"""),"Experiential Learning (Int and Grade from Certificate)")</f>
        <v>Experiential Learning (Int and Grade from Certificate)</v>
      </c>
      <c r="N214" s="2">
        <f>IFERROR(__xludf.DUMMYFUNCTION("""COMPUTED_VALUE"""),3)</f>
        <v>3</v>
      </c>
      <c r="O214" s="2">
        <f>IFERROR(__xludf.DUMMYFUNCTION("""COMPUTED_VALUE"""),3)</f>
        <v>3</v>
      </c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30.75" customHeight="1" spans="1:26">
      <c r="A215" s="2">
        <f>IFERROR(__xludf.DUMMYFUNCTION("""COMPUTED_VALUE"""),214)</f>
        <v>214</v>
      </c>
      <c r="B215" s="2" t="str">
        <f>IFERROR(__xludf.DUMMYFUNCTION("""COMPUTED_VALUE"""),"SCoFT")</f>
        <v>SCoFT</v>
      </c>
      <c r="C215" s="2" t="str">
        <f>IFERROR(__xludf.DUMMYFUNCTION("""COMPUTED_VALUE"""),"CS3204")</f>
        <v>CS3204</v>
      </c>
      <c r="D215" s="2" t="str">
        <f>IFERROR(__xludf.DUMMYFUNCTION("""COMPUTED_VALUE"""),"19AI204")</f>
        <v>19AI204</v>
      </c>
      <c r="E215" s="2"/>
      <c r="F215" s="2" t="str">
        <f>IFERROR(__xludf.DUMMYFUNCTION("""COMPUTED_VALUE"""),"Coursera")</f>
        <v>Coursera</v>
      </c>
      <c r="G215" s="3" t="str">
        <f>IFERROR(__xludf.DUMMYFUNCTION("""COMPUTED_VALUE"""),"IBM AI Engineering Professional Certificate")</f>
        <v>IBM AI Engineering Professional Certificate</v>
      </c>
      <c r="H215" s="2" t="str">
        <f>IFERROR(__xludf.DUMMYFUNCTION("""COMPUTED_VALUE"""),"2 Months")</f>
        <v>2 Months</v>
      </c>
      <c r="I215" s="2" t="str">
        <f>IFERROR(__xludf.DUMMYFUNCTION("""COMPUTED_VALUE"""),"NA")</f>
        <v>NA</v>
      </c>
      <c r="J215" s="2" t="str">
        <f>IFERROR(__xludf.DUMMYFUNCTION("""COMPUTED_VALUE"""),"NA")</f>
        <v>NA</v>
      </c>
      <c r="K215" s="2" t="str">
        <f>IFERROR(__xludf.DUMMYFUNCTION("""COMPUTED_VALUE"""),"NA")</f>
        <v>NA</v>
      </c>
      <c r="L215" s="2" t="str">
        <f>IFERROR(__xludf.DUMMYFUNCTION("""COMPUTED_VALUE"""),"CGPA")</f>
        <v>CGPA</v>
      </c>
      <c r="M215" s="2" t="str">
        <f>IFERROR(__xludf.DUMMYFUNCTION("""COMPUTED_VALUE"""),"Experiential Learning (Int and Grade from Certificate)")</f>
        <v>Experiential Learning (Int and Grade from Certificate)</v>
      </c>
      <c r="N215" s="2">
        <f>IFERROR(__xludf.DUMMYFUNCTION("""COMPUTED_VALUE"""),2)</f>
        <v>2</v>
      </c>
      <c r="O215" s="2">
        <f>IFERROR(__xludf.DUMMYFUNCTION("""COMPUTED_VALUE"""),2)</f>
        <v>2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30.75" customHeight="1" spans="1:26">
      <c r="A216" s="2">
        <f>IFERROR(__xludf.DUMMYFUNCTION("""COMPUTED_VALUE"""),215)</f>
        <v>215</v>
      </c>
      <c r="B216" s="2" t="str">
        <f>IFERROR(__xludf.DUMMYFUNCTION("""COMPUTED_VALUE"""),"SCoFT")</f>
        <v>SCoFT</v>
      </c>
      <c r="C216" s="2" t="str">
        <f>IFERROR(__xludf.DUMMYFUNCTION("""COMPUTED_VALUE"""),"CS3205")</f>
        <v>CS3205</v>
      </c>
      <c r="D216" s="2" t="str">
        <f>IFERROR(__xludf.DUMMYFUNCTION("""COMPUTED_VALUE"""),"19AI205")</f>
        <v>19AI205</v>
      </c>
      <c r="E216" s="2"/>
      <c r="F216" s="2" t="str">
        <f>IFERROR(__xludf.DUMMYFUNCTION("""COMPUTED_VALUE"""),"Coursera")</f>
        <v>Coursera</v>
      </c>
      <c r="G216" s="3" t="str">
        <f>IFERROR(__xludf.DUMMYFUNCTION("""COMPUTED_VALUE"""),"IBM and ISC2 Cybersecurity Specialist Professional Certificate")</f>
        <v>IBM and ISC2 Cybersecurity Specialist Professional Certificate</v>
      </c>
      <c r="H216" s="2" t="str">
        <f>IFERROR(__xludf.DUMMYFUNCTION("""COMPUTED_VALUE"""),"3 Months")</f>
        <v>3 Months</v>
      </c>
      <c r="I216" s="2" t="str">
        <f>IFERROR(__xludf.DUMMYFUNCTION("""COMPUTED_VALUE"""),"NA")</f>
        <v>NA</v>
      </c>
      <c r="J216" s="2" t="str">
        <f>IFERROR(__xludf.DUMMYFUNCTION("""COMPUTED_VALUE"""),"NA")</f>
        <v>NA</v>
      </c>
      <c r="K216" s="2" t="str">
        <f>IFERROR(__xludf.DUMMYFUNCTION("""COMPUTED_VALUE"""),"NA")</f>
        <v>NA</v>
      </c>
      <c r="L216" s="2" t="str">
        <f>IFERROR(__xludf.DUMMYFUNCTION("""COMPUTED_VALUE"""),"CGPA")</f>
        <v>CGPA</v>
      </c>
      <c r="M216" s="2" t="str">
        <f>IFERROR(__xludf.DUMMYFUNCTION("""COMPUTED_VALUE"""),"Experiential Learning (Int and Grade from Certificate)")</f>
        <v>Experiential Learning (Int and Grade from Certificate)</v>
      </c>
      <c r="N216" s="2">
        <f>IFERROR(__xludf.DUMMYFUNCTION("""COMPUTED_VALUE"""),3)</f>
        <v>3</v>
      </c>
      <c r="O216" s="2">
        <f>IFERROR(__xludf.DUMMYFUNCTION("""COMPUTED_VALUE"""),3)</f>
        <v>3</v>
      </c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30.75" customHeight="1" spans="1:26">
      <c r="A217" s="2">
        <f>IFERROR(__xludf.DUMMYFUNCTION("""COMPUTED_VALUE"""),216)</f>
        <v>216</v>
      </c>
      <c r="B217" s="2" t="str">
        <f>IFERROR(__xludf.DUMMYFUNCTION("""COMPUTED_VALUE"""),"SCoFT")</f>
        <v>SCoFT</v>
      </c>
      <c r="C217" s="2" t="str">
        <f>IFERROR(__xludf.DUMMYFUNCTION("""COMPUTED_VALUE"""),"CS3206")</f>
        <v>CS3206</v>
      </c>
      <c r="D217" s="2" t="str">
        <f>IFERROR(__xludf.DUMMYFUNCTION("""COMPUTED_VALUE"""),"19AI206")</f>
        <v>19AI206</v>
      </c>
      <c r="E217" s="2"/>
      <c r="F217" s="2" t="str">
        <f>IFERROR(__xludf.DUMMYFUNCTION("""COMPUTED_VALUE"""),"Coursera")</f>
        <v>Coursera</v>
      </c>
      <c r="G217" s="3" t="str">
        <f>IFERROR(__xludf.DUMMYFUNCTION("""COMPUTED_VALUE"""),"IBM Applied DevOps Engineering Professional Certificate")</f>
        <v>IBM Applied DevOps Engineering Professional Certificate</v>
      </c>
      <c r="H217" s="2" t="str">
        <f>IFERROR(__xludf.DUMMYFUNCTION("""COMPUTED_VALUE"""),"3 Months")</f>
        <v>3 Months</v>
      </c>
      <c r="I217" s="2" t="str">
        <f>IFERROR(__xludf.DUMMYFUNCTION("""COMPUTED_VALUE"""),"NA")</f>
        <v>NA</v>
      </c>
      <c r="J217" s="2" t="str">
        <f>IFERROR(__xludf.DUMMYFUNCTION("""COMPUTED_VALUE"""),"NA")</f>
        <v>NA</v>
      </c>
      <c r="K217" s="2" t="str">
        <f>IFERROR(__xludf.DUMMYFUNCTION("""COMPUTED_VALUE"""),"NA")</f>
        <v>NA</v>
      </c>
      <c r="L217" s="2" t="str">
        <f>IFERROR(__xludf.DUMMYFUNCTION("""COMPUTED_VALUE"""),"CGPA")</f>
        <v>CGPA</v>
      </c>
      <c r="M217" s="2" t="str">
        <f>IFERROR(__xludf.DUMMYFUNCTION("""COMPUTED_VALUE"""),"Experiential Learning (Int and Grade from Certificate)")</f>
        <v>Experiential Learning (Int and Grade from Certificate)</v>
      </c>
      <c r="N217" s="2">
        <f>IFERROR(__xludf.DUMMYFUNCTION("""COMPUTED_VALUE"""),3)</f>
        <v>3</v>
      </c>
      <c r="O217" s="2">
        <f>IFERROR(__xludf.DUMMYFUNCTION("""COMPUTED_VALUE"""),3)</f>
        <v>3</v>
      </c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30.75" customHeight="1" spans="1:26">
      <c r="A218" s="2">
        <f>IFERROR(__xludf.DUMMYFUNCTION("""COMPUTED_VALUE"""),217)</f>
        <v>217</v>
      </c>
      <c r="B218" s="2" t="str">
        <f>IFERROR(__xludf.DUMMYFUNCTION("""COMPUTED_VALUE"""),"SCoFT")</f>
        <v>SCoFT</v>
      </c>
      <c r="C218" s="2" t="str">
        <f>IFERROR(__xludf.DUMMYFUNCTION("""COMPUTED_VALUE"""),"CS3207")</f>
        <v>CS3207</v>
      </c>
      <c r="D218" s="2" t="str">
        <f>IFERROR(__xludf.DUMMYFUNCTION("""COMPUTED_VALUE"""),"19AI207")</f>
        <v>19AI207</v>
      </c>
      <c r="E218" s="2"/>
      <c r="F218" s="2" t="str">
        <f>IFERROR(__xludf.DUMMYFUNCTION("""COMPUTED_VALUE"""),"Coursera")</f>
        <v>Coursera</v>
      </c>
      <c r="G218" s="3" t="str">
        <f>IFERROR(__xludf.DUMMYFUNCTION("""COMPUTED_VALUE"""),"IBM Back-End Development Professional Certificate")</f>
        <v>IBM Back-End Development Professional Certificate</v>
      </c>
      <c r="H218" s="2" t="str">
        <f>IFERROR(__xludf.DUMMYFUNCTION("""COMPUTED_VALUE"""),"12 Months")</f>
        <v>12 Months</v>
      </c>
      <c r="I218" s="2" t="str">
        <f>IFERROR(__xludf.DUMMYFUNCTION("""COMPUTED_VALUE"""),"NA")</f>
        <v>NA</v>
      </c>
      <c r="J218" s="2" t="str">
        <f>IFERROR(__xludf.DUMMYFUNCTION("""COMPUTED_VALUE"""),"NA")</f>
        <v>NA</v>
      </c>
      <c r="K218" s="2" t="str">
        <f>IFERROR(__xludf.DUMMYFUNCTION("""COMPUTED_VALUE"""),"NA")</f>
        <v>NA</v>
      </c>
      <c r="L218" s="2" t="str">
        <f>IFERROR(__xludf.DUMMYFUNCTION("""COMPUTED_VALUE"""),"CGPA")</f>
        <v>CGPA</v>
      </c>
      <c r="M218" s="2" t="str">
        <f>IFERROR(__xludf.DUMMYFUNCTION("""COMPUTED_VALUE"""),"Experiential Learning (Int and Grade from Certificate)")</f>
        <v>Experiential Learning (Int and Grade from Certificate)</v>
      </c>
      <c r="N218" s="2">
        <f>IFERROR(__xludf.DUMMYFUNCTION("""COMPUTED_VALUE"""),3)</f>
        <v>3</v>
      </c>
      <c r="O218" s="2">
        <f>IFERROR(__xludf.DUMMYFUNCTION("""COMPUTED_VALUE"""),3)</f>
        <v>3</v>
      </c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30.75" customHeight="1" spans="1:26">
      <c r="A219" s="2">
        <f>IFERROR(__xludf.DUMMYFUNCTION("""COMPUTED_VALUE"""),218)</f>
        <v>218</v>
      </c>
      <c r="B219" s="2" t="str">
        <f>IFERROR(__xludf.DUMMYFUNCTION("""COMPUTED_VALUE"""),"SCoFT")</f>
        <v>SCoFT</v>
      </c>
      <c r="C219" s="2" t="str">
        <f>IFERROR(__xludf.DUMMYFUNCTION("""COMPUTED_VALUE"""),"CS3208")</f>
        <v>CS3208</v>
      </c>
      <c r="D219" s="2" t="str">
        <f>IFERROR(__xludf.DUMMYFUNCTION("""COMPUTED_VALUE"""),"19AI208")</f>
        <v>19AI208</v>
      </c>
      <c r="E219" s="2"/>
      <c r="F219" s="2" t="str">
        <f>IFERROR(__xludf.DUMMYFUNCTION("""COMPUTED_VALUE"""),"Coursera")</f>
        <v>Coursera</v>
      </c>
      <c r="G219" s="3" t="str">
        <f>IFERROR(__xludf.DUMMYFUNCTION("""COMPUTED_VALUE"""),"IBM Back-End JavaScript Developer Professional Certificate")</f>
        <v>IBM Back-End JavaScript Developer Professional Certificate</v>
      </c>
      <c r="H219" s="2" t="str">
        <f>IFERROR(__xludf.DUMMYFUNCTION("""COMPUTED_VALUE"""),"5 Months")</f>
        <v>5 Months</v>
      </c>
      <c r="I219" s="2" t="str">
        <f>IFERROR(__xludf.DUMMYFUNCTION("""COMPUTED_VALUE"""),"NA")</f>
        <v>NA</v>
      </c>
      <c r="J219" s="2" t="str">
        <f>IFERROR(__xludf.DUMMYFUNCTION("""COMPUTED_VALUE"""),"NA")</f>
        <v>NA</v>
      </c>
      <c r="K219" s="2" t="str">
        <f>IFERROR(__xludf.DUMMYFUNCTION("""COMPUTED_VALUE"""),"NA")</f>
        <v>NA</v>
      </c>
      <c r="L219" s="2" t="str">
        <f>IFERROR(__xludf.DUMMYFUNCTION("""COMPUTED_VALUE"""),"CGPA")</f>
        <v>CGPA</v>
      </c>
      <c r="M219" s="2" t="str">
        <f>IFERROR(__xludf.DUMMYFUNCTION("""COMPUTED_VALUE"""),"Experiential Learning (Int and Grade from Certificate)")</f>
        <v>Experiential Learning (Int and Grade from Certificate)</v>
      </c>
      <c r="N219" s="2">
        <f>IFERROR(__xludf.DUMMYFUNCTION("""COMPUTED_VALUE"""),3)</f>
        <v>3</v>
      </c>
      <c r="O219" s="2">
        <f>IFERROR(__xludf.DUMMYFUNCTION("""COMPUTED_VALUE"""),3)</f>
        <v>3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30.75" customHeight="1" spans="1:26">
      <c r="A220" s="2">
        <f>IFERROR(__xludf.DUMMYFUNCTION("""COMPUTED_VALUE"""),219)</f>
        <v>219</v>
      </c>
      <c r="B220" s="2" t="str">
        <f>IFERROR(__xludf.DUMMYFUNCTION("""COMPUTED_VALUE"""),"SCoFT")</f>
        <v>SCoFT</v>
      </c>
      <c r="C220" s="2" t="str">
        <f>IFERROR(__xludf.DUMMYFUNCTION("""COMPUTED_VALUE"""),"CS3209")</f>
        <v>CS3209</v>
      </c>
      <c r="D220" s="2" t="str">
        <f>IFERROR(__xludf.DUMMYFUNCTION("""COMPUTED_VALUE"""),"19AI209")</f>
        <v>19AI209</v>
      </c>
      <c r="E220" s="2"/>
      <c r="F220" s="2" t="str">
        <f>IFERROR(__xludf.DUMMYFUNCTION("""COMPUTED_VALUE"""),"Coursera")</f>
        <v>Coursera</v>
      </c>
      <c r="G220" s="3" t="str">
        <f>IFERROR(__xludf.DUMMYFUNCTION("""COMPUTED_VALUE"""),"IBM Business Intelligence (BI) Analyst Professional Certificate")</f>
        <v>IBM Business Intelligence (BI) Analyst Professional Certificate</v>
      </c>
      <c r="H220" s="2" t="str">
        <f>IFERROR(__xludf.DUMMYFUNCTION("""COMPUTED_VALUE"""),"4 Months")</f>
        <v>4 Months</v>
      </c>
      <c r="I220" s="2" t="str">
        <f>IFERROR(__xludf.DUMMYFUNCTION("""COMPUTED_VALUE"""),"NA")</f>
        <v>NA</v>
      </c>
      <c r="J220" s="2" t="str">
        <f>IFERROR(__xludf.DUMMYFUNCTION("""COMPUTED_VALUE"""),"NA")</f>
        <v>NA</v>
      </c>
      <c r="K220" s="2" t="str">
        <f>IFERROR(__xludf.DUMMYFUNCTION("""COMPUTED_VALUE"""),"NA")</f>
        <v>NA</v>
      </c>
      <c r="L220" s="2" t="str">
        <f>IFERROR(__xludf.DUMMYFUNCTION("""COMPUTED_VALUE"""),"CGPA")</f>
        <v>CGPA</v>
      </c>
      <c r="M220" s="2" t="str">
        <f>IFERROR(__xludf.DUMMYFUNCTION("""COMPUTED_VALUE"""),"Experiential Learning (Int and Grade from Certificate)")</f>
        <v>Experiential Learning (Int and Grade from Certificate)</v>
      </c>
      <c r="N220" s="2">
        <f>IFERROR(__xludf.DUMMYFUNCTION("""COMPUTED_VALUE"""),3)</f>
        <v>3</v>
      </c>
      <c r="O220" s="2">
        <f>IFERROR(__xludf.DUMMYFUNCTION("""COMPUTED_VALUE"""),3)</f>
        <v>3</v>
      </c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30.75" customHeight="1" spans="1:26">
      <c r="A221" s="2">
        <f>IFERROR(__xludf.DUMMYFUNCTION("""COMPUTED_VALUE"""),220)</f>
        <v>220</v>
      </c>
      <c r="B221" s="2" t="str">
        <f>IFERROR(__xludf.DUMMYFUNCTION("""COMPUTED_VALUE"""),"SCoFT")</f>
        <v>SCoFT</v>
      </c>
      <c r="C221" s="2" t="str">
        <f>IFERROR(__xludf.DUMMYFUNCTION("""COMPUTED_VALUE"""),"CS3210")</f>
        <v>CS3210</v>
      </c>
      <c r="D221" s="2" t="str">
        <f>IFERROR(__xludf.DUMMYFUNCTION("""COMPUTED_VALUE"""),"19AI210")</f>
        <v>19AI210</v>
      </c>
      <c r="E221" s="2"/>
      <c r="F221" s="2" t="str">
        <f>IFERROR(__xludf.DUMMYFUNCTION("""COMPUTED_VALUE"""),"Coursera")</f>
        <v>Coursera</v>
      </c>
      <c r="G221" s="3" t="str">
        <f>IFERROR(__xludf.DUMMYFUNCTION("""COMPUTED_VALUE"""),"IBM Cybersecurity Analyst Professional Certificate")</f>
        <v>IBM Cybersecurity Analyst Professional Certificate</v>
      </c>
      <c r="H221" s="2" t="str">
        <f>IFERROR(__xludf.DUMMYFUNCTION("""COMPUTED_VALUE"""),"4 Months")</f>
        <v>4 Months</v>
      </c>
      <c r="I221" s="2" t="str">
        <f>IFERROR(__xludf.DUMMYFUNCTION("""COMPUTED_VALUE"""),"NA")</f>
        <v>NA</v>
      </c>
      <c r="J221" s="2" t="str">
        <f>IFERROR(__xludf.DUMMYFUNCTION("""COMPUTED_VALUE"""),"NA")</f>
        <v>NA</v>
      </c>
      <c r="K221" s="2" t="str">
        <f>IFERROR(__xludf.DUMMYFUNCTION("""COMPUTED_VALUE"""),"NA")</f>
        <v>NA</v>
      </c>
      <c r="L221" s="2" t="str">
        <f>IFERROR(__xludf.DUMMYFUNCTION("""COMPUTED_VALUE"""),"CGPA")</f>
        <v>CGPA</v>
      </c>
      <c r="M221" s="2" t="str">
        <f>IFERROR(__xludf.DUMMYFUNCTION("""COMPUTED_VALUE"""),"Experiential Learning (Int and Grade from Certificate)")</f>
        <v>Experiential Learning (Int and Grade from Certificate)</v>
      </c>
      <c r="N221" s="2">
        <f>IFERROR(__xludf.DUMMYFUNCTION("""COMPUTED_VALUE"""),3)</f>
        <v>3</v>
      </c>
      <c r="O221" s="2">
        <f>IFERROR(__xludf.DUMMYFUNCTION("""COMPUTED_VALUE"""),3)</f>
        <v>3</v>
      </c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30.75" customHeight="1" spans="1:26">
      <c r="A222" s="2">
        <f>IFERROR(__xludf.DUMMYFUNCTION("""COMPUTED_VALUE"""),221)</f>
        <v>221</v>
      </c>
      <c r="B222" s="2" t="str">
        <f>IFERROR(__xludf.DUMMYFUNCTION("""COMPUTED_VALUE"""),"SCoFT")</f>
        <v>SCoFT</v>
      </c>
      <c r="C222" s="2" t="str">
        <f>IFERROR(__xludf.DUMMYFUNCTION("""COMPUTED_VALUE"""),"CS3120")</f>
        <v>CS3120</v>
      </c>
      <c r="D222" s="2" t="str">
        <f>IFERROR(__xludf.DUMMYFUNCTION("""COMPUTED_VALUE"""),"19AI120")</f>
        <v>19AI120</v>
      </c>
      <c r="E222" s="2"/>
      <c r="F222" s="2" t="str">
        <f>IFERROR(__xludf.DUMMYFUNCTION("""COMPUTED_VALUE"""),"COURSERA")</f>
        <v>COURSERA</v>
      </c>
      <c r="G222" s="3" t="str">
        <f>IFERROR(__xludf.DUMMYFUNCTION("""COMPUTED_VALUE"""),"IBM Data Analysis and Visualization Foundations Specialization (Coursera)")</f>
        <v>IBM Data Analysis and Visualization Foundations Specialization (Coursera)</v>
      </c>
      <c r="H222" s="2" t="str">
        <f>IFERROR(__xludf.DUMMYFUNCTION("""COMPUTED_VALUE"""),"16 Weeks")</f>
        <v>16 Weeks</v>
      </c>
      <c r="I222" s="2"/>
      <c r="J222" s="2"/>
      <c r="K222" s="2"/>
      <c r="L222" s="2" t="str">
        <f>IFERROR(__xludf.DUMMYFUNCTION("""COMPUTED_VALUE"""),"CGPA")</f>
        <v>CGPA</v>
      </c>
      <c r="M222" s="2" t="str">
        <f>IFERROR(__xludf.DUMMYFUNCTION("""COMPUTED_VALUE"""),"Experiential Learning (Int and Grade from Certificate)")</f>
        <v>Experiential Learning (Int and Grade from Certificate)</v>
      </c>
      <c r="N222" s="2">
        <f>IFERROR(__xludf.DUMMYFUNCTION("""COMPUTED_VALUE"""),3)</f>
        <v>3</v>
      </c>
      <c r="O222" s="2">
        <f>IFERROR(__xludf.DUMMYFUNCTION("""COMPUTED_VALUE"""),3)</f>
        <v>3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30.75" customHeight="1" spans="1:26">
      <c r="A223" s="2">
        <f>IFERROR(__xludf.DUMMYFUNCTION("""COMPUTED_VALUE"""),222)</f>
        <v>222</v>
      </c>
      <c r="B223" s="2" t="str">
        <f>IFERROR(__xludf.DUMMYFUNCTION("""COMPUTED_VALUE"""),"SCoFT")</f>
        <v>SCoFT</v>
      </c>
      <c r="C223" s="2" t="str">
        <f>IFERROR(__xludf.DUMMYFUNCTION("""COMPUTED_VALUE"""),"CS3117")</f>
        <v>CS3117</v>
      </c>
      <c r="D223" s="2" t="str">
        <f>IFERROR(__xludf.DUMMYFUNCTION("""COMPUTED_VALUE"""),"19AI117")</f>
        <v>19AI117</v>
      </c>
      <c r="E223" s="2"/>
      <c r="F223" s="2" t="str">
        <f>IFERROR(__xludf.DUMMYFUNCTION("""COMPUTED_VALUE"""),"COURSERA")</f>
        <v>COURSERA</v>
      </c>
      <c r="G223" s="3" t="str">
        <f>IFERROR(__xludf.DUMMYFUNCTION("""COMPUTED_VALUE"""),"IBM Data Analyst (Coursera)")</f>
        <v>IBM Data Analyst (Coursera)</v>
      </c>
      <c r="H223" s="2" t="str">
        <f>IFERROR(__xludf.DUMMYFUNCTION("""COMPUTED_VALUE"""),"16 Weeks")</f>
        <v>16 Weeks</v>
      </c>
      <c r="I223" s="2"/>
      <c r="J223" s="2"/>
      <c r="K223" s="2"/>
      <c r="L223" s="2" t="str">
        <f>IFERROR(__xludf.DUMMYFUNCTION("""COMPUTED_VALUE"""),"CGPA")</f>
        <v>CGPA</v>
      </c>
      <c r="M223" s="2" t="str">
        <f>IFERROR(__xludf.DUMMYFUNCTION("""COMPUTED_VALUE"""),"Experiential Learning (Int and Grade from Certificate)")</f>
        <v>Experiential Learning (Int and Grade from Certificate)</v>
      </c>
      <c r="N223" s="2">
        <f>IFERROR(__xludf.DUMMYFUNCTION("""COMPUTED_VALUE"""),3)</f>
        <v>3</v>
      </c>
      <c r="O223" s="2">
        <f>IFERROR(__xludf.DUMMYFUNCTION("""COMPUTED_VALUE"""),3)</f>
        <v>3</v>
      </c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30.75" customHeight="1" spans="1:26">
      <c r="A224" s="2">
        <f>IFERROR(__xludf.DUMMYFUNCTION("""COMPUTED_VALUE"""),223)</f>
        <v>223</v>
      </c>
      <c r="B224" s="2" t="str">
        <f>IFERROR(__xludf.DUMMYFUNCTION("""COMPUTED_VALUE"""),"SCoFT")</f>
        <v>SCoFT</v>
      </c>
      <c r="C224" s="2" t="str">
        <f>IFERROR(__xludf.DUMMYFUNCTION("""COMPUTED_VALUE"""),"CS3211")</f>
        <v>CS3211</v>
      </c>
      <c r="D224" s="2" t="str">
        <f>IFERROR(__xludf.DUMMYFUNCTION("""COMPUTED_VALUE"""),"19AI211")</f>
        <v>19AI211</v>
      </c>
      <c r="E224" s="2"/>
      <c r="F224" s="2" t="str">
        <f>IFERROR(__xludf.DUMMYFUNCTION("""COMPUTED_VALUE"""),"Coursera")</f>
        <v>Coursera</v>
      </c>
      <c r="G224" s="3" t="str">
        <f>IFERROR(__xludf.DUMMYFUNCTION("""COMPUTED_VALUE"""),"IBM Data Analytics with Excel and R Professional Certificate")</f>
        <v>IBM Data Analytics with Excel and R Professional Certificate</v>
      </c>
      <c r="H224" s="2" t="str">
        <f>IFERROR(__xludf.DUMMYFUNCTION("""COMPUTED_VALUE"""),"3 Months")</f>
        <v>3 Months</v>
      </c>
      <c r="I224" s="2" t="str">
        <f>IFERROR(__xludf.DUMMYFUNCTION("""COMPUTED_VALUE"""),"NA")</f>
        <v>NA</v>
      </c>
      <c r="J224" s="2" t="str">
        <f>IFERROR(__xludf.DUMMYFUNCTION("""COMPUTED_VALUE"""),"NA")</f>
        <v>NA</v>
      </c>
      <c r="K224" s="2" t="str">
        <f>IFERROR(__xludf.DUMMYFUNCTION("""COMPUTED_VALUE"""),"NA")</f>
        <v>NA</v>
      </c>
      <c r="L224" s="2" t="str">
        <f>IFERROR(__xludf.DUMMYFUNCTION("""COMPUTED_VALUE"""),"CGPA")</f>
        <v>CGPA</v>
      </c>
      <c r="M224" s="2" t="str">
        <f>IFERROR(__xludf.DUMMYFUNCTION("""COMPUTED_VALUE"""),"Experiential Learning (Int and Grade from Certificate)")</f>
        <v>Experiential Learning (Int and Grade from Certificate)</v>
      </c>
      <c r="N224" s="2">
        <f>IFERROR(__xludf.DUMMYFUNCTION("""COMPUTED_VALUE"""),3)</f>
        <v>3</v>
      </c>
      <c r="O224" s="2">
        <f>IFERROR(__xludf.DUMMYFUNCTION("""COMPUTED_VALUE"""),3)</f>
        <v>3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30.75" customHeight="1" spans="1:26">
      <c r="A225" s="2">
        <f>IFERROR(__xludf.DUMMYFUNCTION("""COMPUTED_VALUE"""),224)</f>
        <v>224</v>
      </c>
      <c r="B225" s="2" t="str">
        <f>IFERROR(__xludf.DUMMYFUNCTION("""COMPUTED_VALUE"""),"SCoFT")</f>
        <v>SCoFT</v>
      </c>
      <c r="C225" s="2" t="str">
        <f>IFERROR(__xludf.DUMMYFUNCTION("""COMPUTED_VALUE"""),"CS3212")</f>
        <v>CS3212</v>
      </c>
      <c r="D225" s="2" t="str">
        <f>IFERROR(__xludf.DUMMYFUNCTION("""COMPUTED_VALUE"""),"19AI212")</f>
        <v>19AI212</v>
      </c>
      <c r="E225" s="2"/>
      <c r="F225" s="2" t="str">
        <f>IFERROR(__xludf.DUMMYFUNCTION("""COMPUTED_VALUE"""),"Coursera")</f>
        <v>Coursera</v>
      </c>
      <c r="G225" s="3" t="str">
        <f>IFERROR(__xludf.DUMMYFUNCTION("""COMPUTED_VALUE"""),"IBM Data Engineering Professional Certificate")</f>
        <v>IBM Data Engineering Professional Certificate</v>
      </c>
      <c r="H225" s="2" t="str">
        <f>IFERROR(__xludf.DUMMYFUNCTION("""COMPUTED_VALUE"""),"6 Months")</f>
        <v>6 Months</v>
      </c>
      <c r="I225" s="2" t="str">
        <f>IFERROR(__xludf.DUMMYFUNCTION("""COMPUTED_VALUE"""),"NA")</f>
        <v>NA</v>
      </c>
      <c r="J225" s="2" t="str">
        <f>IFERROR(__xludf.DUMMYFUNCTION("""COMPUTED_VALUE"""),"NA")</f>
        <v>NA</v>
      </c>
      <c r="K225" s="2" t="str">
        <f>IFERROR(__xludf.DUMMYFUNCTION("""COMPUTED_VALUE"""),"NA")</f>
        <v>NA</v>
      </c>
      <c r="L225" s="2" t="str">
        <f>IFERROR(__xludf.DUMMYFUNCTION("""COMPUTED_VALUE"""),"CGPA")</f>
        <v>CGPA</v>
      </c>
      <c r="M225" s="2" t="str">
        <f>IFERROR(__xludf.DUMMYFUNCTION("""COMPUTED_VALUE"""),"Experiential Learning (Int and Grade from Certificate)")</f>
        <v>Experiential Learning (Int and Grade from Certificate)</v>
      </c>
      <c r="N225" s="2">
        <f>IFERROR(__xludf.DUMMYFUNCTION("""COMPUTED_VALUE"""),3)</f>
        <v>3</v>
      </c>
      <c r="O225" s="2">
        <f>IFERROR(__xludf.DUMMYFUNCTION("""COMPUTED_VALUE"""),3)</f>
        <v>3</v>
      </c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30.75" customHeight="1" spans="1:26">
      <c r="A226" s="2">
        <f>IFERROR(__xludf.DUMMYFUNCTION("""COMPUTED_VALUE"""),225)</f>
        <v>225</v>
      </c>
      <c r="B226" s="2" t="str">
        <f>IFERROR(__xludf.DUMMYFUNCTION("""COMPUTED_VALUE"""),"SCoFT")</f>
        <v>SCoFT</v>
      </c>
      <c r="C226" s="2" t="str">
        <f>IFERROR(__xludf.DUMMYFUNCTION("""COMPUTED_VALUE"""),"CS3123")</f>
        <v>CS3123</v>
      </c>
      <c r="D226" s="2" t="str">
        <f>IFERROR(__xludf.DUMMYFUNCTION("""COMPUTED_VALUE"""),"19AI123")</f>
        <v>19AI123</v>
      </c>
      <c r="E226" s="2"/>
      <c r="F226" s="2" t="str">
        <f>IFERROR(__xludf.DUMMYFUNCTION("""COMPUTED_VALUE"""),"COURSERA")</f>
        <v>COURSERA</v>
      </c>
      <c r="G226" s="3" t="str">
        <f>IFERROR(__xludf.DUMMYFUNCTION("""COMPUTED_VALUE"""),"IBM Data Science Fundamentals with Python and SQL Specialization (Coursera)")</f>
        <v>IBM Data Science Fundamentals with Python and SQL Specialization (Coursera)</v>
      </c>
      <c r="H226" s="2" t="str">
        <f>IFERROR(__xludf.DUMMYFUNCTION("""COMPUTED_VALUE"""),"28 weeks")</f>
        <v>28 weeks</v>
      </c>
      <c r="I226" s="2"/>
      <c r="J226" s="2"/>
      <c r="K226" s="2"/>
      <c r="L226" s="2" t="str">
        <f>IFERROR(__xludf.DUMMYFUNCTION("""COMPUTED_VALUE"""),"CGPA")</f>
        <v>CGPA</v>
      </c>
      <c r="M226" s="2" t="str">
        <f>IFERROR(__xludf.DUMMYFUNCTION("""COMPUTED_VALUE"""),"Experiential Learning (Int and Grade from Certificate)")</f>
        <v>Experiential Learning (Int and Grade from Certificate)</v>
      </c>
      <c r="N226" s="2">
        <f>IFERROR(__xludf.DUMMYFUNCTION("""COMPUTED_VALUE"""),3)</f>
        <v>3</v>
      </c>
      <c r="O226" s="2">
        <f>IFERROR(__xludf.DUMMYFUNCTION("""COMPUTED_VALUE"""),3)</f>
        <v>3</v>
      </c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30.75" customHeight="1" spans="1:26">
      <c r="A227" s="2">
        <f>IFERROR(__xludf.DUMMYFUNCTION("""COMPUTED_VALUE"""),226)</f>
        <v>226</v>
      </c>
      <c r="B227" s="2" t="str">
        <f>IFERROR(__xludf.DUMMYFUNCTION("""COMPUTED_VALUE"""),"SCoFT")</f>
        <v>SCoFT</v>
      </c>
      <c r="C227" s="2" t="str">
        <f>IFERROR(__xludf.DUMMYFUNCTION("""COMPUTED_VALUE"""),"CS3182")</f>
        <v>CS3182</v>
      </c>
      <c r="D227" s="2" t="str">
        <f>IFERROR(__xludf.DUMMYFUNCTION("""COMPUTED_VALUE"""),"19AI182")</f>
        <v>19AI182</v>
      </c>
      <c r="E227" s="2"/>
      <c r="F227" s="2" t="str">
        <f>IFERROR(__xludf.DUMMYFUNCTION("""COMPUTED_VALUE"""),"Coursera")</f>
        <v>Coursera</v>
      </c>
      <c r="G227" s="3" t="str">
        <f>IFERROR(__xludf.DUMMYFUNCTION("""COMPUTED_VALUE"""),"IBM Data Science Professional Certificate")</f>
        <v>IBM Data Science Professional Certificate</v>
      </c>
      <c r="H227" s="2" t="str">
        <f>IFERROR(__xludf.DUMMYFUNCTION("""COMPUTED_VALUE"""),"6 Months")</f>
        <v>6 Months</v>
      </c>
      <c r="I227" s="2" t="str">
        <f>IFERROR(__xludf.DUMMYFUNCTION("""COMPUTED_VALUE"""),"NA")</f>
        <v>NA</v>
      </c>
      <c r="J227" s="2" t="str">
        <f>IFERROR(__xludf.DUMMYFUNCTION("""COMPUTED_VALUE"""),"NA")</f>
        <v>NA</v>
      </c>
      <c r="K227" s="2" t="str">
        <f>IFERROR(__xludf.DUMMYFUNCTION("""COMPUTED_VALUE"""),"NA")</f>
        <v>NA</v>
      </c>
      <c r="L227" s="2" t="str">
        <f>IFERROR(__xludf.DUMMYFUNCTION("""COMPUTED_VALUE"""),"CGPA")</f>
        <v>CGPA</v>
      </c>
      <c r="M227" s="2" t="str">
        <f>IFERROR(__xludf.DUMMYFUNCTION("""COMPUTED_VALUE"""),"Experiential Learning (Int and Grade from Certificate)")</f>
        <v>Experiential Learning (Int and Grade from Certificate)</v>
      </c>
      <c r="N227" s="2">
        <f>IFERROR(__xludf.DUMMYFUNCTION("""COMPUTED_VALUE"""),3)</f>
        <v>3</v>
      </c>
      <c r="O227" s="2">
        <f>IFERROR(__xludf.DUMMYFUNCTION("""COMPUTED_VALUE"""),3)</f>
        <v>3</v>
      </c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30.75" customHeight="1" spans="1:26">
      <c r="A228" s="2">
        <f>IFERROR(__xludf.DUMMYFUNCTION("""COMPUTED_VALUE"""),227)</f>
        <v>227</v>
      </c>
      <c r="B228" s="2" t="str">
        <f>IFERROR(__xludf.DUMMYFUNCTION("""COMPUTED_VALUE"""),"SCoFT")</f>
        <v>SCoFT</v>
      </c>
      <c r="C228" s="2" t="str">
        <f>IFERROR(__xludf.DUMMYFUNCTION("""COMPUTED_VALUE"""),"CS3214")</f>
        <v>CS3214</v>
      </c>
      <c r="D228" s="2" t="str">
        <f>IFERROR(__xludf.DUMMYFUNCTION("""COMPUTED_VALUE"""),"19AI214")</f>
        <v>19AI214</v>
      </c>
      <c r="E228" s="2"/>
      <c r="F228" s="2" t="str">
        <f>IFERROR(__xludf.DUMMYFUNCTION("""COMPUTED_VALUE"""),"Coursera")</f>
        <v>Coursera</v>
      </c>
      <c r="G228" s="3" t="str">
        <f>IFERROR(__xludf.DUMMYFUNCTION("""COMPUTED_VALUE"""),"IBM Data Warehouse Engineer Professional Certificate")</f>
        <v>IBM Data Warehouse Engineer Professional Certificate</v>
      </c>
      <c r="H228" s="2" t="str">
        <f>IFERROR(__xludf.DUMMYFUNCTION("""COMPUTED_VALUE"""),"3 Months")</f>
        <v>3 Months</v>
      </c>
      <c r="I228" s="2" t="str">
        <f>IFERROR(__xludf.DUMMYFUNCTION("""COMPUTED_VALUE"""),"NA")</f>
        <v>NA</v>
      </c>
      <c r="J228" s="2" t="str">
        <f>IFERROR(__xludf.DUMMYFUNCTION("""COMPUTED_VALUE"""),"NA")</f>
        <v>NA</v>
      </c>
      <c r="K228" s="2" t="str">
        <f>IFERROR(__xludf.DUMMYFUNCTION("""COMPUTED_VALUE"""),"NA")</f>
        <v>NA</v>
      </c>
      <c r="L228" s="2" t="str">
        <f>IFERROR(__xludf.DUMMYFUNCTION("""COMPUTED_VALUE"""),"CGPA")</f>
        <v>CGPA</v>
      </c>
      <c r="M228" s="2" t="str">
        <f>IFERROR(__xludf.DUMMYFUNCTION("""COMPUTED_VALUE"""),"Experiential Learning (Int and Grade from Certificate)")</f>
        <v>Experiential Learning (Int and Grade from Certificate)</v>
      </c>
      <c r="N228" s="2">
        <f>IFERROR(__xludf.DUMMYFUNCTION("""COMPUTED_VALUE"""),3)</f>
        <v>3</v>
      </c>
      <c r="O228" s="2">
        <f>IFERROR(__xludf.DUMMYFUNCTION("""COMPUTED_VALUE"""),3)</f>
        <v>3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30.75" customHeight="1" spans="1:26">
      <c r="A229" s="2">
        <f>IFERROR(__xludf.DUMMYFUNCTION("""COMPUTED_VALUE"""),228)</f>
        <v>228</v>
      </c>
      <c r="B229" s="2" t="str">
        <f>IFERROR(__xludf.DUMMYFUNCTION("""COMPUTED_VALUE"""),"SCoFT")</f>
        <v>SCoFT</v>
      </c>
      <c r="C229" s="2" t="str">
        <f>IFERROR(__xludf.DUMMYFUNCTION("""COMPUTED_VALUE"""),"CS3126")</f>
        <v>CS3126</v>
      </c>
      <c r="D229" s="2" t="str">
        <f>IFERROR(__xludf.DUMMYFUNCTION("""COMPUTED_VALUE"""),"19AI126")</f>
        <v>19AI126</v>
      </c>
      <c r="E229" s="2"/>
      <c r="F229" s="2" t="str">
        <f>IFERROR(__xludf.DUMMYFUNCTION("""COMPUTED_VALUE"""),"COURSERA")</f>
        <v>COURSERA</v>
      </c>
      <c r="G229" s="3" t="str">
        <f>IFERROR(__xludf.DUMMYFUNCTION("""COMPUTED_VALUE"""),"IBM DevOps and Software Engineering (Coursera)")</f>
        <v>IBM DevOps and Software Engineering (Coursera)</v>
      </c>
      <c r="H229" s="2" t="str">
        <f>IFERROR(__xludf.DUMMYFUNCTION("""COMPUTED_VALUE"""),"12 Weeks")</f>
        <v>12 Weeks</v>
      </c>
      <c r="I229" s="2"/>
      <c r="J229" s="2"/>
      <c r="K229" s="2"/>
      <c r="L229" s="2" t="str">
        <f>IFERROR(__xludf.DUMMYFUNCTION("""COMPUTED_VALUE"""),"CGPA")</f>
        <v>CGPA</v>
      </c>
      <c r="M229" s="2" t="str">
        <f>IFERROR(__xludf.DUMMYFUNCTION("""COMPUTED_VALUE"""),"Experiential Learning (Int and Grade from Certificate)")</f>
        <v>Experiential Learning (Int and Grade from Certificate)</v>
      </c>
      <c r="N229" s="2">
        <f>IFERROR(__xludf.DUMMYFUNCTION("""COMPUTED_VALUE"""),3)</f>
        <v>3</v>
      </c>
      <c r="O229" s="2">
        <f>IFERROR(__xludf.DUMMYFUNCTION("""COMPUTED_VALUE"""),3)</f>
        <v>3</v>
      </c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30.75" customHeight="1" spans="1:26">
      <c r="A230" s="2">
        <f>IFERROR(__xludf.DUMMYFUNCTION("""COMPUTED_VALUE"""),229)</f>
        <v>229</v>
      </c>
      <c r="B230" s="2" t="str">
        <f>IFERROR(__xludf.DUMMYFUNCTION("""COMPUTED_VALUE"""),"SCoFT")</f>
        <v>SCoFT</v>
      </c>
      <c r="C230" s="2" t="str">
        <f>IFERROR(__xludf.DUMMYFUNCTION("""COMPUTED_VALUE"""),"CS3215")</f>
        <v>CS3215</v>
      </c>
      <c r="D230" s="2" t="str">
        <f>IFERROR(__xludf.DUMMYFUNCTION("""COMPUTED_VALUE"""),"19AI215")</f>
        <v>19AI215</v>
      </c>
      <c r="E230" s="2"/>
      <c r="F230" s="2" t="str">
        <f>IFERROR(__xludf.DUMMYFUNCTION("""COMPUTED_VALUE"""),"Coursera")</f>
        <v>Coursera</v>
      </c>
      <c r="G230" s="3" t="str">
        <f>IFERROR(__xludf.DUMMYFUNCTION("""COMPUTED_VALUE"""),"IBM Front-End Developer Professional Certificate")</f>
        <v>IBM Front-End Developer Professional Certificate</v>
      </c>
      <c r="H230" s="2" t="str">
        <f>IFERROR(__xludf.DUMMYFUNCTION("""COMPUTED_VALUE"""),"3 Months")</f>
        <v>3 Months</v>
      </c>
      <c r="I230" s="2" t="str">
        <f>IFERROR(__xludf.DUMMYFUNCTION("""COMPUTED_VALUE"""),"NA")</f>
        <v>NA</v>
      </c>
      <c r="J230" s="2" t="str">
        <f>IFERROR(__xludf.DUMMYFUNCTION("""COMPUTED_VALUE"""),"NA")</f>
        <v>NA</v>
      </c>
      <c r="K230" s="2" t="str">
        <f>IFERROR(__xludf.DUMMYFUNCTION("""COMPUTED_VALUE"""),"NA")</f>
        <v>NA</v>
      </c>
      <c r="L230" s="2" t="str">
        <f>IFERROR(__xludf.DUMMYFUNCTION("""COMPUTED_VALUE"""),"CGPA")</f>
        <v>CGPA</v>
      </c>
      <c r="M230" s="2" t="str">
        <f>IFERROR(__xludf.DUMMYFUNCTION("""COMPUTED_VALUE"""),"Experiential Learning (Int and Grade from Certificate)")</f>
        <v>Experiential Learning (Int and Grade from Certificate)</v>
      </c>
      <c r="N230" s="2">
        <f>IFERROR(__xludf.DUMMYFUNCTION("""COMPUTED_VALUE"""),3)</f>
        <v>3</v>
      </c>
      <c r="O230" s="2">
        <f>IFERROR(__xludf.DUMMYFUNCTION("""COMPUTED_VALUE"""),3)</f>
        <v>3</v>
      </c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30.75" customHeight="1" spans="1:26">
      <c r="A231" s="2">
        <f>IFERROR(__xludf.DUMMYFUNCTION("""COMPUTED_VALUE"""),230)</f>
        <v>230</v>
      </c>
      <c r="B231" s="2" t="str">
        <f>IFERROR(__xludf.DUMMYFUNCTION("""COMPUTED_VALUE"""),"SCoFT")</f>
        <v>SCoFT</v>
      </c>
      <c r="C231" s="2" t="str">
        <f>IFERROR(__xludf.DUMMYFUNCTION("""COMPUTED_VALUE"""),"CS3216")</f>
        <v>CS3216</v>
      </c>
      <c r="D231" s="2" t="str">
        <f>IFERROR(__xludf.DUMMYFUNCTION("""COMPUTED_VALUE"""),"19AI216")</f>
        <v>19AI216</v>
      </c>
      <c r="E231" s="2"/>
      <c r="F231" s="2" t="str">
        <f>IFERROR(__xludf.DUMMYFUNCTION("""COMPUTED_VALUE"""),"Coursera")</f>
        <v>Coursera</v>
      </c>
      <c r="G231" s="3" t="str">
        <f>IFERROR(__xludf.DUMMYFUNCTION("""COMPUTED_VALUE"""),"IBM Full Stack Software Developer Professional Certificate")</f>
        <v>IBM Full Stack Software Developer Professional Certificate</v>
      </c>
      <c r="H231" s="2" t="str">
        <f>IFERROR(__xludf.DUMMYFUNCTION("""COMPUTED_VALUE"""),"5 Months")</f>
        <v>5 Months</v>
      </c>
      <c r="I231" s="2" t="str">
        <f>IFERROR(__xludf.DUMMYFUNCTION("""COMPUTED_VALUE"""),"NA")</f>
        <v>NA</v>
      </c>
      <c r="J231" s="2" t="str">
        <f>IFERROR(__xludf.DUMMYFUNCTION("""COMPUTED_VALUE"""),"NA")</f>
        <v>NA</v>
      </c>
      <c r="K231" s="2" t="str">
        <f>IFERROR(__xludf.DUMMYFUNCTION("""COMPUTED_VALUE"""),"NA")</f>
        <v>NA</v>
      </c>
      <c r="L231" s="2" t="str">
        <f>IFERROR(__xludf.DUMMYFUNCTION("""COMPUTED_VALUE"""),"CGPA")</f>
        <v>CGPA</v>
      </c>
      <c r="M231" s="2" t="str">
        <f>IFERROR(__xludf.DUMMYFUNCTION("""COMPUTED_VALUE"""),"Experiential Learning (Int and Grade from Certificate)")</f>
        <v>Experiential Learning (Int and Grade from Certificate)</v>
      </c>
      <c r="N231" s="2">
        <f>IFERROR(__xludf.DUMMYFUNCTION("""COMPUTED_VALUE"""),3)</f>
        <v>3</v>
      </c>
      <c r="O231" s="2">
        <f>IFERROR(__xludf.DUMMYFUNCTION("""COMPUTED_VALUE"""),3)</f>
        <v>3</v>
      </c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30.75" customHeight="1" spans="1:26">
      <c r="A232" s="2">
        <f>IFERROR(__xludf.DUMMYFUNCTION("""COMPUTED_VALUE"""),231)</f>
        <v>231</v>
      </c>
      <c r="B232" s="2" t="str">
        <f>IFERROR(__xludf.DUMMYFUNCTION("""COMPUTED_VALUE"""),"SCoFT")</f>
        <v>SCoFT</v>
      </c>
      <c r="C232" s="2" t="str">
        <f>IFERROR(__xludf.DUMMYFUNCTION("""COMPUTED_VALUE"""),"CS3217")</f>
        <v>CS3217</v>
      </c>
      <c r="D232" s="2" t="str">
        <f>IFERROR(__xludf.DUMMYFUNCTION("""COMPUTED_VALUE"""),"19AI217")</f>
        <v>19AI217</v>
      </c>
      <c r="E232" s="2"/>
      <c r="F232" s="2" t="str">
        <f>IFERROR(__xludf.DUMMYFUNCTION("""COMPUTED_VALUE"""),"Coursera")</f>
        <v>Coursera</v>
      </c>
      <c r="G232" s="3" t="str">
        <f>IFERROR(__xludf.DUMMYFUNCTION("""COMPUTED_VALUE"""),"IBM Full-Stack JavaScript Developer Professional Certificate")</f>
        <v>IBM Full-Stack JavaScript Developer Professional Certificate</v>
      </c>
      <c r="H232" s="2" t="str">
        <f>IFERROR(__xludf.DUMMYFUNCTION("""COMPUTED_VALUE"""),"5 Months")</f>
        <v>5 Months</v>
      </c>
      <c r="I232" s="2" t="str">
        <f>IFERROR(__xludf.DUMMYFUNCTION("""COMPUTED_VALUE"""),"NA")</f>
        <v>NA</v>
      </c>
      <c r="J232" s="2" t="str">
        <f>IFERROR(__xludf.DUMMYFUNCTION("""COMPUTED_VALUE"""),"NA")</f>
        <v>NA</v>
      </c>
      <c r="K232" s="2" t="str">
        <f>IFERROR(__xludf.DUMMYFUNCTION("""COMPUTED_VALUE"""),"NA")</f>
        <v>NA</v>
      </c>
      <c r="L232" s="2" t="str">
        <f>IFERROR(__xludf.DUMMYFUNCTION("""COMPUTED_VALUE"""),"CGPA")</f>
        <v>CGPA</v>
      </c>
      <c r="M232" s="2" t="str">
        <f>IFERROR(__xludf.DUMMYFUNCTION("""COMPUTED_VALUE"""),"Experiential Learning (Int and Grade from Certificate)")</f>
        <v>Experiential Learning (Int and Grade from Certificate)</v>
      </c>
      <c r="N232" s="2">
        <f>IFERROR(__xludf.DUMMYFUNCTION("""COMPUTED_VALUE"""),3)</f>
        <v>3</v>
      </c>
      <c r="O232" s="2">
        <f>IFERROR(__xludf.DUMMYFUNCTION("""COMPUTED_VALUE"""),3)</f>
        <v>3</v>
      </c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30.75" customHeight="1" spans="1:26">
      <c r="A233" s="2">
        <f>IFERROR(__xludf.DUMMYFUNCTION("""COMPUTED_VALUE"""),232)</f>
        <v>232</v>
      </c>
      <c r="B233" s="2" t="str">
        <f>IFERROR(__xludf.DUMMYFUNCTION("""COMPUTED_VALUE"""),"SCoFT")</f>
        <v>SCoFT</v>
      </c>
      <c r="C233" s="2" t="str">
        <f>IFERROR(__xludf.DUMMYFUNCTION("""COMPUTED_VALUE"""),"CS3218")</f>
        <v>CS3218</v>
      </c>
      <c r="D233" s="2" t="str">
        <f>IFERROR(__xludf.DUMMYFUNCTION("""COMPUTED_VALUE"""),"19AI218")</f>
        <v>19AI218</v>
      </c>
      <c r="E233" s="2"/>
      <c r="F233" s="2" t="str">
        <f>IFERROR(__xludf.DUMMYFUNCTION("""COMPUTED_VALUE"""),"Coursera")</f>
        <v>Coursera</v>
      </c>
      <c r="G233" s="3" t="str">
        <f>IFERROR(__xludf.DUMMYFUNCTION("""COMPUTED_VALUE"""),"IBM IT Project Manager Professional Certificate")</f>
        <v>IBM IT Project Manager Professional Certificate</v>
      </c>
      <c r="H233" s="2" t="str">
        <f>IFERROR(__xludf.DUMMYFUNCTION("""COMPUTED_VALUE"""),"4 Months")</f>
        <v>4 Months</v>
      </c>
      <c r="I233" s="2" t="str">
        <f>IFERROR(__xludf.DUMMYFUNCTION("""COMPUTED_VALUE"""),"NA")</f>
        <v>NA</v>
      </c>
      <c r="J233" s="2" t="str">
        <f>IFERROR(__xludf.DUMMYFUNCTION("""COMPUTED_VALUE"""),"NA")</f>
        <v>NA</v>
      </c>
      <c r="K233" s="2" t="str">
        <f>IFERROR(__xludf.DUMMYFUNCTION("""COMPUTED_VALUE"""),"NA")</f>
        <v>NA</v>
      </c>
      <c r="L233" s="2" t="str">
        <f>IFERROR(__xludf.DUMMYFUNCTION("""COMPUTED_VALUE"""),"CGPA")</f>
        <v>CGPA</v>
      </c>
      <c r="M233" s="2" t="str">
        <f>IFERROR(__xludf.DUMMYFUNCTION("""COMPUTED_VALUE"""),"Experiential Learning (Int and Grade from Certificate)")</f>
        <v>Experiential Learning (Int and Grade from Certificate)</v>
      </c>
      <c r="N233" s="2">
        <f>IFERROR(__xludf.DUMMYFUNCTION("""COMPUTED_VALUE"""),3)</f>
        <v>3</v>
      </c>
      <c r="O233" s="2">
        <f>IFERROR(__xludf.DUMMYFUNCTION("""COMPUTED_VALUE"""),3)</f>
        <v>3</v>
      </c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30.75" customHeight="1" spans="1:26">
      <c r="A234" s="2">
        <f>IFERROR(__xludf.DUMMYFUNCTION("""COMPUTED_VALUE"""),233)</f>
        <v>233</v>
      </c>
      <c r="B234" s="2" t="str">
        <f>IFERROR(__xludf.DUMMYFUNCTION("""COMPUTED_VALUE"""),"SCoFT")</f>
        <v>SCoFT</v>
      </c>
      <c r="C234" s="2" t="str">
        <f>IFERROR(__xludf.DUMMYFUNCTION("""COMPUTED_VALUE"""),"CS3219")</f>
        <v>CS3219</v>
      </c>
      <c r="D234" s="2" t="str">
        <f>IFERROR(__xludf.DUMMYFUNCTION("""COMPUTED_VALUE"""),"19AI219")</f>
        <v>19AI219</v>
      </c>
      <c r="E234" s="2"/>
      <c r="F234" s="2" t="str">
        <f>IFERROR(__xludf.DUMMYFUNCTION("""COMPUTED_VALUE"""),"Coursera")</f>
        <v>Coursera</v>
      </c>
      <c r="G234" s="3" t="str">
        <f>IFERROR(__xludf.DUMMYFUNCTION("""COMPUTED_VALUE"""),"IBM IT Support Professional Certificate")</f>
        <v>IBM IT Support Professional Certificate</v>
      </c>
      <c r="H234" s="2" t="str">
        <f>IFERROR(__xludf.DUMMYFUNCTION("""COMPUTED_VALUE"""),"3 Months")</f>
        <v>3 Months</v>
      </c>
      <c r="I234" s="2" t="str">
        <f>IFERROR(__xludf.DUMMYFUNCTION("""COMPUTED_VALUE"""),"NA")</f>
        <v>NA</v>
      </c>
      <c r="J234" s="2" t="str">
        <f>IFERROR(__xludf.DUMMYFUNCTION("""COMPUTED_VALUE"""),"NA")</f>
        <v>NA</v>
      </c>
      <c r="K234" s="2" t="str">
        <f>IFERROR(__xludf.DUMMYFUNCTION("""COMPUTED_VALUE"""),"NA")</f>
        <v>NA</v>
      </c>
      <c r="L234" s="2" t="str">
        <f>IFERROR(__xludf.DUMMYFUNCTION("""COMPUTED_VALUE"""),"CGPA")</f>
        <v>CGPA</v>
      </c>
      <c r="M234" s="2" t="str">
        <f>IFERROR(__xludf.DUMMYFUNCTION("""COMPUTED_VALUE"""),"Experiential Learning (Int and Grade from Certificate)")</f>
        <v>Experiential Learning (Int and Grade from Certificate)</v>
      </c>
      <c r="N234" s="2">
        <f>IFERROR(__xludf.DUMMYFUNCTION("""COMPUTED_VALUE"""),3)</f>
        <v>3</v>
      </c>
      <c r="O234" s="2">
        <f>IFERROR(__xludf.DUMMYFUNCTION("""COMPUTED_VALUE"""),3)</f>
        <v>3</v>
      </c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30.75" customHeight="1" spans="1:26">
      <c r="A235" s="2">
        <f>IFERROR(__xludf.DUMMYFUNCTION("""COMPUTED_VALUE"""),234)</f>
        <v>234</v>
      </c>
      <c r="B235" s="2" t="str">
        <f>IFERROR(__xludf.DUMMYFUNCTION("""COMPUTED_VALUE"""),"SCoFT")</f>
        <v>SCoFT</v>
      </c>
      <c r="C235" s="2" t="str">
        <f>IFERROR(__xludf.DUMMYFUNCTION("""COMPUTED_VALUE"""),"CS3220")</f>
        <v>CS3220</v>
      </c>
      <c r="D235" s="2" t="str">
        <f>IFERROR(__xludf.DUMMYFUNCTION("""COMPUTED_VALUE"""),"19AI220")</f>
        <v>19AI220</v>
      </c>
      <c r="E235" s="2"/>
      <c r="F235" s="2" t="str">
        <f>IFERROR(__xludf.DUMMYFUNCTION("""COMPUTED_VALUE"""),"Coursera")</f>
        <v>Coursera</v>
      </c>
      <c r="G235" s="3" t="str">
        <f>IFERROR(__xludf.DUMMYFUNCTION("""COMPUTED_VALUE"""),"IBM Machine Learning Professional Certificate")</f>
        <v>IBM Machine Learning Professional Certificate</v>
      </c>
      <c r="H235" s="2" t="str">
        <f>IFERROR(__xludf.DUMMYFUNCTION("""COMPUTED_VALUE"""),"3 Months")</f>
        <v>3 Months</v>
      </c>
      <c r="I235" s="2" t="str">
        <f>IFERROR(__xludf.DUMMYFUNCTION("""COMPUTED_VALUE"""),"NA")</f>
        <v>NA</v>
      </c>
      <c r="J235" s="2" t="str">
        <f>IFERROR(__xludf.DUMMYFUNCTION("""COMPUTED_VALUE"""),"NA")</f>
        <v>NA</v>
      </c>
      <c r="K235" s="2" t="str">
        <f>IFERROR(__xludf.DUMMYFUNCTION("""COMPUTED_VALUE"""),"NA")</f>
        <v>NA</v>
      </c>
      <c r="L235" s="2" t="str">
        <f>IFERROR(__xludf.DUMMYFUNCTION("""COMPUTED_VALUE"""),"CGPA")</f>
        <v>CGPA</v>
      </c>
      <c r="M235" s="2" t="str">
        <f>IFERROR(__xludf.DUMMYFUNCTION("""COMPUTED_VALUE"""),"Experiential Learning (Int and Grade from Certificate)")</f>
        <v>Experiential Learning (Int and Grade from Certificate)</v>
      </c>
      <c r="N235" s="2">
        <f>IFERROR(__xludf.DUMMYFUNCTION("""COMPUTED_VALUE"""),3)</f>
        <v>3</v>
      </c>
      <c r="O235" s="2">
        <f>IFERROR(__xludf.DUMMYFUNCTION("""COMPUTED_VALUE"""),3)</f>
        <v>3</v>
      </c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30.75" customHeight="1" spans="1:26">
      <c r="A236" s="2">
        <f>IFERROR(__xludf.DUMMYFUNCTION("""COMPUTED_VALUE"""),235)</f>
        <v>235</v>
      </c>
      <c r="B236" s="2" t="str">
        <f>IFERROR(__xludf.DUMMYFUNCTION("""COMPUTED_VALUE"""),"SCoFT")</f>
        <v>SCoFT</v>
      </c>
      <c r="C236" s="2" t="str">
        <f>IFERROR(__xludf.DUMMYFUNCTION("""COMPUTED_VALUE"""),"CS3221")</f>
        <v>CS3221</v>
      </c>
      <c r="D236" s="2" t="str">
        <f>IFERROR(__xludf.DUMMYFUNCTION("""COMPUTED_VALUE"""),"19AI221")</f>
        <v>19AI221</v>
      </c>
      <c r="E236" s="2"/>
      <c r="F236" s="2" t="str">
        <f>IFERROR(__xludf.DUMMYFUNCTION("""COMPUTED_VALUE"""),"Coursera")</f>
        <v>Coursera</v>
      </c>
      <c r="G236" s="3" t="str">
        <f>IFERROR(__xludf.DUMMYFUNCTION("""COMPUTED_VALUE"""),"IBM Product Manager Professional Certificate")</f>
        <v>IBM Product Manager Professional Certificate</v>
      </c>
      <c r="H236" s="2" t="str">
        <f>IFERROR(__xludf.DUMMYFUNCTION("""COMPUTED_VALUE"""),"4 Months")</f>
        <v>4 Months</v>
      </c>
      <c r="I236" s="2" t="str">
        <f>IFERROR(__xludf.DUMMYFUNCTION("""COMPUTED_VALUE"""),"NA")</f>
        <v>NA</v>
      </c>
      <c r="J236" s="2" t="str">
        <f>IFERROR(__xludf.DUMMYFUNCTION("""COMPUTED_VALUE"""),"NA")</f>
        <v>NA</v>
      </c>
      <c r="K236" s="2" t="str">
        <f>IFERROR(__xludf.DUMMYFUNCTION("""COMPUTED_VALUE"""),"NA")</f>
        <v>NA</v>
      </c>
      <c r="L236" s="2" t="str">
        <f>IFERROR(__xludf.DUMMYFUNCTION("""COMPUTED_VALUE"""),"CGPA")</f>
        <v>CGPA</v>
      </c>
      <c r="M236" s="2" t="str">
        <f>IFERROR(__xludf.DUMMYFUNCTION("""COMPUTED_VALUE"""),"Experiential Learning (Int and Grade from Certificate)")</f>
        <v>Experiential Learning (Int and Grade from Certificate)</v>
      </c>
      <c r="N236" s="2">
        <f>IFERROR(__xludf.DUMMYFUNCTION("""COMPUTED_VALUE"""),3)</f>
        <v>3</v>
      </c>
      <c r="O236" s="2">
        <f>IFERROR(__xludf.DUMMYFUNCTION("""COMPUTED_VALUE"""),3)</f>
        <v>3</v>
      </c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30.75" customHeight="1" spans="1:26">
      <c r="A237" s="2">
        <f>IFERROR(__xludf.DUMMYFUNCTION("""COMPUTED_VALUE"""),236)</f>
        <v>236</v>
      </c>
      <c r="B237" s="2" t="str">
        <f>IFERROR(__xludf.DUMMYFUNCTION("""COMPUTED_VALUE"""),"SCoFT")</f>
        <v>SCoFT</v>
      </c>
      <c r="C237" s="2" t="str">
        <f>IFERROR(__xludf.DUMMYFUNCTION("""COMPUTED_VALUE"""),"CS3222")</f>
        <v>CS3222</v>
      </c>
      <c r="D237" s="2" t="str">
        <f>IFERROR(__xludf.DUMMYFUNCTION("""COMPUTED_VALUE"""),"19AI222")</f>
        <v>19AI222</v>
      </c>
      <c r="E237" s="2"/>
      <c r="F237" s="2" t="str">
        <f>IFERROR(__xludf.DUMMYFUNCTION("""COMPUTED_VALUE"""),"Coursera")</f>
        <v>Coursera</v>
      </c>
      <c r="G237" s="3" t="str">
        <f>IFERROR(__xludf.DUMMYFUNCTION("""COMPUTED_VALUE"""),"IBM Project Manager Professional Certificate")</f>
        <v>IBM Project Manager Professional Certificate</v>
      </c>
      <c r="H237" s="2" t="str">
        <f>IFERROR(__xludf.DUMMYFUNCTION("""COMPUTED_VALUE"""),"3 Months")</f>
        <v>3 Months</v>
      </c>
      <c r="I237" s="2" t="str">
        <f>IFERROR(__xludf.DUMMYFUNCTION("""COMPUTED_VALUE"""),"NA")</f>
        <v>NA</v>
      </c>
      <c r="J237" s="2" t="str">
        <f>IFERROR(__xludf.DUMMYFUNCTION("""COMPUTED_VALUE"""),"NA")</f>
        <v>NA</v>
      </c>
      <c r="K237" s="2" t="str">
        <f>IFERROR(__xludf.DUMMYFUNCTION("""COMPUTED_VALUE"""),"NA")</f>
        <v>NA</v>
      </c>
      <c r="L237" s="2" t="str">
        <f>IFERROR(__xludf.DUMMYFUNCTION("""COMPUTED_VALUE"""),"CGPA")</f>
        <v>CGPA</v>
      </c>
      <c r="M237" s="2" t="str">
        <f>IFERROR(__xludf.DUMMYFUNCTION("""COMPUTED_VALUE"""),"Experiential Learning (Int and Grade from Certificate)")</f>
        <v>Experiential Learning (Int and Grade from Certificate)</v>
      </c>
      <c r="N237" s="2">
        <f>IFERROR(__xludf.DUMMYFUNCTION("""COMPUTED_VALUE"""),3)</f>
        <v>3</v>
      </c>
      <c r="O237" s="2">
        <f>IFERROR(__xludf.DUMMYFUNCTION("""COMPUTED_VALUE"""),3)</f>
        <v>3</v>
      </c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30.75" customHeight="1" spans="1:26">
      <c r="A238" s="2">
        <f>IFERROR(__xludf.DUMMYFUNCTION("""COMPUTED_VALUE"""),237)</f>
        <v>237</v>
      </c>
      <c r="B238" s="2" t="str">
        <f>IFERROR(__xludf.DUMMYFUNCTION("""COMPUTED_VALUE"""),"SCoFT")</f>
        <v>SCoFT</v>
      </c>
      <c r="C238" s="2" t="str">
        <f>IFERROR(__xludf.DUMMYFUNCTION("""COMPUTED_VALUE"""),"CS3223")</f>
        <v>CS3223</v>
      </c>
      <c r="D238" s="2" t="str">
        <f>IFERROR(__xludf.DUMMYFUNCTION("""COMPUTED_VALUE"""),"19AI223")</f>
        <v>19AI223</v>
      </c>
      <c r="E238" s="2"/>
      <c r="F238" s="2" t="str">
        <f>IFERROR(__xludf.DUMMYFUNCTION("""COMPUTED_VALUE"""),"Coursera")</f>
        <v>Coursera</v>
      </c>
      <c r="G238" s="3" t="str">
        <f>IFERROR(__xludf.DUMMYFUNCTION("""COMPUTED_VALUE"""),"IBM z/OS Mainframe Practitioner Professional Certificate")</f>
        <v>IBM z/OS Mainframe Practitioner Professional Certificate</v>
      </c>
      <c r="H238" s="2" t="str">
        <f>IFERROR(__xludf.DUMMYFUNCTION("""COMPUTED_VALUE"""),"1 Month")</f>
        <v>1 Month</v>
      </c>
      <c r="I238" s="2" t="str">
        <f>IFERROR(__xludf.DUMMYFUNCTION("""COMPUTED_VALUE"""),"NA")</f>
        <v>NA</v>
      </c>
      <c r="J238" s="2" t="str">
        <f>IFERROR(__xludf.DUMMYFUNCTION("""COMPUTED_VALUE"""),"NA")</f>
        <v>NA</v>
      </c>
      <c r="K238" s="2" t="str">
        <f>IFERROR(__xludf.DUMMYFUNCTION("""COMPUTED_VALUE"""),"NA")</f>
        <v>NA</v>
      </c>
      <c r="L238" s="2" t="str">
        <f>IFERROR(__xludf.DUMMYFUNCTION("""COMPUTED_VALUE"""),"CGPA")</f>
        <v>CGPA</v>
      </c>
      <c r="M238" s="2" t="str">
        <f>IFERROR(__xludf.DUMMYFUNCTION("""COMPUTED_VALUE"""),"Experiential Learning (Int and Grade from Certificate)")</f>
        <v>Experiential Learning (Int and Grade from Certificate)</v>
      </c>
      <c r="N238" s="2">
        <f>IFERROR(__xludf.DUMMYFUNCTION("""COMPUTED_VALUE"""),1)</f>
        <v>1</v>
      </c>
      <c r="O238" s="2">
        <f>IFERROR(__xludf.DUMMYFUNCTION("""COMPUTED_VALUE"""),1)</f>
        <v>1</v>
      </c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30.75" customHeight="1" spans="1:26">
      <c r="A239" s="2">
        <f>IFERROR(__xludf.DUMMYFUNCTION("""COMPUTED_VALUE"""),238)</f>
        <v>238</v>
      </c>
      <c r="B239" s="2" t="str">
        <f>IFERROR(__xludf.DUMMYFUNCTION("""COMPUTED_VALUE"""),"EIE,EEE")</f>
        <v>EIE,EEE</v>
      </c>
      <c r="C239" s="2" t="str">
        <f>IFERROR(__xludf.DUMMYFUNCTION("""COMPUTED_VALUE"""),"EC3604")</f>
        <v>EC3604</v>
      </c>
      <c r="D239" s="2" t="str">
        <f>IFERROR(__xludf.DUMMYFUNCTION("""COMPUTED_VALUE"""),"19EI604")</f>
        <v>19EI604</v>
      </c>
      <c r="E239" s="2"/>
      <c r="F239" s="2" t="str">
        <f>IFERROR(__xludf.DUMMYFUNCTION("""COMPUTED_VALUE"""),"NPTEL")</f>
        <v>NPTEL</v>
      </c>
      <c r="G239" s="3" t="str">
        <f>IFERROR(__xludf.DUMMYFUNCTION("""COMPUTED_VALUE"""),"Industrial Automation and Control (NPTEL)")</f>
        <v>Industrial Automation and Control (NPTEL)</v>
      </c>
      <c r="H239" s="2" t="str">
        <f>IFERROR(__xludf.DUMMYFUNCTION("""COMPUTED_VALUE"""),"12 Weeks")</f>
        <v>12 Weeks</v>
      </c>
      <c r="I239" s="2"/>
      <c r="J239" s="2"/>
      <c r="K239" s="2"/>
      <c r="L239" s="2" t="str">
        <f>IFERROR(__xludf.DUMMYFUNCTION("""COMPUTED_VALUE"""),"CGPA ")</f>
        <v>CGPA </v>
      </c>
      <c r="M239" s="2" t="str">
        <f>IFERROR(__xludf.DUMMYFUNCTION("""COMPUTED_VALUE"""),"Experiential Learning (Int and Grade from Certificate)")</f>
        <v>Experiential Learning (Int and Grade from Certificate)</v>
      </c>
      <c r="N239" s="2">
        <f>IFERROR(__xludf.DUMMYFUNCTION("""COMPUTED_VALUE"""),2)</f>
        <v>2</v>
      </c>
      <c r="O239" s="2">
        <f>IFERROR(__xludf.DUMMYFUNCTION("""COMPUTED_VALUE"""),3)</f>
        <v>3</v>
      </c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30.75" customHeight="1" spans="1:26">
      <c r="A240" s="2">
        <f>IFERROR(__xludf.DUMMYFUNCTION("""COMPUTED_VALUE"""),239)</f>
        <v>239</v>
      </c>
      <c r="B240" s="2" t="str">
        <f>IFERROR(__xludf.DUMMYFUNCTION("""COMPUTED_VALUE"""),"SCoFT")</f>
        <v>SCoFT</v>
      </c>
      <c r="C240" s="2" t="str">
        <f>IFERROR(__xludf.DUMMYFUNCTION("""COMPUTED_VALUE"""),"CS3039")</f>
        <v>CS3039</v>
      </c>
      <c r="D240" s="2" t="str">
        <f>IFERROR(__xludf.DUMMYFUNCTION("""COMPUTED_VALUE"""),"19AI039")</f>
        <v>19AI039</v>
      </c>
      <c r="E240" s="2"/>
      <c r="F240" s="2" t="str">
        <f>IFERROR(__xludf.DUMMYFUNCTION("""COMPUTED_VALUE"""),"NPTEL")</f>
        <v>NPTEL</v>
      </c>
      <c r="G240" s="3" t="str">
        <f>IFERROR(__xludf.DUMMYFUNCTION("""COMPUTED_VALUE"""),"Information Security - 5 - Secure Systems Engineering (NPTEL)")</f>
        <v>Information Security - 5 - Secure Systems Engineering (NPTEL)</v>
      </c>
      <c r="H240" s="2" t="str">
        <f>IFERROR(__xludf.DUMMYFUNCTION("""COMPUTED_VALUE"""),"8 Weeks")</f>
        <v>8 Weeks</v>
      </c>
      <c r="I240" s="2"/>
      <c r="J240" s="2"/>
      <c r="K240" s="2"/>
      <c r="L240" s="2" t="str">
        <f>IFERROR(__xludf.DUMMYFUNCTION("""COMPUTED_VALUE"""),"CGPA ")</f>
        <v>CGPA </v>
      </c>
      <c r="M240" s="2" t="str">
        <f>IFERROR(__xludf.DUMMYFUNCTION("""COMPUTED_VALUE"""),"Experiential Learning (Int and Grade from Certificate)")</f>
        <v>Experiential Learning (Int and Grade from Certificate)</v>
      </c>
      <c r="N240" s="2">
        <f>IFERROR(__xludf.DUMMYFUNCTION("""COMPUTED_VALUE"""),2)</f>
        <v>2</v>
      </c>
      <c r="O240" s="2">
        <f>IFERROR(__xludf.DUMMYFUNCTION("""COMPUTED_VALUE"""),2)</f>
        <v>2</v>
      </c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30.75" customHeight="1" spans="1:26">
      <c r="A241" s="2">
        <f>IFERROR(__xludf.DUMMYFUNCTION("""COMPUTED_VALUE"""),240)</f>
        <v>240</v>
      </c>
      <c r="B241" s="2" t="str">
        <f>IFERROR(__xludf.DUMMYFUNCTION("""COMPUTED_VALUE"""),"SCoFT")</f>
        <v>SCoFT</v>
      </c>
      <c r="C241" s="2" t="str">
        <f>IFERROR(__xludf.DUMMYFUNCTION("""COMPUTED_VALUE"""),"CS3087")</f>
        <v>CS3087</v>
      </c>
      <c r="D241" s="2" t="str">
        <f>IFERROR(__xludf.DUMMYFUNCTION("""COMPUTED_VALUE"""),"19AI087")</f>
        <v>19AI087</v>
      </c>
      <c r="E241" s="2"/>
      <c r="F241" s="2" t="str">
        <f>IFERROR(__xludf.DUMMYFUNCTION("""COMPUTED_VALUE"""),"COURSERA")</f>
        <v>COURSERA</v>
      </c>
      <c r="G241" s="3" t="str">
        <f>IFERROR(__xludf.DUMMYFUNCTION("""COMPUTED_VALUE"""),"Information System Auditing, Controls and Assurance (Coursera)")</f>
        <v>Information System Auditing, Controls and Assurance (Coursera)</v>
      </c>
      <c r="H241" s="2" t="str">
        <f>IFERROR(__xludf.DUMMYFUNCTION("""COMPUTED_VALUE"""),"4 Weeks")</f>
        <v>4 Weeks</v>
      </c>
      <c r="I241" s="2"/>
      <c r="J241" s="2"/>
      <c r="K241" s="2"/>
      <c r="L241" s="2" t="str">
        <f>IFERROR(__xludf.DUMMYFUNCTION("""COMPUTED_VALUE"""),"CGPA")</f>
        <v>CGPA</v>
      </c>
      <c r="M241" s="2" t="str">
        <f>IFERROR(__xludf.DUMMYFUNCTION("""COMPUTED_VALUE"""),"Experiential Learning (Int and Grade from Certificate)")</f>
        <v>Experiential Learning (Int and Grade from Certificate)</v>
      </c>
      <c r="N241" s="2">
        <f>IFERROR(__xludf.DUMMYFUNCTION("""COMPUTED_VALUE"""),1)</f>
        <v>1</v>
      </c>
      <c r="O241" s="2">
        <f>IFERROR(__xludf.DUMMYFUNCTION("""COMPUTED_VALUE"""),1)</f>
        <v>1</v>
      </c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30.75" customHeight="1" spans="1:26">
      <c r="A242" s="2">
        <f>IFERROR(__xludf.DUMMYFUNCTION("""COMPUTED_VALUE"""),241)</f>
        <v>241</v>
      </c>
      <c r="B242" s="2" t="str">
        <f>IFERROR(__xludf.DUMMYFUNCTION("""COMPUTED_VALUE"""),"SCoFT, BME, MED ELEC")</f>
        <v>SCoFT, BME, MED ELEC</v>
      </c>
      <c r="C242" s="2" t="str">
        <f>IFERROR(__xludf.DUMMYFUNCTION("""COMPUTED_VALUE"""),"CS3040")</f>
        <v>CS3040</v>
      </c>
      <c r="D242" s="2" t="str">
        <f>IFERROR(__xludf.DUMMYFUNCTION("""COMPUTED_VALUE"""),"19AI040")</f>
        <v>19AI040</v>
      </c>
      <c r="E242" s="2"/>
      <c r="F242" s="2" t="str">
        <f>IFERROR(__xludf.DUMMYFUNCTION("""COMPUTED_VALUE"""),"NPTEL")</f>
        <v>NPTEL</v>
      </c>
      <c r="G242" s="3" t="str">
        <f>IFERROR(__xludf.DUMMYFUNCTION("""COMPUTED_VALUE"""),"Innovation by Design (NPTEL)")</f>
        <v>Innovation by Design (NPTEL)</v>
      </c>
      <c r="H242" s="2" t="str">
        <f>IFERROR(__xludf.DUMMYFUNCTION("""COMPUTED_VALUE"""),"4 Weeks")</f>
        <v>4 Weeks</v>
      </c>
      <c r="I242" s="2"/>
      <c r="J242" s="2"/>
      <c r="K242" s="2"/>
      <c r="L242" s="2" t="str">
        <f>IFERROR(__xludf.DUMMYFUNCTION("""COMPUTED_VALUE"""),"CGPA ")</f>
        <v>CGPA </v>
      </c>
      <c r="M242" s="2" t="str">
        <f>IFERROR(__xludf.DUMMYFUNCTION("""COMPUTED_VALUE"""),"Experiential Learning (Int and Grade from Certificate)")</f>
        <v>Experiential Learning (Int and Grade from Certificate)</v>
      </c>
      <c r="N242" s="2">
        <f>IFERROR(__xludf.DUMMYFUNCTION("""COMPUTED_VALUE"""),1)</f>
        <v>1</v>
      </c>
      <c r="O242" s="2">
        <f>IFERROR(__xludf.DUMMYFUNCTION("""COMPUTED_VALUE"""),1)</f>
        <v>1</v>
      </c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30.75" customHeight="1" spans="1:26">
      <c r="A243" s="2">
        <f>IFERROR(__xludf.DUMMYFUNCTION("""COMPUTED_VALUE"""),242)</f>
        <v>242</v>
      </c>
      <c r="B243" s="2" t="str">
        <f>IFERROR(__xludf.DUMMYFUNCTION("""COMPUTED_VALUE"""),"CIVIL")</f>
        <v>CIVIL</v>
      </c>
      <c r="C243" s="2" t="str">
        <f>IFERROR(__xludf.DUMMYFUNCTION("""COMPUTED_VALUE"""),"CE0608")</f>
        <v>CE0608</v>
      </c>
      <c r="D243" s="2" t="str">
        <f>IFERROR(__xludf.DUMMYFUNCTION("""COMPUTED_VALUE"""),"19CE608")</f>
        <v>19CE608</v>
      </c>
      <c r="E243" s="2"/>
      <c r="F243" s="2" t="str">
        <f>IFERROR(__xludf.DUMMYFUNCTION("""COMPUTED_VALUE"""),"NPTEL")</f>
        <v>NPTEL</v>
      </c>
      <c r="G243" s="3" t="str">
        <f>IFERROR(__xludf.DUMMYFUNCTION("""COMPUTED_VALUE"""),"Integrated Waste Management for a Smart City (NPTEL)")</f>
        <v>Integrated Waste Management for a Smart City (NPTEL)</v>
      </c>
      <c r="H243" s="2" t="str">
        <f>IFERROR(__xludf.DUMMYFUNCTION("""COMPUTED_VALUE"""),"12 Weeks")</f>
        <v>12 Weeks</v>
      </c>
      <c r="I243" s="2" t="str">
        <f>IFERROR(__xludf.DUMMYFUNCTION("""COMPUTED_VALUE"""),"10 / 25")</f>
        <v>10 / 25</v>
      </c>
      <c r="J243" s="2" t="str">
        <f>IFERROR(__xludf.DUMMYFUNCTION("""COMPUTED_VALUE"""),"30 / 75")</f>
        <v>30 / 75</v>
      </c>
      <c r="K243" s="2" t="str">
        <f>IFERROR(__xludf.DUMMYFUNCTION("""COMPUTED_VALUE"""),"40 / 100")</f>
        <v>40 / 100</v>
      </c>
      <c r="L243" s="2" t="str">
        <f>IFERROR(__xludf.DUMMYFUNCTION("""COMPUTED_VALUE"""),"CGPA ")</f>
        <v>CGPA </v>
      </c>
      <c r="M243" s="2" t="str">
        <f>IFERROR(__xludf.DUMMYFUNCTION("""COMPUTED_VALUE"""),"Experiential Learning (Int and Grade from Certificate)")</f>
        <v>Experiential Learning (Int and Grade from Certificate)</v>
      </c>
      <c r="N243" s="2">
        <f>IFERROR(__xludf.DUMMYFUNCTION("""COMPUTED_VALUE"""),2)</f>
        <v>2</v>
      </c>
      <c r="O243" s="2">
        <f>IFERROR(__xludf.DUMMYFUNCTION("""COMPUTED_VALUE"""),3)</f>
        <v>3</v>
      </c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30.75" customHeight="1" spans="1:26">
      <c r="A244" s="2">
        <f>IFERROR(__xludf.DUMMYFUNCTION("""COMPUTED_VALUE"""),243)</f>
        <v>243</v>
      </c>
      <c r="B244" s="2" t="str">
        <f>IFERROR(__xludf.DUMMYFUNCTION("""COMPUTED_VALUE"""),"ECE, BME, MED ELEC")</f>
        <v>ECE, BME, MED ELEC</v>
      </c>
      <c r="C244" s="2" t="str">
        <f>IFERROR(__xludf.DUMMYFUNCTION("""COMPUTED_VALUE"""),"EC1643")</f>
        <v>EC1643</v>
      </c>
      <c r="D244" s="2" t="str">
        <f>IFERROR(__xludf.DUMMYFUNCTION("""COMPUTED_VALUE"""),"19EC643")</f>
        <v>19EC643</v>
      </c>
      <c r="E244" s="2"/>
      <c r="F244" s="2" t="str">
        <f>IFERROR(__xludf.DUMMYFUNCTION("""COMPUTED_VALUE"""),"NPTEL")</f>
        <v>NPTEL</v>
      </c>
      <c r="G244" s="3" t="str">
        <f>IFERROR(__xludf.DUMMYFUNCTION("""COMPUTED_VALUE"""),"Intellectual Property (NPTEL)")</f>
        <v>Intellectual Property (NPTEL)</v>
      </c>
      <c r="H244" s="2" t="str">
        <f>IFERROR(__xludf.DUMMYFUNCTION("""COMPUTED_VALUE"""),"12 Weeks")</f>
        <v>12 Weeks</v>
      </c>
      <c r="I244" s="2" t="str">
        <f>IFERROR(__xludf.DUMMYFUNCTION("""COMPUTED_VALUE"""),"10 / 25")</f>
        <v>10 / 25</v>
      </c>
      <c r="J244" s="2" t="str">
        <f>IFERROR(__xludf.DUMMYFUNCTION("""COMPUTED_VALUE"""),"30 / 75")</f>
        <v>30 / 75</v>
      </c>
      <c r="K244" s="2" t="str">
        <f>IFERROR(__xludf.DUMMYFUNCTION("""COMPUTED_VALUE"""),"40 / 100")</f>
        <v>40 / 100</v>
      </c>
      <c r="L244" s="2" t="str">
        <f>IFERROR(__xludf.DUMMYFUNCTION("""COMPUTED_VALUE"""),"CGPA")</f>
        <v>CGPA</v>
      </c>
      <c r="M244" s="2" t="str">
        <f>IFERROR(__xludf.DUMMYFUNCTION("""COMPUTED_VALUE"""),"Experiential Learning (Int and Grade from Certificate)")</f>
        <v>Experiential Learning (Int and Grade from Certificate)</v>
      </c>
      <c r="N244" s="2">
        <f>IFERROR(__xludf.DUMMYFUNCTION("""COMPUTED_VALUE"""),3)</f>
        <v>3</v>
      </c>
      <c r="O244" s="2">
        <f>IFERROR(__xludf.DUMMYFUNCTION("""COMPUTED_VALUE"""),3)</f>
        <v>3</v>
      </c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30.75" customHeight="1" spans="1:26">
      <c r="A245" s="2">
        <f>IFERROR(__xludf.DUMMYFUNCTION("""COMPUTED_VALUE"""),244)</f>
        <v>244</v>
      </c>
      <c r="B245" s="2" t="str">
        <f>IFERROR(__xludf.DUMMYFUNCTION("""COMPUTED_VALUE"""),"SCoFT")</f>
        <v>SCoFT</v>
      </c>
      <c r="C245" s="2" t="str">
        <f>IFERROR(__xludf.DUMMYFUNCTION("""COMPUTED_VALUE"""),"CS3077")</f>
        <v>CS3077</v>
      </c>
      <c r="D245" s="2" t="str">
        <f>IFERROR(__xludf.DUMMYFUNCTION("""COMPUTED_VALUE"""),"19AI077")</f>
        <v>19AI077</v>
      </c>
      <c r="E245" s="2"/>
      <c r="F245" s="2" t="str">
        <f>IFERROR(__xludf.DUMMYFUNCTION("""COMPUTED_VALUE"""),"COURSERA")</f>
        <v>COURSERA</v>
      </c>
      <c r="G245" s="3" t="str">
        <f>IFERROR(__xludf.DUMMYFUNCTION("""COMPUTED_VALUE"""),"Interactive Computer Graphics  (Coursera)")</f>
        <v>Interactive Computer Graphics  (Coursera)</v>
      </c>
      <c r="H245" s="2" t="str">
        <f>IFERROR(__xludf.DUMMYFUNCTION("""COMPUTED_VALUE"""),"7 Weeks")</f>
        <v>7 Weeks</v>
      </c>
      <c r="I245" s="2"/>
      <c r="J245" s="2"/>
      <c r="K245" s="2"/>
      <c r="L245" s="2" t="str">
        <f>IFERROR(__xludf.DUMMYFUNCTION("""COMPUTED_VALUE"""),"CGPA")</f>
        <v>CGPA</v>
      </c>
      <c r="M245" s="2" t="str">
        <f>IFERROR(__xludf.DUMMYFUNCTION("""COMPUTED_VALUE"""),"Experiential Learning (Int and Grade from Certificate)")</f>
        <v>Experiential Learning (Int and Grade from Certificate)</v>
      </c>
      <c r="N245" s="2">
        <f>IFERROR(__xludf.DUMMYFUNCTION("""COMPUTED_VALUE"""),1)</f>
        <v>1</v>
      </c>
      <c r="O245" s="2">
        <f>IFERROR(__xludf.DUMMYFUNCTION("""COMPUTED_VALUE"""),1)</f>
        <v>1</v>
      </c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30.75" customHeight="1" spans="1:26">
      <c r="A246" s="2">
        <f>IFERROR(__xludf.DUMMYFUNCTION("""COMPUTED_VALUE"""),245)</f>
        <v>245</v>
      </c>
      <c r="B246" s="2" t="str">
        <f>IFERROR(__xludf.DUMMYFUNCTION("""COMPUTED_VALUE"""),"SCoFT")</f>
        <v>SCoFT</v>
      </c>
      <c r="C246" s="2" t="str">
        <f>IFERROR(__xludf.DUMMYFUNCTION("""COMPUTED_VALUE"""),"CS3100")</f>
        <v>CS3100</v>
      </c>
      <c r="D246" s="2" t="str">
        <f>IFERROR(__xludf.DUMMYFUNCTION("""COMPUTED_VALUE"""),"19AI100")</f>
        <v>19AI100</v>
      </c>
      <c r="E246" s="2"/>
      <c r="F246" s="2" t="str">
        <f>IFERROR(__xludf.DUMMYFUNCTION("""COMPUTED_VALUE"""),"COURSERA")</f>
        <v>COURSERA</v>
      </c>
      <c r="G246" s="3" t="str">
        <f>IFERROR(__xludf.DUMMYFUNCTION("""COMPUTED_VALUE"""),"Interactivity with JavaScript (Coursera)")</f>
        <v>Interactivity with JavaScript (Coursera)</v>
      </c>
      <c r="H246" s="2" t="str">
        <f>IFERROR(__xludf.DUMMYFUNCTION("""COMPUTED_VALUE"""),"4 weeks")</f>
        <v>4 weeks</v>
      </c>
      <c r="I246" s="2"/>
      <c r="J246" s="2"/>
      <c r="K246" s="2"/>
      <c r="L246" s="2" t="str">
        <f>IFERROR(__xludf.DUMMYFUNCTION("""COMPUTED_VALUE"""),"CGPA")</f>
        <v>CGPA</v>
      </c>
      <c r="M246" s="2" t="str">
        <f>IFERROR(__xludf.DUMMYFUNCTION("""COMPUTED_VALUE"""),"Experiential Learning (Int and Grade from Certificate)")</f>
        <v>Experiential Learning (Int and Grade from Certificate)</v>
      </c>
      <c r="N246" s="2">
        <f>IFERROR(__xludf.DUMMYFUNCTION("""COMPUTED_VALUE"""),1)</f>
        <v>1</v>
      </c>
      <c r="O246" s="2">
        <f>IFERROR(__xludf.DUMMYFUNCTION("""COMPUTED_VALUE"""),1)</f>
        <v>1</v>
      </c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30.75" customHeight="1" spans="1:26">
      <c r="A247" s="2">
        <f>IFERROR(__xludf.DUMMYFUNCTION("""COMPUTED_VALUE"""),246)</f>
        <v>246</v>
      </c>
      <c r="B247" s="2" t="str">
        <f>IFERROR(__xludf.DUMMYFUNCTION("""COMPUTED_VALUE"""),"SCoFT")</f>
        <v>SCoFT</v>
      </c>
      <c r="C247" s="2" t="str">
        <f>IFERROR(__xludf.DUMMYFUNCTION("""COMPUTED_VALUE"""),"CS3083")</f>
        <v>CS3083</v>
      </c>
      <c r="D247" s="2" t="str">
        <f>IFERROR(__xludf.DUMMYFUNCTION("""COMPUTED_VALUE"""),"19AI083")</f>
        <v>19AI083</v>
      </c>
      <c r="E247" s="2"/>
      <c r="F247" s="2" t="str">
        <f>IFERROR(__xludf.DUMMYFUNCTION("""COMPUTED_VALUE"""),"COURSERA")</f>
        <v>COURSERA</v>
      </c>
      <c r="G247" s="3" t="str">
        <f>IFERROR(__xludf.DUMMYFUNCTION("""COMPUTED_VALUE"""),"Introduction and Programming with IoT Boards (Coursera)")</f>
        <v>Introduction and Programming with IoT Boards (Coursera)</v>
      </c>
      <c r="H247" s="2" t="str">
        <f>IFERROR(__xludf.DUMMYFUNCTION("""COMPUTED_VALUE"""),"5 Weeks")</f>
        <v>5 Weeks</v>
      </c>
      <c r="I247" s="2"/>
      <c r="J247" s="2"/>
      <c r="K247" s="2"/>
      <c r="L247" s="2" t="str">
        <f>IFERROR(__xludf.DUMMYFUNCTION("""COMPUTED_VALUE"""),"CGPA")</f>
        <v>CGPA</v>
      </c>
      <c r="M247" s="2" t="str">
        <f>IFERROR(__xludf.DUMMYFUNCTION("""COMPUTED_VALUE"""),"Experiential Learning (Int and Grade from Certificate)")</f>
        <v>Experiential Learning (Int and Grade from Certificate)</v>
      </c>
      <c r="N247" s="2">
        <f>IFERROR(__xludf.DUMMYFUNCTION("""COMPUTED_VALUE"""),1)</f>
        <v>1</v>
      </c>
      <c r="O247" s="2">
        <f>IFERROR(__xludf.DUMMYFUNCTION("""COMPUTED_VALUE"""),1)</f>
        <v>1</v>
      </c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30.75" customHeight="1" spans="1:26">
      <c r="A248" s="2">
        <f>IFERROR(__xludf.DUMMYFUNCTION("""COMPUTED_VALUE"""),247)</f>
        <v>247</v>
      </c>
      <c r="B248" s="2" t="str">
        <f>IFERROR(__xludf.DUMMYFUNCTION("""COMPUTED_VALUE"""),"SCoFT")</f>
        <v>SCoFT</v>
      </c>
      <c r="C248" s="2" t="str">
        <f>IFERROR(__xludf.DUMMYFUNCTION("""COMPUTED_VALUE"""),"CS3070")</f>
        <v>CS3070</v>
      </c>
      <c r="D248" s="2" t="str">
        <f>IFERROR(__xludf.DUMMYFUNCTION("""COMPUTED_VALUE"""),"19AI070")</f>
        <v>19AI070</v>
      </c>
      <c r="E248" s="2"/>
      <c r="F248" s="2" t="str">
        <f>IFERROR(__xludf.DUMMYFUNCTION("""COMPUTED_VALUE"""),"NPTEL")</f>
        <v>NPTEL</v>
      </c>
      <c r="G248" s="3" t="str">
        <f>IFERROR(__xludf.DUMMYFUNCTION("""COMPUTED_VALUE"""),"Introduction to Automata Languages and Computation (NPTEL)")</f>
        <v>Introduction to Automata Languages and Computation (NPTEL)</v>
      </c>
      <c r="H248" s="2" t="str">
        <f>IFERROR(__xludf.DUMMYFUNCTION("""COMPUTED_VALUE"""),"12 Weeks")</f>
        <v>12 Weeks</v>
      </c>
      <c r="I248" s="2"/>
      <c r="J248" s="2"/>
      <c r="K248" s="2"/>
      <c r="L248" s="2" t="str">
        <f>IFERROR(__xludf.DUMMYFUNCTION("""COMPUTED_VALUE"""),"CGPA ")</f>
        <v>CGPA </v>
      </c>
      <c r="M248" s="2" t="str">
        <f>IFERROR(__xludf.DUMMYFUNCTION("""COMPUTED_VALUE"""),"Experiential Learning (Int and Grade from Certificate)")</f>
        <v>Experiential Learning (Int and Grade from Certificate)</v>
      </c>
      <c r="N248" s="2">
        <f>IFERROR(__xludf.DUMMYFUNCTION("""COMPUTED_VALUE"""),3)</f>
        <v>3</v>
      </c>
      <c r="O248" s="2">
        <f>IFERROR(__xludf.DUMMYFUNCTION("""COMPUTED_VALUE"""),3)</f>
        <v>3</v>
      </c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30.75" customHeight="1" spans="1:26">
      <c r="A249" s="2">
        <f>IFERROR(__xludf.DUMMYFUNCTION("""COMPUTED_VALUE"""),248)</f>
        <v>248</v>
      </c>
      <c r="B249" s="2" t="str">
        <f>IFERROR(__xludf.DUMMYFUNCTION("""COMPUTED_VALUE"""),"MED ELEC")</f>
        <v>MED ELEC</v>
      </c>
      <c r="C249" s="2" t="str">
        <f>IFERROR(__xludf.DUMMYFUNCTION("""COMPUTED_VALUE"""),"EC5603")</f>
        <v>EC5603</v>
      </c>
      <c r="D249" s="2" t="str">
        <f>IFERROR(__xludf.DUMMYFUNCTION("""COMPUTED_VALUE"""),"19MD603")</f>
        <v>19MD603</v>
      </c>
      <c r="E249" s="2"/>
      <c r="F249" s="2" t="str">
        <f>IFERROR(__xludf.DUMMYFUNCTION("""COMPUTED_VALUE"""),"NPTEL (IIT Madras)")</f>
        <v>NPTEL (IIT Madras)</v>
      </c>
      <c r="G249" s="3" t="str">
        <f>IFERROR(__xludf.DUMMYFUNCTION("""COMPUTED_VALUE"""),"Introduction to Biomedical Imaging Systems (NPTEL)")</f>
        <v>Introduction to Biomedical Imaging Systems (NPTEL)</v>
      </c>
      <c r="H249" s="2" t="str">
        <f>IFERROR(__xludf.DUMMYFUNCTION("""COMPUTED_VALUE"""),"12 Weeks")</f>
        <v>12 Weeks</v>
      </c>
      <c r="I249" s="4">
        <f>IFERROR(__xludf.DUMMYFUNCTION("""COMPUTED_VALUE"""),45224)</f>
        <v>45224</v>
      </c>
      <c r="J249" s="2" t="str">
        <f>IFERROR(__xludf.DUMMYFUNCTION("""COMPUTED_VALUE"""),"30/75")</f>
        <v>30/75</v>
      </c>
      <c r="K249" s="2" t="str">
        <f>IFERROR(__xludf.DUMMYFUNCTION("""COMPUTED_VALUE"""),"40/100")</f>
        <v>40/100</v>
      </c>
      <c r="L249" s="2" t="str">
        <f>IFERROR(__xludf.DUMMYFUNCTION("""COMPUTED_VALUE"""),"CGPA ")</f>
        <v>CGPA </v>
      </c>
      <c r="M249" s="2" t="str">
        <f>IFERROR(__xludf.DUMMYFUNCTION("""COMPUTED_VALUE"""),"Experiential Learning (Int and Grade from Certificate)")</f>
        <v>Experiential Learning (Int and Grade from Certificate)</v>
      </c>
      <c r="N249" s="2">
        <f>IFERROR(__xludf.DUMMYFUNCTION("""COMPUTED_VALUE"""),2)</f>
        <v>2</v>
      </c>
      <c r="O249" s="2">
        <f>IFERROR(__xludf.DUMMYFUNCTION("""COMPUTED_VALUE"""),3)</f>
        <v>3</v>
      </c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30.75" customHeight="1" spans="1:26">
      <c r="A250" s="2">
        <f>IFERROR(__xludf.DUMMYFUNCTION("""COMPUTED_VALUE"""),249)</f>
        <v>249</v>
      </c>
      <c r="B250" s="2" t="str">
        <f>IFERROR(__xludf.DUMMYFUNCTION("""COMPUTED_VALUE"""),"BME, MED ELEC")</f>
        <v>BME, MED ELEC</v>
      </c>
      <c r="C250" s="2" t="str">
        <f>IFERROR(__xludf.DUMMYFUNCTION("""COMPUTED_VALUE"""),"EC4653")</f>
        <v>EC4653</v>
      </c>
      <c r="D250" s="2" t="str">
        <f>IFERROR(__xludf.DUMMYFUNCTION("""COMPUTED_VALUE"""),"19BM653")</f>
        <v>19BM653</v>
      </c>
      <c r="E250" s="2"/>
      <c r="F250" s="2" t="str">
        <f>IFERROR(__xludf.DUMMYFUNCTION("""COMPUTED_VALUE"""),"NPTEL")</f>
        <v>NPTEL</v>
      </c>
      <c r="G250" s="3" t="str">
        <f>IFERROR(__xludf.DUMMYFUNCTION("""COMPUTED_VALUE"""),"Introduction to Brain and Behaviour (NPTEL)")</f>
        <v>Introduction to Brain and Behaviour (NPTEL)</v>
      </c>
      <c r="H250" s="2" t="str">
        <f>IFERROR(__xludf.DUMMYFUNCTION("""COMPUTED_VALUE"""),"8 Weeks")</f>
        <v>8 Weeks</v>
      </c>
      <c r="I250" s="2"/>
      <c r="J250" s="2"/>
      <c r="K250" s="2"/>
      <c r="L250" s="2" t="str">
        <f>IFERROR(__xludf.DUMMYFUNCTION("""COMPUTED_VALUE"""),"CGPA")</f>
        <v>CGPA</v>
      </c>
      <c r="M250" s="2" t="str">
        <f>IFERROR(__xludf.DUMMYFUNCTION("""COMPUTED_VALUE"""),"Experiential Learning (Int and Grade from Certificate)")</f>
        <v>Experiential Learning (Int and Grade from Certificate)</v>
      </c>
      <c r="N250" s="2">
        <f>IFERROR(__xludf.DUMMYFUNCTION("""COMPUTED_VALUE"""),2)</f>
        <v>2</v>
      </c>
      <c r="O250" s="2">
        <f>IFERROR(__xludf.DUMMYFUNCTION("""COMPUTED_VALUE"""),2)</f>
        <v>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30.75" customHeight="1" spans="1:26">
      <c r="A251" s="2">
        <f>IFERROR(__xludf.DUMMYFUNCTION("""COMPUTED_VALUE"""),250)</f>
        <v>250</v>
      </c>
      <c r="B251" s="2" t="str">
        <f>IFERROR(__xludf.DUMMYFUNCTION("""COMPUTED_VALUE"""),"BME, MED ELEC")</f>
        <v>BME, MED ELEC</v>
      </c>
      <c r="C251" s="2" t="str">
        <f>IFERROR(__xludf.DUMMYFUNCTION("""COMPUTED_VALUE"""),"EC4654")</f>
        <v>EC4654</v>
      </c>
      <c r="D251" s="2" t="str">
        <f>IFERROR(__xludf.DUMMYFUNCTION("""COMPUTED_VALUE"""),"19BM654")</f>
        <v>19BM654</v>
      </c>
      <c r="E251" s="2"/>
      <c r="F251" s="2" t="str">
        <f>IFERROR(__xludf.DUMMYFUNCTION("""COMPUTED_VALUE"""),"NPTEL")</f>
        <v>NPTEL</v>
      </c>
      <c r="G251" s="3" t="str">
        <f>IFERROR(__xludf.DUMMYFUNCTION("""COMPUTED_VALUE"""),"Introduction to Complex Biological Systems (NPTEL)")</f>
        <v>Introduction to Complex Biological Systems (NPTEL)</v>
      </c>
      <c r="H251" s="2" t="str">
        <f>IFERROR(__xludf.DUMMYFUNCTION("""COMPUTED_VALUE"""),"12 weeks")</f>
        <v>12 weeks</v>
      </c>
      <c r="I251" s="2"/>
      <c r="J251" s="2"/>
      <c r="K251" s="2"/>
      <c r="L251" s="2" t="str">
        <f>IFERROR(__xludf.DUMMYFUNCTION("""COMPUTED_VALUE"""),"CGPA")</f>
        <v>CGPA</v>
      </c>
      <c r="M251" s="2" t="str">
        <f>IFERROR(__xludf.DUMMYFUNCTION("""COMPUTED_VALUE"""),"Experiential Learning (Int and Grade from Certificate)")</f>
        <v>Experiential Learning (Int and Grade from Certificate)</v>
      </c>
      <c r="N251" s="2">
        <f>IFERROR(__xludf.DUMMYFUNCTION("""COMPUTED_VALUE"""),3)</f>
        <v>3</v>
      </c>
      <c r="O251" s="2">
        <f>IFERROR(__xludf.DUMMYFUNCTION("""COMPUTED_VALUE"""),3)</f>
        <v>3</v>
      </c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30.75" customHeight="1" spans="1:26">
      <c r="A252" s="2">
        <f>IFERROR(__xludf.DUMMYFUNCTION("""COMPUTED_VALUE"""),251)</f>
        <v>251</v>
      </c>
      <c r="B252" s="2" t="str">
        <f>IFERROR(__xludf.DUMMYFUNCTION("""COMPUTED_VALUE"""),"SCoFT")</f>
        <v>SCoFT</v>
      </c>
      <c r="C252" s="2" t="str">
        <f>IFERROR(__xludf.DUMMYFUNCTION("""COMPUTED_VALUE"""),"CS3041")</f>
        <v>CS3041</v>
      </c>
      <c r="D252" s="2" t="str">
        <f>IFERROR(__xludf.DUMMYFUNCTION("""COMPUTED_VALUE"""),"19AI041")</f>
        <v>19AI041</v>
      </c>
      <c r="E252" s="2"/>
      <c r="F252" s="2" t="str">
        <f>IFERROR(__xludf.DUMMYFUNCTION("""COMPUTED_VALUE"""),"NPTEL")</f>
        <v>NPTEL</v>
      </c>
      <c r="G252" s="3" t="str">
        <f>IFERROR(__xludf.DUMMYFUNCTION("""COMPUTED_VALUE"""),"Introduction to Computer and Network Performance Analysis using Queuing Systems (NPTEL)")</f>
        <v>Introduction to Computer and Network Performance Analysis using Queuing Systems (NPTEL)</v>
      </c>
      <c r="H252" s="2" t="str">
        <f>IFERROR(__xludf.DUMMYFUNCTION("""COMPUTED_VALUE"""),"4 Weeks")</f>
        <v>4 Weeks</v>
      </c>
      <c r="I252" s="2"/>
      <c r="J252" s="2"/>
      <c r="K252" s="2"/>
      <c r="L252" s="2" t="str">
        <f>IFERROR(__xludf.DUMMYFUNCTION("""COMPUTED_VALUE"""),"CGPA ")</f>
        <v>CGPA </v>
      </c>
      <c r="M252" s="2" t="str">
        <f>IFERROR(__xludf.DUMMYFUNCTION("""COMPUTED_VALUE"""),"Experiential Learning (Int and Grade from Certificate)")</f>
        <v>Experiential Learning (Int and Grade from Certificate)</v>
      </c>
      <c r="N252" s="2">
        <f>IFERROR(__xludf.DUMMYFUNCTION("""COMPUTED_VALUE"""),1)</f>
        <v>1</v>
      </c>
      <c r="O252" s="2">
        <f>IFERROR(__xludf.DUMMYFUNCTION("""COMPUTED_VALUE"""),1)</f>
        <v>1</v>
      </c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30.75" customHeight="1" spans="1:26">
      <c r="A253" s="2">
        <f>IFERROR(__xludf.DUMMYFUNCTION("""COMPUTED_VALUE"""),252)</f>
        <v>252</v>
      </c>
      <c r="B253" s="2" t="str">
        <f>IFERROR(__xludf.DUMMYFUNCTION("""COMPUTED_VALUE"""),"SCoFT")</f>
        <v>SCoFT</v>
      </c>
      <c r="C253" s="2" t="str">
        <f>IFERROR(__xludf.DUMMYFUNCTION("""COMPUTED_VALUE"""),"CS3097")</f>
        <v>CS3097</v>
      </c>
      <c r="D253" s="2" t="str">
        <f>IFERROR(__xludf.DUMMYFUNCTION("""COMPUTED_VALUE"""),"19AI097")</f>
        <v>19AI097</v>
      </c>
      <c r="E253" s="2"/>
      <c r="F253" s="2" t="str">
        <f>IFERROR(__xludf.DUMMYFUNCTION("""COMPUTED_VALUE"""),"COURSERA")</f>
        <v>COURSERA</v>
      </c>
      <c r="G253" s="3" t="str">
        <f>IFERROR(__xludf.DUMMYFUNCTION("""COMPUTED_VALUE"""),"Introduction to Data Science in Python (Coursera)")</f>
        <v>Introduction to Data Science in Python (Coursera)</v>
      </c>
      <c r="H253" s="2" t="str">
        <f>IFERROR(__xludf.DUMMYFUNCTION("""COMPUTED_VALUE"""),"4 weeks")</f>
        <v>4 weeks</v>
      </c>
      <c r="I253" s="2"/>
      <c r="J253" s="2"/>
      <c r="K253" s="2"/>
      <c r="L253" s="2" t="str">
        <f>IFERROR(__xludf.DUMMYFUNCTION("""COMPUTED_VALUE"""),"CGPA")</f>
        <v>CGPA</v>
      </c>
      <c r="M253" s="2" t="str">
        <f>IFERROR(__xludf.DUMMYFUNCTION("""COMPUTED_VALUE"""),"Experiential Learning (Int and Grade from Certificate)")</f>
        <v>Experiential Learning (Int and Grade from Certificate)</v>
      </c>
      <c r="N253" s="2">
        <f>IFERROR(__xludf.DUMMYFUNCTION("""COMPUTED_VALUE"""),1)</f>
        <v>1</v>
      </c>
      <c r="O253" s="2">
        <f>IFERROR(__xludf.DUMMYFUNCTION("""COMPUTED_VALUE"""),1)</f>
        <v>1</v>
      </c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30.75" customHeight="1" spans="1:26">
      <c r="A254" s="2">
        <f>IFERROR(__xludf.DUMMYFUNCTION("""COMPUTED_VALUE"""),253)</f>
        <v>253</v>
      </c>
      <c r="B254" s="2" t="str">
        <f>IFERROR(__xludf.DUMMYFUNCTION("""COMPUTED_VALUE"""),"SCoFT")</f>
        <v>SCoFT</v>
      </c>
      <c r="C254" s="2" t="str">
        <f>IFERROR(__xludf.DUMMYFUNCTION("""COMPUTED_VALUE"""),"CS3107")</f>
        <v>CS3107</v>
      </c>
      <c r="D254" s="2" t="str">
        <f>IFERROR(__xludf.DUMMYFUNCTION("""COMPUTED_VALUE"""),"19AI107")</f>
        <v>19AI107</v>
      </c>
      <c r="E254" s="2"/>
      <c r="F254" s="2" t="str">
        <f>IFERROR(__xludf.DUMMYFUNCTION("""COMPUTED_VALUE"""),"COURSERA")</f>
        <v>COURSERA</v>
      </c>
      <c r="G254" s="3" t="str">
        <f>IFERROR(__xludf.DUMMYFUNCTION("""COMPUTED_VALUE"""),"Introduction to Deep Learning (Coursera)")</f>
        <v>Introduction to Deep Learning (Coursera)</v>
      </c>
      <c r="H254" s="2" t="str">
        <f>IFERROR(__xludf.DUMMYFUNCTION("""COMPUTED_VALUE"""),"5 weeks")</f>
        <v>5 weeks</v>
      </c>
      <c r="I254" s="2"/>
      <c r="J254" s="2"/>
      <c r="K254" s="2"/>
      <c r="L254" s="2" t="str">
        <f>IFERROR(__xludf.DUMMYFUNCTION("""COMPUTED_VALUE"""),"CGPA")</f>
        <v>CGPA</v>
      </c>
      <c r="M254" s="2" t="str">
        <f>IFERROR(__xludf.DUMMYFUNCTION("""COMPUTED_VALUE"""),"Experiential Learning (Int and Grade from Certificate)")</f>
        <v>Experiential Learning (Int and Grade from Certificate)</v>
      </c>
      <c r="N254" s="2">
        <f>IFERROR(__xludf.DUMMYFUNCTION("""COMPUTED_VALUE"""),1)</f>
        <v>1</v>
      </c>
      <c r="O254" s="2">
        <f>IFERROR(__xludf.DUMMYFUNCTION("""COMPUTED_VALUE"""),1)</f>
        <v>1</v>
      </c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30.75" customHeight="1" spans="1:26">
      <c r="A255" s="2">
        <f>IFERROR(__xludf.DUMMYFUNCTION("""COMPUTED_VALUE"""),254)</f>
        <v>254</v>
      </c>
      <c r="B255" s="2" t="str">
        <f>IFERROR(__xludf.DUMMYFUNCTION("""COMPUTED_VALUE"""),"SCoFT")</f>
        <v>SCoFT</v>
      </c>
      <c r="C255" s="2" t="str">
        <f>IFERROR(__xludf.DUMMYFUNCTION("""COMPUTED_VALUE"""),"CS3073")</f>
        <v>CS3073</v>
      </c>
      <c r="D255" s="2" t="str">
        <f>IFERROR(__xludf.DUMMYFUNCTION("""COMPUTED_VALUE"""),"19AI073")</f>
        <v>19AI073</v>
      </c>
      <c r="E255" s="2"/>
      <c r="F255" s="2" t="str">
        <f>IFERROR(__xludf.DUMMYFUNCTION("""COMPUTED_VALUE"""),"COURSERA")</f>
        <v>COURSERA</v>
      </c>
      <c r="G255" s="3" t="str">
        <f>IFERROR(__xludf.DUMMYFUNCTION("""COMPUTED_VALUE"""),"Introduction to Embedded Machine Learning (Coursera)")</f>
        <v>Introduction to Embedded Machine Learning (Coursera)</v>
      </c>
      <c r="H255" s="2" t="str">
        <f>IFERROR(__xludf.DUMMYFUNCTION("""COMPUTED_VALUE"""),"4 Weeks")</f>
        <v>4 Weeks</v>
      </c>
      <c r="I255" s="2"/>
      <c r="J255" s="2"/>
      <c r="K255" s="2"/>
      <c r="L255" s="2" t="str">
        <f>IFERROR(__xludf.DUMMYFUNCTION("""COMPUTED_VALUE"""),"CGPA")</f>
        <v>CGPA</v>
      </c>
      <c r="M255" s="2" t="str">
        <f>IFERROR(__xludf.DUMMYFUNCTION("""COMPUTED_VALUE"""),"Experiential Learning (Int and Grade from Certificate)")</f>
        <v>Experiential Learning (Int and Grade from Certificate)</v>
      </c>
      <c r="N255" s="2">
        <f>IFERROR(__xludf.DUMMYFUNCTION("""COMPUTED_VALUE"""),1)</f>
        <v>1</v>
      </c>
      <c r="O255" s="2">
        <f>IFERROR(__xludf.DUMMYFUNCTION("""COMPUTED_VALUE"""),1)</f>
        <v>1</v>
      </c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30.75" customHeight="1" spans="1:26">
      <c r="A256" s="2">
        <f>IFERROR(__xludf.DUMMYFUNCTION("""COMPUTED_VALUE"""),255)</f>
        <v>255</v>
      </c>
      <c r="B256" s="2" t="str">
        <f>IFERROR(__xludf.DUMMYFUNCTION("""COMPUTED_VALUE"""),"BME, MED ELEC")</f>
        <v>BME, MED ELEC</v>
      </c>
      <c r="C256" s="2" t="str">
        <f>IFERROR(__xludf.DUMMYFUNCTION("""COMPUTED_VALUE"""),"EC4655")</f>
        <v>EC4655</v>
      </c>
      <c r="D256" s="2" t="str">
        <f>IFERROR(__xludf.DUMMYFUNCTION("""COMPUTED_VALUE"""),"19BM655")</f>
        <v>19BM655</v>
      </c>
      <c r="E256" s="2"/>
      <c r="F256" s="2" t="str">
        <f>IFERROR(__xludf.DUMMYFUNCTION("""COMPUTED_VALUE"""),"NPTEL")</f>
        <v>NPTEL</v>
      </c>
      <c r="G256" s="3" t="str">
        <f>IFERROR(__xludf.DUMMYFUNCTION("""COMPUTED_VALUE"""),"Introduction to Embedded System Design (NPTEL)")</f>
        <v>Introduction to Embedded System Design (NPTEL)</v>
      </c>
      <c r="H256" s="2" t="str">
        <f>IFERROR(__xludf.DUMMYFUNCTION("""COMPUTED_VALUE"""),"12 Weeks")</f>
        <v>12 Weeks</v>
      </c>
      <c r="I256" s="2"/>
      <c r="J256" s="2"/>
      <c r="K256" s="2"/>
      <c r="L256" s="2" t="str">
        <f>IFERROR(__xludf.DUMMYFUNCTION("""COMPUTED_VALUE"""),"CGPA")</f>
        <v>CGPA</v>
      </c>
      <c r="M256" s="2" t="str">
        <f>IFERROR(__xludf.DUMMYFUNCTION("""COMPUTED_VALUE"""),"Experiential Learning (Int and Grade from Certificate)")</f>
        <v>Experiential Learning (Int and Grade from Certificate)</v>
      </c>
      <c r="N256" s="2">
        <f>IFERROR(__xludf.DUMMYFUNCTION("""COMPUTED_VALUE"""),3)</f>
        <v>3</v>
      </c>
      <c r="O256" s="2">
        <f>IFERROR(__xludf.DUMMYFUNCTION("""COMPUTED_VALUE"""),3)</f>
        <v>3</v>
      </c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30.75" customHeight="1" spans="1:26">
      <c r="A257" s="2">
        <f>IFERROR(__xludf.DUMMYFUNCTION("""COMPUTED_VALUE"""),256)</f>
        <v>256</v>
      </c>
      <c r="B257" s="2" t="str">
        <f>IFERROR(__xludf.DUMMYFUNCTION("""COMPUTED_VALUE"""),"SCoFT")</f>
        <v>SCoFT</v>
      </c>
      <c r="C257" s="2" t="str">
        <f>IFERROR(__xludf.DUMMYFUNCTION("""COMPUTED_VALUE"""),"CS3042")</f>
        <v>CS3042</v>
      </c>
      <c r="D257" s="2" t="str">
        <f>IFERROR(__xludf.DUMMYFUNCTION("""COMPUTED_VALUE"""),"19AI042")</f>
        <v>19AI042</v>
      </c>
      <c r="E257" s="2"/>
      <c r="F257" s="2" t="str">
        <f>IFERROR(__xludf.DUMMYFUNCTION("""COMPUTED_VALUE"""),"NPTEL")</f>
        <v>NPTEL</v>
      </c>
      <c r="G257" s="3" t="str">
        <f>IFERROR(__xludf.DUMMYFUNCTION("""COMPUTED_VALUE"""),"Introduction to Game Theory and Mechanism Design (NPTEL)")</f>
        <v>Introduction to Game Theory and Mechanism Design (NPTEL)</v>
      </c>
      <c r="H257" s="2" t="str">
        <f>IFERROR(__xludf.DUMMYFUNCTION("""COMPUTED_VALUE"""),"12 Weeks")</f>
        <v>12 Weeks</v>
      </c>
      <c r="I257" s="2"/>
      <c r="J257" s="2"/>
      <c r="K257" s="2"/>
      <c r="L257" s="2" t="str">
        <f>IFERROR(__xludf.DUMMYFUNCTION("""COMPUTED_VALUE"""),"CGPA ")</f>
        <v>CGPA </v>
      </c>
      <c r="M257" s="2" t="str">
        <f>IFERROR(__xludf.DUMMYFUNCTION("""COMPUTED_VALUE"""),"Experiential Learning (Int and Grade from Certificate)")</f>
        <v>Experiential Learning (Int and Grade from Certificate)</v>
      </c>
      <c r="N257" s="2">
        <f>IFERROR(__xludf.DUMMYFUNCTION("""COMPUTED_VALUE"""),3)</f>
        <v>3</v>
      </c>
      <c r="O257" s="2">
        <f>IFERROR(__xludf.DUMMYFUNCTION("""COMPUTED_VALUE"""),3)</f>
        <v>3</v>
      </c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30.75" customHeight="1" spans="1:26">
      <c r="A258" s="2">
        <f>IFERROR(__xludf.DUMMYFUNCTION("""COMPUTED_VALUE"""),257)</f>
        <v>257</v>
      </c>
      <c r="B258" s="2" t="str">
        <f>IFERROR(__xludf.DUMMYFUNCTION("""COMPUTED_VALUE"""),"BME, MED ELEC")</f>
        <v>BME, MED ELEC</v>
      </c>
      <c r="C258" s="2" t="str">
        <f>IFERROR(__xludf.DUMMYFUNCTION("""COMPUTED_VALUE"""),"EC4656")</f>
        <v>EC4656</v>
      </c>
      <c r="D258" s="2" t="str">
        <f>IFERROR(__xludf.DUMMYFUNCTION("""COMPUTED_VALUE"""),"19BM656")</f>
        <v>19BM656</v>
      </c>
      <c r="E258" s="2"/>
      <c r="F258" s="2" t="str">
        <f>IFERROR(__xludf.DUMMYFUNCTION("""COMPUTED_VALUE"""),"NPTEL")</f>
        <v>NPTEL</v>
      </c>
      <c r="G258" s="3" t="str">
        <f>IFERROR(__xludf.DUMMYFUNCTION("""COMPUTED_VALUE"""),"Introduction to Graphic Design (NPTEL)")</f>
        <v>Introduction to Graphic Design (NPTEL)</v>
      </c>
      <c r="H258" s="2" t="str">
        <f>IFERROR(__xludf.DUMMYFUNCTION("""COMPUTED_VALUE"""),"8 Weeks")</f>
        <v>8 Weeks</v>
      </c>
      <c r="I258" s="2"/>
      <c r="J258" s="2"/>
      <c r="K258" s="2"/>
      <c r="L258" s="2" t="str">
        <f>IFERROR(__xludf.DUMMYFUNCTION("""COMPUTED_VALUE"""),"CGPA")</f>
        <v>CGPA</v>
      </c>
      <c r="M258" s="2" t="str">
        <f>IFERROR(__xludf.DUMMYFUNCTION("""COMPUTED_VALUE"""),"Experiential Learning (Int and Grade from Certificate)")</f>
        <v>Experiential Learning (Int and Grade from Certificate)</v>
      </c>
      <c r="N258" s="2">
        <f>IFERROR(__xludf.DUMMYFUNCTION("""COMPUTED_VALUE"""),2)</f>
        <v>2</v>
      </c>
      <c r="O258" s="2">
        <f>IFERROR(__xludf.DUMMYFUNCTION("""COMPUTED_VALUE"""),2)</f>
        <v>2</v>
      </c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30.75" customHeight="1" spans="1:26">
      <c r="A259" s="2">
        <f>IFERROR(__xludf.DUMMYFUNCTION("""COMPUTED_VALUE"""),258)</f>
        <v>258</v>
      </c>
      <c r="B259" s="2" t="str">
        <f>IFERROR(__xludf.DUMMYFUNCTION("""COMPUTED_VALUE"""),"SCoFT")</f>
        <v>SCoFT</v>
      </c>
      <c r="C259" s="2" t="str">
        <f>IFERROR(__xludf.DUMMYFUNCTION("""COMPUTED_VALUE"""),"CS3043")</f>
        <v>CS3043</v>
      </c>
      <c r="D259" s="2" t="str">
        <f>IFERROR(__xludf.DUMMYFUNCTION("""COMPUTED_VALUE"""),"19AI043")</f>
        <v>19AI043</v>
      </c>
      <c r="E259" s="2"/>
      <c r="F259" s="2" t="str">
        <f>IFERROR(__xludf.DUMMYFUNCTION("""COMPUTED_VALUE"""),"NPTEL")</f>
        <v>NPTEL</v>
      </c>
      <c r="G259" s="3" t="str">
        <f>IFERROR(__xludf.DUMMYFUNCTION("""COMPUTED_VALUE"""),"Introduction to Haskell Programming (NPTEL)")</f>
        <v>Introduction to Haskell Programming (NPTEL)</v>
      </c>
      <c r="H259" s="2" t="str">
        <f>IFERROR(__xludf.DUMMYFUNCTION("""COMPUTED_VALUE"""),"8 Weeks")</f>
        <v>8 Weeks</v>
      </c>
      <c r="I259" s="2"/>
      <c r="J259" s="2"/>
      <c r="K259" s="2"/>
      <c r="L259" s="2" t="str">
        <f>IFERROR(__xludf.DUMMYFUNCTION("""COMPUTED_VALUE"""),"CGPA ")</f>
        <v>CGPA </v>
      </c>
      <c r="M259" s="2" t="str">
        <f>IFERROR(__xludf.DUMMYFUNCTION("""COMPUTED_VALUE"""),"Experiential Learning (Int and Grade from Certificate)")</f>
        <v>Experiential Learning (Int and Grade from Certificate)</v>
      </c>
      <c r="N259" s="2">
        <f>IFERROR(__xludf.DUMMYFUNCTION("""COMPUTED_VALUE"""),2)</f>
        <v>2</v>
      </c>
      <c r="O259" s="2">
        <f>IFERROR(__xludf.DUMMYFUNCTION("""COMPUTED_VALUE"""),2)</f>
        <v>2</v>
      </c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30.75" customHeight="1" spans="1:26">
      <c r="A260" s="2">
        <f>IFERROR(__xludf.DUMMYFUNCTION("""COMPUTED_VALUE"""),259)</f>
        <v>259</v>
      </c>
      <c r="B260" s="2" t="str">
        <f>IFERROR(__xludf.DUMMYFUNCTION("""COMPUTED_VALUE"""),"EIE, ECE,SCoFT")</f>
        <v>EIE, ECE,SCoFT</v>
      </c>
      <c r="C260" s="2" t="str">
        <f>IFERROR(__xludf.DUMMYFUNCTION("""COMPUTED_VALUE"""),"EC3603")</f>
        <v>EC3603</v>
      </c>
      <c r="D260" s="2" t="str">
        <f>IFERROR(__xludf.DUMMYFUNCTION("""COMPUTED_VALUE"""),"19EI603")</f>
        <v>19EI603</v>
      </c>
      <c r="E260" s="2"/>
      <c r="F260" s="2" t="str">
        <f>IFERROR(__xludf.DUMMYFUNCTION("""COMPUTED_VALUE"""),"NPTEL (IIT Kharagpur)")</f>
        <v>NPTEL (IIT Kharagpur)</v>
      </c>
      <c r="G260" s="3" t="str">
        <f>IFERROR(__xludf.DUMMYFUNCTION("""COMPUTED_VALUE"""),"Introduction to Industry 4.0 and Industrial Internet of Things (NPTEL)")</f>
        <v>Introduction to Industry 4.0 and Industrial Internet of Things (NPTEL)</v>
      </c>
      <c r="H260" s="2" t="str">
        <f>IFERROR(__xludf.DUMMYFUNCTION("""COMPUTED_VALUE"""),"12 Weeks")</f>
        <v>12 Weeks</v>
      </c>
      <c r="I260" s="4">
        <f>IFERROR(__xludf.DUMMYFUNCTION("""COMPUTED_VALUE"""),45224)</f>
        <v>45224</v>
      </c>
      <c r="J260" s="2" t="str">
        <f>IFERROR(__xludf.DUMMYFUNCTION("""COMPUTED_VALUE"""),"30/75")</f>
        <v>30/75</v>
      </c>
      <c r="K260" s="2" t="str">
        <f>IFERROR(__xludf.DUMMYFUNCTION("""COMPUTED_VALUE"""),"40/100")</f>
        <v>40/100</v>
      </c>
      <c r="L260" s="2" t="str">
        <f>IFERROR(__xludf.DUMMYFUNCTION("""COMPUTED_VALUE"""),"CGPA ")</f>
        <v>CGPA </v>
      </c>
      <c r="M260" s="2" t="str">
        <f>IFERROR(__xludf.DUMMYFUNCTION("""COMPUTED_VALUE"""),"Experiential Learning (Int and Grade from Certificate)")</f>
        <v>Experiential Learning (Int and Grade from Certificate)</v>
      </c>
      <c r="N260" s="2">
        <f>IFERROR(__xludf.DUMMYFUNCTION("""COMPUTED_VALUE"""),2)</f>
        <v>2</v>
      </c>
      <c r="O260" s="2">
        <f>IFERROR(__xludf.DUMMYFUNCTION("""COMPUTED_VALUE"""),3)</f>
        <v>3</v>
      </c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30.75" customHeight="1" spans="1:26">
      <c r="A261" s="2">
        <f>IFERROR(__xludf.DUMMYFUNCTION("""COMPUTED_VALUE"""),260)</f>
        <v>260</v>
      </c>
      <c r="B261" s="2" t="str">
        <f>IFERROR(__xludf.DUMMYFUNCTION("""COMPUTED_VALUE"""),"BME, MED ELEC")</f>
        <v>BME, MED ELEC</v>
      </c>
      <c r="C261" s="2" t="str">
        <f>IFERROR(__xludf.DUMMYFUNCTION("""COMPUTED_VALUE"""),"EC4657")</f>
        <v>EC4657</v>
      </c>
      <c r="D261" s="2" t="str">
        <f>IFERROR(__xludf.DUMMYFUNCTION("""COMPUTED_VALUE"""),"19BM657")</f>
        <v>19BM657</v>
      </c>
      <c r="E261" s="2"/>
      <c r="F261" s="2" t="str">
        <f>IFERROR(__xludf.DUMMYFUNCTION("""COMPUTED_VALUE"""),"NPTEL")</f>
        <v>NPTEL</v>
      </c>
      <c r="G261" s="3" t="str">
        <f>IFERROR(__xludf.DUMMYFUNCTION("""COMPUTED_VALUE"""),"Introduction to Internet of Things (NPTEL)")</f>
        <v>Introduction to Internet of Things (NPTEL)</v>
      </c>
      <c r="H261" s="2" t="str">
        <f>IFERROR(__xludf.DUMMYFUNCTION("""COMPUTED_VALUE"""),"12 Weeks")</f>
        <v>12 Weeks</v>
      </c>
      <c r="I261" s="2"/>
      <c r="J261" s="2"/>
      <c r="K261" s="2"/>
      <c r="L261" s="2" t="str">
        <f>IFERROR(__xludf.DUMMYFUNCTION("""COMPUTED_VALUE"""),"CGPA")</f>
        <v>CGPA</v>
      </c>
      <c r="M261" s="2" t="str">
        <f>IFERROR(__xludf.DUMMYFUNCTION("""COMPUTED_VALUE"""),"Experiential Learning (Int and Grade from Certificate)")</f>
        <v>Experiential Learning (Int and Grade from Certificate)</v>
      </c>
      <c r="N261" s="2">
        <f>IFERROR(__xludf.DUMMYFUNCTION("""COMPUTED_VALUE"""),3)</f>
        <v>3</v>
      </c>
      <c r="O261" s="2">
        <f>IFERROR(__xludf.DUMMYFUNCTION("""COMPUTED_VALUE"""),3)</f>
        <v>3</v>
      </c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30.75" customHeight="1" spans="1:26">
      <c r="A262" s="2">
        <f>IFERROR(__xludf.DUMMYFUNCTION("""COMPUTED_VALUE"""),261)</f>
        <v>261</v>
      </c>
      <c r="B262" s="2" t="str">
        <f>IFERROR(__xludf.DUMMYFUNCTION("""COMPUTED_VALUE"""),"ECE, EIE, BME, MED ELEC, EEE,ScoFT")</f>
        <v>ECE, EIE, BME, MED ELEC, EEE,ScoFT</v>
      </c>
      <c r="C262" s="2" t="str">
        <f>IFERROR(__xludf.DUMMYFUNCTION("""COMPUTED_VALUE"""),"EC1621")</f>
        <v>EC1621</v>
      </c>
      <c r="D262" s="2" t="str">
        <f>IFERROR(__xludf.DUMMYFUNCTION("""COMPUTED_VALUE"""),"19EC621")</f>
        <v>19EC621</v>
      </c>
      <c r="E262" s="2"/>
      <c r="F262" s="2" t="str">
        <f>IFERROR(__xludf.DUMMYFUNCTION("""COMPUTED_VALUE"""),"NPTEL")</f>
        <v>NPTEL</v>
      </c>
      <c r="G262" s="3" t="str">
        <f>IFERROR(__xludf.DUMMYFUNCTION("""COMPUTED_VALUE"""),"Introduction to Internet of Things (NPTEL)")</f>
        <v>Introduction to Internet of Things (NPTEL)</v>
      </c>
      <c r="H262" s="2" t="str">
        <f>IFERROR(__xludf.DUMMYFUNCTION("""COMPUTED_VALUE"""),"12 Weeks")</f>
        <v>12 Weeks</v>
      </c>
      <c r="I262" s="4">
        <f>IFERROR(__xludf.DUMMYFUNCTION("""COMPUTED_VALUE"""),45224)</f>
        <v>45224</v>
      </c>
      <c r="J262" s="2" t="str">
        <f>IFERROR(__xludf.DUMMYFUNCTION("""COMPUTED_VALUE"""),"30/75")</f>
        <v>30/75</v>
      </c>
      <c r="K262" s="2" t="str">
        <f>IFERROR(__xludf.DUMMYFUNCTION("""COMPUTED_VALUE"""),"40/100")</f>
        <v>40/100</v>
      </c>
      <c r="L262" s="2" t="str">
        <f>IFERROR(__xludf.DUMMYFUNCTION("""COMPUTED_VALUE"""),"CGPA ")</f>
        <v>CGPA </v>
      </c>
      <c r="M262" s="2" t="str">
        <f>IFERROR(__xludf.DUMMYFUNCTION("""COMPUTED_VALUE"""),"Experiential Learning (Int and Grade from Certificate)")</f>
        <v>Experiential Learning (Int and Grade from Certificate)</v>
      </c>
      <c r="N262" s="2">
        <f>IFERROR(__xludf.DUMMYFUNCTION("""COMPUTED_VALUE"""),2)</f>
        <v>2</v>
      </c>
      <c r="O262" s="2">
        <f>IFERROR(__xludf.DUMMYFUNCTION("""COMPUTED_VALUE"""),3)</f>
        <v>3</v>
      </c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30.75" customHeight="1" spans="1:26">
      <c r="A263" s="2">
        <f>IFERROR(__xludf.DUMMYFUNCTION("""COMPUTED_VALUE"""),262)</f>
        <v>262</v>
      </c>
      <c r="B263" s="2" t="str">
        <f>IFERROR(__xludf.DUMMYFUNCTION("""COMPUTED_VALUE"""),"ECE, BME, MED ELEC, EEE, EIE,SCoFT")</f>
        <v>ECE, BME, MED ELEC, EEE, EIE,SCoFT</v>
      </c>
      <c r="C263" s="2" t="str">
        <f>IFERROR(__xludf.DUMMYFUNCTION("""COMPUTED_VALUE"""),"EC1611")</f>
        <v>EC1611</v>
      </c>
      <c r="D263" s="2" t="str">
        <f>IFERROR(__xludf.DUMMYFUNCTION("""COMPUTED_VALUE"""),"19EC611")</f>
        <v>19EC611</v>
      </c>
      <c r="E263" s="2"/>
      <c r="F263" s="2" t="str">
        <f>IFERROR(__xludf.DUMMYFUNCTION("""COMPUTED_VALUE"""),"NPTEL")</f>
        <v>NPTEL</v>
      </c>
      <c r="G263" s="3" t="str">
        <f>IFERROR(__xludf.DUMMYFUNCTION("""COMPUTED_VALUE"""),"Introduction to Machine Learning (NPTEL)")</f>
        <v>Introduction to Machine Learning (NPTEL)</v>
      </c>
      <c r="H263" s="2" t="str">
        <f>IFERROR(__xludf.DUMMYFUNCTION("""COMPUTED_VALUE"""),"12 Weeks")</f>
        <v>12 Weeks</v>
      </c>
      <c r="I263" s="4">
        <f>IFERROR(__xludf.DUMMYFUNCTION("""COMPUTED_VALUE"""),45224)</f>
        <v>45224</v>
      </c>
      <c r="J263" s="2" t="str">
        <f>IFERROR(__xludf.DUMMYFUNCTION("""COMPUTED_VALUE"""),"30/75")</f>
        <v>30/75</v>
      </c>
      <c r="K263" s="2" t="str">
        <f>IFERROR(__xludf.DUMMYFUNCTION("""COMPUTED_VALUE"""),"40/100")</f>
        <v>40/100</v>
      </c>
      <c r="L263" s="2" t="str">
        <f>IFERROR(__xludf.DUMMYFUNCTION("""COMPUTED_VALUE"""),"CGPA ")</f>
        <v>CGPA </v>
      </c>
      <c r="M263" s="2" t="str">
        <f>IFERROR(__xludf.DUMMYFUNCTION("""COMPUTED_VALUE"""),"Experiential Learning (Int and Grade from Certificate)")</f>
        <v>Experiential Learning (Int and Grade from Certificate)</v>
      </c>
      <c r="N263" s="2">
        <f>IFERROR(__xludf.DUMMYFUNCTION("""COMPUTED_VALUE"""),2)</f>
        <v>2</v>
      </c>
      <c r="O263" s="2">
        <f>IFERROR(__xludf.DUMMYFUNCTION("""COMPUTED_VALUE"""),3)</f>
        <v>3</v>
      </c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30.75" customHeight="1" spans="1:26">
      <c r="A264" s="2">
        <f>IFERROR(__xludf.DUMMYFUNCTION("""COMPUTED_VALUE"""),263)</f>
        <v>263</v>
      </c>
      <c r="B264" s="2" t="str">
        <f>IFERROR(__xludf.DUMMYFUNCTION("""COMPUTED_VALUE"""),"SCoFT")</f>
        <v>SCoFT</v>
      </c>
      <c r="C264" s="2" t="str">
        <f>IFERROR(__xludf.DUMMYFUNCTION("""COMPUTED_VALUE"""),"CS3046")</f>
        <v>CS3046</v>
      </c>
      <c r="D264" s="2" t="str">
        <f>IFERROR(__xludf.DUMMYFUNCTION("""COMPUTED_VALUE"""),"19AI046")</f>
        <v>19AI046</v>
      </c>
      <c r="E264" s="2"/>
      <c r="F264" s="2" t="str">
        <f>IFERROR(__xludf.DUMMYFUNCTION("""COMPUTED_VALUE"""),"NPTEL (IITKGP)")</f>
        <v>NPTEL (IITKGP)</v>
      </c>
      <c r="G264" s="3" t="str">
        <f>IFERROR(__xludf.DUMMYFUNCTION("""COMPUTED_VALUE"""),"Introduction to Machine Learning (NPTEL)")</f>
        <v>Introduction to Machine Learning (NPTEL)</v>
      </c>
      <c r="H264" s="2" t="str">
        <f>IFERROR(__xludf.DUMMYFUNCTION("""COMPUTED_VALUE"""),"8 Weeks")</f>
        <v>8 Weeks</v>
      </c>
      <c r="I264" s="2"/>
      <c r="J264" s="2"/>
      <c r="K264" s="2"/>
      <c r="L264" s="2" t="str">
        <f>IFERROR(__xludf.DUMMYFUNCTION("""COMPUTED_VALUE"""),"CGPA ")</f>
        <v>CGPA </v>
      </c>
      <c r="M264" s="2" t="str">
        <f>IFERROR(__xludf.DUMMYFUNCTION("""COMPUTED_VALUE"""),"Experiential Learning (Int and Grade from Certificate)")</f>
        <v>Experiential Learning (Int and Grade from Certificate)</v>
      </c>
      <c r="N264" s="2">
        <f>IFERROR(__xludf.DUMMYFUNCTION("""COMPUTED_VALUE"""),2)</f>
        <v>2</v>
      </c>
      <c r="O264" s="2">
        <f>IFERROR(__xludf.DUMMYFUNCTION("""COMPUTED_VALUE"""),2)</f>
        <v>2</v>
      </c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30.75" customHeight="1" spans="1:26">
      <c r="A265" s="2">
        <f>IFERROR(__xludf.DUMMYFUNCTION("""COMPUTED_VALUE"""),264)</f>
        <v>264</v>
      </c>
      <c r="B265" s="2" t="str">
        <f>IFERROR(__xludf.DUMMYFUNCTION("""COMPUTED_VALUE"""),"BME, MED ELEC")</f>
        <v>BME, MED ELEC</v>
      </c>
      <c r="C265" s="2" t="str">
        <f>IFERROR(__xludf.DUMMYFUNCTION("""COMPUTED_VALUE"""),"EC4658")</f>
        <v>EC4658</v>
      </c>
      <c r="D265" s="2" t="str">
        <f>IFERROR(__xludf.DUMMYFUNCTION("""COMPUTED_VALUE"""),"19BM658")</f>
        <v>19BM658</v>
      </c>
      <c r="E265" s="2"/>
      <c r="F265" s="2" t="str">
        <f>IFERROR(__xludf.DUMMYFUNCTION("""COMPUTED_VALUE"""),"NPTEL")</f>
        <v>NPTEL</v>
      </c>
      <c r="G265" s="3" t="str">
        <f>IFERROR(__xludf.DUMMYFUNCTION("""COMPUTED_VALUE"""),"Introduction to Machine Learning (Tamil) (NPTEL)")</f>
        <v>Introduction to Machine Learning (Tamil) (NPTEL)</v>
      </c>
      <c r="H265" s="2" t="str">
        <f>IFERROR(__xludf.DUMMYFUNCTION("""COMPUTED_VALUE"""),"8 Weeks")</f>
        <v>8 Weeks</v>
      </c>
      <c r="I265" s="2"/>
      <c r="J265" s="2"/>
      <c r="K265" s="2"/>
      <c r="L265" s="2" t="str">
        <f>IFERROR(__xludf.DUMMYFUNCTION("""COMPUTED_VALUE"""),"CGPA")</f>
        <v>CGPA</v>
      </c>
      <c r="M265" s="2" t="str">
        <f>IFERROR(__xludf.DUMMYFUNCTION("""COMPUTED_VALUE"""),"Experiential Learning (Int and Grade from Certificate)")</f>
        <v>Experiential Learning (Int and Grade from Certificate)</v>
      </c>
      <c r="N265" s="2">
        <f>IFERROR(__xludf.DUMMYFUNCTION("""COMPUTED_VALUE"""),2)</f>
        <v>2</v>
      </c>
      <c r="O265" s="2">
        <f>IFERROR(__xludf.DUMMYFUNCTION("""COMPUTED_VALUE"""),2)</f>
        <v>2</v>
      </c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30.75" customHeight="1" spans="1:26">
      <c r="A266" s="2">
        <f>IFERROR(__xludf.DUMMYFUNCTION("""COMPUTED_VALUE"""),265)</f>
        <v>265</v>
      </c>
      <c r="B266" s="2" t="str">
        <f>IFERROR(__xludf.DUMMYFUNCTION("""COMPUTED_VALUE"""),"CIVIL")</f>
        <v>CIVIL</v>
      </c>
      <c r="C266" s="2" t="str">
        <f>IFERROR(__xludf.DUMMYFUNCTION("""COMPUTED_VALUE"""),"CE0605")</f>
        <v>CE0605</v>
      </c>
      <c r="D266" s="2" t="str">
        <f>IFERROR(__xludf.DUMMYFUNCTION("""COMPUTED_VALUE"""),"19CE605")</f>
        <v>19CE605</v>
      </c>
      <c r="E266" s="2"/>
      <c r="F266" s="2" t="str">
        <f>IFERROR(__xludf.DUMMYFUNCTION("""COMPUTED_VALUE"""),"NPTEL")</f>
        <v>NPTEL</v>
      </c>
      <c r="G266" s="3" t="str">
        <f>IFERROR(__xludf.DUMMYFUNCTION("""COMPUTED_VALUE"""),"Introduction to Multimodal Urban Transportation Systems (NPTEL)")</f>
        <v>Introduction to Multimodal Urban Transportation Systems (NPTEL)</v>
      </c>
      <c r="H266" s="2" t="str">
        <f>IFERROR(__xludf.DUMMYFUNCTION("""COMPUTED_VALUE"""),"12 Weeks")</f>
        <v>12 Weeks</v>
      </c>
      <c r="I266" s="2" t="str">
        <f>IFERROR(__xludf.DUMMYFUNCTION("""COMPUTED_VALUE"""),"10 / 25")</f>
        <v>10 / 25</v>
      </c>
      <c r="J266" s="2" t="str">
        <f>IFERROR(__xludf.DUMMYFUNCTION("""COMPUTED_VALUE"""),"30 / 75")</f>
        <v>30 / 75</v>
      </c>
      <c r="K266" s="2" t="str">
        <f>IFERROR(__xludf.DUMMYFUNCTION("""COMPUTED_VALUE"""),"40 / 100")</f>
        <v>40 / 100</v>
      </c>
      <c r="L266" s="2" t="str">
        <f>IFERROR(__xludf.DUMMYFUNCTION("""COMPUTED_VALUE"""),"CGPA ")</f>
        <v>CGPA </v>
      </c>
      <c r="M266" s="2" t="str">
        <f>IFERROR(__xludf.DUMMYFUNCTION("""COMPUTED_VALUE"""),"Experiential Learning (Int and Grade from Certificate)")</f>
        <v>Experiential Learning (Int and Grade from Certificate)</v>
      </c>
      <c r="N266" s="2">
        <f>IFERROR(__xludf.DUMMYFUNCTION("""COMPUTED_VALUE"""),2)</f>
        <v>2</v>
      </c>
      <c r="O266" s="2">
        <f>IFERROR(__xludf.DUMMYFUNCTION("""COMPUTED_VALUE"""),3)</f>
        <v>3</v>
      </c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30.75" customHeight="1" spans="1:26">
      <c r="A267" s="2">
        <f>IFERROR(__xludf.DUMMYFUNCTION("""COMPUTED_VALUE"""),266)</f>
        <v>266</v>
      </c>
      <c r="B267" s="2" t="str">
        <f>IFERROR(__xludf.DUMMYFUNCTION("""COMPUTED_VALUE"""),"SCoFT")</f>
        <v>SCoFT</v>
      </c>
      <c r="C267" s="2" t="str">
        <f>IFERROR(__xludf.DUMMYFUNCTION("""COMPUTED_VALUE"""),"CS3047")</f>
        <v>CS3047</v>
      </c>
      <c r="D267" s="2" t="str">
        <f>IFERROR(__xludf.DUMMYFUNCTION("""COMPUTED_VALUE"""),"19AI047")</f>
        <v>19AI047</v>
      </c>
      <c r="E267" s="2"/>
      <c r="F267" s="2" t="str">
        <f>IFERROR(__xludf.DUMMYFUNCTION("""COMPUTED_VALUE"""),"NPTEL")</f>
        <v>NPTEL</v>
      </c>
      <c r="G267" s="3" t="str">
        <f>IFERROR(__xludf.DUMMYFUNCTION("""COMPUTED_VALUE"""),"Introduction to Parallel Programming with OpenMP and MPI (NPTEL)")</f>
        <v>Introduction to Parallel Programming with OpenMP and MPI (NPTEL)</v>
      </c>
      <c r="H267" s="2" t="str">
        <f>IFERROR(__xludf.DUMMYFUNCTION("""COMPUTED_VALUE"""),"8 Weeks")</f>
        <v>8 Weeks</v>
      </c>
      <c r="I267" s="2"/>
      <c r="J267" s="2"/>
      <c r="K267" s="2"/>
      <c r="L267" s="2" t="str">
        <f>IFERROR(__xludf.DUMMYFUNCTION("""COMPUTED_VALUE"""),"CGPA ")</f>
        <v>CGPA </v>
      </c>
      <c r="M267" s="2" t="str">
        <f>IFERROR(__xludf.DUMMYFUNCTION("""COMPUTED_VALUE"""),"Experiential Learning (Int and Grade from Certificate)")</f>
        <v>Experiential Learning (Int and Grade from Certificate)</v>
      </c>
      <c r="N267" s="2">
        <f>IFERROR(__xludf.DUMMYFUNCTION("""COMPUTED_VALUE"""),2)</f>
        <v>2</v>
      </c>
      <c r="O267" s="2">
        <f>IFERROR(__xludf.DUMMYFUNCTION("""COMPUTED_VALUE"""),2)</f>
        <v>2</v>
      </c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30.75" customHeight="1" spans="1:26">
      <c r="A268" s="2">
        <f>IFERROR(__xludf.DUMMYFUNCTION("""COMPUTED_VALUE"""),267)</f>
        <v>267</v>
      </c>
      <c r="B268" s="2" t="str">
        <f>IFERROR(__xludf.DUMMYFUNCTION("""COMPUTED_VALUE"""),"BME, MED ELEC")</f>
        <v>BME, MED ELEC</v>
      </c>
      <c r="C268" s="2" t="str">
        <f>IFERROR(__xludf.DUMMYFUNCTION("""COMPUTED_VALUE"""),"EC4612")</f>
        <v>EC4612</v>
      </c>
      <c r="D268" s="2" t="str">
        <f>IFERROR(__xludf.DUMMYFUNCTION("""COMPUTED_VALUE"""),"19BM612")</f>
        <v>19BM612</v>
      </c>
      <c r="E268" s="2"/>
      <c r="F268" s="2" t="str">
        <f>IFERROR(__xludf.DUMMYFUNCTION("""COMPUTED_VALUE"""),"NPTEL")</f>
        <v>NPTEL</v>
      </c>
      <c r="G268" s="3" t="str">
        <f>IFERROR(__xludf.DUMMYFUNCTION("""COMPUTED_VALUE"""),"Introduction to Photonics (NPTEL)")</f>
        <v>Introduction to Photonics (NPTEL)</v>
      </c>
      <c r="H268" s="2" t="str">
        <f>IFERROR(__xludf.DUMMYFUNCTION("""COMPUTED_VALUE"""),"12 Weeks")</f>
        <v>12 Weeks</v>
      </c>
      <c r="I268" s="2" t="str">
        <f>IFERROR(__xludf.DUMMYFUNCTION("""COMPUTED_VALUE"""),"10 / 25")</f>
        <v>10 / 25</v>
      </c>
      <c r="J268" s="2" t="str">
        <f>IFERROR(__xludf.DUMMYFUNCTION("""COMPUTED_VALUE"""),"30 / 75")</f>
        <v>30 / 75</v>
      </c>
      <c r="K268" s="2" t="str">
        <f>IFERROR(__xludf.DUMMYFUNCTION("""COMPUTED_VALUE"""),"40 / 100")</f>
        <v>40 / 100</v>
      </c>
      <c r="L268" s="2" t="str">
        <f>IFERROR(__xludf.DUMMYFUNCTION("""COMPUTED_VALUE"""),"CGPA ")</f>
        <v>CGPA </v>
      </c>
      <c r="M268" s="2" t="str">
        <f>IFERROR(__xludf.DUMMYFUNCTION("""COMPUTED_VALUE"""),"Experiential Learning (Int and Grade from Certificate)")</f>
        <v>Experiential Learning (Int and Grade from Certificate)</v>
      </c>
      <c r="N268" s="2">
        <f>IFERROR(__xludf.DUMMYFUNCTION("""COMPUTED_VALUE"""),2)</f>
        <v>2</v>
      </c>
      <c r="O268" s="2">
        <f>IFERROR(__xludf.DUMMYFUNCTION("""COMPUTED_VALUE"""),3)</f>
        <v>3</v>
      </c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30.75" customHeight="1" spans="1:26">
      <c r="A269" s="2">
        <f>IFERROR(__xludf.DUMMYFUNCTION("""COMPUTED_VALUE"""),268)</f>
        <v>268</v>
      </c>
      <c r="B269" s="2" t="str">
        <f>IFERROR(__xludf.DUMMYFUNCTION("""COMPUTED_VALUE"""),"BME, MED ELEC")</f>
        <v>BME, MED ELEC</v>
      </c>
      <c r="C269" s="2" t="str">
        <f>IFERROR(__xludf.DUMMYFUNCTION("""COMPUTED_VALUE"""),"EC4659")</f>
        <v>EC4659</v>
      </c>
      <c r="D269" s="2" t="str">
        <f>IFERROR(__xludf.DUMMYFUNCTION("""COMPUTED_VALUE"""),"19BM659")</f>
        <v>19BM659</v>
      </c>
      <c r="E269" s="2"/>
      <c r="F269" s="2" t="str">
        <f>IFERROR(__xludf.DUMMYFUNCTION("""COMPUTED_VALUE"""),"NPTEL")</f>
        <v>NPTEL</v>
      </c>
      <c r="G269" s="3" t="str">
        <f>IFERROR(__xludf.DUMMYFUNCTION("""COMPUTED_VALUE"""),"Introduction to Professional Scientific Communication (NPTEL)")</f>
        <v>Introduction to Professional Scientific Communication (NPTEL)</v>
      </c>
      <c r="H269" s="2" t="str">
        <f>IFERROR(__xludf.DUMMYFUNCTION("""COMPUTED_VALUE"""),"4 weeks")</f>
        <v>4 weeks</v>
      </c>
      <c r="I269" s="2"/>
      <c r="J269" s="2"/>
      <c r="K269" s="2"/>
      <c r="L269" s="2" t="str">
        <f>IFERROR(__xludf.DUMMYFUNCTION("""COMPUTED_VALUE"""),"CGPA")</f>
        <v>CGPA</v>
      </c>
      <c r="M269" s="2" t="str">
        <f>IFERROR(__xludf.DUMMYFUNCTION("""COMPUTED_VALUE"""),"Experiential Learning (Int and Grade from Certificate)")</f>
        <v>Experiential Learning (Int and Grade from Certificate)</v>
      </c>
      <c r="N269" s="2">
        <f>IFERROR(__xludf.DUMMYFUNCTION("""COMPUTED_VALUE"""),1)</f>
        <v>1</v>
      </c>
      <c r="O269" s="2">
        <f>IFERROR(__xludf.DUMMYFUNCTION("""COMPUTED_VALUE"""),1)</f>
        <v>1</v>
      </c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30.75" customHeight="1" spans="1:26">
      <c r="A270" s="2">
        <f>IFERROR(__xludf.DUMMYFUNCTION("""COMPUTED_VALUE"""),269)</f>
        <v>269</v>
      </c>
      <c r="B270" s="2" t="str">
        <f>IFERROR(__xludf.DUMMYFUNCTION("""COMPUTED_VALUE"""),"EEE")</f>
        <v>EEE</v>
      </c>
      <c r="C270" s="2" t="str">
        <f>IFERROR(__xludf.DUMMYFUNCTION("""COMPUTED_VALUE"""),"EC2611")</f>
        <v>EC2611</v>
      </c>
      <c r="D270" s="2" t="str">
        <f>IFERROR(__xludf.DUMMYFUNCTION("""COMPUTED_VALUE"""),"19EE611")</f>
        <v>19EE611</v>
      </c>
      <c r="E270" s="2"/>
      <c r="F270" s="2" t="str">
        <f>IFERROR(__xludf.DUMMYFUNCTION("""COMPUTED_VALUE"""),"NPTEL")</f>
        <v>NPTEL</v>
      </c>
      <c r="G270" s="3" t="str">
        <f>IFERROR(__xludf.DUMMYFUNCTION("""COMPUTED_VALUE"""),"Introduction to Programming in C (NPTEL)")</f>
        <v>Introduction to Programming in C (NPTEL)</v>
      </c>
      <c r="H270" s="2" t="str">
        <f>IFERROR(__xludf.DUMMYFUNCTION("""COMPUTED_VALUE"""),"8 Weeks")</f>
        <v>8 Weeks</v>
      </c>
      <c r="I270" s="2"/>
      <c r="J270" s="2"/>
      <c r="K270" s="2"/>
      <c r="L270" s="2" t="str">
        <f>IFERROR(__xludf.DUMMYFUNCTION("""COMPUTED_VALUE"""),"CGPA ")</f>
        <v>CGPA </v>
      </c>
      <c r="M270" s="2" t="str">
        <f>IFERROR(__xludf.DUMMYFUNCTION("""COMPUTED_VALUE"""),"Experiential Learning (Int and Grade from Certificate)")</f>
        <v>Experiential Learning (Int and Grade from Certificate)</v>
      </c>
      <c r="N270" s="2">
        <f>IFERROR(__xludf.DUMMYFUNCTION("""COMPUTED_VALUE"""),2)</f>
        <v>2</v>
      </c>
      <c r="O270" s="2">
        <f>IFERROR(__xludf.DUMMYFUNCTION("""COMPUTED_VALUE"""),2)</f>
        <v>2</v>
      </c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30.75" customHeight="1" spans="1:26">
      <c r="A271" s="2">
        <f>IFERROR(__xludf.DUMMYFUNCTION("""COMPUTED_VALUE"""),270)</f>
        <v>270</v>
      </c>
      <c r="B271" s="2" t="str">
        <f>IFERROR(__xludf.DUMMYFUNCTION("""COMPUTED_VALUE"""),"SCoFT")</f>
        <v>SCoFT</v>
      </c>
      <c r="C271" s="2" t="str">
        <f>IFERROR(__xludf.DUMMYFUNCTION("""COMPUTED_VALUE"""),"CS3098")</f>
        <v>CS3098</v>
      </c>
      <c r="D271" s="2" t="str">
        <f>IFERROR(__xludf.DUMMYFUNCTION("""COMPUTED_VALUE"""),"19AI098")</f>
        <v>19AI098</v>
      </c>
      <c r="E271" s="2"/>
      <c r="F271" s="2" t="str">
        <f>IFERROR(__xludf.DUMMYFUNCTION("""COMPUTED_VALUE"""),"COURSERA")</f>
        <v>COURSERA</v>
      </c>
      <c r="G271" s="3" t="str">
        <f>IFERROR(__xludf.DUMMYFUNCTION("""COMPUTED_VALUE"""),"Introduction to Programming with MATLAB (Coursera)")</f>
        <v>Introduction to Programming with MATLAB (Coursera)</v>
      </c>
      <c r="H271" s="2" t="str">
        <f>IFERROR(__xludf.DUMMYFUNCTION("""COMPUTED_VALUE"""),"9 weeks")</f>
        <v>9 weeks</v>
      </c>
      <c r="I271" s="2"/>
      <c r="J271" s="2"/>
      <c r="K271" s="2"/>
      <c r="L271" s="2" t="str">
        <f>IFERROR(__xludf.DUMMYFUNCTION("""COMPUTED_VALUE"""),"CGPA")</f>
        <v>CGPA</v>
      </c>
      <c r="M271" s="2" t="str">
        <f>IFERROR(__xludf.DUMMYFUNCTION("""COMPUTED_VALUE"""),"Experiential Learning (Int and Grade from Certificate)")</f>
        <v>Experiential Learning (Int and Grade from Certificate)</v>
      </c>
      <c r="N271" s="2">
        <f>IFERROR(__xludf.DUMMYFUNCTION("""COMPUTED_VALUE"""),2)</f>
        <v>2</v>
      </c>
      <c r="O271" s="2">
        <f>IFERROR(__xludf.DUMMYFUNCTION("""COMPUTED_VALUE"""),2)</f>
        <v>2</v>
      </c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30.75" customHeight="1" spans="1:26">
      <c r="A272" s="2">
        <f>IFERROR(__xludf.DUMMYFUNCTION("""COMPUTED_VALUE"""),271)</f>
        <v>271</v>
      </c>
      <c r="B272" s="2" t="str">
        <f>IFERROR(__xludf.DUMMYFUNCTION("""COMPUTED_VALUE"""),"EEE")</f>
        <v>EEE</v>
      </c>
      <c r="C272" s="2" t="str">
        <f>IFERROR(__xludf.DUMMYFUNCTION("""COMPUTED_VALUE"""),"EC2615")</f>
        <v>EC2615</v>
      </c>
      <c r="D272" s="2" t="str">
        <f>IFERROR(__xludf.DUMMYFUNCTION("""COMPUTED_VALUE"""),"19EE615")</f>
        <v>19EE615</v>
      </c>
      <c r="E272" s="2"/>
      <c r="F272" s="2" t="str">
        <f>IFERROR(__xludf.DUMMYFUNCTION("""COMPUTED_VALUE"""),"NPTEL")</f>
        <v>NPTEL</v>
      </c>
      <c r="G272" s="3" t="str">
        <f>IFERROR(__xludf.DUMMYFUNCTION("""COMPUTED_VALUE"""),"Introduction to Psychology (NPTEL)")</f>
        <v>Introduction to Psychology (NPTEL)</v>
      </c>
      <c r="H272" s="2" t="str">
        <f>IFERROR(__xludf.DUMMYFUNCTION("""COMPUTED_VALUE"""),"8 Weeks")</f>
        <v>8 Weeks</v>
      </c>
      <c r="I272" s="2"/>
      <c r="J272" s="2"/>
      <c r="K272" s="2"/>
      <c r="L272" s="2" t="str">
        <f>IFERROR(__xludf.DUMMYFUNCTION("""COMPUTED_VALUE"""),"CGPA ")</f>
        <v>CGPA </v>
      </c>
      <c r="M272" s="2" t="str">
        <f>IFERROR(__xludf.DUMMYFUNCTION("""COMPUTED_VALUE"""),"Experiential Learning (Int and Grade from Certificate)")</f>
        <v>Experiential Learning (Int and Grade from Certificate)</v>
      </c>
      <c r="N272" s="2">
        <f>IFERROR(__xludf.DUMMYFUNCTION("""COMPUTED_VALUE"""),2)</f>
        <v>2</v>
      </c>
      <c r="O272" s="2">
        <f>IFERROR(__xludf.DUMMYFUNCTION("""COMPUTED_VALUE"""),2)</f>
        <v>2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30.75" customHeight="1" spans="1:26">
      <c r="A273" s="2">
        <f>IFERROR(__xludf.DUMMYFUNCTION("""COMPUTED_VALUE"""),272)</f>
        <v>272</v>
      </c>
      <c r="B273" s="2" t="str">
        <f>IFERROR(__xludf.DUMMYFUNCTION("""COMPUTED_VALUE"""),"SCoFT")</f>
        <v>SCoFT</v>
      </c>
      <c r="C273" s="2" t="str">
        <f>IFERROR(__xludf.DUMMYFUNCTION("""COMPUTED_VALUE"""),"CS3048")</f>
        <v>CS3048</v>
      </c>
      <c r="D273" s="2" t="str">
        <f>IFERROR(__xludf.DUMMYFUNCTION("""COMPUTED_VALUE"""),"19AI048")</f>
        <v>19AI048</v>
      </c>
      <c r="E273" s="2"/>
      <c r="F273" s="2" t="str">
        <f>IFERROR(__xludf.DUMMYFUNCTION("""COMPUTED_VALUE"""),"NPTEL")</f>
        <v>NPTEL</v>
      </c>
      <c r="G273" s="3" t="str">
        <f>IFERROR(__xludf.DUMMYFUNCTION("""COMPUTED_VALUE"""),"Introduction to Quantum Computing: Quantum Algorithms and Qiskit (NPTEL)")</f>
        <v>Introduction to Quantum Computing: Quantum Algorithms and Qiskit (NPTEL)</v>
      </c>
      <c r="H273" s="2" t="str">
        <f>IFERROR(__xludf.DUMMYFUNCTION("""COMPUTED_VALUE"""),"4 Weeks")</f>
        <v>4 Weeks</v>
      </c>
      <c r="I273" s="2"/>
      <c r="J273" s="2"/>
      <c r="K273" s="2"/>
      <c r="L273" s="2" t="str">
        <f>IFERROR(__xludf.DUMMYFUNCTION("""COMPUTED_VALUE"""),"CGPA ")</f>
        <v>CGPA </v>
      </c>
      <c r="M273" s="2" t="str">
        <f>IFERROR(__xludf.DUMMYFUNCTION("""COMPUTED_VALUE"""),"Experiential Learning (Int and Grade from Certificate)")</f>
        <v>Experiential Learning (Int and Grade from Certificate)</v>
      </c>
      <c r="N273" s="2">
        <f>IFERROR(__xludf.DUMMYFUNCTION("""COMPUTED_VALUE"""),1)</f>
        <v>1</v>
      </c>
      <c r="O273" s="2">
        <f>IFERROR(__xludf.DUMMYFUNCTION("""COMPUTED_VALUE"""),1)</f>
        <v>1</v>
      </c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30.75" customHeight="1" spans="1:26">
      <c r="A274" s="2">
        <f>IFERROR(__xludf.DUMMYFUNCTION("""COMPUTED_VALUE"""),273)</f>
        <v>273</v>
      </c>
      <c r="B274" s="2" t="str">
        <f>IFERROR(__xludf.DUMMYFUNCTION("""COMPUTED_VALUE"""),"ECE, SCoFT")</f>
        <v>ECE, SCoFT</v>
      </c>
      <c r="C274" s="2" t="str">
        <f>IFERROR(__xludf.DUMMYFUNCTION("""COMPUTED_VALUE"""),"EC1625")</f>
        <v>EC1625</v>
      </c>
      <c r="D274" s="2" t="str">
        <f>IFERROR(__xludf.DUMMYFUNCTION("""COMPUTED_VALUE"""),"19EC625")</f>
        <v>19EC625</v>
      </c>
      <c r="E274" s="2"/>
      <c r="F274" s="2" t="str">
        <f>IFERROR(__xludf.DUMMYFUNCTION("""COMPUTED_VALUE"""),"NPTEL")</f>
        <v>NPTEL</v>
      </c>
      <c r="G274" s="3" t="str">
        <f>IFERROR(__xludf.DUMMYFUNCTION("""COMPUTED_VALUE"""),"Introduction to Robotics (NPTEL)")</f>
        <v>Introduction to Robotics (NPTEL)</v>
      </c>
      <c r="H274" s="2" t="str">
        <f>IFERROR(__xludf.DUMMYFUNCTION("""COMPUTED_VALUE"""),"12 Weeks")</f>
        <v>12 Weeks</v>
      </c>
      <c r="I274" s="4">
        <f>IFERROR(__xludf.DUMMYFUNCTION("""COMPUTED_VALUE"""),45224)</f>
        <v>45224</v>
      </c>
      <c r="J274" s="2" t="str">
        <f>IFERROR(__xludf.DUMMYFUNCTION("""COMPUTED_VALUE"""),"30/75")</f>
        <v>30/75</v>
      </c>
      <c r="K274" s="2" t="str">
        <f>IFERROR(__xludf.DUMMYFUNCTION("""COMPUTED_VALUE"""),"40/100")</f>
        <v>40/100</v>
      </c>
      <c r="L274" s="2" t="str">
        <f>IFERROR(__xludf.DUMMYFUNCTION("""COMPUTED_VALUE"""),"CGPA ")</f>
        <v>CGPA </v>
      </c>
      <c r="M274" s="2" t="str">
        <f>IFERROR(__xludf.DUMMYFUNCTION("""COMPUTED_VALUE"""),"Experiential Learning (Int and Grade from Certificate)")</f>
        <v>Experiential Learning (Int and Grade from Certificate)</v>
      </c>
      <c r="N274" s="2">
        <f>IFERROR(__xludf.DUMMYFUNCTION("""COMPUTED_VALUE"""),2)</f>
        <v>2</v>
      </c>
      <c r="O274" s="2">
        <f>IFERROR(__xludf.DUMMYFUNCTION("""COMPUTED_VALUE"""),3)</f>
        <v>3</v>
      </c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30.75" customHeight="1" spans="1:26">
      <c r="A275" s="2">
        <f>IFERROR(__xludf.DUMMYFUNCTION("""COMPUTED_VALUE"""),274)</f>
        <v>274</v>
      </c>
      <c r="B275" s="2" t="str">
        <f>IFERROR(__xludf.DUMMYFUNCTION("""COMPUTED_VALUE"""),"SCoFT, BME, MED ELEC")</f>
        <v>SCoFT, BME, MED ELEC</v>
      </c>
      <c r="C275" s="2" t="str">
        <f>IFERROR(__xludf.DUMMYFUNCTION("""COMPUTED_VALUE"""),"CS3049")</f>
        <v>CS3049</v>
      </c>
      <c r="D275" s="2" t="str">
        <f>IFERROR(__xludf.DUMMYFUNCTION("""COMPUTED_VALUE"""),"19AI049")</f>
        <v>19AI049</v>
      </c>
      <c r="E275" s="2"/>
      <c r="F275" s="2" t="str">
        <f>IFERROR(__xludf.DUMMYFUNCTION("""COMPUTED_VALUE"""),"NPTEL")</f>
        <v>NPTEL</v>
      </c>
      <c r="G275" s="3" t="str">
        <f>IFERROR(__xludf.DUMMYFUNCTION("""COMPUTED_VALUE"""),"Introduction to Soft Computing (NPTEL)")</f>
        <v>Introduction to Soft Computing (NPTEL)</v>
      </c>
      <c r="H275" s="2" t="str">
        <f>IFERROR(__xludf.DUMMYFUNCTION("""COMPUTED_VALUE"""),"8 Weeks")</f>
        <v>8 Weeks</v>
      </c>
      <c r="I275" s="2"/>
      <c r="J275" s="2"/>
      <c r="K275" s="2"/>
      <c r="L275" s="2" t="str">
        <f>IFERROR(__xludf.DUMMYFUNCTION("""COMPUTED_VALUE"""),"CGPA ")</f>
        <v>CGPA </v>
      </c>
      <c r="M275" s="2" t="str">
        <f>IFERROR(__xludf.DUMMYFUNCTION("""COMPUTED_VALUE"""),"Experiential Learning (Int and Grade from Certificate)")</f>
        <v>Experiential Learning (Int and Grade from Certificate)</v>
      </c>
      <c r="N275" s="2">
        <f>IFERROR(__xludf.DUMMYFUNCTION("""COMPUTED_VALUE"""),2)</f>
        <v>2</v>
      </c>
      <c r="O275" s="2">
        <f>IFERROR(__xludf.DUMMYFUNCTION("""COMPUTED_VALUE"""),2)</f>
        <v>2</v>
      </c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30.75" customHeight="1" spans="1:26">
      <c r="A276" s="2">
        <f>IFERROR(__xludf.DUMMYFUNCTION("""COMPUTED_VALUE"""),275)</f>
        <v>275</v>
      </c>
      <c r="B276" s="2" t="str">
        <f>IFERROR(__xludf.DUMMYFUNCTION("""COMPUTED_VALUE"""),"BME, MED ELEC")</f>
        <v>BME, MED ELEC</v>
      </c>
      <c r="C276" s="2" t="str">
        <f>IFERROR(__xludf.DUMMYFUNCTION("""COMPUTED_VALUE"""),"EC4660")</f>
        <v>EC4660</v>
      </c>
      <c r="D276" s="2" t="str">
        <f>IFERROR(__xludf.DUMMYFUNCTION("""COMPUTED_VALUE"""),"19BM660")</f>
        <v>19BM660</v>
      </c>
      <c r="E276" s="2"/>
      <c r="F276" s="2" t="str">
        <f>IFERROR(__xludf.DUMMYFUNCTION("""COMPUTED_VALUE"""),"NPTEL")</f>
        <v>NPTEL</v>
      </c>
      <c r="G276" s="3" t="str">
        <f>IFERROR(__xludf.DUMMYFUNCTION("""COMPUTED_VALUE"""),"Introduction to Statistics (NPTEL)")</f>
        <v>Introduction to Statistics (NPTEL)</v>
      </c>
      <c r="H276" s="2" t="str">
        <f>IFERROR(__xludf.DUMMYFUNCTION("""COMPUTED_VALUE"""),"12 Weeks")</f>
        <v>12 Weeks</v>
      </c>
      <c r="I276" s="2"/>
      <c r="J276" s="2"/>
      <c r="K276" s="2"/>
      <c r="L276" s="2" t="str">
        <f>IFERROR(__xludf.DUMMYFUNCTION("""COMPUTED_VALUE"""),"CGPA")</f>
        <v>CGPA</v>
      </c>
      <c r="M276" s="2" t="str">
        <f>IFERROR(__xludf.DUMMYFUNCTION("""COMPUTED_VALUE"""),"Experiential Learning (Int and Grade from Certificate)")</f>
        <v>Experiential Learning (Int and Grade from Certificate)</v>
      </c>
      <c r="N276" s="2">
        <f>IFERROR(__xludf.DUMMYFUNCTION("""COMPUTED_VALUE"""),3)</f>
        <v>3</v>
      </c>
      <c r="O276" s="2">
        <f>IFERROR(__xludf.DUMMYFUNCTION("""COMPUTED_VALUE"""),3)</f>
        <v>3</v>
      </c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30.75" customHeight="1" spans="1:26">
      <c r="A277" s="2">
        <f>IFERROR(__xludf.DUMMYFUNCTION("""COMPUTED_VALUE"""),276)</f>
        <v>276</v>
      </c>
      <c r="B277" s="2" t="str">
        <f>IFERROR(__xludf.DUMMYFUNCTION("""COMPUTED_VALUE"""),"SCoFT")</f>
        <v>SCoFT</v>
      </c>
      <c r="C277" s="2" t="str">
        <f>IFERROR(__xludf.DUMMYFUNCTION("""COMPUTED_VALUE"""),"CS3078")</f>
        <v>CS3078</v>
      </c>
      <c r="D277" s="2" t="str">
        <f>IFERROR(__xludf.DUMMYFUNCTION("""COMPUTED_VALUE"""),"19AI078")</f>
        <v>19AI078</v>
      </c>
      <c r="E277" s="2"/>
      <c r="F277" s="2" t="str">
        <f>IFERROR(__xludf.DUMMYFUNCTION("""COMPUTED_VALUE"""),"COURSERA")</f>
        <v>COURSERA</v>
      </c>
      <c r="G277" s="3" t="str">
        <f>IFERROR(__xludf.DUMMYFUNCTION("""COMPUTED_VALUE"""),"Introduction to Statistics (Coursera)")</f>
        <v>Introduction to Statistics (Coursera)</v>
      </c>
      <c r="H277" s="2" t="str">
        <f>IFERROR(__xludf.DUMMYFUNCTION("""COMPUTED_VALUE"""),"4 Weeks")</f>
        <v>4 Weeks</v>
      </c>
      <c r="I277" s="2"/>
      <c r="J277" s="2"/>
      <c r="K277" s="2"/>
      <c r="L277" s="2" t="str">
        <f>IFERROR(__xludf.DUMMYFUNCTION("""COMPUTED_VALUE"""),"CGPA")</f>
        <v>CGPA</v>
      </c>
      <c r="M277" s="2" t="str">
        <f>IFERROR(__xludf.DUMMYFUNCTION("""COMPUTED_VALUE"""),"Experiential Learning (Int and Grade from Certificate)")</f>
        <v>Experiential Learning (Int and Grade from Certificate)</v>
      </c>
      <c r="N277" s="2">
        <f>IFERROR(__xludf.DUMMYFUNCTION("""COMPUTED_VALUE"""),1)</f>
        <v>1</v>
      </c>
      <c r="O277" s="2">
        <f>IFERROR(__xludf.DUMMYFUNCTION("""COMPUTED_VALUE"""),1)</f>
        <v>1</v>
      </c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30.75" customHeight="1" spans="1:26">
      <c r="A278" s="2">
        <f>IFERROR(__xludf.DUMMYFUNCTION("""COMPUTED_VALUE"""),277)</f>
        <v>277</v>
      </c>
      <c r="B278" s="2" t="str">
        <f>IFERROR(__xludf.DUMMYFUNCTION("""COMPUTED_VALUE"""),"SCoFT")</f>
        <v>SCoFT</v>
      </c>
      <c r="C278" s="2" t="str">
        <f>IFERROR(__xludf.DUMMYFUNCTION("""COMPUTED_VALUE"""),"CS3116")</f>
        <v>CS3116</v>
      </c>
      <c r="D278" s="2" t="str">
        <f>IFERROR(__xludf.DUMMYFUNCTION("""COMPUTED_VALUE"""),"19AI116")</f>
        <v>19AI116</v>
      </c>
      <c r="E278" s="2"/>
      <c r="F278" s="2" t="str">
        <f>IFERROR(__xludf.DUMMYFUNCTION("""COMPUTED_VALUE"""),"COURSERA")</f>
        <v>COURSERA</v>
      </c>
      <c r="G278" s="3" t="str">
        <f>IFERROR(__xludf.DUMMYFUNCTION("""COMPUTED_VALUE"""),"Introduction to Web Development with HTML, CSS, JavaScript (Coursera)")</f>
        <v>Introduction to Web Development with HTML, CSS, JavaScript (Coursera)</v>
      </c>
      <c r="H278" s="2" t="str">
        <f>IFERROR(__xludf.DUMMYFUNCTION("""COMPUTED_VALUE"""),"5 weeks")</f>
        <v>5 weeks</v>
      </c>
      <c r="I278" s="2"/>
      <c r="J278" s="2"/>
      <c r="K278" s="2"/>
      <c r="L278" s="2" t="str">
        <f>IFERROR(__xludf.DUMMYFUNCTION("""COMPUTED_VALUE"""),"CGPA")</f>
        <v>CGPA</v>
      </c>
      <c r="M278" s="2" t="str">
        <f>IFERROR(__xludf.DUMMYFUNCTION("""COMPUTED_VALUE"""),"Experiential Learning (Int and Grade from Certificate)")</f>
        <v>Experiential Learning (Int and Grade from Certificate)</v>
      </c>
      <c r="N278" s="2">
        <f>IFERROR(__xludf.DUMMYFUNCTION("""COMPUTED_VALUE"""),1)</f>
        <v>1</v>
      </c>
      <c r="O278" s="2">
        <f>IFERROR(__xludf.DUMMYFUNCTION("""COMPUTED_VALUE"""),1)</f>
        <v>1</v>
      </c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30.75" customHeight="1" spans="1:26">
      <c r="A279" s="2">
        <f>IFERROR(__xludf.DUMMYFUNCTION("""COMPUTED_VALUE"""),278)</f>
        <v>278</v>
      </c>
      <c r="B279" s="2" t="str">
        <f>IFERROR(__xludf.DUMMYFUNCTION("""COMPUTED_VALUE"""),"BME, MED ELEC")</f>
        <v>BME, MED ELEC</v>
      </c>
      <c r="C279" s="2" t="str">
        <f>IFERROR(__xludf.DUMMYFUNCTION("""COMPUTED_VALUE"""),"EC4661")</f>
        <v>EC4661</v>
      </c>
      <c r="D279" s="2" t="str">
        <f>IFERROR(__xludf.DUMMYFUNCTION("""COMPUTED_VALUE"""),"19BM661")</f>
        <v>19BM661</v>
      </c>
      <c r="E279" s="2"/>
      <c r="F279" s="2" t="str">
        <f>IFERROR(__xludf.DUMMYFUNCTION("""COMPUTED_VALUE"""),"NPTEL")</f>
        <v>NPTEL</v>
      </c>
      <c r="G279" s="3" t="str">
        <f>IFERROR(__xludf.DUMMYFUNCTION("""COMPUTED_VALUE"""),"IP Management and Technology Transfer (NPTEL)")</f>
        <v>IP Management and Technology Transfer (NPTEL)</v>
      </c>
      <c r="H279" s="2" t="str">
        <f>IFERROR(__xludf.DUMMYFUNCTION("""COMPUTED_VALUE"""),"8 Weeks")</f>
        <v>8 Weeks</v>
      </c>
      <c r="I279" s="2"/>
      <c r="J279" s="2"/>
      <c r="K279" s="2"/>
      <c r="L279" s="2" t="str">
        <f>IFERROR(__xludf.DUMMYFUNCTION("""COMPUTED_VALUE"""),"CGPA")</f>
        <v>CGPA</v>
      </c>
      <c r="M279" s="2" t="str">
        <f>IFERROR(__xludf.DUMMYFUNCTION("""COMPUTED_VALUE"""),"Experiential Learning (Int and Grade from Certificate)")</f>
        <v>Experiential Learning (Int and Grade from Certificate)</v>
      </c>
      <c r="N279" s="2">
        <f>IFERROR(__xludf.DUMMYFUNCTION("""COMPUTED_VALUE"""),2)</f>
        <v>2</v>
      </c>
      <c r="O279" s="2">
        <f>IFERROR(__xludf.DUMMYFUNCTION("""COMPUTED_VALUE"""),2)</f>
        <v>2</v>
      </c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30.75" customHeight="1" spans="1:26">
      <c r="A280" s="2">
        <f>IFERROR(__xludf.DUMMYFUNCTION("""COMPUTED_VALUE"""),279)</f>
        <v>279</v>
      </c>
      <c r="B280" s="2" t="str">
        <f>IFERROR(__xludf.DUMMYFUNCTION("""COMPUTED_VALUE"""),"SCoFT")</f>
        <v>SCoFT</v>
      </c>
      <c r="C280" s="2" t="str">
        <f>IFERROR(__xludf.DUMMYFUNCTION("""COMPUTED_VALUE"""),"CS3133")</f>
        <v>CS3133</v>
      </c>
      <c r="D280" s="2" t="str">
        <f>IFERROR(__xludf.DUMMYFUNCTION("""COMPUTED_VALUE"""),"19AI133")</f>
        <v>19AI133</v>
      </c>
      <c r="E280" s="2"/>
      <c r="F280" s="2" t="str">
        <f>IFERROR(__xludf.DUMMYFUNCTION("""COMPUTED_VALUE"""),"Oracle(1Z0-900)")</f>
        <v>Oracle(1Z0-900)</v>
      </c>
      <c r="G280" s="3" t="str">
        <f>IFERROR(__xludf.DUMMYFUNCTION("""COMPUTED_VALUE"""),"Java EE 7 Application Developer (Oracle)")</f>
        <v>Java EE 7 Application Developer (Oracle)</v>
      </c>
      <c r="H280" s="2" t="str">
        <f>IFERROR(__xludf.DUMMYFUNCTION("""COMPUTED_VALUE"""),"8 Weeks")</f>
        <v>8 Weeks</v>
      </c>
      <c r="I280" s="2"/>
      <c r="J280" s="2"/>
      <c r="K280" s="2"/>
      <c r="L280" s="2" t="str">
        <f>IFERROR(__xludf.DUMMYFUNCTION("""COMPUTED_VALUE"""),"CGPA")</f>
        <v>CGPA</v>
      </c>
      <c r="M280" s="2" t="str">
        <f>IFERROR(__xludf.DUMMYFUNCTION("""COMPUTED_VALUE"""),"Experiential Learning (Int and Grade from Certificate)")</f>
        <v>Experiential Learning (Int and Grade from Certificate)</v>
      </c>
      <c r="N280" s="2">
        <f>IFERROR(__xludf.DUMMYFUNCTION("""COMPUTED_VALUE"""),2)</f>
        <v>2</v>
      </c>
      <c r="O280" s="2">
        <f>IFERROR(__xludf.DUMMYFUNCTION("""COMPUTED_VALUE"""),2)</f>
        <v>2</v>
      </c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30.75" customHeight="1" spans="1:26">
      <c r="A281" s="2">
        <f>IFERROR(__xludf.DUMMYFUNCTION("""COMPUTED_VALUE"""),280)</f>
        <v>280</v>
      </c>
      <c r="B281" s="2" t="str">
        <f>IFERROR(__xludf.DUMMYFUNCTION("""COMPUTED_VALUE"""),"SCoFT")</f>
        <v>SCoFT</v>
      </c>
      <c r="C281" s="2" t="str">
        <f>IFERROR(__xludf.DUMMYFUNCTION("""COMPUTED_VALUE"""),"CS3262")</f>
        <v>CS3262</v>
      </c>
      <c r="D281" s="2" t="str">
        <f>IFERROR(__xludf.DUMMYFUNCTION("""COMPUTED_VALUE"""),"19AI262")</f>
        <v>19AI262</v>
      </c>
      <c r="E281" s="2"/>
      <c r="F281" s="2" t="str">
        <f>IFERROR(__xludf.DUMMYFUNCTION("""COMPUTED_VALUE"""),"Coursera")</f>
        <v>Coursera</v>
      </c>
      <c r="G281" s="3" t="str">
        <f>IFERROR(__xludf.DUMMYFUNCTION("""COMPUTED_VALUE"""),"Java Full Stack")</f>
        <v>Java Full Stack</v>
      </c>
      <c r="H281" s="2" t="str">
        <f>IFERROR(__xludf.DUMMYFUNCTION("""COMPUTED_VALUE"""),"2 Months")</f>
        <v>2 Months</v>
      </c>
      <c r="I281" s="2" t="str">
        <f>IFERROR(__xludf.DUMMYFUNCTION("""COMPUTED_VALUE"""),"NA")</f>
        <v>NA</v>
      </c>
      <c r="J281" s="2" t="str">
        <f>IFERROR(__xludf.DUMMYFUNCTION("""COMPUTED_VALUE"""),"NA")</f>
        <v>NA</v>
      </c>
      <c r="K281" s="2" t="str">
        <f>IFERROR(__xludf.DUMMYFUNCTION("""COMPUTED_VALUE"""),"NA")</f>
        <v>NA</v>
      </c>
      <c r="L281" s="2" t="str">
        <f>IFERROR(__xludf.DUMMYFUNCTION("""COMPUTED_VALUE"""),"CGPA")</f>
        <v>CGPA</v>
      </c>
      <c r="M281" s="2" t="str">
        <f>IFERROR(__xludf.DUMMYFUNCTION("""COMPUTED_VALUE"""),"Experiential Learning (Int and Grade from Certificate)")</f>
        <v>Experiential Learning (Int and Grade from Certificate)</v>
      </c>
      <c r="N281" s="2">
        <f>IFERROR(__xludf.DUMMYFUNCTION("""COMPUTED_VALUE"""),2)</f>
        <v>2</v>
      </c>
      <c r="O281" s="2">
        <f>IFERROR(__xludf.DUMMYFUNCTION("""COMPUTED_VALUE"""),2)</f>
        <v>2</v>
      </c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30.75" customHeight="1" spans="1:26">
      <c r="A282" s="2">
        <f>IFERROR(__xludf.DUMMYFUNCTION("""COMPUTED_VALUE"""),281)</f>
        <v>281</v>
      </c>
      <c r="B282" s="2" t="str">
        <f>IFERROR(__xludf.DUMMYFUNCTION("""COMPUTED_VALUE"""),"SCoFT")</f>
        <v>SCoFT</v>
      </c>
      <c r="C282" s="2" t="str">
        <f>IFERROR(__xludf.DUMMYFUNCTION("""COMPUTED_VALUE"""),"CS3134")</f>
        <v>CS3134</v>
      </c>
      <c r="D282" s="2" t="str">
        <f>IFERROR(__xludf.DUMMYFUNCTION("""COMPUTED_VALUE"""),"19AI134")</f>
        <v>19AI134</v>
      </c>
      <c r="E282" s="2"/>
      <c r="F282" s="2" t="str">
        <f>IFERROR(__xludf.DUMMYFUNCTION("""COMPUTED_VALUE"""),"Oracle(1Z0-829)
")</f>
        <v>Oracle(1Z0-829)
</v>
      </c>
      <c r="G282" s="3" t="str">
        <f>IFERROR(__xludf.DUMMYFUNCTION("""COMPUTED_VALUE"""),"Java SE 17 Developer (Oracle)")</f>
        <v>Java SE 17 Developer (Oracle)</v>
      </c>
      <c r="H282" s="2" t="str">
        <f>IFERROR(__xludf.DUMMYFUNCTION("""COMPUTED_VALUE"""),"8 Weeks")</f>
        <v>8 Weeks</v>
      </c>
      <c r="I282" s="2"/>
      <c r="J282" s="2"/>
      <c r="K282" s="2"/>
      <c r="L282" s="2" t="str">
        <f>IFERROR(__xludf.DUMMYFUNCTION("""COMPUTED_VALUE"""),"CGPA")</f>
        <v>CGPA</v>
      </c>
      <c r="M282" s="2" t="str">
        <f>IFERROR(__xludf.DUMMYFUNCTION("""COMPUTED_VALUE"""),"Experiential Learning (Int and Grade from Certificate)")</f>
        <v>Experiential Learning (Int and Grade from Certificate)</v>
      </c>
      <c r="N282" s="2">
        <f>IFERROR(__xludf.DUMMYFUNCTION("""COMPUTED_VALUE"""),2)</f>
        <v>2</v>
      </c>
      <c r="O282" s="2">
        <f>IFERROR(__xludf.DUMMYFUNCTION("""COMPUTED_VALUE"""),2)</f>
        <v>2</v>
      </c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30.75" customHeight="1" spans="1:26">
      <c r="A283" s="2">
        <f>IFERROR(__xludf.DUMMYFUNCTION("""COMPUTED_VALUE"""),282)</f>
        <v>282</v>
      </c>
      <c r="B283" s="2" t="str">
        <f>IFERROR(__xludf.DUMMYFUNCTION("""COMPUTED_VALUE"""),"SCoFT")</f>
        <v>SCoFT</v>
      </c>
      <c r="C283" s="2" t="str">
        <f>IFERROR(__xludf.DUMMYFUNCTION("""COMPUTED_VALUE"""),"CS3136")</f>
        <v>CS3136</v>
      </c>
      <c r="D283" s="2" t="str">
        <f>IFERROR(__xludf.DUMMYFUNCTION("""COMPUTED_VALUE"""),"19AI136")</f>
        <v>19AI136</v>
      </c>
      <c r="E283" s="2"/>
      <c r="F283" s="2" t="str">
        <f>IFERROR(__xludf.DUMMYFUNCTION("""COMPUTED_VALUE"""),"Oracle (1Z0-808)")</f>
        <v>Oracle (1Z0-808)</v>
      </c>
      <c r="G283" s="3" t="str">
        <f>IFERROR(__xludf.DUMMYFUNCTION("""COMPUTED_VALUE"""),"Java SE 8 Programmer I (Oracle)")</f>
        <v>Java SE 8 Programmer I (Oracle)</v>
      </c>
      <c r="H283" s="2" t="str">
        <f>IFERROR(__xludf.DUMMYFUNCTION("""COMPUTED_VALUE"""),"8 Weeks")</f>
        <v>8 Weeks</v>
      </c>
      <c r="I283" s="2"/>
      <c r="J283" s="2"/>
      <c r="K283" s="2"/>
      <c r="L283" s="2" t="str">
        <f>IFERROR(__xludf.DUMMYFUNCTION("""COMPUTED_VALUE"""),"CGPA")</f>
        <v>CGPA</v>
      </c>
      <c r="M283" s="2" t="str">
        <f>IFERROR(__xludf.DUMMYFUNCTION("""COMPUTED_VALUE"""),"Experiential Learning (Int and Grade from Certificate)")</f>
        <v>Experiential Learning (Int and Grade from Certificate)</v>
      </c>
      <c r="N283" s="2">
        <f>IFERROR(__xludf.DUMMYFUNCTION("""COMPUTED_VALUE"""),2)</f>
        <v>2</v>
      </c>
      <c r="O283" s="2">
        <f>IFERROR(__xludf.DUMMYFUNCTION("""COMPUTED_VALUE"""),2)</f>
        <v>2</v>
      </c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30.75" customHeight="1" spans="1:26">
      <c r="A284" s="2">
        <f>IFERROR(__xludf.DUMMYFUNCTION("""COMPUTED_VALUE"""),283)</f>
        <v>283</v>
      </c>
      <c r="B284" s="2" t="str">
        <f>IFERROR(__xludf.DUMMYFUNCTION("""COMPUTED_VALUE"""),"SCoFT")</f>
        <v>SCoFT</v>
      </c>
      <c r="C284" s="2" t="str">
        <f>IFERROR(__xludf.DUMMYFUNCTION("""COMPUTED_VALUE"""),"CS3135")</f>
        <v>CS3135</v>
      </c>
      <c r="D284" s="2" t="str">
        <f>IFERROR(__xludf.DUMMYFUNCTION("""COMPUTED_VALUE"""),"19AI135")</f>
        <v>19AI135</v>
      </c>
      <c r="E284" s="2"/>
      <c r="F284" s="2" t="str">
        <f>IFERROR(__xludf.DUMMYFUNCTION("""COMPUTED_VALUE"""),"Oracle(1Z0-809)
")</f>
        <v>Oracle(1Z0-809)
</v>
      </c>
      <c r="G284" s="3" t="str">
        <f>IFERROR(__xludf.DUMMYFUNCTION("""COMPUTED_VALUE"""),"Java SE 8 Programmer II  (Oracle)")</f>
        <v>Java SE 8 Programmer II  (Oracle)</v>
      </c>
      <c r="H284" s="2" t="str">
        <f>IFERROR(__xludf.DUMMYFUNCTION("""COMPUTED_VALUE"""),"8 Weeks")</f>
        <v>8 Weeks</v>
      </c>
      <c r="I284" s="2"/>
      <c r="J284" s="2"/>
      <c r="K284" s="2"/>
      <c r="L284" s="2" t="str">
        <f>IFERROR(__xludf.DUMMYFUNCTION("""COMPUTED_VALUE"""),"CGPA")</f>
        <v>CGPA</v>
      </c>
      <c r="M284" s="2" t="str">
        <f>IFERROR(__xludf.DUMMYFUNCTION("""COMPUTED_VALUE"""),"Experiential Learning (Int and Grade from Certificate)")</f>
        <v>Experiential Learning (Int and Grade from Certificate)</v>
      </c>
      <c r="N284" s="2">
        <f>IFERROR(__xludf.DUMMYFUNCTION("""COMPUTED_VALUE"""),2)</f>
        <v>2</v>
      </c>
      <c r="O284" s="2">
        <f>IFERROR(__xludf.DUMMYFUNCTION("""COMPUTED_VALUE"""),2)</f>
        <v>2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30.75" customHeight="1" spans="1:26">
      <c r="A285" s="2">
        <f>IFERROR(__xludf.DUMMYFUNCTION("""COMPUTED_VALUE"""),284)</f>
        <v>284</v>
      </c>
      <c r="B285" s="2" t="str">
        <f>IFERROR(__xludf.DUMMYFUNCTION("""COMPUTED_VALUE"""),"SCoFT")</f>
        <v>SCoFT</v>
      </c>
      <c r="C285" s="2" t="str">
        <f>IFERROR(__xludf.DUMMYFUNCTION("""COMPUTED_VALUE"""),"CS3101")</f>
        <v>CS3101</v>
      </c>
      <c r="D285" s="2" t="str">
        <f>IFERROR(__xludf.DUMMYFUNCTION("""COMPUTED_VALUE"""),"19AI101")</f>
        <v>19AI101</v>
      </c>
      <c r="E285" s="2"/>
      <c r="F285" s="2" t="str">
        <f>IFERROR(__xludf.DUMMYFUNCTION("""COMPUTED_VALUE"""),"COURSERA")</f>
        <v>COURSERA</v>
      </c>
      <c r="G285" s="3" t="str">
        <f>IFERROR(__xludf.DUMMYFUNCTION("""COMPUTED_VALUE"""),"JavaScript, jQuery, and JSON (Coursera)")</f>
        <v>JavaScript, jQuery, and JSON (Coursera)</v>
      </c>
      <c r="H285" s="2" t="str">
        <f>IFERROR(__xludf.DUMMYFUNCTION("""COMPUTED_VALUE"""),"4 weeks")</f>
        <v>4 weeks</v>
      </c>
      <c r="I285" s="2"/>
      <c r="J285" s="2"/>
      <c r="K285" s="2"/>
      <c r="L285" s="2" t="str">
        <f>IFERROR(__xludf.DUMMYFUNCTION("""COMPUTED_VALUE"""),"CGPA")</f>
        <v>CGPA</v>
      </c>
      <c r="M285" s="2" t="str">
        <f>IFERROR(__xludf.DUMMYFUNCTION("""COMPUTED_VALUE"""),"Experiential Learning (Int and Grade from Certificate)")</f>
        <v>Experiential Learning (Int and Grade from Certificate)</v>
      </c>
      <c r="N285" s="2">
        <f>IFERROR(__xludf.DUMMYFUNCTION("""COMPUTED_VALUE"""),1)</f>
        <v>1</v>
      </c>
      <c r="O285" s="2">
        <f>IFERROR(__xludf.DUMMYFUNCTION("""COMPUTED_VALUE"""),1)</f>
        <v>1</v>
      </c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30.75" customHeight="1" spans="1:26">
      <c r="A286" s="2">
        <f>IFERROR(__xludf.DUMMYFUNCTION("""COMPUTED_VALUE"""),285)</f>
        <v>285</v>
      </c>
      <c r="B286" s="2" t="str">
        <f>IFERROR(__xludf.DUMMYFUNCTION("""COMPUTED_VALUE"""),"ECE, MED ELEC, EEE, BME")</f>
        <v>ECE, MED ELEC, EEE, BME</v>
      </c>
      <c r="C286" s="2" t="str">
        <f>IFERROR(__xludf.DUMMYFUNCTION("""COMPUTED_VALUE"""),"EC1647")</f>
        <v>EC1647</v>
      </c>
      <c r="D286" s="2" t="str">
        <f>IFERROR(__xludf.DUMMYFUNCTION("""COMPUTED_VALUE"""),"19EC647")</f>
        <v>19EC647</v>
      </c>
      <c r="E286" s="2"/>
      <c r="F286" s="2" t="str">
        <f>IFERROR(__xludf.DUMMYFUNCTION("""COMPUTED_VALUE"""),"NPTEL")</f>
        <v>NPTEL</v>
      </c>
      <c r="G286" s="3" t="str">
        <f>IFERROR(__xludf.DUMMYFUNCTION("""COMPUTED_VALUE"""),"Leadership and Team Effectiveness (NPTEL)")</f>
        <v>Leadership and Team Effectiveness (NPTEL)</v>
      </c>
      <c r="H286" s="2" t="str">
        <f>IFERROR(__xludf.DUMMYFUNCTION("""COMPUTED_VALUE"""),"12 Weeks")</f>
        <v>12 Weeks</v>
      </c>
      <c r="I286" s="2" t="str">
        <f>IFERROR(__xludf.DUMMYFUNCTION("""COMPUTED_VALUE"""),"10 / 25")</f>
        <v>10 / 25</v>
      </c>
      <c r="J286" s="2" t="str">
        <f>IFERROR(__xludf.DUMMYFUNCTION("""COMPUTED_VALUE"""),"30 / 75")</f>
        <v>30 / 75</v>
      </c>
      <c r="K286" s="2" t="str">
        <f>IFERROR(__xludf.DUMMYFUNCTION("""COMPUTED_VALUE"""),"40 / 100")</f>
        <v>40 / 100</v>
      </c>
      <c r="L286" s="2" t="str">
        <f>IFERROR(__xludf.DUMMYFUNCTION("""COMPUTED_VALUE"""),"CGPA")</f>
        <v>CGPA</v>
      </c>
      <c r="M286" s="2" t="str">
        <f>IFERROR(__xludf.DUMMYFUNCTION("""COMPUTED_VALUE"""),"Experiential Learning (Int and Grade from Certificate)")</f>
        <v>Experiential Learning (Int and Grade from Certificate)</v>
      </c>
      <c r="N286" s="2">
        <f>IFERROR(__xludf.DUMMYFUNCTION("""COMPUTED_VALUE"""),3)</f>
        <v>3</v>
      </c>
      <c r="O286" s="2">
        <f>IFERROR(__xludf.DUMMYFUNCTION("""COMPUTED_VALUE"""),3)</f>
        <v>3</v>
      </c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30.75" customHeight="1" spans="1:26">
      <c r="A287" s="2">
        <f>IFERROR(__xludf.DUMMYFUNCTION("""COMPUTED_VALUE"""),286)</f>
        <v>286</v>
      </c>
      <c r="B287" s="2" t="str">
        <f>IFERROR(__xludf.DUMMYFUNCTION("""COMPUTED_VALUE"""),"SCoFT")</f>
        <v>SCoFT</v>
      </c>
      <c r="C287" s="2" t="str">
        <f>IFERROR(__xludf.DUMMYFUNCTION("""COMPUTED_VALUE"""),"CS1605")</f>
        <v>CS1605</v>
      </c>
      <c r="D287" s="2" t="str">
        <f>IFERROR(__xludf.DUMMYFUNCTION("""COMPUTED_VALUE"""),"19CS605")</f>
        <v>19CS605</v>
      </c>
      <c r="E287" s="2"/>
      <c r="F287" s="2" t="str">
        <f>IFERROR(__xludf.DUMMYFUNCTION("""COMPUTED_VALUE"""),"COURSERA")</f>
        <v>COURSERA</v>
      </c>
      <c r="G287" s="3" t="str">
        <f>IFERROR(__xludf.DUMMYFUNCTION("""COMPUTED_VALUE"""),"Machine Learning (Coursera)")</f>
        <v>Machine Learning (Coursera)</v>
      </c>
      <c r="H287" s="2" t="str">
        <f>IFERROR(__xludf.DUMMYFUNCTION("""COMPUTED_VALUE"""),"60 Hours")</f>
        <v>60 Hours</v>
      </c>
      <c r="I287" s="2"/>
      <c r="J287" s="2"/>
      <c r="K287" s="2"/>
      <c r="L287" s="2" t="str">
        <f>IFERROR(__xludf.DUMMYFUNCTION("""COMPUTED_VALUE"""),"CGPA ")</f>
        <v>CGPA </v>
      </c>
      <c r="M287" s="2" t="str">
        <f>IFERROR(__xludf.DUMMYFUNCTION("""COMPUTED_VALUE"""),"Experiential Learning (Int and Grade from Certificate)")</f>
        <v>Experiential Learning (Int and Grade from Certificate)</v>
      </c>
      <c r="N287" s="2">
        <f>IFERROR(__xludf.DUMMYFUNCTION("""COMPUTED_VALUE"""),2)</f>
        <v>2</v>
      </c>
      <c r="O287" s="2">
        <f>IFERROR(__xludf.DUMMYFUNCTION("""COMPUTED_VALUE"""),2)</f>
        <v>2</v>
      </c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30.75" customHeight="1" spans="1:26">
      <c r="A288" s="2">
        <f>IFERROR(__xludf.DUMMYFUNCTION("""COMPUTED_VALUE"""),287)</f>
        <v>287</v>
      </c>
      <c r="B288" s="2" t="str">
        <f>IFERROR(__xludf.DUMMYFUNCTION("""COMPUTED_VALUE"""),"SCoFT")</f>
        <v>SCoFT</v>
      </c>
      <c r="C288" s="2" t="str">
        <f>IFERROR(__xludf.DUMMYFUNCTION("""COMPUTED_VALUE"""),"CS3050")</f>
        <v>CS3050</v>
      </c>
      <c r="D288" s="2" t="str">
        <f>IFERROR(__xludf.DUMMYFUNCTION("""COMPUTED_VALUE"""),"19AI050")</f>
        <v>19AI050</v>
      </c>
      <c r="E288" s="2"/>
      <c r="F288" s="2" t="str">
        <f>IFERROR(__xludf.DUMMYFUNCTION("""COMPUTED_VALUE"""),"NPTEL")</f>
        <v>NPTEL</v>
      </c>
      <c r="G288" s="3" t="str">
        <f>IFERROR(__xludf.DUMMYFUNCTION("""COMPUTED_VALUE"""),"Machine Learning for Earth System Sciences (NPTEL)")</f>
        <v>Machine Learning for Earth System Sciences (NPTEL)</v>
      </c>
      <c r="H288" s="2" t="str">
        <f>IFERROR(__xludf.DUMMYFUNCTION("""COMPUTED_VALUE"""),"8 Weeks")</f>
        <v>8 Weeks</v>
      </c>
      <c r="I288" s="2"/>
      <c r="J288" s="2"/>
      <c r="K288" s="2"/>
      <c r="L288" s="2" t="str">
        <f>IFERROR(__xludf.DUMMYFUNCTION("""COMPUTED_VALUE"""),"CGPA ")</f>
        <v>CGPA </v>
      </c>
      <c r="M288" s="2" t="str">
        <f>IFERROR(__xludf.DUMMYFUNCTION("""COMPUTED_VALUE"""),"Experiential Learning (Int and Grade from Certificate)")</f>
        <v>Experiential Learning (Int and Grade from Certificate)</v>
      </c>
      <c r="N288" s="2">
        <f>IFERROR(__xludf.DUMMYFUNCTION("""COMPUTED_VALUE"""),2)</f>
        <v>2</v>
      </c>
      <c r="O288" s="2">
        <f>IFERROR(__xludf.DUMMYFUNCTION("""COMPUTED_VALUE"""),2)</f>
        <v>2</v>
      </c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30.75" customHeight="1" spans="1:26">
      <c r="A289" s="2">
        <f>IFERROR(__xludf.DUMMYFUNCTION("""COMPUTED_VALUE"""),288)</f>
        <v>288</v>
      </c>
      <c r="B289" s="2" t="str">
        <f>IFERROR(__xludf.DUMMYFUNCTION("""COMPUTED_VALUE"""),"BME, MED ELEC")</f>
        <v>BME, MED ELEC</v>
      </c>
      <c r="C289" s="2" t="str">
        <f>IFERROR(__xludf.DUMMYFUNCTION("""COMPUTED_VALUE"""),"EC4662")</f>
        <v>EC4662</v>
      </c>
      <c r="D289" s="2" t="str">
        <f>IFERROR(__xludf.DUMMYFUNCTION("""COMPUTED_VALUE"""),"19BM662")</f>
        <v>19BM662</v>
      </c>
      <c r="E289" s="2"/>
      <c r="F289" s="2" t="str">
        <f>IFERROR(__xludf.DUMMYFUNCTION("""COMPUTED_VALUE"""),"NPTEL")</f>
        <v>NPTEL</v>
      </c>
      <c r="G289" s="3" t="str">
        <f>IFERROR(__xludf.DUMMYFUNCTION("""COMPUTED_VALUE"""),"Machine Learning for Engineering and Science Applications (NPTEL)")</f>
        <v>Machine Learning for Engineering and Science Applications (NPTEL)</v>
      </c>
      <c r="H289" s="2" t="str">
        <f>IFERROR(__xludf.DUMMYFUNCTION("""COMPUTED_VALUE"""),"12 Weeks")</f>
        <v>12 Weeks</v>
      </c>
      <c r="I289" s="2"/>
      <c r="J289" s="2"/>
      <c r="K289" s="2"/>
      <c r="L289" s="2" t="str">
        <f>IFERROR(__xludf.DUMMYFUNCTION("""COMPUTED_VALUE"""),"CGPA")</f>
        <v>CGPA</v>
      </c>
      <c r="M289" s="2" t="str">
        <f>IFERROR(__xludf.DUMMYFUNCTION("""COMPUTED_VALUE"""),"Experiential Learning (Int and Grade from Certificate)")</f>
        <v>Experiential Learning (Int and Grade from Certificate)</v>
      </c>
      <c r="N289" s="2">
        <f>IFERROR(__xludf.DUMMYFUNCTION("""COMPUTED_VALUE"""),3)</f>
        <v>3</v>
      </c>
      <c r="O289" s="2">
        <f>IFERROR(__xludf.DUMMYFUNCTION("""COMPUTED_VALUE"""),3)</f>
        <v>3</v>
      </c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30.75" customHeight="1" spans="1:26">
      <c r="A290" s="2">
        <f>IFERROR(__xludf.DUMMYFUNCTION("""COMPUTED_VALUE"""),289)</f>
        <v>289</v>
      </c>
      <c r="B290" s="2" t="str">
        <f>IFERROR(__xludf.DUMMYFUNCTION("""COMPUTED_VALUE"""),"SCoFT, BME, MED ELEC")</f>
        <v>SCoFT, BME, MED ELEC</v>
      </c>
      <c r="C290" s="2" t="str">
        <f>IFERROR(__xludf.DUMMYFUNCTION("""COMPUTED_VALUE"""),"CS3051")</f>
        <v>CS3051</v>
      </c>
      <c r="D290" s="2" t="str">
        <f>IFERROR(__xludf.DUMMYFUNCTION("""COMPUTED_VALUE"""),"19AI051")</f>
        <v>19AI051</v>
      </c>
      <c r="E290" s="2"/>
      <c r="F290" s="2" t="str">
        <f>IFERROR(__xludf.DUMMYFUNCTION("""COMPUTED_VALUE"""),"NPTEL")</f>
        <v>NPTEL</v>
      </c>
      <c r="G290" s="3" t="str">
        <f>IFERROR(__xludf.DUMMYFUNCTION("""COMPUTED_VALUE"""),"Machine Learning, ML (NPTEL)")</f>
        <v>Machine Learning, ML (NPTEL)</v>
      </c>
      <c r="H290" s="2" t="str">
        <f>IFERROR(__xludf.DUMMYFUNCTION("""COMPUTED_VALUE"""),"8 Weeks")</f>
        <v>8 Weeks</v>
      </c>
      <c r="I290" s="2"/>
      <c r="J290" s="2"/>
      <c r="K290" s="2"/>
      <c r="L290" s="2" t="str">
        <f>IFERROR(__xludf.DUMMYFUNCTION("""COMPUTED_VALUE"""),"CGPA ")</f>
        <v>CGPA </v>
      </c>
      <c r="M290" s="2" t="str">
        <f>IFERROR(__xludf.DUMMYFUNCTION("""COMPUTED_VALUE"""),"Experiential Learning (Int and Grade from Certificate)")</f>
        <v>Experiential Learning (Int and Grade from Certificate)</v>
      </c>
      <c r="N290" s="2">
        <f>IFERROR(__xludf.DUMMYFUNCTION("""COMPUTED_VALUE"""),2)</f>
        <v>2</v>
      </c>
      <c r="O290" s="2">
        <f>IFERROR(__xludf.DUMMYFUNCTION("""COMPUTED_VALUE"""),2)</f>
        <v>2</v>
      </c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30.75" customHeight="1" spans="1:26">
      <c r="A291" s="2">
        <f>IFERROR(__xludf.DUMMYFUNCTION("""COMPUTED_VALUE"""),290)</f>
        <v>290</v>
      </c>
      <c r="B291" s="2" t="str">
        <f>IFERROR(__xludf.DUMMYFUNCTION("""COMPUTED_VALUE"""),"SCoFT")</f>
        <v>SCoFT</v>
      </c>
      <c r="C291" s="2" t="str">
        <f>IFERROR(__xludf.DUMMYFUNCTION("""COMPUTED_VALUE"""),"CS3080")</f>
        <v>CS3080</v>
      </c>
      <c r="D291" s="2" t="str">
        <f>IFERROR(__xludf.DUMMYFUNCTION("""COMPUTED_VALUE"""),"19AI080")</f>
        <v>19AI080</v>
      </c>
      <c r="E291" s="2"/>
      <c r="F291" s="2" t="str">
        <f>IFERROR(__xludf.DUMMYFUNCTION("""COMPUTED_VALUE"""),"COURSERA")</f>
        <v>COURSERA</v>
      </c>
      <c r="G291" s="3" t="str">
        <f>IFERROR(__xludf.DUMMYFUNCTION("""COMPUTED_VALUE"""),"Machine Translation (Coursera)")</f>
        <v>Machine Translation (Coursera)</v>
      </c>
      <c r="H291" s="2" t="str">
        <f>IFERROR(__xludf.DUMMYFUNCTION("""COMPUTED_VALUE"""),"7 Weeks")</f>
        <v>7 Weeks</v>
      </c>
      <c r="I291" s="2"/>
      <c r="J291" s="2"/>
      <c r="K291" s="2"/>
      <c r="L291" s="2" t="str">
        <f>IFERROR(__xludf.DUMMYFUNCTION("""COMPUTED_VALUE"""),"CGPA")</f>
        <v>CGPA</v>
      </c>
      <c r="M291" s="2" t="str">
        <f>IFERROR(__xludf.DUMMYFUNCTION("""COMPUTED_VALUE"""),"Experiential Learning (Int and Grade from Certificate)")</f>
        <v>Experiential Learning (Int and Grade from Certificate)</v>
      </c>
      <c r="N291" s="2">
        <f>IFERROR(__xludf.DUMMYFUNCTION("""COMPUTED_VALUE"""),1)</f>
        <v>1</v>
      </c>
      <c r="O291" s="2">
        <f>IFERROR(__xludf.DUMMYFUNCTION("""COMPUTED_VALUE"""),1)</f>
        <v>1</v>
      </c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30.75" customHeight="1" spans="1:26">
      <c r="A292" s="2">
        <f>IFERROR(__xludf.DUMMYFUNCTION("""COMPUTED_VALUE"""),291)</f>
        <v>291</v>
      </c>
      <c r="B292" s="2" t="str">
        <f>IFERROR(__xludf.DUMMYFUNCTION("""COMPUTED_VALUE"""),"BME, MED ELEC")</f>
        <v>BME, MED ELEC</v>
      </c>
      <c r="C292" s="2" t="str">
        <f>IFERROR(__xludf.DUMMYFUNCTION("""COMPUTED_VALUE"""),"EC4663")</f>
        <v>EC4663</v>
      </c>
      <c r="D292" s="2" t="str">
        <f>IFERROR(__xludf.DUMMYFUNCTION("""COMPUTED_VALUE"""),"19BM663")</f>
        <v>19BM663</v>
      </c>
      <c r="E292" s="2"/>
      <c r="F292" s="2" t="str">
        <f>IFERROR(__xludf.DUMMYFUNCTION("""COMPUTED_VALUE"""),"NPTEL")</f>
        <v>NPTEL</v>
      </c>
      <c r="G292" s="3" t="str">
        <f>IFERROR(__xludf.DUMMYFUNCTION("""COMPUTED_VALUE"""),"Management of Medical Emergencies in Dental Practice (NPTEL)")</f>
        <v>Management of Medical Emergencies in Dental Practice (NPTEL)</v>
      </c>
      <c r="H292" s="2" t="str">
        <f>IFERROR(__xludf.DUMMYFUNCTION("""COMPUTED_VALUE"""),"8 Weeks")</f>
        <v>8 Weeks</v>
      </c>
      <c r="I292" s="2"/>
      <c r="J292" s="2"/>
      <c r="K292" s="2"/>
      <c r="L292" s="2" t="str">
        <f>IFERROR(__xludf.DUMMYFUNCTION("""COMPUTED_VALUE"""),"CGPA")</f>
        <v>CGPA</v>
      </c>
      <c r="M292" s="2" t="str">
        <f>IFERROR(__xludf.DUMMYFUNCTION("""COMPUTED_VALUE"""),"Experiential Learning (Int and Grade from Certificate)")</f>
        <v>Experiential Learning (Int and Grade from Certificate)</v>
      </c>
      <c r="N292" s="2">
        <f>IFERROR(__xludf.DUMMYFUNCTION("""COMPUTED_VALUE"""),2)</f>
        <v>2</v>
      </c>
      <c r="O292" s="2">
        <f>IFERROR(__xludf.DUMMYFUNCTION("""COMPUTED_VALUE"""),2)</f>
        <v>2</v>
      </c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30.75" customHeight="1" spans="1:26">
      <c r="A293" s="2">
        <f>IFERROR(__xludf.DUMMYFUNCTION("""COMPUTED_VALUE"""),292)</f>
        <v>292</v>
      </c>
      <c r="B293" s="2" t="str">
        <f>IFERROR(__xludf.DUMMYFUNCTION("""COMPUTED_VALUE"""),"EEE")</f>
        <v>EEE</v>
      </c>
      <c r="C293" s="2" t="str">
        <f>IFERROR(__xludf.DUMMYFUNCTION("""COMPUTED_VALUE"""),"EC2616")</f>
        <v>EC2616</v>
      </c>
      <c r="D293" s="2" t="str">
        <f>IFERROR(__xludf.DUMMYFUNCTION("""COMPUTED_VALUE"""),"19EE616")</f>
        <v>19EE616</v>
      </c>
      <c r="E293" s="2"/>
      <c r="F293" s="2" t="str">
        <f>IFERROR(__xludf.DUMMYFUNCTION("""COMPUTED_VALUE"""),"NPTEL")</f>
        <v>NPTEL</v>
      </c>
      <c r="G293" s="3" t="str">
        <f>IFERROR(__xludf.DUMMYFUNCTION("""COMPUTED_VALUE"""),"Managing Change in Organizations (NPTEL)")</f>
        <v>Managing Change in Organizations (NPTEL)</v>
      </c>
      <c r="H293" s="2" t="str">
        <f>IFERROR(__xludf.DUMMYFUNCTION("""COMPUTED_VALUE"""),"8 Weeks")</f>
        <v>8 Weeks</v>
      </c>
      <c r="I293" s="2"/>
      <c r="J293" s="2"/>
      <c r="K293" s="2"/>
      <c r="L293" s="2" t="str">
        <f>IFERROR(__xludf.DUMMYFUNCTION("""COMPUTED_VALUE"""),"CGPA ")</f>
        <v>CGPA </v>
      </c>
      <c r="M293" s="2" t="str">
        <f>IFERROR(__xludf.DUMMYFUNCTION("""COMPUTED_VALUE"""),"Experiential Learning (Int and Grade from Certificate)")</f>
        <v>Experiential Learning (Int and Grade from Certificate)</v>
      </c>
      <c r="N293" s="2">
        <f>IFERROR(__xludf.DUMMYFUNCTION("""COMPUTED_VALUE"""),2)</f>
        <v>2</v>
      </c>
      <c r="O293" s="2">
        <f>IFERROR(__xludf.DUMMYFUNCTION("""COMPUTED_VALUE"""),2)</f>
        <v>2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30.75" customHeight="1" spans="1:26">
      <c r="A294" s="2">
        <f>IFERROR(__xludf.DUMMYFUNCTION("""COMPUTED_VALUE"""),293)</f>
        <v>293</v>
      </c>
      <c r="B294" s="2" t="str">
        <f>IFERROR(__xludf.DUMMYFUNCTION("""COMPUTED_VALUE"""),"MECH")</f>
        <v>MECH</v>
      </c>
      <c r="C294" s="2" t="str">
        <f>IFERROR(__xludf.DUMMYFUNCTION("""COMPUTED_VALUE"""),"ME0614")</f>
        <v>ME0614</v>
      </c>
      <c r="D294" s="2" t="str">
        <f>IFERROR(__xludf.DUMMYFUNCTION("""COMPUTED_VALUE"""),"19ME614")</f>
        <v>19ME614</v>
      </c>
      <c r="E294" s="2"/>
      <c r="F294" s="2" t="str">
        <f>IFERROR(__xludf.DUMMYFUNCTION("""COMPUTED_VALUE"""),"NPTEL")</f>
        <v>NPTEL</v>
      </c>
      <c r="G294" s="3" t="str">
        <f>IFERROR(__xludf.DUMMYFUNCTION("""COMPUTED_VALUE"""),"Manufacturing Processes and Technology 1 and 2 (NPTEL)")</f>
        <v>Manufacturing Processes and Technology 1 and 2 (NPTEL)</v>
      </c>
      <c r="H294" s="2" t="str">
        <f>IFERROR(__xludf.DUMMYFUNCTION("""COMPUTED_VALUE"""),"12 Weeks")</f>
        <v>12 Weeks</v>
      </c>
      <c r="I294" s="2"/>
      <c r="J294" s="2"/>
      <c r="K294" s="2"/>
      <c r="L294" s="2" t="str">
        <f>IFERROR(__xludf.DUMMYFUNCTION("""COMPUTED_VALUE"""),"CGPA ")</f>
        <v>CGPA </v>
      </c>
      <c r="M294" s="2" t="str">
        <f>IFERROR(__xludf.DUMMYFUNCTION("""COMPUTED_VALUE"""),"Experiential Learning (Int and Grade from Certificate)")</f>
        <v>Experiential Learning (Int and Grade from Certificate)</v>
      </c>
      <c r="N294" s="2">
        <f>IFERROR(__xludf.DUMMYFUNCTION("""COMPUTED_VALUE"""),3)</f>
        <v>3</v>
      </c>
      <c r="O294" s="2">
        <f>IFERROR(__xludf.DUMMYFUNCTION("""COMPUTED_VALUE"""),3)</f>
        <v>3</v>
      </c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30.75" customHeight="1" spans="1:26">
      <c r="A295" s="2">
        <f>IFERROR(__xludf.DUMMYFUNCTION("""COMPUTED_VALUE"""),294)</f>
        <v>294</v>
      </c>
      <c r="B295" s="2" t="str">
        <f>IFERROR(__xludf.DUMMYFUNCTION("""COMPUTED_VALUE"""),"Mechanical")</f>
        <v>Mechanical</v>
      </c>
      <c r="C295" s="2" t="str">
        <f>IFERROR(__xludf.DUMMYFUNCTION("""COMPUTED_VALUE"""),"ME0624")</f>
        <v>ME0624</v>
      </c>
      <c r="D295" s="2" t="str">
        <f>IFERROR(__xludf.DUMMYFUNCTION("""COMPUTED_VALUE"""),"19ME624")</f>
        <v>19ME624</v>
      </c>
      <c r="E295" s="2"/>
      <c r="F295" s="2" t="str">
        <f>IFERROR(__xludf.DUMMYFUNCTION("""COMPUTED_VALUE"""),"NPTEL (IIT Kanpur)")</f>
        <v>NPTEL (IIT Kanpur)</v>
      </c>
      <c r="G295" s="3" t="str">
        <f>IFERROR(__xludf.DUMMYFUNCTION("""COMPUTED_VALUE"""),"Manufacturing Systems Technology I &amp; II")</f>
        <v>Manufacturing Systems Technology I &amp; II</v>
      </c>
      <c r="H295" s="4" t="str">
        <f>IFERROR(__xludf.DUMMYFUNCTION("""COMPUTED_VALUE"""),"12 weeks")</f>
        <v>12 weeks</v>
      </c>
      <c r="I295" s="4">
        <f>IFERROR(__xludf.DUMMYFUNCTION("""COMPUTED_VALUE"""),45224)</f>
        <v>45224</v>
      </c>
      <c r="J295" s="2" t="str">
        <f>IFERROR(__xludf.DUMMYFUNCTION("""COMPUTED_VALUE"""),"30/75")</f>
        <v>30/75</v>
      </c>
      <c r="K295" s="2" t="str">
        <f>IFERROR(__xludf.DUMMYFUNCTION("""COMPUTED_VALUE"""),"40/100")</f>
        <v>40/100</v>
      </c>
      <c r="L295" s="2" t="str">
        <f>IFERROR(__xludf.DUMMYFUNCTION("""COMPUTED_VALUE"""),"CGPA ")</f>
        <v>CGPA </v>
      </c>
      <c r="M295" s="2" t="str">
        <f>IFERROR(__xludf.DUMMYFUNCTION("""COMPUTED_VALUE"""),"Experiential Learning (Int and Grade from Certificate)")</f>
        <v>Experiential Learning (Int and Grade from Certificate)</v>
      </c>
      <c r="N295" s="2">
        <f>IFERROR(__xludf.DUMMYFUNCTION("""COMPUTED_VALUE"""),3)</f>
        <v>3</v>
      </c>
      <c r="O295" s="2">
        <f>IFERROR(__xludf.DUMMYFUNCTION("""COMPUTED_VALUE"""),3)</f>
        <v>3</v>
      </c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30.75" customHeight="1" spans="1:26">
      <c r="A296" s="2">
        <f>IFERROR(__xludf.DUMMYFUNCTION("""COMPUTED_VALUE"""),295)</f>
        <v>295</v>
      </c>
      <c r="B296" s="2" t="str">
        <f>IFERROR(__xludf.DUMMYFUNCTION("""COMPUTED_VALUE"""),"CHEMICAL")</f>
        <v>CHEMICAL</v>
      </c>
      <c r="C296" s="2" t="str">
        <f>IFERROR(__xludf.DUMMYFUNCTION("""COMPUTED_VALUE"""),"CH0606")</f>
        <v>CH0606</v>
      </c>
      <c r="D296" s="2" t="str">
        <f>IFERROR(__xludf.DUMMYFUNCTION("""COMPUTED_VALUE"""),"19CH606")</f>
        <v>19CH606</v>
      </c>
      <c r="E296" s="2"/>
      <c r="F296" s="2" t="str">
        <f>IFERROR(__xludf.DUMMYFUNCTION("""COMPUTED_VALUE"""),"NPTEL (IIT Kharagpur)")</f>
        <v>NPTEL (IIT Kharagpur)</v>
      </c>
      <c r="G296" s="3" t="str">
        <f>IFERROR(__xludf.DUMMYFUNCTION("""COMPUTED_VALUE"""),"Material and Energy Balance Computations (NPTEL)")</f>
        <v>Material and Energy Balance Computations (NPTEL)</v>
      </c>
      <c r="H296" s="2" t="str">
        <f>IFERROR(__xludf.DUMMYFUNCTION("""COMPUTED_VALUE"""),"12 Weeks")</f>
        <v>12 Weeks</v>
      </c>
      <c r="I296" s="2"/>
      <c r="J296" s="2"/>
      <c r="K296" s="2"/>
      <c r="L296" s="2" t="str">
        <f>IFERROR(__xludf.DUMMYFUNCTION("""COMPUTED_VALUE"""),"CGPA ")</f>
        <v>CGPA </v>
      </c>
      <c r="M296" s="2" t="str">
        <f>IFERROR(__xludf.DUMMYFUNCTION("""COMPUTED_VALUE"""),"Experiential Learning (Int and Grade from Certificate)")</f>
        <v>Experiential Learning (Int and Grade from Certificate)</v>
      </c>
      <c r="N296" s="2">
        <f>IFERROR(__xludf.DUMMYFUNCTION("""COMPUTED_VALUE"""),2)</f>
        <v>2</v>
      </c>
      <c r="O296" s="2">
        <f>IFERROR(__xludf.DUMMYFUNCTION("""COMPUTED_VALUE"""),3)</f>
        <v>3</v>
      </c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30.75" customHeight="1" spans="1:26">
      <c r="A297" s="2">
        <f>IFERROR(__xludf.DUMMYFUNCTION("""COMPUTED_VALUE"""),296)</f>
        <v>296</v>
      </c>
      <c r="B297" s="2" t="str">
        <f>IFERROR(__xludf.DUMMYFUNCTION("""COMPUTED_VALUE"""),"Mechanical")</f>
        <v>Mechanical</v>
      </c>
      <c r="C297" s="2" t="str">
        <f>IFERROR(__xludf.DUMMYFUNCTION("""COMPUTED_VALUE"""),"ME0623")</f>
        <v>ME0623</v>
      </c>
      <c r="D297" s="2" t="str">
        <f>IFERROR(__xludf.DUMMYFUNCTION("""COMPUTED_VALUE"""),"19ME623")</f>
        <v>19ME623</v>
      </c>
      <c r="E297" s="2"/>
      <c r="F297" s="2" t="str">
        <f>IFERROR(__xludf.DUMMYFUNCTION("""COMPUTED_VALUE"""),"NPTEL (IIT Guwahati)")</f>
        <v>NPTEL (IIT Guwahati)</v>
      </c>
      <c r="G297" s="3" t="str">
        <f>IFERROR(__xludf.DUMMYFUNCTION("""COMPUTED_VALUE"""),"Materials Processing (Casting, Forming and Welding)")</f>
        <v>Materials Processing (Casting, Forming and Welding)</v>
      </c>
      <c r="H297" s="4" t="str">
        <f>IFERROR(__xludf.DUMMYFUNCTION("""COMPUTED_VALUE"""),"12 weeks")</f>
        <v>12 weeks</v>
      </c>
      <c r="I297" s="4">
        <f>IFERROR(__xludf.DUMMYFUNCTION("""COMPUTED_VALUE"""),45224)</f>
        <v>45224</v>
      </c>
      <c r="J297" s="2" t="str">
        <f>IFERROR(__xludf.DUMMYFUNCTION("""COMPUTED_VALUE"""),"30/75")</f>
        <v>30/75</v>
      </c>
      <c r="K297" s="2" t="str">
        <f>IFERROR(__xludf.DUMMYFUNCTION("""COMPUTED_VALUE"""),"40/100")</f>
        <v>40/100</v>
      </c>
      <c r="L297" s="2" t="str">
        <f>IFERROR(__xludf.DUMMYFUNCTION("""COMPUTED_VALUE"""),"CGPA ")</f>
        <v>CGPA </v>
      </c>
      <c r="M297" s="2" t="str">
        <f>IFERROR(__xludf.DUMMYFUNCTION("""COMPUTED_VALUE"""),"Experiential Learning (Int and Grade from Certificate)")</f>
        <v>Experiential Learning (Int and Grade from Certificate)</v>
      </c>
      <c r="N297" s="2">
        <f>IFERROR(__xludf.DUMMYFUNCTION("""COMPUTED_VALUE"""),3)</f>
        <v>3</v>
      </c>
      <c r="O297" s="2">
        <f>IFERROR(__xludf.DUMMYFUNCTION("""COMPUTED_VALUE"""),3)</f>
        <v>3</v>
      </c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30.75" customHeight="1" spans="1:26">
      <c r="A298" s="2">
        <f>IFERROR(__xludf.DUMMYFUNCTION("""COMPUTED_VALUE"""),297)</f>
        <v>297</v>
      </c>
      <c r="B298" s="2" t="str">
        <f>IFERROR(__xludf.DUMMYFUNCTION("""COMPUTED_VALUE"""),"BME")</f>
        <v>BME</v>
      </c>
      <c r="C298" s="2" t="str">
        <f>IFERROR(__xludf.DUMMYFUNCTION("""COMPUTED_VALUE"""),"EC4609")</f>
        <v>EC4609</v>
      </c>
      <c r="D298" s="2" t="str">
        <f>IFERROR(__xludf.DUMMYFUNCTION("""COMPUTED_VALUE"""),"19BM609")</f>
        <v>19BM609</v>
      </c>
      <c r="E298" s="2"/>
      <c r="F298" s="2" t="str">
        <f>IFERROR(__xludf.DUMMYFUNCTION("""COMPUTED_VALUE"""),"NPTEL")</f>
        <v>NPTEL</v>
      </c>
      <c r="G298" s="3" t="str">
        <f>IFERROR(__xludf.DUMMYFUNCTION("""COMPUTED_VALUE"""),"Mathematical Aspects of Biomedical Electronic System Design (NPTEL)")</f>
        <v>Mathematical Aspects of Biomedical Electronic System Design (NPTEL)</v>
      </c>
      <c r="H298" s="2" t="str">
        <f>IFERROR(__xludf.DUMMYFUNCTION("""COMPUTED_VALUE"""),"12 Weeks")</f>
        <v>12 Weeks</v>
      </c>
      <c r="I298" s="4">
        <f>IFERROR(__xludf.DUMMYFUNCTION("""COMPUTED_VALUE"""),45224)</f>
        <v>45224</v>
      </c>
      <c r="J298" s="2" t="str">
        <f>IFERROR(__xludf.DUMMYFUNCTION("""COMPUTED_VALUE"""),"30/75")</f>
        <v>30/75</v>
      </c>
      <c r="K298" s="2" t="str">
        <f>IFERROR(__xludf.DUMMYFUNCTION("""COMPUTED_VALUE"""),"40/100")</f>
        <v>40/100</v>
      </c>
      <c r="L298" s="2" t="str">
        <f>IFERROR(__xludf.DUMMYFUNCTION("""COMPUTED_VALUE"""),"CGPA ")</f>
        <v>CGPA </v>
      </c>
      <c r="M298" s="2" t="str">
        <f>IFERROR(__xludf.DUMMYFUNCTION("""COMPUTED_VALUE"""),"Experiential Learning (Int and Grade from Certificate)")</f>
        <v>Experiential Learning (Int and Grade from Certificate)</v>
      </c>
      <c r="N298" s="2">
        <f>IFERROR(__xludf.DUMMYFUNCTION("""COMPUTED_VALUE"""),2)</f>
        <v>2</v>
      </c>
      <c r="O298" s="2">
        <f>IFERROR(__xludf.DUMMYFUNCTION("""COMPUTED_VALUE"""),3)</f>
        <v>3</v>
      </c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30.75" customHeight="1" spans="1:26">
      <c r="A299" s="2">
        <f>IFERROR(__xludf.DUMMYFUNCTION("""COMPUTED_VALUE"""),298)</f>
        <v>298</v>
      </c>
      <c r="B299" s="2" t="str">
        <f>IFERROR(__xludf.DUMMYFUNCTION("""COMPUTED_VALUE"""),"CHEMICAL")</f>
        <v>CHEMICAL</v>
      </c>
      <c r="C299" s="2" t="str">
        <f>IFERROR(__xludf.DUMMYFUNCTION("""COMPUTED_VALUE"""),"CH0614")</f>
        <v>CH0614</v>
      </c>
      <c r="D299" s="2" t="str">
        <f>IFERROR(__xludf.DUMMYFUNCTION("""COMPUTED_VALUE"""),"19CH614")</f>
        <v>19CH614</v>
      </c>
      <c r="E299" s="2"/>
      <c r="F299" s="2" t="str">
        <f>IFERROR(__xludf.DUMMYFUNCTION("""COMPUTED_VALUE"""),"NPTEL")</f>
        <v>NPTEL</v>
      </c>
      <c r="G299" s="3" t="str">
        <f>IFERROR(__xludf.DUMMYFUNCTION("""COMPUTED_VALUE"""),"Mathematical Modelling and Simulation of Chemical Engineering Process (NPTEL)")</f>
        <v>Mathematical Modelling and Simulation of Chemical Engineering Process (NPTEL)</v>
      </c>
      <c r="H299" s="2" t="str">
        <f>IFERROR(__xludf.DUMMYFUNCTION("""COMPUTED_VALUE"""),"12 Weeks")</f>
        <v>12 Weeks</v>
      </c>
      <c r="I299" s="2"/>
      <c r="J299" s="2"/>
      <c r="K299" s="2"/>
      <c r="L299" s="2" t="str">
        <f>IFERROR(__xludf.DUMMYFUNCTION("""COMPUTED_VALUE"""),"CGPA ")</f>
        <v>CGPA </v>
      </c>
      <c r="M299" s="2" t="str">
        <f>IFERROR(__xludf.DUMMYFUNCTION("""COMPUTED_VALUE"""),"Experiential Learning (Int and Grade from Certificate)")</f>
        <v>Experiential Learning (Int and Grade from Certificate)</v>
      </c>
      <c r="N299" s="2">
        <f>IFERROR(__xludf.DUMMYFUNCTION("""COMPUTED_VALUE"""),2)</f>
        <v>2</v>
      </c>
      <c r="O299" s="2">
        <f>IFERROR(__xludf.DUMMYFUNCTION("""COMPUTED_VALUE"""),3)</f>
        <v>3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30.75" customHeight="1" spans="1:26">
      <c r="A300" s="2">
        <f>IFERROR(__xludf.DUMMYFUNCTION("""COMPUTED_VALUE"""),299)</f>
        <v>299</v>
      </c>
      <c r="B300" s="2" t="str">
        <f>IFERROR(__xludf.DUMMYFUNCTION("""COMPUTED_VALUE"""),"MECH")</f>
        <v>MECH</v>
      </c>
      <c r="C300" s="2" t="str">
        <f>IFERROR(__xludf.DUMMYFUNCTION("""COMPUTED_VALUE"""),"ME0616")</f>
        <v>ME0616</v>
      </c>
      <c r="D300" s="2" t="str">
        <f>IFERROR(__xludf.DUMMYFUNCTION("""COMPUTED_VALUE"""),"19ME616")</f>
        <v>19ME616</v>
      </c>
      <c r="E300" s="2"/>
      <c r="F300" s="2" t="str">
        <f>IFERROR(__xludf.DUMMYFUNCTION("""COMPUTED_VALUE"""),"NPTEL")</f>
        <v>NPTEL</v>
      </c>
      <c r="G300" s="3" t="str">
        <f>IFERROR(__xludf.DUMMYFUNCTION("""COMPUTED_VALUE"""),"Mechanics of Sheet Metal Forming (NPTEL)")</f>
        <v>Mechanics of Sheet Metal Forming (NPTEL)</v>
      </c>
      <c r="H300" s="2" t="str">
        <f>IFERROR(__xludf.DUMMYFUNCTION("""COMPUTED_VALUE"""),"8 weeks")</f>
        <v>8 weeks</v>
      </c>
      <c r="I300" s="2" t="str">
        <f>IFERROR(__xludf.DUMMYFUNCTION("""COMPUTED_VALUE"""),"10 / 25")</f>
        <v>10 / 25</v>
      </c>
      <c r="J300" s="2" t="str">
        <f>IFERROR(__xludf.DUMMYFUNCTION("""COMPUTED_VALUE"""),"30 / 75")</f>
        <v>30 / 75</v>
      </c>
      <c r="K300" s="2" t="str">
        <f>IFERROR(__xludf.DUMMYFUNCTION("""COMPUTED_VALUE"""),"40 / 100")</f>
        <v>40 / 100</v>
      </c>
      <c r="L300" s="2" t="str">
        <f>IFERROR(__xludf.DUMMYFUNCTION("""COMPUTED_VALUE"""),"CGPA")</f>
        <v>CGPA</v>
      </c>
      <c r="M300" s="2" t="str">
        <f>IFERROR(__xludf.DUMMYFUNCTION("""COMPUTED_VALUE"""),"Experiential Learning (Int and Grade from Certificate)")</f>
        <v>Experiential Learning (Int and Grade from Certificate)</v>
      </c>
      <c r="N300" s="2">
        <f>IFERROR(__xludf.DUMMYFUNCTION("""COMPUTED_VALUE"""),2)</f>
        <v>2</v>
      </c>
      <c r="O300" s="2">
        <f>IFERROR(__xludf.DUMMYFUNCTION("""COMPUTED_VALUE"""),2)</f>
        <v>2</v>
      </c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30.75" customHeight="1" spans="1:26">
      <c r="A301" s="2">
        <f>IFERROR(__xludf.DUMMYFUNCTION("""COMPUTED_VALUE"""),300)</f>
        <v>300</v>
      </c>
      <c r="B301" s="2" t="str">
        <f>IFERROR(__xludf.DUMMYFUNCTION("""COMPUTED_VALUE"""),"BME, MED ELEC")</f>
        <v>BME, MED ELEC</v>
      </c>
      <c r="C301" s="2" t="str">
        <f>IFERROR(__xludf.DUMMYFUNCTION("""COMPUTED_VALUE"""),"EC4664")</f>
        <v>EC4664</v>
      </c>
      <c r="D301" s="2" t="str">
        <f>IFERROR(__xludf.DUMMYFUNCTION("""COMPUTED_VALUE"""),"19BM664")</f>
        <v>19BM664</v>
      </c>
      <c r="E301" s="2"/>
      <c r="F301" s="2" t="str">
        <f>IFERROR(__xludf.DUMMYFUNCTION("""COMPUTED_VALUE"""),"NPTEL")</f>
        <v>NPTEL</v>
      </c>
      <c r="G301" s="3" t="str">
        <f>IFERROR(__xludf.DUMMYFUNCTION("""COMPUTED_VALUE"""),"Medical Biomaterials (NPTEL)")</f>
        <v>Medical Biomaterials (NPTEL)</v>
      </c>
      <c r="H301" s="2" t="str">
        <f>IFERROR(__xludf.DUMMYFUNCTION("""COMPUTED_VALUE"""),"8 Weeks")</f>
        <v>8 Weeks</v>
      </c>
      <c r="I301" s="2"/>
      <c r="J301" s="2"/>
      <c r="K301" s="2"/>
      <c r="L301" s="2" t="str">
        <f>IFERROR(__xludf.DUMMYFUNCTION("""COMPUTED_VALUE"""),"CGPA")</f>
        <v>CGPA</v>
      </c>
      <c r="M301" s="2" t="str">
        <f>IFERROR(__xludf.DUMMYFUNCTION("""COMPUTED_VALUE"""),"Experiential Learning (Int and Grade from Certificate)")</f>
        <v>Experiential Learning (Int and Grade from Certificate)</v>
      </c>
      <c r="N301" s="2">
        <f>IFERROR(__xludf.DUMMYFUNCTION("""COMPUTED_VALUE"""),2)</f>
        <v>2</v>
      </c>
      <c r="O301" s="2">
        <f>IFERROR(__xludf.DUMMYFUNCTION("""COMPUTED_VALUE"""),2)</f>
        <v>2</v>
      </c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30.75" customHeight="1" spans="1:26">
      <c r="A302" s="2">
        <f>IFERROR(__xludf.DUMMYFUNCTION("""COMPUTED_VALUE"""),301)</f>
        <v>301</v>
      </c>
      <c r="B302" s="2" t="str">
        <f>IFERROR(__xludf.DUMMYFUNCTION("""COMPUTED_VALUE"""),"SCoFT, BME, MED ELEC")</f>
        <v>SCoFT, BME, MED ELEC</v>
      </c>
      <c r="C302" s="2" t="str">
        <f>IFERROR(__xludf.DUMMYFUNCTION("""COMPUTED_VALUE"""),"CS3052")</f>
        <v>CS3052</v>
      </c>
      <c r="D302" s="2" t="str">
        <f>IFERROR(__xludf.DUMMYFUNCTION("""COMPUTED_VALUE"""),"19AI052")</f>
        <v>19AI052</v>
      </c>
      <c r="E302" s="2"/>
      <c r="F302" s="2" t="str">
        <f>IFERROR(__xludf.DUMMYFUNCTION("""COMPUTED_VALUE"""),"NPTEL")</f>
        <v>NPTEL</v>
      </c>
      <c r="G302" s="3" t="str">
        <f>IFERROR(__xludf.DUMMYFUNCTION("""COMPUTED_VALUE"""),"Medical Image Analysis (NPTEL)")</f>
        <v>Medical Image Analysis (NPTEL)</v>
      </c>
      <c r="H302" s="2" t="str">
        <f>IFERROR(__xludf.DUMMYFUNCTION("""COMPUTED_VALUE"""),"12 Weeks")</f>
        <v>12 Weeks</v>
      </c>
      <c r="I302" s="2"/>
      <c r="J302" s="2"/>
      <c r="K302" s="2"/>
      <c r="L302" s="2" t="str">
        <f>IFERROR(__xludf.DUMMYFUNCTION("""COMPUTED_VALUE"""),"CGPA ")</f>
        <v>CGPA </v>
      </c>
      <c r="M302" s="2" t="str">
        <f>IFERROR(__xludf.DUMMYFUNCTION("""COMPUTED_VALUE"""),"Experiential Learning (Int and Grade from Certificate)")</f>
        <v>Experiential Learning (Int and Grade from Certificate)</v>
      </c>
      <c r="N302" s="2">
        <f>IFERROR(__xludf.DUMMYFUNCTION("""COMPUTED_VALUE"""),3)</f>
        <v>3</v>
      </c>
      <c r="O302" s="2">
        <f>IFERROR(__xludf.DUMMYFUNCTION("""COMPUTED_VALUE"""),3)</f>
        <v>3</v>
      </c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30.75" customHeight="1" spans="1:26">
      <c r="A303" s="2">
        <f>IFERROR(__xludf.DUMMYFUNCTION("""COMPUTED_VALUE"""),302)</f>
        <v>302</v>
      </c>
      <c r="B303" s="2" t="str">
        <f>IFERROR(__xludf.DUMMYFUNCTION("""COMPUTED_VALUE"""),"SCoFT")</f>
        <v>SCoFT</v>
      </c>
      <c r="C303" s="2" t="str">
        <f>IFERROR(__xludf.DUMMYFUNCTION("""COMPUTED_VALUE"""),"CS3261")</f>
        <v>CS3261</v>
      </c>
      <c r="D303" s="2" t="str">
        <f>IFERROR(__xludf.DUMMYFUNCTION("""COMPUTED_VALUE"""),"19AI261")</f>
        <v>19AI261</v>
      </c>
      <c r="E303" s="2"/>
      <c r="F303" s="2" t="str">
        <f>IFERROR(__xludf.DUMMYFUNCTION("""COMPUTED_VALUE"""),"Coursera")</f>
        <v>Coursera</v>
      </c>
      <c r="G303" s="3" t="str">
        <f>IFERROR(__xludf.DUMMYFUNCTION("""COMPUTED_VALUE"""),"MERN Full Stack")</f>
        <v>MERN Full Stack</v>
      </c>
      <c r="H303" s="2" t="str">
        <f>IFERROR(__xludf.DUMMYFUNCTION("""COMPUTED_VALUE"""),"2 Months")</f>
        <v>2 Months</v>
      </c>
      <c r="I303" s="2" t="str">
        <f>IFERROR(__xludf.DUMMYFUNCTION("""COMPUTED_VALUE"""),"NA")</f>
        <v>NA</v>
      </c>
      <c r="J303" s="2" t="str">
        <f>IFERROR(__xludf.DUMMYFUNCTION("""COMPUTED_VALUE"""),"NA")</f>
        <v>NA</v>
      </c>
      <c r="K303" s="2" t="str">
        <f>IFERROR(__xludf.DUMMYFUNCTION("""COMPUTED_VALUE"""),"NA")</f>
        <v>NA</v>
      </c>
      <c r="L303" s="2" t="str">
        <f>IFERROR(__xludf.DUMMYFUNCTION("""COMPUTED_VALUE"""),"CGPA")</f>
        <v>CGPA</v>
      </c>
      <c r="M303" s="2" t="str">
        <f>IFERROR(__xludf.DUMMYFUNCTION("""COMPUTED_VALUE"""),"Experiential Learning (Int and Grade from Certificate)")</f>
        <v>Experiential Learning (Int and Grade from Certificate)</v>
      </c>
      <c r="N303" s="2">
        <f>IFERROR(__xludf.DUMMYFUNCTION("""COMPUTED_VALUE"""),2)</f>
        <v>2</v>
      </c>
      <c r="O303" s="2">
        <f>IFERROR(__xludf.DUMMYFUNCTION("""COMPUTED_VALUE"""),2)</f>
        <v>2</v>
      </c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30.75" customHeight="1" spans="1:26">
      <c r="A304" s="2">
        <f>IFERROR(__xludf.DUMMYFUNCTION("""COMPUTED_VALUE"""),303)</f>
        <v>303</v>
      </c>
      <c r="B304" s="2" t="str">
        <f>IFERROR(__xludf.DUMMYFUNCTION("""COMPUTED_VALUE"""),"SCoFT")</f>
        <v>SCoFT</v>
      </c>
      <c r="C304" s="2" t="str">
        <f>IFERROR(__xludf.DUMMYFUNCTION("""COMPUTED_VALUE"""),"CS3224")</f>
        <v>CS3224</v>
      </c>
      <c r="D304" s="2" t="str">
        <f>IFERROR(__xludf.DUMMYFUNCTION("""COMPUTED_VALUE"""),"19AI224")</f>
        <v>19AI224</v>
      </c>
      <c r="E304" s="2"/>
      <c r="F304" s="2" t="str">
        <f>IFERROR(__xludf.DUMMYFUNCTION("""COMPUTED_VALUE"""),"Coursera")</f>
        <v>Coursera</v>
      </c>
      <c r="G304" s="3" t="str">
        <f>IFERROR(__xludf.DUMMYFUNCTION("""COMPUTED_VALUE"""),"Meta Android Developer Professional Certificate")</f>
        <v>Meta Android Developer Professional Certificate</v>
      </c>
      <c r="H304" s="2" t="str">
        <f>IFERROR(__xludf.DUMMYFUNCTION("""COMPUTED_VALUE"""),"8 Months")</f>
        <v>8 Months</v>
      </c>
      <c r="I304" s="2" t="str">
        <f>IFERROR(__xludf.DUMMYFUNCTION("""COMPUTED_VALUE"""),"NA")</f>
        <v>NA</v>
      </c>
      <c r="J304" s="2" t="str">
        <f>IFERROR(__xludf.DUMMYFUNCTION("""COMPUTED_VALUE"""),"NA")</f>
        <v>NA</v>
      </c>
      <c r="K304" s="2" t="str">
        <f>IFERROR(__xludf.DUMMYFUNCTION("""COMPUTED_VALUE"""),"NA")</f>
        <v>NA</v>
      </c>
      <c r="L304" s="2" t="str">
        <f>IFERROR(__xludf.DUMMYFUNCTION("""COMPUTED_VALUE"""),"CGPA")</f>
        <v>CGPA</v>
      </c>
      <c r="M304" s="2" t="str">
        <f>IFERROR(__xludf.DUMMYFUNCTION("""COMPUTED_VALUE"""),"Experiential Learning (Int and Grade from Certificate)")</f>
        <v>Experiential Learning (Int and Grade from Certificate)</v>
      </c>
      <c r="N304" s="2">
        <f>IFERROR(__xludf.DUMMYFUNCTION("""COMPUTED_VALUE"""),3)</f>
        <v>3</v>
      </c>
      <c r="O304" s="2">
        <f>IFERROR(__xludf.DUMMYFUNCTION("""COMPUTED_VALUE"""),3)</f>
        <v>3</v>
      </c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30.75" customHeight="1" spans="1:26">
      <c r="A305" s="2">
        <f>IFERROR(__xludf.DUMMYFUNCTION("""COMPUTED_VALUE"""),304)</f>
        <v>304</v>
      </c>
      <c r="B305" s="2" t="str">
        <f>IFERROR(__xludf.DUMMYFUNCTION("""COMPUTED_VALUE"""),"SCoFT")</f>
        <v>SCoFT</v>
      </c>
      <c r="C305" s="2" t="str">
        <f>IFERROR(__xludf.DUMMYFUNCTION("""COMPUTED_VALUE"""),"CS3225")</f>
        <v>CS3225</v>
      </c>
      <c r="D305" s="2" t="str">
        <f>IFERROR(__xludf.DUMMYFUNCTION("""COMPUTED_VALUE"""),"19AI225")</f>
        <v>19AI225</v>
      </c>
      <c r="E305" s="2"/>
      <c r="F305" s="2" t="str">
        <f>IFERROR(__xludf.DUMMYFUNCTION("""COMPUTED_VALUE"""),"Coursera")</f>
        <v>Coursera</v>
      </c>
      <c r="G305" s="3" t="str">
        <f>IFERROR(__xludf.DUMMYFUNCTION("""COMPUTED_VALUE"""),"Meta AR Developer Professional Certificate")</f>
        <v>Meta AR Developer Professional Certificate</v>
      </c>
      <c r="H305" s="2" t="str">
        <f>IFERROR(__xludf.DUMMYFUNCTION("""COMPUTED_VALUE"""),"3 Months")</f>
        <v>3 Months</v>
      </c>
      <c r="I305" s="2" t="str">
        <f>IFERROR(__xludf.DUMMYFUNCTION("""COMPUTED_VALUE"""),"NA")</f>
        <v>NA</v>
      </c>
      <c r="J305" s="2" t="str">
        <f>IFERROR(__xludf.DUMMYFUNCTION("""COMPUTED_VALUE"""),"NA")</f>
        <v>NA</v>
      </c>
      <c r="K305" s="2" t="str">
        <f>IFERROR(__xludf.DUMMYFUNCTION("""COMPUTED_VALUE"""),"NA")</f>
        <v>NA</v>
      </c>
      <c r="L305" s="2" t="str">
        <f>IFERROR(__xludf.DUMMYFUNCTION("""COMPUTED_VALUE"""),"CGPA")</f>
        <v>CGPA</v>
      </c>
      <c r="M305" s="2" t="str">
        <f>IFERROR(__xludf.DUMMYFUNCTION("""COMPUTED_VALUE"""),"Experiential Learning (Int and Grade from Certificate)")</f>
        <v>Experiential Learning (Int and Grade from Certificate)</v>
      </c>
      <c r="N305" s="2">
        <f>IFERROR(__xludf.DUMMYFUNCTION("""COMPUTED_VALUE"""),3)</f>
        <v>3</v>
      </c>
      <c r="O305" s="2">
        <f>IFERROR(__xludf.DUMMYFUNCTION("""COMPUTED_VALUE"""),3)</f>
        <v>3</v>
      </c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30.75" customHeight="1" spans="1:26">
      <c r="A306" s="2">
        <f>IFERROR(__xludf.DUMMYFUNCTION("""COMPUTED_VALUE"""),305)</f>
        <v>305</v>
      </c>
      <c r="B306" s="2" t="str">
        <f>IFERROR(__xludf.DUMMYFUNCTION("""COMPUTED_VALUE"""),"SCoFT")</f>
        <v>SCoFT</v>
      </c>
      <c r="C306" s="2" t="str">
        <f>IFERROR(__xludf.DUMMYFUNCTION("""COMPUTED_VALUE"""),"CS3226")</f>
        <v>CS3226</v>
      </c>
      <c r="D306" s="2" t="str">
        <f>IFERROR(__xludf.DUMMYFUNCTION("""COMPUTED_VALUE"""),"19AI226")</f>
        <v>19AI226</v>
      </c>
      <c r="E306" s="2"/>
      <c r="F306" s="2" t="str">
        <f>IFERROR(__xludf.DUMMYFUNCTION("""COMPUTED_VALUE"""),"Coursera")</f>
        <v>Coursera</v>
      </c>
      <c r="G306" s="3" t="str">
        <f>IFERROR(__xludf.DUMMYFUNCTION("""COMPUTED_VALUE"""),"Meta Back-End Developer Professional Certificate")</f>
        <v>Meta Back-End Developer Professional Certificate</v>
      </c>
      <c r="H306" s="2" t="str">
        <f>IFERROR(__xludf.DUMMYFUNCTION("""COMPUTED_VALUE"""),"8 Months")</f>
        <v>8 Months</v>
      </c>
      <c r="I306" s="2" t="str">
        <f>IFERROR(__xludf.DUMMYFUNCTION("""COMPUTED_VALUE"""),"NA")</f>
        <v>NA</v>
      </c>
      <c r="J306" s="2" t="str">
        <f>IFERROR(__xludf.DUMMYFUNCTION("""COMPUTED_VALUE"""),"NA")</f>
        <v>NA</v>
      </c>
      <c r="K306" s="2" t="str">
        <f>IFERROR(__xludf.DUMMYFUNCTION("""COMPUTED_VALUE"""),"NA")</f>
        <v>NA</v>
      </c>
      <c r="L306" s="2" t="str">
        <f>IFERROR(__xludf.DUMMYFUNCTION("""COMPUTED_VALUE"""),"CGPA")</f>
        <v>CGPA</v>
      </c>
      <c r="M306" s="2" t="str">
        <f>IFERROR(__xludf.DUMMYFUNCTION("""COMPUTED_VALUE"""),"Experiential Learning (Int and Grade from Certificate)")</f>
        <v>Experiential Learning (Int and Grade from Certificate)</v>
      </c>
      <c r="N306" s="2">
        <f>IFERROR(__xludf.DUMMYFUNCTION("""COMPUTED_VALUE"""),3)</f>
        <v>3</v>
      </c>
      <c r="O306" s="2">
        <f>IFERROR(__xludf.DUMMYFUNCTION("""COMPUTED_VALUE"""),3)</f>
        <v>3</v>
      </c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30.75" customHeight="1" spans="1:26">
      <c r="A307" s="2">
        <f>IFERROR(__xludf.DUMMYFUNCTION("""COMPUTED_VALUE"""),306)</f>
        <v>306</v>
      </c>
      <c r="B307" s="2" t="str">
        <f>IFERROR(__xludf.DUMMYFUNCTION("""COMPUTED_VALUE"""),"SCoFT")</f>
        <v>SCoFT</v>
      </c>
      <c r="C307" s="2" t="str">
        <f>IFERROR(__xludf.DUMMYFUNCTION("""COMPUTED_VALUE"""),"CS3227")</f>
        <v>CS3227</v>
      </c>
      <c r="D307" s="2" t="str">
        <f>IFERROR(__xludf.DUMMYFUNCTION("""COMPUTED_VALUE"""),"19AI227")</f>
        <v>19AI227</v>
      </c>
      <c r="E307" s="2"/>
      <c r="F307" s="2" t="str">
        <f>IFERROR(__xludf.DUMMYFUNCTION("""COMPUTED_VALUE"""),"Coursera")</f>
        <v>Coursera</v>
      </c>
      <c r="G307" s="3" t="str">
        <f>IFERROR(__xludf.DUMMYFUNCTION("""COMPUTED_VALUE"""),"Meta Data Analyst Professional Certificate")</f>
        <v>Meta Data Analyst Professional Certificate</v>
      </c>
      <c r="H307" s="2" t="str">
        <f>IFERROR(__xludf.DUMMYFUNCTION("""COMPUTED_VALUE"""),"5 Months")</f>
        <v>5 Months</v>
      </c>
      <c r="I307" s="2" t="str">
        <f>IFERROR(__xludf.DUMMYFUNCTION("""COMPUTED_VALUE"""),"NA")</f>
        <v>NA</v>
      </c>
      <c r="J307" s="2" t="str">
        <f>IFERROR(__xludf.DUMMYFUNCTION("""COMPUTED_VALUE"""),"NA")</f>
        <v>NA</v>
      </c>
      <c r="K307" s="2" t="str">
        <f>IFERROR(__xludf.DUMMYFUNCTION("""COMPUTED_VALUE"""),"NA")</f>
        <v>NA</v>
      </c>
      <c r="L307" s="2" t="str">
        <f>IFERROR(__xludf.DUMMYFUNCTION("""COMPUTED_VALUE"""),"CGPA")</f>
        <v>CGPA</v>
      </c>
      <c r="M307" s="2" t="str">
        <f>IFERROR(__xludf.DUMMYFUNCTION("""COMPUTED_VALUE"""),"Experiential Learning (Int and Grade from Certificate)")</f>
        <v>Experiential Learning (Int and Grade from Certificate)</v>
      </c>
      <c r="N307" s="2">
        <f>IFERROR(__xludf.DUMMYFUNCTION("""COMPUTED_VALUE"""),3)</f>
        <v>3</v>
      </c>
      <c r="O307" s="2">
        <f>IFERROR(__xludf.DUMMYFUNCTION("""COMPUTED_VALUE"""),3)</f>
        <v>3</v>
      </c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30.75" customHeight="1" spans="1:26">
      <c r="A308" s="2">
        <f>IFERROR(__xludf.DUMMYFUNCTION("""COMPUTED_VALUE"""),307)</f>
        <v>307</v>
      </c>
      <c r="B308" s="2" t="str">
        <f>IFERROR(__xludf.DUMMYFUNCTION("""COMPUTED_VALUE"""),"SCoFT")</f>
        <v>SCoFT</v>
      </c>
      <c r="C308" s="2" t="str">
        <f>IFERROR(__xludf.DUMMYFUNCTION("""COMPUTED_VALUE"""),"CS3228")</f>
        <v>CS3228</v>
      </c>
      <c r="D308" s="2" t="str">
        <f>IFERROR(__xludf.DUMMYFUNCTION("""COMPUTED_VALUE"""),"19AI228")</f>
        <v>19AI228</v>
      </c>
      <c r="E308" s="2"/>
      <c r="F308" s="2" t="str">
        <f>IFERROR(__xludf.DUMMYFUNCTION("""COMPUTED_VALUE"""),"Coursera")</f>
        <v>Coursera</v>
      </c>
      <c r="G308" s="3" t="str">
        <f>IFERROR(__xludf.DUMMYFUNCTION("""COMPUTED_VALUE"""),"Meta Database Engineer Professional Certificate")</f>
        <v>Meta Database Engineer Professional Certificate</v>
      </c>
      <c r="H308" s="2" t="str">
        <f>IFERROR(__xludf.DUMMYFUNCTION("""COMPUTED_VALUE"""),"6 Months")</f>
        <v>6 Months</v>
      </c>
      <c r="I308" s="2" t="str">
        <f>IFERROR(__xludf.DUMMYFUNCTION("""COMPUTED_VALUE"""),"NA")</f>
        <v>NA</v>
      </c>
      <c r="J308" s="2" t="str">
        <f>IFERROR(__xludf.DUMMYFUNCTION("""COMPUTED_VALUE"""),"NA")</f>
        <v>NA</v>
      </c>
      <c r="K308" s="2" t="str">
        <f>IFERROR(__xludf.DUMMYFUNCTION("""COMPUTED_VALUE"""),"NA")</f>
        <v>NA</v>
      </c>
      <c r="L308" s="2" t="str">
        <f>IFERROR(__xludf.DUMMYFUNCTION("""COMPUTED_VALUE"""),"CGPA")</f>
        <v>CGPA</v>
      </c>
      <c r="M308" s="2" t="str">
        <f>IFERROR(__xludf.DUMMYFUNCTION("""COMPUTED_VALUE"""),"Experiential Learning (Int and Grade from Certificate)")</f>
        <v>Experiential Learning (Int and Grade from Certificate)</v>
      </c>
      <c r="N308" s="2">
        <f>IFERROR(__xludf.DUMMYFUNCTION("""COMPUTED_VALUE"""),3)</f>
        <v>3</v>
      </c>
      <c r="O308" s="2">
        <f>IFERROR(__xludf.DUMMYFUNCTION("""COMPUTED_VALUE"""),3)</f>
        <v>3</v>
      </c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30.75" customHeight="1" spans="1:26">
      <c r="A309" s="2">
        <f>IFERROR(__xludf.DUMMYFUNCTION("""COMPUTED_VALUE"""),308)</f>
        <v>308</v>
      </c>
      <c r="B309" s="2" t="str">
        <f>IFERROR(__xludf.DUMMYFUNCTION("""COMPUTED_VALUE"""),"SCoFT")</f>
        <v>SCoFT</v>
      </c>
      <c r="C309" s="2" t="str">
        <f>IFERROR(__xludf.DUMMYFUNCTION("""COMPUTED_VALUE"""),"CS3229")</f>
        <v>CS3229</v>
      </c>
      <c r="D309" s="2" t="str">
        <f>IFERROR(__xludf.DUMMYFUNCTION("""COMPUTED_VALUE"""),"19AI229")</f>
        <v>19AI229</v>
      </c>
      <c r="E309" s="2"/>
      <c r="F309" s="2" t="str">
        <f>IFERROR(__xludf.DUMMYFUNCTION("""COMPUTED_VALUE"""),"Coursera")</f>
        <v>Coursera</v>
      </c>
      <c r="G309" s="3" t="str">
        <f>IFERROR(__xludf.DUMMYFUNCTION("""COMPUTED_VALUE"""),"Meta Front-End Developer Professional Certificate")</f>
        <v>Meta Front-End Developer Professional Certificate</v>
      </c>
      <c r="H309" s="2" t="str">
        <f>IFERROR(__xludf.DUMMYFUNCTION("""COMPUTED_VALUE"""),"7 Months")</f>
        <v>7 Months</v>
      </c>
      <c r="I309" s="2" t="str">
        <f>IFERROR(__xludf.DUMMYFUNCTION("""COMPUTED_VALUE"""),"NA")</f>
        <v>NA</v>
      </c>
      <c r="J309" s="2" t="str">
        <f>IFERROR(__xludf.DUMMYFUNCTION("""COMPUTED_VALUE"""),"NA")</f>
        <v>NA</v>
      </c>
      <c r="K309" s="2" t="str">
        <f>IFERROR(__xludf.DUMMYFUNCTION("""COMPUTED_VALUE"""),"NA")</f>
        <v>NA</v>
      </c>
      <c r="L309" s="2" t="str">
        <f>IFERROR(__xludf.DUMMYFUNCTION("""COMPUTED_VALUE"""),"CGPA")</f>
        <v>CGPA</v>
      </c>
      <c r="M309" s="2" t="str">
        <f>IFERROR(__xludf.DUMMYFUNCTION("""COMPUTED_VALUE"""),"Experiential Learning (Int and Grade from Certificate)")</f>
        <v>Experiential Learning (Int and Grade from Certificate)</v>
      </c>
      <c r="N309" s="2">
        <f>IFERROR(__xludf.DUMMYFUNCTION("""COMPUTED_VALUE"""),3)</f>
        <v>3</v>
      </c>
      <c r="O309" s="2">
        <f>IFERROR(__xludf.DUMMYFUNCTION("""COMPUTED_VALUE"""),3)</f>
        <v>3</v>
      </c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30.75" customHeight="1" spans="1:26">
      <c r="A310" s="2">
        <f>IFERROR(__xludf.DUMMYFUNCTION("""COMPUTED_VALUE"""),309)</f>
        <v>309</v>
      </c>
      <c r="B310" s="2" t="str">
        <f>IFERROR(__xludf.DUMMYFUNCTION("""COMPUTED_VALUE"""),"SCoFT")</f>
        <v>SCoFT</v>
      </c>
      <c r="C310" s="2" t="str">
        <f>IFERROR(__xludf.DUMMYFUNCTION("""COMPUTED_VALUE"""),"CS3124")</f>
        <v>CS3124</v>
      </c>
      <c r="D310" s="2" t="str">
        <f>IFERROR(__xludf.DUMMYFUNCTION("""COMPUTED_VALUE"""),"19AI124")</f>
        <v>19AI124</v>
      </c>
      <c r="E310" s="2"/>
      <c r="F310" s="2" t="str">
        <f>IFERROR(__xludf.DUMMYFUNCTION("""COMPUTED_VALUE"""),"COURSERA")</f>
        <v>COURSERA</v>
      </c>
      <c r="G310" s="3" t="str">
        <f>IFERROR(__xludf.DUMMYFUNCTION("""COMPUTED_VALUE"""),"Meta iOS Developer (Coursera)")</f>
        <v>Meta iOS Developer (Coursera)</v>
      </c>
      <c r="H310" s="2" t="str">
        <f>IFERROR(__xludf.DUMMYFUNCTION("""COMPUTED_VALUE"""),"32 Weeks")</f>
        <v>32 Weeks</v>
      </c>
      <c r="I310" s="2"/>
      <c r="J310" s="2"/>
      <c r="K310" s="2"/>
      <c r="L310" s="2" t="str">
        <f>IFERROR(__xludf.DUMMYFUNCTION("""COMPUTED_VALUE"""),"CGPA")</f>
        <v>CGPA</v>
      </c>
      <c r="M310" s="2" t="str">
        <f>IFERROR(__xludf.DUMMYFUNCTION("""COMPUTED_VALUE"""),"Experiential Learning (Int and Grade from Certificate)")</f>
        <v>Experiential Learning (Int and Grade from Certificate)</v>
      </c>
      <c r="N310" s="2">
        <f>IFERROR(__xludf.DUMMYFUNCTION("""COMPUTED_VALUE"""),3)</f>
        <v>3</v>
      </c>
      <c r="O310" s="2">
        <f>IFERROR(__xludf.DUMMYFUNCTION("""COMPUTED_VALUE"""),3)</f>
        <v>3</v>
      </c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30.75" customHeight="1" spans="1:26">
      <c r="A311" s="2">
        <f>IFERROR(__xludf.DUMMYFUNCTION("""COMPUTED_VALUE"""),310)</f>
        <v>310</v>
      </c>
      <c r="B311" s="2" t="str">
        <f>IFERROR(__xludf.DUMMYFUNCTION("""COMPUTED_VALUE"""),"SCoFT")</f>
        <v>SCoFT</v>
      </c>
      <c r="C311" s="2" t="str">
        <f>IFERROR(__xludf.DUMMYFUNCTION("""COMPUTED_VALUE"""),"CS3230")</f>
        <v>CS3230</v>
      </c>
      <c r="D311" s="2" t="str">
        <f>IFERROR(__xludf.DUMMYFUNCTION("""COMPUTED_VALUE"""),"19AI230")</f>
        <v>19AI230</v>
      </c>
      <c r="E311" s="2"/>
      <c r="F311" s="2" t="str">
        <f>IFERROR(__xludf.DUMMYFUNCTION("""COMPUTED_VALUE"""),"Coursera")</f>
        <v>Coursera</v>
      </c>
      <c r="G311" s="3" t="str">
        <f>IFERROR(__xludf.DUMMYFUNCTION("""COMPUTED_VALUE"""),"Meta Marketing Analytics Professional Certificate")</f>
        <v>Meta Marketing Analytics Professional Certificate</v>
      </c>
      <c r="H311" s="2" t="str">
        <f>IFERROR(__xludf.DUMMYFUNCTION("""COMPUTED_VALUE"""),"7 Months")</f>
        <v>7 Months</v>
      </c>
      <c r="I311" s="2" t="str">
        <f>IFERROR(__xludf.DUMMYFUNCTION("""COMPUTED_VALUE"""),"NA")</f>
        <v>NA</v>
      </c>
      <c r="J311" s="2" t="str">
        <f>IFERROR(__xludf.DUMMYFUNCTION("""COMPUTED_VALUE"""),"NA")</f>
        <v>NA</v>
      </c>
      <c r="K311" s="2" t="str">
        <f>IFERROR(__xludf.DUMMYFUNCTION("""COMPUTED_VALUE"""),"NA")</f>
        <v>NA</v>
      </c>
      <c r="L311" s="2" t="str">
        <f>IFERROR(__xludf.DUMMYFUNCTION("""COMPUTED_VALUE"""),"CGPA")</f>
        <v>CGPA</v>
      </c>
      <c r="M311" s="2" t="str">
        <f>IFERROR(__xludf.DUMMYFUNCTION("""COMPUTED_VALUE"""),"Experiential Learning (Int and Grade from Certificate)")</f>
        <v>Experiential Learning (Int and Grade from Certificate)</v>
      </c>
      <c r="N311" s="2">
        <f>IFERROR(__xludf.DUMMYFUNCTION("""COMPUTED_VALUE"""),3)</f>
        <v>3</v>
      </c>
      <c r="O311" s="2">
        <f>IFERROR(__xludf.DUMMYFUNCTION("""COMPUTED_VALUE"""),3)</f>
        <v>3</v>
      </c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30.75" customHeight="1" spans="1:26">
      <c r="A312" s="2">
        <f>IFERROR(__xludf.DUMMYFUNCTION("""COMPUTED_VALUE"""),311)</f>
        <v>311</v>
      </c>
      <c r="B312" s="2" t="str">
        <f>IFERROR(__xludf.DUMMYFUNCTION("""COMPUTED_VALUE"""),"SCoFT")</f>
        <v>SCoFT</v>
      </c>
      <c r="C312" s="2" t="str">
        <f>IFERROR(__xludf.DUMMYFUNCTION("""COMPUTED_VALUE"""),"CS3231")</f>
        <v>CS3231</v>
      </c>
      <c r="D312" s="2" t="str">
        <f>IFERROR(__xludf.DUMMYFUNCTION("""COMPUTED_VALUE"""),"19AI231")</f>
        <v>19AI231</v>
      </c>
      <c r="E312" s="2"/>
      <c r="F312" s="2" t="str">
        <f>IFERROR(__xludf.DUMMYFUNCTION("""COMPUTED_VALUE"""),"Coursera")</f>
        <v>Coursera</v>
      </c>
      <c r="G312" s="3" t="str">
        <f>IFERROR(__xludf.DUMMYFUNCTION("""COMPUTED_VALUE"""),"Meta Social Media Marketing Professional Certificate")</f>
        <v>Meta Social Media Marketing Professional Certificate</v>
      </c>
      <c r="H312" s="2" t="str">
        <f>IFERROR(__xludf.DUMMYFUNCTION("""COMPUTED_VALUE"""),"5 Months")</f>
        <v>5 Months</v>
      </c>
      <c r="I312" s="2" t="str">
        <f>IFERROR(__xludf.DUMMYFUNCTION("""COMPUTED_VALUE"""),"NA")</f>
        <v>NA</v>
      </c>
      <c r="J312" s="2" t="str">
        <f>IFERROR(__xludf.DUMMYFUNCTION("""COMPUTED_VALUE"""),"NA")</f>
        <v>NA</v>
      </c>
      <c r="K312" s="2" t="str">
        <f>IFERROR(__xludf.DUMMYFUNCTION("""COMPUTED_VALUE"""),"NA")</f>
        <v>NA</v>
      </c>
      <c r="L312" s="2" t="str">
        <f>IFERROR(__xludf.DUMMYFUNCTION("""COMPUTED_VALUE"""),"CGPA")</f>
        <v>CGPA</v>
      </c>
      <c r="M312" s="2" t="str">
        <f>IFERROR(__xludf.DUMMYFUNCTION("""COMPUTED_VALUE"""),"Experiential Learning (Int and Grade from Certificate)")</f>
        <v>Experiential Learning (Int and Grade from Certificate)</v>
      </c>
      <c r="N312" s="2">
        <f>IFERROR(__xludf.DUMMYFUNCTION("""COMPUTED_VALUE"""),3)</f>
        <v>3</v>
      </c>
      <c r="O312" s="2">
        <f>IFERROR(__xludf.DUMMYFUNCTION("""COMPUTED_VALUE"""),3)</f>
        <v>3</v>
      </c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30.75" customHeight="1" spans="1:26">
      <c r="A313" s="2">
        <f>IFERROR(__xludf.DUMMYFUNCTION("""COMPUTED_VALUE"""),312)</f>
        <v>312</v>
      </c>
      <c r="B313" s="2" t="str">
        <f>IFERROR(__xludf.DUMMYFUNCTION("""COMPUTED_VALUE"""),"BME, MED ELEC")</f>
        <v>BME, MED ELEC</v>
      </c>
      <c r="C313" s="2" t="str">
        <f>IFERROR(__xludf.DUMMYFUNCTION("""COMPUTED_VALUE"""),"EC4665")</f>
        <v>EC4665</v>
      </c>
      <c r="D313" s="2" t="str">
        <f>IFERROR(__xludf.DUMMYFUNCTION("""COMPUTED_VALUE"""),"19BM665")</f>
        <v>19BM665</v>
      </c>
      <c r="E313" s="2"/>
      <c r="F313" s="2" t="str">
        <f>IFERROR(__xludf.DUMMYFUNCTION("""COMPUTED_VALUE"""),"NPTEL")</f>
        <v>NPTEL</v>
      </c>
      <c r="G313" s="3" t="str">
        <f>IFERROR(__xludf.DUMMYFUNCTION("""COMPUTED_VALUE"""),"Metabolic Engineering (NPTEL)")</f>
        <v>Metabolic Engineering (NPTEL)</v>
      </c>
      <c r="H313" s="2" t="str">
        <f>IFERROR(__xludf.DUMMYFUNCTION("""COMPUTED_VALUE"""),"8 Weeks")</f>
        <v>8 Weeks</v>
      </c>
      <c r="I313" s="2"/>
      <c r="J313" s="2"/>
      <c r="K313" s="2"/>
      <c r="L313" s="2" t="str">
        <f>IFERROR(__xludf.DUMMYFUNCTION("""COMPUTED_VALUE"""),"CGPA")</f>
        <v>CGPA</v>
      </c>
      <c r="M313" s="2" t="str">
        <f>IFERROR(__xludf.DUMMYFUNCTION("""COMPUTED_VALUE"""),"Experiential Learning (Int and Grade from Certificate)")</f>
        <v>Experiential Learning (Int and Grade from Certificate)</v>
      </c>
      <c r="N313" s="2">
        <f>IFERROR(__xludf.DUMMYFUNCTION("""COMPUTED_VALUE"""),2)</f>
        <v>2</v>
      </c>
      <c r="O313" s="2">
        <f>IFERROR(__xludf.DUMMYFUNCTION("""COMPUTED_VALUE"""),2)</f>
        <v>2</v>
      </c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30.75" customHeight="1" spans="1:26">
      <c r="A314" s="2">
        <f>IFERROR(__xludf.DUMMYFUNCTION("""COMPUTED_VALUE"""),313)</f>
        <v>313</v>
      </c>
      <c r="B314" s="2" t="str">
        <f>IFERROR(__xludf.DUMMYFUNCTION("""COMPUTED_VALUE"""),"Mechanical")</f>
        <v>Mechanical</v>
      </c>
      <c r="C314" s="2" t="str">
        <f>IFERROR(__xludf.DUMMYFUNCTION("""COMPUTED_VALUE"""),"ME0621")</f>
        <v>ME0621</v>
      </c>
      <c r="D314" s="2" t="str">
        <f>IFERROR(__xludf.DUMMYFUNCTION("""COMPUTED_VALUE"""),"19ME621")</f>
        <v>19ME621</v>
      </c>
      <c r="E314" s="2"/>
      <c r="F314" s="2" t="str">
        <f>IFERROR(__xludf.DUMMYFUNCTION("""COMPUTED_VALUE"""),"NPTEL (IIT Kanpur)")</f>
        <v>NPTEL (IIT Kanpur)</v>
      </c>
      <c r="G314" s="3" t="str">
        <f>IFERROR(__xludf.DUMMYFUNCTION("""COMPUTED_VALUE"""),"Metal Additive Manufacturing")</f>
        <v>Metal Additive Manufacturing</v>
      </c>
      <c r="H314" s="4" t="str">
        <f>IFERROR(__xludf.DUMMYFUNCTION("""COMPUTED_VALUE"""),"12 weeks")</f>
        <v>12 weeks</v>
      </c>
      <c r="I314" s="4">
        <f>IFERROR(__xludf.DUMMYFUNCTION("""COMPUTED_VALUE"""),45224)</f>
        <v>45224</v>
      </c>
      <c r="J314" s="2" t="str">
        <f>IFERROR(__xludf.DUMMYFUNCTION("""COMPUTED_VALUE"""),"30/75")</f>
        <v>30/75</v>
      </c>
      <c r="K314" s="2" t="str">
        <f>IFERROR(__xludf.DUMMYFUNCTION("""COMPUTED_VALUE"""),"40/100")</f>
        <v>40/100</v>
      </c>
      <c r="L314" s="2" t="str">
        <f>IFERROR(__xludf.DUMMYFUNCTION("""COMPUTED_VALUE"""),"CGPA ")</f>
        <v>CGPA </v>
      </c>
      <c r="M314" s="2" t="str">
        <f>IFERROR(__xludf.DUMMYFUNCTION("""COMPUTED_VALUE"""),"Experiential Learning (Int and Grade from Certificate)")</f>
        <v>Experiential Learning (Int and Grade from Certificate)</v>
      </c>
      <c r="N314" s="2">
        <f>IFERROR(__xludf.DUMMYFUNCTION("""COMPUTED_VALUE"""),3)</f>
        <v>3</v>
      </c>
      <c r="O314" s="2">
        <f>IFERROR(__xludf.DUMMYFUNCTION("""COMPUTED_VALUE"""),3)</f>
        <v>3</v>
      </c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30.75" customHeight="1" spans="1:26">
      <c r="A315" s="2">
        <f>IFERROR(__xludf.DUMMYFUNCTION("""COMPUTED_VALUE"""),314)</f>
        <v>314</v>
      </c>
      <c r="B315" s="2" t="str">
        <f>IFERROR(__xludf.DUMMYFUNCTION("""COMPUTED_VALUE"""),"BME, MED ELEC")</f>
        <v>BME, MED ELEC</v>
      </c>
      <c r="C315" s="2" t="str">
        <f>IFERROR(__xludf.DUMMYFUNCTION("""COMPUTED_VALUE"""),"EC4666")</f>
        <v>EC4666</v>
      </c>
      <c r="D315" s="2" t="str">
        <f>IFERROR(__xludf.DUMMYFUNCTION("""COMPUTED_VALUE"""),"19BM666")</f>
        <v>19BM666</v>
      </c>
      <c r="E315" s="2"/>
      <c r="F315" s="2" t="str">
        <f>IFERROR(__xludf.DUMMYFUNCTION("""COMPUTED_VALUE"""),"NPTEL")</f>
        <v>NPTEL</v>
      </c>
      <c r="G315" s="3" t="str">
        <f>IFERROR(__xludf.DUMMYFUNCTION("""COMPUTED_VALUE"""),"Microsensors, Implantable Devices and Rodent Surgeries for Biomedical Applications (NPTEL)")</f>
        <v>Microsensors, Implantable Devices and Rodent Surgeries for Biomedical Applications (NPTEL)</v>
      </c>
      <c r="H315" s="2" t="str">
        <f>IFERROR(__xludf.DUMMYFUNCTION("""COMPUTED_VALUE"""),"12 Weeks")</f>
        <v>12 Weeks</v>
      </c>
      <c r="I315" s="2"/>
      <c r="J315" s="2"/>
      <c r="K315" s="2"/>
      <c r="L315" s="2" t="str">
        <f>IFERROR(__xludf.DUMMYFUNCTION("""COMPUTED_VALUE"""),"CGPA")</f>
        <v>CGPA</v>
      </c>
      <c r="M315" s="2" t="str">
        <f>IFERROR(__xludf.DUMMYFUNCTION("""COMPUTED_VALUE"""),"Experiential Learning (Int and Grade from Certificate)")</f>
        <v>Experiential Learning (Int and Grade from Certificate)</v>
      </c>
      <c r="N315" s="2">
        <f>IFERROR(__xludf.DUMMYFUNCTION("""COMPUTED_VALUE"""),3)</f>
        <v>3</v>
      </c>
      <c r="O315" s="2">
        <f>IFERROR(__xludf.DUMMYFUNCTION("""COMPUTED_VALUE"""),3)</f>
        <v>3</v>
      </c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30.75" customHeight="1" spans="1:26">
      <c r="A316" s="2">
        <f>IFERROR(__xludf.DUMMYFUNCTION("""COMPUTED_VALUE"""),315)</f>
        <v>315</v>
      </c>
      <c r="B316" s="2" t="str">
        <f>IFERROR(__xludf.DUMMYFUNCTION("""COMPUTED_VALUE"""),"SCoFT")</f>
        <v>SCoFT</v>
      </c>
      <c r="C316" s="2" t="str">
        <f>IFERROR(__xludf.DUMMYFUNCTION("""COMPUTED_VALUE"""),"CS3165")</f>
        <v>CS3165</v>
      </c>
      <c r="D316" s="2" t="str">
        <f>IFERROR(__xludf.DUMMYFUNCTION("""COMPUTED_VALUE"""),"19AI165")</f>
        <v>19AI165</v>
      </c>
      <c r="E316" s="2"/>
      <c r="F316" s="2" t="str">
        <f>IFERROR(__xludf.DUMMYFUNCTION("""COMPUTED_VALUE"""),"Microsoft (MS-900)")</f>
        <v>Microsoft (MS-900)</v>
      </c>
      <c r="G316" s="3" t="str">
        <f>IFERROR(__xludf.DUMMYFUNCTION("""COMPUTED_VALUE"""),"Microsoft 365 Certified: Fundamentals (Microsoft)")</f>
        <v>Microsoft 365 Certified: Fundamentals (Microsoft)</v>
      </c>
      <c r="H316" s="2" t="str">
        <f>IFERROR(__xludf.DUMMYFUNCTION("""COMPUTED_VALUE"""),"8 Weeks")</f>
        <v>8 Weeks</v>
      </c>
      <c r="I316" s="2"/>
      <c r="J316" s="2"/>
      <c r="K316" s="2"/>
      <c r="L316" s="2" t="str">
        <f>IFERROR(__xludf.DUMMYFUNCTION("""COMPUTED_VALUE"""),"CGPA")</f>
        <v>CGPA</v>
      </c>
      <c r="M316" s="2" t="str">
        <f>IFERROR(__xludf.DUMMYFUNCTION("""COMPUTED_VALUE"""),"Experiential Learning (Int and Grade from Certificate)")</f>
        <v>Experiential Learning (Int and Grade from Certificate)</v>
      </c>
      <c r="N316" s="2">
        <f>IFERROR(__xludf.DUMMYFUNCTION("""COMPUTED_VALUE"""),1)</f>
        <v>1</v>
      </c>
      <c r="O316" s="2">
        <f>IFERROR(__xludf.DUMMYFUNCTION("""COMPUTED_VALUE"""),1)</f>
        <v>1</v>
      </c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30.75" customHeight="1" spans="1:26">
      <c r="A317" s="2">
        <f>IFERROR(__xludf.DUMMYFUNCTION("""COMPUTED_VALUE"""),316)</f>
        <v>316</v>
      </c>
      <c r="B317" s="2" t="str">
        <f>IFERROR(__xludf.DUMMYFUNCTION("""COMPUTED_VALUE"""),"SCoFT")</f>
        <v>SCoFT</v>
      </c>
      <c r="C317" s="2" t="str">
        <f>IFERROR(__xludf.DUMMYFUNCTION("""COMPUTED_VALUE"""),"CS3168")</f>
        <v>CS3168</v>
      </c>
      <c r="D317" s="2" t="str">
        <f>IFERROR(__xludf.DUMMYFUNCTION("""COMPUTED_VALUE"""),"19AI168")</f>
        <v>19AI168</v>
      </c>
      <c r="E317" s="2"/>
      <c r="F317" s="2" t="str">
        <f>IFERROR(__xludf.DUMMYFUNCTION("""COMPUTED_VALUE"""),"Microsoft (MS-500)")</f>
        <v>Microsoft (MS-500)</v>
      </c>
      <c r="G317" s="3" t="str">
        <f>IFERROR(__xludf.DUMMYFUNCTION("""COMPUTED_VALUE"""),"Microsoft 365 Certified: Security Administrator Associate (Microsoft)")</f>
        <v>Microsoft 365 Certified: Security Administrator Associate (Microsoft)</v>
      </c>
      <c r="H317" s="2" t="str">
        <f>IFERROR(__xludf.DUMMYFUNCTION("""COMPUTED_VALUE"""),"8 Weeks")</f>
        <v>8 Weeks</v>
      </c>
      <c r="I317" s="2"/>
      <c r="J317" s="2"/>
      <c r="K317" s="2"/>
      <c r="L317" s="2" t="str">
        <f>IFERROR(__xludf.DUMMYFUNCTION("""COMPUTED_VALUE"""),"CGPA")</f>
        <v>CGPA</v>
      </c>
      <c r="M317" s="2" t="str">
        <f>IFERROR(__xludf.DUMMYFUNCTION("""COMPUTED_VALUE"""),"Experiential Learning (Int and Grade from Certificate)")</f>
        <v>Experiential Learning (Int and Grade from Certificate)</v>
      </c>
      <c r="N317" s="2">
        <f>IFERROR(__xludf.DUMMYFUNCTION("""COMPUTED_VALUE"""),2)</f>
        <v>2</v>
      </c>
      <c r="O317" s="2">
        <f>IFERROR(__xludf.DUMMYFUNCTION("""COMPUTED_VALUE"""),2)</f>
        <v>2</v>
      </c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30.75" customHeight="1" spans="1:26">
      <c r="A318" s="2">
        <f>IFERROR(__xludf.DUMMYFUNCTION("""COMPUTED_VALUE"""),317)</f>
        <v>317</v>
      </c>
      <c r="B318" s="2" t="str">
        <f>IFERROR(__xludf.DUMMYFUNCTION("""COMPUTED_VALUE"""),"SCoFT")</f>
        <v>SCoFT</v>
      </c>
      <c r="C318" s="2" t="str">
        <f>IFERROR(__xludf.DUMMYFUNCTION("""COMPUTED_VALUE"""),"CS3180")</f>
        <v>CS3180</v>
      </c>
      <c r="D318" s="2" t="str">
        <f>IFERROR(__xludf.DUMMYFUNCTION("""COMPUTED_VALUE"""),"19AI180")</f>
        <v>19AI180</v>
      </c>
      <c r="E318" s="2"/>
      <c r="F318" s="2" t="str">
        <f>IFERROR(__xludf.DUMMYFUNCTION("""COMPUTED_VALUE"""),"Microsoft (AZ-104)")</f>
        <v>Microsoft (AZ-104)</v>
      </c>
      <c r="G318" s="3" t="str">
        <f>IFERROR(__xludf.DUMMYFUNCTION("""COMPUTED_VALUE"""),"Microsoft Azure Administrator (Microsoft)")</f>
        <v>Microsoft Azure Administrator (Microsoft)</v>
      </c>
      <c r="H318" s="2" t="str">
        <f>IFERROR(__xludf.DUMMYFUNCTION("""COMPUTED_VALUE"""),"12 Weeks")</f>
        <v>12 Weeks</v>
      </c>
      <c r="I318" s="2"/>
      <c r="J318" s="2"/>
      <c r="K318" s="2"/>
      <c r="L318" s="2" t="str">
        <f>IFERROR(__xludf.DUMMYFUNCTION("""COMPUTED_VALUE"""),"CGPA")</f>
        <v>CGPA</v>
      </c>
      <c r="M318" s="2" t="str">
        <f>IFERROR(__xludf.DUMMYFUNCTION("""COMPUTED_VALUE"""),"Experiential Learning (Int and Grade from Certificate)")</f>
        <v>Experiential Learning (Int and Grade from Certificate)</v>
      </c>
      <c r="N318" s="2">
        <f>IFERROR(__xludf.DUMMYFUNCTION("""COMPUTED_VALUE"""),2)</f>
        <v>2</v>
      </c>
      <c r="O318" s="2">
        <f>IFERROR(__xludf.DUMMYFUNCTION("""COMPUTED_VALUE"""),2)</f>
        <v>2</v>
      </c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30.75" customHeight="1" spans="1:26">
      <c r="A319" s="2">
        <f>IFERROR(__xludf.DUMMYFUNCTION("""COMPUTED_VALUE"""),318)</f>
        <v>318</v>
      </c>
      <c r="B319" s="2" t="str">
        <f>IFERROR(__xludf.DUMMYFUNCTION("""COMPUTED_VALUE"""),"SCoFT")</f>
        <v>SCoFT</v>
      </c>
      <c r="C319" s="2" t="str">
        <f>IFERROR(__xludf.DUMMYFUNCTION("""COMPUTED_VALUE"""),"CS3161")</f>
        <v>CS3161</v>
      </c>
      <c r="D319" s="2" t="str">
        <f>IFERROR(__xludf.DUMMYFUNCTION("""COMPUTED_VALUE"""),"19AI161")</f>
        <v>19AI161</v>
      </c>
      <c r="E319" s="2"/>
      <c r="F319" s="2" t="str">
        <f>IFERROR(__xludf.DUMMYFUNCTION("""COMPUTED_VALUE"""),"Microsoft (Exam AZ-900)")</f>
        <v>Microsoft (Exam AZ-900)</v>
      </c>
      <c r="G319" s="3" t="str">
        <f>IFERROR(__xludf.DUMMYFUNCTION("""COMPUTED_VALUE"""),"Microsoft Azure Fundamentals (Microsoft)
")</f>
        <v>Microsoft Azure Fundamentals (Microsoft)
</v>
      </c>
      <c r="H319" s="2" t="str">
        <f>IFERROR(__xludf.DUMMYFUNCTION("""COMPUTED_VALUE"""),"8 Weeks")</f>
        <v>8 Weeks</v>
      </c>
      <c r="I319" s="2"/>
      <c r="J319" s="2"/>
      <c r="K319" s="2"/>
      <c r="L319" s="2" t="str">
        <f>IFERROR(__xludf.DUMMYFUNCTION("""COMPUTED_VALUE"""),"CGPA")</f>
        <v>CGPA</v>
      </c>
      <c r="M319" s="2" t="str">
        <f>IFERROR(__xludf.DUMMYFUNCTION("""COMPUTED_VALUE"""),"Experiential Learning (Int and Grade from Certificate)")</f>
        <v>Experiential Learning (Int and Grade from Certificate)</v>
      </c>
      <c r="N319" s="2">
        <f>IFERROR(__xludf.DUMMYFUNCTION("""COMPUTED_VALUE"""),1)</f>
        <v>1</v>
      </c>
      <c r="O319" s="2">
        <f>IFERROR(__xludf.DUMMYFUNCTION("""COMPUTED_VALUE"""),1)</f>
        <v>1</v>
      </c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30.75" customHeight="1" spans="1:26">
      <c r="A320" s="2">
        <f>IFERROR(__xludf.DUMMYFUNCTION("""COMPUTED_VALUE"""),319)</f>
        <v>319</v>
      </c>
      <c r="B320" s="2" t="str">
        <f>IFERROR(__xludf.DUMMYFUNCTION("""COMPUTED_VALUE"""),"SCoFT")</f>
        <v>SCoFT</v>
      </c>
      <c r="C320" s="2" t="str">
        <f>IFERROR(__xludf.DUMMYFUNCTION("""COMPUTED_VALUE"""),"CS3172")</f>
        <v>CS3172</v>
      </c>
      <c r="D320" s="2" t="str">
        <f>IFERROR(__xludf.DUMMYFUNCTION("""COMPUTED_VALUE"""),"19AI172")</f>
        <v>19AI172</v>
      </c>
      <c r="E320" s="2"/>
      <c r="F320" s="2" t="str">
        <f>IFERROR(__xludf.DUMMYFUNCTION("""COMPUTED_VALUE"""),"Microsoft (AZ-500)")</f>
        <v>Microsoft (AZ-500)</v>
      </c>
      <c r="G320" s="3" t="str">
        <f>IFERROR(__xludf.DUMMYFUNCTION("""COMPUTED_VALUE"""),"Microsoft Azure Security Technologies (Microsoft)")</f>
        <v>Microsoft Azure Security Technologies (Microsoft)</v>
      </c>
      <c r="H320" s="2" t="str">
        <f>IFERROR(__xludf.DUMMYFUNCTION("""COMPUTED_VALUE"""),"8 Weeks")</f>
        <v>8 Weeks</v>
      </c>
      <c r="I320" s="2"/>
      <c r="J320" s="2"/>
      <c r="K320" s="2"/>
      <c r="L320" s="2" t="str">
        <f>IFERROR(__xludf.DUMMYFUNCTION("""COMPUTED_VALUE"""),"CGPA")</f>
        <v>CGPA</v>
      </c>
      <c r="M320" s="2" t="str">
        <f>IFERROR(__xludf.DUMMYFUNCTION("""COMPUTED_VALUE"""),"Experiential Learning (Int and Grade from Certificate)")</f>
        <v>Experiential Learning (Int and Grade from Certificate)</v>
      </c>
      <c r="N320" s="2">
        <f>IFERROR(__xludf.DUMMYFUNCTION("""COMPUTED_VALUE"""),1)</f>
        <v>1</v>
      </c>
      <c r="O320" s="2">
        <f>IFERROR(__xludf.DUMMYFUNCTION("""COMPUTED_VALUE"""),1)</f>
        <v>1</v>
      </c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30.75" customHeight="1" spans="1:26">
      <c r="A321" s="2">
        <f>IFERROR(__xludf.DUMMYFUNCTION("""COMPUTED_VALUE"""),320)</f>
        <v>320</v>
      </c>
      <c r="B321" s="2" t="str">
        <f>IFERROR(__xludf.DUMMYFUNCTION("""COMPUTED_VALUE"""),"SCoFT")</f>
        <v>SCoFT</v>
      </c>
      <c r="C321" s="2" t="str">
        <f>IFERROR(__xludf.DUMMYFUNCTION("""COMPUTED_VALUE"""),"CS3232")</f>
        <v>CS3232</v>
      </c>
      <c r="D321" s="2" t="str">
        <f>IFERROR(__xludf.DUMMYFUNCTION("""COMPUTED_VALUE"""),"19AI232")</f>
        <v>19AI232</v>
      </c>
      <c r="E321" s="2"/>
      <c r="F321" s="2" t="str">
        <f>IFERROR(__xludf.DUMMYFUNCTION("""COMPUTED_VALUE"""),"Coursera")</f>
        <v>Coursera</v>
      </c>
      <c r="G321" s="3" t="str">
        <f>IFERROR(__xludf.DUMMYFUNCTION("""COMPUTED_VALUE"""),"Microsoft Business Analyst Professional Certificate")</f>
        <v>Microsoft Business Analyst Professional Certificate</v>
      </c>
      <c r="H321" s="2" t="str">
        <f>IFERROR(__xludf.DUMMYFUNCTION("""COMPUTED_VALUE"""),"3 Months")</f>
        <v>3 Months</v>
      </c>
      <c r="I321" s="2" t="str">
        <f>IFERROR(__xludf.DUMMYFUNCTION("""COMPUTED_VALUE"""),"NA")</f>
        <v>NA</v>
      </c>
      <c r="J321" s="2" t="str">
        <f>IFERROR(__xludf.DUMMYFUNCTION("""COMPUTED_VALUE"""),"NA")</f>
        <v>NA</v>
      </c>
      <c r="K321" s="2" t="str">
        <f>IFERROR(__xludf.DUMMYFUNCTION("""COMPUTED_VALUE"""),"NA")</f>
        <v>NA</v>
      </c>
      <c r="L321" s="2" t="str">
        <f>IFERROR(__xludf.DUMMYFUNCTION("""COMPUTED_VALUE"""),"CGPA")</f>
        <v>CGPA</v>
      </c>
      <c r="M321" s="2" t="str">
        <f>IFERROR(__xludf.DUMMYFUNCTION("""COMPUTED_VALUE"""),"Experiential Learning (Int and Grade from Certificate)")</f>
        <v>Experiential Learning (Int and Grade from Certificate)</v>
      </c>
      <c r="N321" s="2">
        <f>IFERROR(__xludf.DUMMYFUNCTION("""COMPUTED_VALUE"""),3)</f>
        <v>3</v>
      </c>
      <c r="O321" s="2">
        <f>IFERROR(__xludf.DUMMYFUNCTION("""COMPUTED_VALUE"""),3)</f>
        <v>3</v>
      </c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30.75" customHeight="1" spans="1:26">
      <c r="A322" s="2">
        <f>IFERROR(__xludf.DUMMYFUNCTION("""COMPUTED_VALUE"""),321)</f>
        <v>321</v>
      </c>
      <c r="B322" s="2" t="str">
        <f>IFERROR(__xludf.DUMMYFUNCTION("""COMPUTED_VALUE"""),"SCoFT")</f>
        <v>SCoFT</v>
      </c>
      <c r="C322" s="2" t="str">
        <f>IFERROR(__xludf.DUMMYFUNCTION("""COMPUTED_VALUE"""),"CS3170")</f>
        <v>CS3170</v>
      </c>
      <c r="D322" s="2" t="str">
        <f>IFERROR(__xludf.DUMMYFUNCTION("""COMPUTED_VALUE"""),"19AI170")</f>
        <v>19AI170</v>
      </c>
      <c r="E322" s="2"/>
      <c r="F322" s="2" t="str">
        <f>IFERROR(__xludf.DUMMYFUNCTION("""COMPUTED_VALUE"""),"Microsoft (AI-102)")</f>
        <v>Microsoft (AI-102)</v>
      </c>
      <c r="G322" s="3" t="str">
        <f>IFERROR(__xludf.DUMMYFUNCTION("""COMPUTED_VALUE"""),"Microsoft Certified: Azure AI Engineer Associate (Microsoft)")</f>
        <v>Microsoft Certified: Azure AI Engineer Associate (Microsoft)</v>
      </c>
      <c r="H322" s="2" t="str">
        <f>IFERROR(__xludf.DUMMYFUNCTION("""COMPUTED_VALUE"""),"8 Weeks")</f>
        <v>8 Weeks</v>
      </c>
      <c r="I322" s="2"/>
      <c r="J322" s="2"/>
      <c r="K322" s="2"/>
      <c r="L322" s="2" t="str">
        <f>IFERROR(__xludf.DUMMYFUNCTION("""COMPUTED_VALUE"""),"CGPA")</f>
        <v>CGPA</v>
      </c>
      <c r="M322" s="2" t="str">
        <f>IFERROR(__xludf.DUMMYFUNCTION("""COMPUTED_VALUE"""),"Experiential Learning (Int and Grade from Certificate)")</f>
        <v>Experiential Learning (Int and Grade from Certificate)</v>
      </c>
      <c r="N322" s="2">
        <f>IFERROR(__xludf.DUMMYFUNCTION("""COMPUTED_VALUE"""),2)</f>
        <v>2</v>
      </c>
      <c r="O322" s="2">
        <f>IFERROR(__xludf.DUMMYFUNCTION("""COMPUTED_VALUE"""),2)</f>
        <v>2</v>
      </c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30.75" customHeight="1" spans="1:26">
      <c r="A323" s="2">
        <f>IFERROR(__xludf.DUMMYFUNCTION("""COMPUTED_VALUE"""),322)</f>
        <v>322</v>
      </c>
      <c r="B323" s="2" t="str">
        <f>IFERROR(__xludf.DUMMYFUNCTION("""COMPUTED_VALUE"""),"SCoFT")</f>
        <v>SCoFT</v>
      </c>
      <c r="C323" s="2" t="str">
        <f>IFERROR(__xludf.DUMMYFUNCTION("""COMPUTED_VALUE"""),"CS3179")</f>
        <v>CS3179</v>
      </c>
      <c r="D323" s="2" t="str">
        <f>IFERROR(__xludf.DUMMYFUNCTION("""COMPUTED_VALUE"""),"19AI179")</f>
        <v>19AI179</v>
      </c>
      <c r="E323" s="2"/>
      <c r="F323" s="2" t="str">
        <f>IFERROR(__xludf.DUMMYFUNCTION("""COMPUTED_VALUE"""),"Microsoft (DP-420)")</f>
        <v>Microsoft (DP-420)</v>
      </c>
      <c r="G323" s="3" t="str">
        <f>IFERROR(__xludf.DUMMYFUNCTION("""COMPUTED_VALUE"""),"Microsoft Certified: Azure Cosmos DB Developer Specialty (Microsoft)")</f>
        <v>Microsoft Certified: Azure Cosmos DB Developer Specialty (Microsoft)</v>
      </c>
      <c r="H323" s="2" t="str">
        <f>IFERROR(__xludf.DUMMYFUNCTION("""COMPUTED_VALUE"""),"13 Weeks")</f>
        <v>13 Weeks</v>
      </c>
      <c r="I323" s="2"/>
      <c r="J323" s="2"/>
      <c r="K323" s="2"/>
      <c r="L323" s="2" t="str">
        <f>IFERROR(__xludf.DUMMYFUNCTION("""COMPUTED_VALUE"""),"CGPA")</f>
        <v>CGPA</v>
      </c>
      <c r="M323" s="2" t="str">
        <f>IFERROR(__xludf.DUMMYFUNCTION("""COMPUTED_VALUE"""),"Experiential Learning (Int and Grade from Certificate)")</f>
        <v>Experiential Learning (Int and Grade from Certificate)</v>
      </c>
      <c r="N323" s="2">
        <f>IFERROR(__xludf.DUMMYFUNCTION("""COMPUTED_VALUE"""),2)</f>
        <v>2</v>
      </c>
      <c r="O323" s="2">
        <f>IFERROR(__xludf.DUMMYFUNCTION("""COMPUTED_VALUE"""),2)</f>
        <v>2</v>
      </c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30.75" customHeight="1" spans="1:26">
      <c r="A324" s="2">
        <f>IFERROR(__xludf.DUMMYFUNCTION("""COMPUTED_VALUE"""),323)</f>
        <v>323</v>
      </c>
      <c r="B324" s="2" t="str">
        <f>IFERROR(__xludf.DUMMYFUNCTION("""COMPUTED_VALUE"""),"SCoFT")</f>
        <v>SCoFT</v>
      </c>
      <c r="C324" s="2" t="str">
        <f>IFERROR(__xludf.DUMMYFUNCTION("""COMPUTED_VALUE"""),"CS3178")</f>
        <v>CS3178</v>
      </c>
      <c r="D324" s="2" t="str">
        <f>IFERROR(__xludf.DUMMYFUNCTION("""COMPUTED_VALUE"""),"19AI178")</f>
        <v>19AI178</v>
      </c>
      <c r="E324" s="2"/>
      <c r="F324" s="2" t="str">
        <f>IFERROR(__xludf.DUMMYFUNCTION("""COMPUTED_VALUE"""),"Microsoft (DP-203)")</f>
        <v>Microsoft (DP-203)</v>
      </c>
      <c r="G324" s="3" t="str">
        <f>IFERROR(__xludf.DUMMYFUNCTION("""COMPUTED_VALUE"""),"Microsoft Certified: Azure Data Engineer Associate (Microsoft)")</f>
        <v>Microsoft Certified: Azure Data Engineer Associate (Microsoft)</v>
      </c>
      <c r="H324" s="2" t="str">
        <f>IFERROR(__xludf.DUMMYFUNCTION("""COMPUTED_VALUE"""),"10 Weeks")</f>
        <v>10 Weeks</v>
      </c>
      <c r="I324" s="2"/>
      <c r="J324" s="2"/>
      <c r="K324" s="2"/>
      <c r="L324" s="2" t="str">
        <f>IFERROR(__xludf.DUMMYFUNCTION("""COMPUTED_VALUE"""),"CGPA")</f>
        <v>CGPA</v>
      </c>
      <c r="M324" s="2" t="str">
        <f>IFERROR(__xludf.DUMMYFUNCTION("""COMPUTED_VALUE"""),"Experiential Learning (Int and Grade from Certificate)")</f>
        <v>Experiential Learning (Int and Grade from Certificate)</v>
      </c>
      <c r="N324" s="2">
        <f>IFERROR(__xludf.DUMMYFUNCTION("""COMPUTED_VALUE"""),2)</f>
        <v>2</v>
      </c>
      <c r="O324" s="2">
        <f>IFERROR(__xludf.DUMMYFUNCTION("""COMPUTED_VALUE"""),2)</f>
        <v>2</v>
      </c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30.75" customHeight="1" spans="1:26">
      <c r="A325" s="2">
        <f>IFERROR(__xludf.DUMMYFUNCTION("""COMPUTED_VALUE"""),324)</f>
        <v>324</v>
      </c>
      <c r="B325" s="2" t="str">
        <f>IFERROR(__xludf.DUMMYFUNCTION("""COMPUTED_VALUE"""),"SCoFT")</f>
        <v>SCoFT</v>
      </c>
      <c r="C325" s="2" t="str">
        <f>IFERROR(__xludf.DUMMYFUNCTION("""COMPUTED_VALUE"""),"CS3177")</f>
        <v>CS3177</v>
      </c>
      <c r="D325" s="2" t="str">
        <f>IFERROR(__xludf.DUMMYFUNCTION("""COMPUTED_VALUE"""),"19AI177")</f>
        <v>19AI177</v>
      </c>
      <c r="E325" s="2"/>
      <c r="F325" s="2" t="str">
        <f>IFERROR(__xludf.DUMMYFUNCTION("""COMPUTED_VALUE"""),"Microsoft (DP-900)")</f>
        <v>Microsoft (DP-900)</v>
      </c>
      <c r="G325" s="3" t="str">
        <f>IFERROR(__xludf.DUMMYFUNCTION("""COMPUTED_VALUE"""),"Microsoft Certified: Azure Data Fundamentals (Microsoft)")</f>
        <v>Microsoft Certified: Azure Data Fundamentals (Microsoft)</v>
      </c>
      <c r="H325" s="2" t="str">
        <f>IFERROR(__xludf.DUMMYFUNCTION("""COMPUTED_VALUE"""),"8 Weeks")</f>
        <v>8 Weeks</v>
      </c>
      <c r="I325" s="2"/>
      <c r="J325" s="2"/>
      <c r="K325" s="2"/>
      <c r="L325" s="2" t="str">
        <f>IFERROR(__xludf.DUMMYFUNCTION("""COMPUTED_VALUE"""),"CGPA")</f>
        <v>CGPA</v>
      </c>
      <c r="M325" s="2" t="str">
        <f>IFERROR(__xludf.DUMMYFUNCTION("""COMPUTED_VALUE"""),"Experiential Learning (Int and Grade from Certificate)")</f>
        <v>Experiential Learning (Int and Grade from Certificate)</v>
      </c>
      <c r="N325" s="2">
        <f>IFERROR(__xludf.DUMMYFUNCTION("""COMPUTED_VALUE"""),1)</f>
        <v>1</v>
      </c>
      <c r="O325" s="2">
        <f>IFERROR(__xludf.DUMMYFUNCTION("""COMPUTED_VALUE"""),1)</f>
        <v>1</v>
      </c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30.75" customHeight="1" spans="1:26">
      <c r="A326" s="2">
        <f>IFERROR(__xludf.DUMMYFUNCTION("""COMPUTED_VALUE"""),325)</f>
        <v>325</v>
      </c>
      <c r="B326" s="2" t="str">
        <f>IFERROR(__xludf.DUMMYFUNCTION("""COMPUTED_VALUE"""),"SCoFT")</f>
        <v>SCoFT</v>
      </c>
      <c r="C326" s="2" t="str">
        <f>IFERROR(__xludf.DUMMYFUNCTION("""COMPUTED_VALUE"""),"CS3175")</f>
        <v>CS3175</v>
      </c>
      <c r="D326" s="2" t="str">
        <f>IFERROR(__xludf.DUMMYFUNCTION("""COMPUTED_VALUE"""),"19AI175")</f>
        <v>19AI175</v>
      </c>
      <c r="E326" s="2"/>
      <c r="F326" s="2" t="str">
        <f>IFERROR(__xludf.DUMMYFUNCTION("""COMPUTED_VALUE"""),"Microsoft (DP-100)")</f>
        <v>Microsoft (DP-100)</v>
      </c>
      <c r="G326" s="3" t="str">
        <f>IFERROR(__xludf.DUMMYFUNCTION("""COMPUTED_VALUE"""),"Microsoft Certified: Azure Data Scientist Associate (Microsoft)")</f>
        <v>Microsoft Certified: Azure Data Scientist Associate (Microsoft)</v>
      </c>
      <c r="H326" s="2" t="str">
        <f>IFERROR(__xludf.DUMMYFUNCTION("""COMPUTED_VALUE"""),"8 Weeks")</f>
        <v>8 Weeks</v>
      </c>
      <c r="I326" s="2"/>
      <c r="J326" s="2"/>
      <c r="K326" s="2"/>
      <c r="L326" s="2" t="str">
        <f>IFERROR(__xludf.DUMMYFUNCTION("""COMPUTED_VALUE"""),"CGPA")</f>
        <v>CGPA</v>
      </c>
      <c r="M326" s="2" t="str">
        <f>IFERROR(__xludf.DUMMYFUNCTION("""COMPUTED_VALUE"""),"Experiential Learning (Int and Grade from Certificate)")</f>
        <v>Experiential Learning (Int and Grade from Certificate)</v>
      </c>
      <c r="N326" s="2">
        <f>IFERROR(__xludf.DUMMYFUNCTION("""COMPUTED_VALUE"""),2)</f>
        <v>2</v>
      </c>
      <c r="O326" s="2">
        <f>IFERROR(__xludf.DUMMYFUNCTION("""COMPUTED_VALUE"""),2)</f>
        <v>2</v>
      </c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30.75" customHeight="1" spans="1:26">
      <c r="A327" s="2">
        <f>IFERROR(__xludf.DUMMYFUNCTION("""COMPUTED_VALUE"""),326)</f>
        <v>326</v>
      </c>
      <c r="B327" s="2" t="str">
        <f>IFERROR(__xludf.DUMMYFUNCTION("""COMPUTED_VALUE"""),"SCoFT")</f>
        <v>SCoFT</v>
      </c>
      <c r="C327" s="2" t="str">
        <f>IFERROR(__xludf.DUMMYFUNCTION("""COMPUTED_VALUE"""),"CS3167")</f>
        <v>CS3167</v>
      </c>
      <c r="D327" s="2" t="str">
        <f>IFERROR(__xludf.DUMMYFUNCTION("""COMPUTED_VALUE"""),"19AI167")</f>
        <v>19AI167</v>
      </c>
      <c r="E327" s="2"/>
      <c r="F327" s="2" t="str">
        <f>IFERROR(__xludf.DUMMYFUNCTION("""COMPUTED_VALUE"""),"Microsoft (AZ-204)")</f>
        <v>Microsoft (AZ-204)</v>
      </c>
      <c r="G327" s="3" t="str">
        <f>IFERROR(__xludf.DUMMYFUNCTION("""COMPUTED_VALUE"""),"Microsoft Certified: Azure Developer Associate (Microsoft)")</f>
        <v>Microsoft Certified: Azure Developer Associate (Microsoft)</v>
      </c>
      <c r="H327" s="2" t="str">
        <f>IFERROR(__xludf.DUMMYFUNCTION("""COMPUTED_VALUE"""),"10 Weeks")</f>
        <v>10 Weeks</v>
      </c>
      <c r="I327" s="2"/>
      <c r="J327" s="2"/>
      <c r="K327" s="2"/>
      <c r="L327" s="2" t="str">
        <f>IFERROR(__xludf.DUMMYFUNCTION("""COMPUTED_VALUE"""),"CGPA")</f>
        <v>CGPA</v>
      </c>
      <c r="M327" s="2" t="str">
        <f>IFERROR(__xludf.DUMMYFUNCTION("""COMPUTED_VALUE"""),"Experiential Learning (Int and Grade from Certificate)")</f>
        <v>Experiential Learning (Int and Grade from Certificate)</v>
      </c>
      <c r="N327" s="2">
        <f>IFERROR(__xludf.DUMMYFUNCTION("""COMPUTED_VALUE"""),2)</f>
        <v>2</v>
      </c>
      <c r="O327" s="2">
        <f>IFERROR(__xludf.DUMMYFUNCTION("""COMPUTED_VALUE"""),2)</f>
        <v>2</v>
      </c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30.75" customHeight="1" spans="1:26">
      <c r="A328" s="2">
        <f>IFERROR(__xludf.DUMMYFUNCTION("""COMPUTED_VALUE"""),327)</f>
        <v>327</v>
      </c>
      <c r="B328" s="2" t="str">
        <f>IFERROR(__xludf.DUMMYFUNCTION("""COMPUTED_VALUE"""),"SCoFT")</f>
        <v>SCoFT</v>
      </c>
      <c r="C328" s="2" t="str">
        <f>IFERROR(__xludf.DUMMYFUNCTION("""COMPUTED_VALUE"""),"CS3171")</f>
        <v>CS3171</v>
      </c>
      <c r="D328" s="2" t="str">
        <f>IFERROR(__xludf.DUMMYFUNCTION("""COMPUTED_VALUE"""),"19AI171")</f>
        <v>19AI171</v>
      </c>
      <c r="E328" s="2"/>
      <c r="F328" s="2" t="str">
        <f>IFERROR(__xludf.DUMMYFUNCTION("""COMPUTED_VALUE"""),"Microsoft (AZ-120)")</f>
        <v>Microsoft (AZ-120)</v>
      </c>
      <c r="G328" s="3" t="str">
        <f>IFERROR(__xludf.DUMMYFUNCTION("""COMPUTED_VALUE"""),"Microsoft Certified: Azure for SAP Workloads Specialty (Microsoft)")</f>
        <v>Microsoft Certified: Azure for SAP Workloads Specialty (Microsoft)</v>
      </c>
      <c r="H328" s="2" t="str">
        <f>IFERROR(__xludf.DUMMYFUNCTION("""COMPUTED_VALUE"""),"8 Weeks")</f>
        <v>8 Weeks</v>
      </c>
      <c r="I328" s="2"/>
      <c r="J328" s="2"/>
      <c r="K328" s="2"/>
      <c r="L328" s="2" t="str">
        <f>IFERROR(__xludf.DUMMYFUNCTION("""COMPUTED_VALUE"""),"CGPA")</f>
        <v>CGPA</v>
      </c>
      <c r="M328" s="2" t="str">
        <f>IFERROR(__xludf.DUMMYFUNCTION("""COMPUTED_VALUE"""),"Experiential Learning (Int and Grade from Certificate)")</f>
        <v>Experiential Learning (Int and Grade from Certificate)</v>
      </c>
      <c r="N328" s="2">
        <f>IFERROR(__xludf.DUMMYFUNCTION("""COMPUTED_VALUE"""),2)</f>
        <v>2</v>
      </c>
      <c r="O328" s="2">
        <f>IFERROR(__xludf.DUMMYFUNCTION("""COMPUTED_VALUE"""),2)</f>
        <v>2</v>
      </c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30.75" customHeight="1" spans="1:26">
      <c r="A329" s="2">
        <f>IFERROR(__xludf.DUMMYFUNCTION("""COMPUTED_VALUE"""),328)</f>
        <v>328</v>
      </c>
      <c r="B329" s="2" t="str">
        <f>IFERROR(__xludf.DUMMYFUNCTION("""COMPUTED_VALUE"""),"SCoFT")</f>
        <v>SCoFT</v>
      </c>
      <c r="C329" s="2" t="str">
        <f>IFERROR(__xludf.DUMMYFUNCTION("""COMPUTED_VALUE"""),"CS3176")</f>
        <v>CS3176</v>
      </c>
      <c r="D329" s="2" t="str">
        <f>IFERROR(__xludf.DUMMYFUNCTION("""COMPUTED_VALUE"""),"19AI176")</f>
        <v>19AI176</v>
      </c>
      <c r="E329" s="2"/>
      <c r="F329" s="2" t="str">
        <f>IFERROR(__xludf.DUMMYFUNCTION("""COMPUTED_VALUE"""),"Microsoft (MB-260)")</f>
        <v>Microsoft (MB-260)</v>
      </c>
      <c r="G329" s="3" t="str">
        <f>IFERROR(__xludf.DUMMYFUNCTION("""COMPUTED_VALUE"""),"Microsoft Certified: Customer Data Platform Specialty (Microsoft)")</f>
        <v>Microsoft Certified: Customer Data Platform Specialty (Microsoft)</v>
      </c>
      <c r="H329" s="2" t="str">
        <f>IFERROR(__xludf.DUMMYFUNCTION("""COMPUTED_VALUE"""),"7 Weeks")</f>
        <v>7 Weeks</v>
      </c>
      <c r="I329" s="2"/>
      <c r="J329" s="2"/>
      <c r="K329" s="2"/>
      <c r="L329" s="2" t="str">
        <f>IFERROR(__xludf.DUMMYFUNCTION("""COMPUTED_VALUE"""),"CGPA")</f>
        <v>CGPA</v>
      </c>
      <c r="M329" s="2" t="str">
        <f>IFERROR(__xludf.DUMMYFUNCTION("""COMPUTED_VALUE"""),"Experiential Learning (Int and Grade from Certificate)")</f>
        <v>Experiential Learning (Int and Grade from Certificate)</v>
      </c>
      <c r="N329" s="2">
        <f>IFERROR(__xludf.DUMMYFUNCTION("""COMPUTED_VALUE"""),2)</f>
        <v>2</v>
      </c>
      <c r="O329" s="2">
        <f>IFERROR(__xludf.DUMMYFUNCTION("""COMPUTED_VALUE"""),2)</f>
        <v>2</v>
      </c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30.75" customHeight="1" spans="1:26">
      <c r="A330" s="2">
        <f>IFERROR(__xludf.DUMMYFUNCTION("""COMPUTED_VALUE"""),329)</f>
        <v>329</v>
      </c>
      <c r="B330" s="2" t="str">
        <f>IFERROR(__xludf.DUMMYFUNCTION("""COMPUTED_VALUE"""),"SCoFT")</f>
        <v>SCoFT</v>
      </c>
      <c r="C330" s="2" t="str">
        <f>IFERROR(__xludf.DUMMYFUNCTION("""COMPUTED_VALUE"""),"CS3169")</f>
        <v>CS3169</v>
      </c>
      <c r="D330" s="2" t="str">
        <f>IFERROR(__xludf.DUMMYFUNCTION("""COMPUTED_VALUE"""),"19AI169")</f>
        <v>19AI169</v>
      </c>
      <c r="E330" s="2"/>
      <c r="F330" s="2" t="str">
        <f>IFERROR(__xludf.DUMMYFUNCTION("""COMPUTED_VALUE"""),"Microsoft (MB-210)")</f>
        <v>Microsoft (MB-210)</v>
      </c>
      <c r="G330" s="3" t="str">
        <f>IFERROR(__xludf.DUMMYFUNCTION("""COMPUTED_VALUE"""),"Microsoft Certified: Dynamics 365 Sales Functional Consultant Associate (Microsoft)")</f>
        <v>Microsoft Certified: Dynamics 365 Sales Functional Consultant Associate (Microsoft)</v>
      </c>
      <c r="H330" s="2" t="str">
        <f>IFERROR(__xludf.DUMMYFUNCTION("""COMPUTED_VALUE"""),"8 Weeks")</f>
        <v>8 Weeks</v>
      </c>
      <c r="I330" s="2"/>
      <c r="J330" s="2"/>
      <c r="K330" s="2"/>
      <c r="L330" s="2" t="str">
        <f>IFERROR(__xludf.DUMMYFUNCTION("""COMPUTED_VALUE"""),"CGPA")</f>
        <v>CGPA</v>
      </c>
      <c r="M330" s="2" t="str">
        <f>IFERROR(__xludf.DUMMYFUNCTION("""COMPUTED_VALUE"""),"Experiential Learning (Int and Grade from Certificate)")</f>
        <v>Experiential Learning (Int and Grade from Certificate)</v>
      </c>
      <c r="N330" s="2">
        <f>IFERROR(__xludf.DUMMYFUNCTION("""COMPUTED_VALUE"""),2)</f>
        <v>2</v>
      </c>
      <c r="O330" s="2">
        <f>IFERROR(__xludf.DUMMYFUNCTION("""COMPUTED_VALUE"""),2)</f>
        <v>2</v>
      </c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30.75" customHeight="1" spans="1:26">
      <c r="A331" s="2">
        <f>IFERROR(__xludf.DUMMYFUNCTION("""COMPUTED_VALUE"""),330)</f>
        <v>330</v>
      </c>
      <c r="B331" s="2" t="str">
        <f>IFERROR(__xludf.DUMMYFUNCTION("""COMPUTED_VALUE"""),"SCoFT")</f>
        <v>SCoFT</v>
      </c>
      <c r="C331" s="2" t="str">
        <f>IFERROR(__xludf.DUMMYFUNCTION("""COMPUTED_VALUE"""),"CS3166")</f>
        <v>CS3166</v>
      </c>
      <c r="D331" s="2" t="str">
        <f>IFERROR(__xludf.DUMMYFUNCTION("""COMPUTED_VALUE"""),"19AI166")</f>
        <v>19AI166</v>
      </c>
      <c r="E331" s="2"/>
      <c r="F331" s="2" t="str">
        <f>IFERROR(__xludf.DUMMYFUNCTION("""COMPUTED_VALUE"""),"Microsoft (PL-900)")</f>
        <v>Microsoft (PL-900)</v>
      </c>
      <c r="G331" s="3" t="str">
        <f>IFERROR(__xludf.DUMMYFUNCTION("""COMPUTED_VALUE"""),"Microsoft Certified: Power Platform Fundamentals (Microsoft)")</f>
        <v>Microsoft Certified: Power Platform Fundamentals (Microsoft)</v>
      </c>
      <c r="H331" s="2" t="str">
        <f>IFERROR(__xludf.DUMMYFUNCTION("""COMPUTED_VALUE"""),"8 Weeks")</f>
        <v>8 Weeks</v>
      </c>
      <c r="I331" s="2"/>
      <c r="J331" s="2"/>
      <c r="K331" s="2"/>
      <c r="L331" s="2" t="str">
        <f>IFERROR(__xludf.DUMMYFUNCTION("""COMPUTED_VALUE"""),"CGPA")</f>
        <v>CGPA</v>
      </c>
      <c r="M331" s="2" t="str">
        <f>IFERROR(__xludf.DUMMYFUNCTION("""COMPUTED_VALUE"""),"Experiential Learning (Int and Grade from Certificate)")</f>
        <v>Experiential Learning (Int and Grade from Certificate)</v>
      </c>
      <c r="N331" s="2">
        <f>IFERROR(__xludf.DUMMYFUNCTION("""COMPUTED_VALUE"""),1)</f>
        <v>1</v>
      </c>
      <c r="O331" s="2">
        <f>IFERROR(__xludf.DUMMYFUNCTION("""COMPUTED_VALUE"""),1)</f>
        <v>1</v>
      </c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30.75" customHeight="1" spans="1:26">
      <c r="A332" s="2">
        <f>IFERROR(__xludf.DUMMYFUNCTION("""COMPUTED_VALUE"""),331)</f>
        <v>331</v>
      </c>
      <c r="B332" s="2" t="str">
        <f>IFERROR(__xludf.DUMMYFUNCTION("""COMPUTED_VALUE"""),"SCoFT")</f>
        <v>SCoFT</v>
      </c>
      <c r="C332" s="2" t="str">
        <f>IFERROR(__xludf.DUMMYFUNCTION("""COMPUTED_VALUE"""),"CS3233")</f>
        <v>CS3233</v>
      </c>
      <c r="D332" s="2" t="str">
        <f>IFERROR(__xludf.DUMMYFUNCTION("""COMPUTED_VALUE"""),"19AI233")</f>
        <v>19AI233</v>
      </c>
      <c r="E332" s="2"/>
      <c r="F332" s="2" t="str">
        <f>IFERROR(__xludf.DUMMYFUNCTION("""COMPUTED_VALUE"""),"Coursera")</f>
        <v>Coursera</v>
      </c>
      <c r="G332" s="3" t="str">
        <f>IFERROR(__xludf.DUMMYFUNCTION("""COMPUTED_VALUE"""),"Microsoft Cloud Support Associate Professional Certificate")</f>
        <v>Microsoft Cloud Support Associate Professional Certificate</v>
      </c>
      <c r="H332" s="2" t="str">
        <f>IFERROR(__xludf.DUMMYFUNCTION("""COMPUTED_VALUE"""),"4 Months")</f>
        <v>4 Months</v>
      </c>
      <c r="I332" s="2" t="str">
        <f>IFERROR(__xludf.DUMMYFUNCTION("""COMPUTED_VALUE"""),"NA")</f>
        <v>NA</v>
      </c>
      <c r="J332" s="2" t="str">
        <f>IFERROR(__xludf.DUMMYFUNCTION("""COMPUTED_VALUE"""),"NA")</f>
        <v>NA</v>
      </c>
      <c r="K332" s="2" t="str">
        <f>IFERROR(__xludf.DUMMYFUNCTION("""COMPUTED_VALUE"""),"NA")</f>
        <v>NA</v>
      </c>
      <c r="L332" s="2" t="str">
        <f>IFERROR(__xludf.DUMMYFUNCTION("""COMPUTED_VALUE"""),"CGPA")</f>
        <v>CGPA</v>
      </c>
      <c r="M332" s="2" t="str">
        <f>IFERROR(__xludf.DUMMYFUNCTION("""COMPUTED_VALUE"""),"Experiential Learning (Int and Grade from Certificate)")</f>
        <v>Experiential Learning (Int and Grade from Certificate)</v>
      </c>
      <c r="N332" s="2">
        <f>IFERROR(__xludf.DUMMYFUNCTION("""COMPUTED_VALUE"""),3)</f>
        <v>3</v>
      </c>
      <c r="O332" s="2">
        <f>IFERROR(__xludf.DUMMYFUNCTION("""COMPUTED_VALUE"""),3)</f>
        <v>3</v>
      </c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30.75" customHeight="1" spans="1:26">
      <c r="A333" s="2">
        <f>IFERROR(__xludf.DUMMYFUNCTION("""COMPUTED_VALUE"""),332)</f>
        <v>332</v>
      </c>
      <c r="B333" s="2" t="str">
        <f>IFERROR(__xludf.DUMMYFUNCTION("""COMPUTED_VALUE"""),"SCoFT")</f>
        <v>SCoFT</v>
      </c>
      <c r="C333" s="2" t="str">
        <f>IFERROR(__xludf.DUMMYFUNCTION("""COMPUTED_VALUE"""),"CS3234")</f>
        <v>CS3234</v>
      </c>
      <c r="D333" s="2" t="str">
        <f>IFERROR(__xludf.DUMMYFUNCTION("""COMPUTED_VALUE"""),"19AI234")</f>
        <v>19AI234</v>
      </c>
      <c r="E333" s="2"/>
      <c r="F333" s="2" t="str">
        <f>IFERROR(__xludf.DUMMYFUNCTION("""COMPUTED_VALUE"""),"Coursera")</f>
        <v>Coursera</v>
      </c>
      <c r="G333" s="3" t="str">
        <f>IFERROR(__xludf.DUMMYFUNCTION("""COMPUTED_VALUE"""),"Microsoft Cybersecurity Analyst Professional Certificate")</f>
        <v>Microsoft Cybersecurity Analyst Professional Certificate</v>
      </c>
      <c r="H333" s="2" t="str">
        <f>IFERROR(__xludf.DUMMYFUNCTION("""COMPUTED_VALUE"""),"6 Months")</f>
        <v>6 Months</v>
      </c>
      <c r="I333" s="2" t="str">
        <f>IFERROR(__xludf.DUMMYFUNCTION("""COMPUTED_VALUE"""),"NA")</f>
        <v>NA</v>
      </c>
      <c r="J333" s="2" t="str">
        <f>IFERROR(__xludf.DUMMYFUNCTION("""COMPUTED_VALUE"""),"NA")</f>
        <v>NA</v>
      </c>
      <c r="K333" s="2" t="str">
        <f>IFERROR(__xludf.DUMMYFUNCTION("""COMPUTED_VALUE"""),"NA")</f>
        <v>NA</v>
      </c>
      <c r="L333" s="2" t="str">
        <f>IFERROR(__xludf.DUMMYFUNCTION("""COMPUTED_VALUE"""),"CGPA")</f>
        <v>CGPA</v>
      </c>
      <c r="M333" s="2" t="str">
        <f>IFERROR(__xludf.DUMMYFUNCTION("""COMPUTED_VALUE"""),"Experiential Learning (Int and Grade from Certificate)")</f>
        <v>Experiential Learning (Int and Grade from Certificate)</v>
      </c>
      <c r="N333" s="2">
        <f>IFERROR(__xludf.DUMMYFUNCTION("""COMPUTED_VALUE"""),3)</f>
        <v>3</v>
      </c>
      <c r="O333" s="2">
        <f>IFERROR(__xludf.DUMMYFUNCTION("""COMPUTED_VALUE"""),3)</f>
        <v>3</v>
      </c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30.75" customHeight="1" spans="1:26">
      <c r="A334" s="2">
        <f>IFERROR(__xludf.DUMMYFUNCTION("""COMPUTED_VALUE"""),333)</f>
        <v>333</v>
      </c>
      <c r="B334" s="2" t="str">
        <f>IFERROR(__xludf.DUMMYFUNCTION("""COMPUTED_VALUE"""),"SCoFT")</f>
        <v>SCoFT</v>
      </c>
      <c r="C334" s="2" t="str">
        <f>IFERROR(__xludf.DUMMYFUNCTION("""COMPUTED_VALUE"""),"CS3235")</f>
        <v>CS3235</v>
      </c>
      <c r="D334" s="2" t="str">
        <f>IFERROR(__xludf.DUMMYFUNCTION("""COMPUTED_VALUE"""),"19AI235")</f>
        <v>19AI235</v>
      </c>
      <c r="E334" s="2"/>
      <c r="F334" s="2" t="str">
        <f>IFERROR(__xludf.DUMMYFUNCTION("""COMPUTED_VALUE"""),"Coursera")</f>
        <v>Coursera</v>
      </c>
      <c r="G334" s="3" t="str">
        <f>IFERROR(__xludf.DUMMYFUNCTION("""COMPUTED_VALUE"""),"Microsoft IT Support Specialist Professional Certificate")</f>
        <v>Microsoft IT Support Specialist Professional Certificate</v>
      </c>
      <c r="H334" s="2" t="str">
        <f>IFERROR(__xludf.DUMMYFUNCTION("""COMPUTED_VALUE"""),"3 Months")</f>
        <v>3 Months</v>
      </c>
      <c r="I334" s="2" t="str">
        <f>IFERROR(__xludf.DUMMYFUNCTION("""COMPUTED_VALUE"""),"NA")</f>
        <v>NA</v>
      </c>
      <c r="J334" s="2" t="str">
        <f>IFERROR(__xludf.DUMMYFUNCTION("""COMPUTED_VALUE"""),"NA")</f>
        <v>NA</v>
      </c>
      <c r="K334" s="2" t="str">
        <f>IFERROR(__xludf.DUMMYFUNCTION("""COMPUTED_VALUE"""),"NA")</f>
        <v>NA</v>
      </c>
      <c r="L334" s="2" t="str">
        <f>IFERROR(__xludf.DUMMYFUNCTION("""COMPUTED_VALUE"""),"CGPA")</f>
        <v>CGPA</v>
      </c>
      <c r="M334" s="2" t="str">
        <f>IFERROR(__xludf.DUMMYFUNCTION("""COMPUTED_VALUE"""),"Experiential Learning (Int and Grade from Certificate)")</f>
        <v>Experiential Learning (Int and Grade from Certificate)</v>
      </c>
      <c r="N334" s="2">
        <f>IFERROR(__xludf.DUMMYFUNCTION("""COMPUTED_VALUE"""),3)</f>
        <v>3</v>
      </c>
      <c r="O334" s="2">
        <f>IFERROR(__xludf.DUMMYFUNCTION("""COMPUTED_VALUE"""),3)</f>
        <v>3</v>
      </c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30.75" customHeight="1" spans="1:26">
      <c r="A335" s="2">
        <f>IFERROR(__xludf.DUMMYFUNCTION("""COMPUTED_VALUE"""),334)</f>
        <v>334</v>
      </c>
      <c r="B335" s="2" t="str">
        <f>IFERROR(__xludf.DUMMYFUNCTION("""COMPUTED_VALUE"""),"SCoFT")</f>
        <v>SCoFT</v>
      </c>
      <c r="C335" s="2" t="str">
        <f>IFERROR(__xludf.DUMMYFUNCTION("""COMPUTED_VALUE"""),"CS3163")</f>
        <v>CS3163</v>
      </c>
      <c r="D335" s="2" t="str">
        <f>IFERROR(__xludf.DUMMYFUNCTION("""COMPUTED_VALUE"""),"19AI163")</f>
        <v>19AI163</v>
      </c>
      <c r="E335" s="2"/>
      <c r="F335" s="2" t="str">
        <f>IFERROR(__xludf.DUMMYFUNCTION("""COMPUTED_VALUE"""),"Microsoft (Exam PL-300)")</f>
        <v>Microsoft (Exam PL-300)</v>
      </c>
      <c r="G335" s="3" t="str">
        <f>IFERROR(__xludf.DUMMYFUNCTION("""COMPUTED_VALUE"""),"Microsoft Power BI Data Analyst (Microsoft)")</f>
        <v>Microsoft Power BI Data Analyst (Microsoft)</v>
      </c>
      <c r="H335" s="2" t="str">
        <f>IFERROR(__xludf.DUMMYFUNCTION("""COMPUTED_VALUE"""),"8 Weeks")</f>
        <v>8 Weeks</v>
      </c>
      <c r="I335" s="2"/>
      <c r="J335" s="2"/>
      <c r="K335" s="2"/>
      <c r="L335" s="2" t="str">
        <f>IFERROR(__xludf.DUMMYFUNCTION("""COMPUTED_VALUE"""),"CGPA")</f>
        <v>CGPA</v>
      </c>
      <c r="M335" s="2" t="str">
        <f>IFERROR(__xludf.DUMMYFUNCTION("""COMPUTED_VALUE"""),"Experiential Learning (Int and Grade from Certificate)")</f>
        <v>Experiential Learning (Int and Grade from Certificate)</v>
      </c>
      <c r="N335" s="2">
        <f>IFERROR(__xludf.DUMMYFUNCTION("""COMPUTED_VALUE"""),2)</f>
        <v>2</v>
      </c>
      <c r="O335" s="2">
        <f>IFERROR(__xludf.DUMMYFUNCTION("""COMPUTED_VALUE"""),2)</f>
        <v>2</v>
      </c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30.75" customHeight="1" spans="1:26">
      <c r="A336" s="2">
        <f>IFERROR(__xludf.DUMMYFUNCTION("""COMPUTED_VALUE"""),335)</f>
        <v>335</v>
      </c>
      <c r="B336" s="2" t="str">
        <f>IFERROR(__xludf.DUMMYFUNCTION("""COMPUTED_VALUE"""),"SCoFT")</f>
        <v>SCoFT</v>
      </c>
      <c r="C336" s="2" t="str">
        <f>IFERROR(__xludf.DUMMYFUNCTION("""COMPUTED_VALUE"""),"CS3164")</f>
        <v>CS3164</v>
      </c>
      <c r="D336" s="2" t="str">
        <f>IFERROR(__xludf.DUMMYFUNCTION("""COMPUTED_VALUE"""),"19AI164")</f>
        <v>19AI164</v>
      </c>
      <c r="E336" s="2"/>
      <c r="F336" s="2" t="str">
        <f>IFERROR(__xludf.DUMMYFUNCTION("""COMPUTED_VALUE"""),"Microsoft (Exam SC-900)")</f>
        <v>Microsoft (Exam SC-900)</v>
      </c>
      <c r="G336" s="3" t="str">
        <f>IFERROR(__xludf.DUMMYFUNCTION("""COMPUTED_VALUE"""),"Microsoft Power BI Data Analyst (Microsoft)")</f>
        <v>Microsoft Power BI Data Analyst (Microsoft)</v>
      </c>
      <c r="H336" s="2" t="str">
        <f>IFERROR(__xludf.DUMMYFUNCTION("""COMPUTED_VALUE"""),"8 Weeks")</f>
        <v>8 Weeks</v>
      </c>
      <c r="I336" s="2"/>
      <c r="J336" s="2"/>
      <c r="K336" s="2"/>
      <c r="L336" s="2" t="str">
        <f>IFERROR(__xludf.DUMMYFUNCTION("""COMPUTED_VALUE"""),"CGPA")</f>
        <v>CGPA</v>
      </c>
      <c r="M336" s="2" t="str">
        <f>IFERROR(__xludf.DUMMYFUNCTION("""COMPUTED_VALUE"""),"Experiential Learning (Int and Grade from Certificate)")</f>
        <v>Experiential Learning (Int and Grade from Certificate)</v>
      </c>
      <c r="N336" s="2">
        <f>IFERROR(__xludf.DUMMYFUNCTION("""COMPUTED_VALUE"""),1)</f>
        <v>1</v>
      </c>
      <c r="O336" s="2">
        <f>IFERROR(__xludf.DUMMYFUNCTION("""COMPUTED_VALUE"""),1)</f>
        <v>1</v>
      </c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30.75" customHeight="1" spans="1:26">
      <c r="A337" s="2">
        <f>IFERROR(__xludf.DUMMYFUNCTION("""COMPUTED_VALUE"""),336)</f>
        <v>336</v>
      </c>
      <c r="B337" s="2" t="str">
        <f>IFERROR(__xludf.DUMMYFUNCTION("""COMPUTED_VALUE"""),"SCoFT")</f>
        <v>SCoFT</v>
      </c>
      <c r="C337" s="2" t="str">
        <f>IFERROR(__xludf.DUMMYFUNCTION("""COMPUTED_VALUE"""),"CS3236")</f>
        <v>CS3236</v>
      </c>
      <c r="D337" s="2" t="str">
        <f>IFERROR(__xludf.DUMMYFUNCTION("""COMPUTED_VALUE"""),"19AI236")</f>
        <v>19AI236</v>
      </c>
      <c r="E337" s="2"/>
      <c r="F337" s="2" t="str">
        <f>IFERROR(__xludf.DUMMYFUNCTION("""COMPUTED_VALUE"""),"Coursera")</f>
        <v>Coursera</v>
      </c>
      <c r="G337" s="3" t="str">
        <f>IFERROR(__xludf.DUMMYFUNCTION("""COMPUTED_VALUE"""),"Microsoft Power BI Data Analyst Professional Certificate")</f>
        <v>Microsoft Power BI Data Analyst Professional Certificate</v>
      </c>
      <c r="H337" s="2" t="str">
        <f>IFERROR(__xludf.DUMMYFUNCTION("""COMPUTED_VALUE"""),"5 Months")</f>
        <v>5 Months</v>
      </c>
      <c r="I337" s="2" t="str">
        <f>IFERROR(__xludf.DUMMYFUNCTION("""COMPUTED_VALUE"""),"NA")</f>
        <v>NA</v>
      </c>
      <c r="J337" s="2" t="str">
        <f>IFERROR(__xludf.DUMMYFUNCTION("""COMPUTED_VALUE"""),"NA")</f>
        <v>NA</v>
      </c>
      <c r="K337" s="2" t="str">
        <f>IFERROR(__xludf.DUMMYFUNCTION("""COMPUTED_VALUE"""),"NA")</f>
        <v>NA</v>
      </c>
      <c r="L337" s="2" t="str">
        <f>IFERROR(__xludf.DUMMYFUNCTION("""COMPUTED_VALUE"""),"CGPA")</f>
        <v>CGPA</v>
      </c>
      <c r="M337" s="2" t="str">
        <f>IFERROR(__xludf.DUMMYFUNCTION("""COMPUTED_VALUE"""),"Experiential Learning (Int and Grade from Certificate)")</f>
        <v>Experiential Learning (Int and Grade from Certificate)</v>
      </c>
      <c r="N337" s="2">
        <f>IFERROR(__xludf.DUMMYFUNCTION("""COMPUTED_VALUE"""),3)</f>
        <v>3</v>
      </c>
      <c r="O337" s="2">
        <f>IFERROR(__xludf.DUMMYFUNCTION("""COMPUTED_VALUE"""),3)</f>
        <v>3</v>
      </c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30.75" customHeight="1" spans="1:26">
      <c r="A338" s="2">
        <f>IFERROR(__xludf.DUMMYFUNCTION("""COMPUTED_VALUE"""),337)</f>
        <v>337</v>
      </c>
      <c r="B338" s="2" t="str">
        <f>IFERROR(__xludf.DUMMYFUNCTION("""COMPUTED_VALUE"""),"SCoFT")</f>
        <v>SCoFT</v>
      </c>
      <c r="C338" s="2" t="str">
        <f>IFERROR(__xludf.DUMMYFUNCTION("""COMPUTED_VALUE"""),"CS3237")</f>
        <v>CS3237</v>
      </c>
      <c r="D338" s="2" t="str">
        <f>IFERROR(__xludf.DUMMYFUNCTION("""COMPUTED_VALUE"""),"19AI237")</f>
        <v>19AI237</v>
      </c>
      <c r="E338" s="2"/>
      <c r="F338" s="2" t="str">
        <f>IFERROR(__xludf.DUMMYFUNCTION("""COMPUTED_VALUE"""),"Coursera")</f>
        <v>Coursera</v>
      </c>
      <c r="G338" s="3" t="str">
        <f>IFERROR(__xludf.DUMMYFUNCTION("""COMPUTED_VALUE"""),"Microsoft Project Management Professional Certificate")</f>
        <v>Microsoft Project Management Professional Certificate</v>
      </c>
      <c r="H338" s="2" t="str">
        <f>IFERROR(__xludf.DUMMYFUNCTION("""COMPUTED_VALUE"""),"4 Months")</f>
        <v>4 Months</v>
      </c>
      <c r="I338" s="2" t="str">
        <f>IFERROR(__xludf.DUMMYFUNCTION("""COMPUTED_VALUE"""),"NA")</f>
        <v>NA</v>
      </c>
      <c r="J338" s="2" t="str">
        <f>IFERROR(__xludf.DUMMYFUNCTION("""COMPUTED_VALUE"""),"NA")</f>
        <v>NA</v>
      </c>
      <c r="K338" s="2" t="str">
        <f>IFERROR(__xludf.DUMMYFUNCTION("""COMPUTED_VALUE"""),"NA")</f>
        <v>NA</v>
      </c>
      <c r="L338" s="2" t="str">
        <f>IFERROR(__xludf.DUMMYFUNCTION("""COMPUTED_VALUE"""),"CGPA")</f>
        <v>CGPA</v>
      </c>
      <c r="M338" s="2" t="str">
        <f>IFERROR(__xludf.DUMMYFUNCTION("""COMPUTED_VALUE"""),"Experiential Learning (Int and Grade from Certificate)")</f>
        <v>Experiential Learning (Int and Grade from Certificate)</v>
      </c>
      <c r="N338" s="2">
        <f>IFERROR(__xludf.DUMMYFUNCTION("""COMPUTED_VALUE"""),3)</f>
        <v>3</v>
      </c>
      <c r="O338" s="2">
        <f>IFERROR(__xludf.DUMMYFUNCTION("""COMPUTED_VALUE"""),3)</f>
        <v>3</v>
      </c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30.75" customHeight="1" spans="1:26">
      <c r="A339" s="2">
        <f>IFERROR(__xludf.DUMMYFUNCTION("""COMPUTED_VALUE"""),338)</f>
        <v>338</v>
      </c>
      <c r="B339" s="2" t="str">
        <f>IFERROR(__xludf.DUMMYFUNCTION("""COMPUTED_VALUE"""),"SCoFT")</f>
        <v>SCoFT</v>
      </c>
      <c r="C339" s="2" t="str">
        <f>IFERROR(__xludf.DUMMYFUNCTION("""COMPUTED_VALUE"""),"CS3238")</f>
        <v>CS3238</v>
      </c>
      <c r="D339" s="2" t="str">
        <f>IFERROR(__xludf.DUMMYFUNCTION("""COMPUTED_VALUE"""),"19AI238")</f>
        <v>19AI238</v>
      </c>
      <c r="E339" s="2"/>
      <c r="F339" s="2" t="str">
        <f>IFERROR(__xludf.DUMMYFUNCTION("""COMPUTED_VALUE"""),"Coursera")</f>
        <v>Coursera</v>
      </c>
      <c r="G339" s="3" t="str">
        <f>IFERROR(__xludf.DUMMYFUNCTION("""COMPUTED_VALUE"""),"Microsoft UX Design Professional Certificate")</f>
        <v>Microsoft UX Design Professional Certificate</v>
      </c>
      <c r="H339" s="2" t="str">
        <f>IFERROR(__xludf.DUMMYFUNCTION("""COMPUTED_VALUE"""),"2 Months")</f>
        <v>2 Months</v>
      </c>
      <c r="I339" s="2" t="str">
        <f>IFERROR(__xludf.DUMMYFUNCTION("""COMPUTED_VALUE"""),"NA")</f>
        <v>NA</v>
      </c>
      <c r="J339" s="2" t="str">
        <f>IFERROR(__xludf.DUMMYFUNCTION("""COMPUTED_VALUE"""),"NA")</f>
        <v>NA</v>
      </c>
      <c r="K339" s="2" t="str">
        <f>IFERROR(__xludf.DUMMYFUNCTION("""COMPUTED_VALUE"""),"NA")</f>
        <v>NA</v>
      </c>
      <c r="L339" s="2" t="str">
        <f>IFERROR(__xludf.DUMMYFUNCTION("""COMPUTED_VALUE"""),"CGPA")</f>
        <v>CGPA</v>
      </c>
      <c r="M339" s="2" t="str">
        <f>IFERROR(__xludf.DUMMYFUNCTION("""COMPUTED_VALUE"""),"Experiential Learning (Int and Grade from Certificate)")</f>
        <v>Experiential Learning (Int and Grade from Certificate)</v>
      </c>
      <c r="N339" s="2">
        <f>IFERROR(__xludf.DUMMYFUNCTION("""COMPUTED_VALUE"""),2)</f>
        <v>2</v>
      </c>
      <c r="O339" s="2">
        <f>IFERROR(__xludf.DUMMYFUNCTION("""COMPUTED_VALUE"""),2)</f>
        <v>2</v>
      </c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30.75" customHeight="1" spans="1:26">
      <c r="A340" s="2">
        <f>IFERROR(__xludf.DUMMYFUNCTION("""COMPUTED_VALUE"""),339)</f>
        <v>339</v>
      </c>
      <c r="B340" s="2" t="str">
        <f>IFERROR(__xludf.DUMMYFUNCTION("""COMPUTED_VALUE"""),"SCoFT")</f>
        <v>SCoFT</v>
      </c>
      <c r="C340" s="2" t="str">
        <f>IFERROR(__xludf.DUMMYFUNCTION("""COMPUTED_VALUE"""),"CS3173")</f>
        <v>CS3173</v>
      </c>
      <c r="D340" s="2" t="str">
        <f>IFERROR(__xludf.DUMMYFUNCTION("""COMPUTED_VALUE"""),"19AI173")</f>
        <v>19AI173</v>
      </c>
      <c r="E340" s="2"/>
      <c r="F340" s="2" t="str">
        <f>IFERROR(__xludf.DUMMYFUNCTION("""COMPUTED_VALUE"""),"Microsoft (MO-101)")</f>
        <v>Microsoft (MO-101)</v>
      </c>
      <c r="G340" s="3" t="str">
        <f>IFERROR(__xludf.DUMMYFUNCTION("""COMPUTED_VALUE"""),"Microsoft Word Expert (Office 2019) (Microsoft)")</f>
        <v>Microsoft Word Expert (Office 2019) (Microsoft)</v>
      </c>
      <c r="H340" s="2" t="str">
        <f>IFERROR(__xludf.DUMMYFUNCTION("""COMPUTED_VALUE"""),"8 Weeks")</f>
        <v>8 Weeks</v>
      </c>
      <c r="I340" s="2"/>
      <c r="J340" s="2"/>
      <c r="K340" s="2"/>
      <c r="L340" s="2" t="str">
        <f>IFERROR(__xludf.DUMMYFUNCTION("""COMPUTED_VALUE"""),"CGPA")</f>
        <v>CGPA</v>
      </c>
      <c r="M340" s="2" t="str">
        <f>IFERROR(__xludf.DUMMYFUNCTION("""COMPUTED_VALUE"""),"Experiential Learning (Int and Grade from Certificate)")</f>
        <v>Experiential Learning (Int and Grade from Certificate)</v>
      </c>
      <c r="N340" s="2">
        <f>IFERROR(__xludf.DUMMYFUNCTION("""COMPUTED_VALUE"""),1)</f>
        <v>1</v>
      </c>
      <c r="O340" s="2">
        <f>IFERROR(__xludf.DUMMYFUNCTION("""COMPUTED_VALUE"""),1)</f>
        <v>1</v>
      </c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30.75" customHeight="1" spans="1:26">
      <c r="A341" s="2">
        <f>IFERROR(__xludf.DUMMYFUNCTION("""COMPUTED_VALUE"""),340)</f>
        <v>340</v>
      </c>
      <c r="B341" s="2" t="str">
        <f>IFERROR(__xludf.DUMMYFUNCTION("""COMPUTED_VALUE"""),"SCoFT")</f>
        <v>SCoFT</v>
      </c>
      <c r="C341" s="2" t="str">
        <f>IFERROR(__xludf.DUMMYFUNCTION("""COMPUTED_VALUE"""),"CS3053")</f>
        <v>CS3053</v>
      </c>
      <c r="D341" s="2" t="str">
        <f>IFERROR(__xludf.DUMMYFUNCTION("""COMPUTED_VALUE"""),"19AI053")</f>
        <v>19AI053</v>
      </c>
      <c r="E341" s="2"/>
      <c r="F341" s="2" t="str">
        <f>IFERROR(__xludf.DUMMYFUNCTION("""COMPUTED_VALUE"""),"NPTEL")</f>
        <v>NPTEL</v>
      </c>
      <c r="G341" s="3" t="str">
        <f>IFERROR(__xludf.DUMMYFUNCTION("""COMPUTED_VALUE"""),"Model Checking (NPTEL)")</f>
        <v>Model Checking (NPTEL)</v>
      </c>
      <c r="H341" s="2" t="str">
        <f>IFERROR(__xludf.DUMMYFUNCTION("""COMPUTED_VALUE"""),"12 Weeks")</f>
        <v>12 Weeks</v>
      </c>
      <c r="I341" s="2"/>
      <c r="J341" s="2"/>
      <c r="K341" s="2"/>
      <c r="L341" s="2" t="str">
        <f>IFERROR(__xludf.DUMMYFUNCTION("""COMPUTED_VALUE"""),"CGPA ")</f>
        <v>CGPA </v>
      </c>
      <c r="M341" s="2" t="str">
        <f>IFERROR(__xludf.DUMMYFUNCTION("""COMPUTED_VALUE"""),"Experiential Learning (Int and Grade from Certificate)")</f>
        <v>Experiential Learning (Int and Grade from Certificate)</v>
      </c>
      <c r="N341" s="2">
        <f>IFERROR(__xludf.DUMMYFUNCTION("""COMPUTED_VALUE"""),3)</f>
        <v>3</v>
      </c>
      <c r="O341" s="2">
        <f>IFERROR(__xludf.DUMMYFUNCTION("""COMPUTED_VALUE"""),3)</f>
        <v>3</v>
      </c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30.75" customHeight="1" spans="1:26">
      <c r="A342" s="2">
        <f>IFERROR(__xludf.DUMMYFUNCTION("""COMPUTED_VALUE"""),341)</f>
        <v>341</v>
      </c>
      <c r="B342" s="2" t="str">
        <f>IFERROR(__xludf.DUMMYFUNCTION("""COMPUTED_VALUE"""),"BME, MED ELEC")</f>
        <v>BME, MED ELEC</v>
      </c>
      <c r="C342" s="2" t="str">
        <f>IFERROR(__xludf.DUMMYFUNCTION("""COMPUTED_VALUE"""),"EC4667")</f>
        <v>EC4667</v>
      </c>
      <c r="D342" s="2" t="str">
        <f>IFERROR(__xludf.DUMMYFUNCTION("""COMPUTED_VALUE"""),"19BM667")</f>
        <v>19BM667</v>
      </c>
      <c r="E342" s="2"/>
      <c r="F342" s="2" t="str">
        <f>IFERROR(__xludf.DUMMYFUNCTION("""COMPUTED_VALUE"""),"NPTEL")</f>
        <v>NPTEL</v>
      </c>
      <c r="G342" s="3" t="str">
        <f>IFERROR(__xludf.DUMMYFUNCTION("""COMPUTED_VALUE"""),"Modern Computer Vision (NPTEL)")</f>
        <v>Modern Computer Vision (NPTEL)</v>
      </c>
      <c r="H342" s="2" t="str">
        <f>IFERROR(__xludf.DUMMYFUNCTION("""COMPUTED_VALUE"""),"12 Weeks")</f>
        <v>12 Weeks</v>
      </c>
      <c r="I342" s="2"/>
      <c r="J342" s="2"/>
      <c r="K342" s="2"/>
      <c r="L342" s="2" t="str">
        <f>IFERROR(__xludf.DUMMYFUNCTION("""COMPUTED_VALUE"""),"CGPA")</f>
        <v>CGPA</v>
      </c>
      <c r="M342" s="2" t="str">
        <f>IFERROR(__xludf.DUMMYFUNCTION("""COMPUTED_VALUE"""),"Experiential Learning (Int and Grade from Certificate)")</f>
        <v>Experiential Learning (Int and Grade from Certificate)</v>
      </c>
      <c r="N342" s="2">
        <f>IFERROR(__xludf.DUMMYFUNCTION("""COMPUTED_VALUE"""),3)</f>
        <v>3</v>
      </c>
      <c r="O342" s="2">
        <f>IFERROR(__xludf.DUMMYFUNCTION("""COMPUTED_VALUE"""),3)</f>
        <v>3</v>
      </c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30.75" customHeight="1" spans="1:26">
      <c r="A343" s="2">
        <f>IFERROR(__xludf.DUMMYFUNCTION("""COMPUTED_VALUE"""),342)</f>
        <v>342</v>
      </c>
      <c r="B343" s="2" t="str">
        <f>IFERROR(__xludf.DUMMYFUNCTION("""COMPUTED_VALUE"""),"ECE")</f>
        <v>ECE</v>
      </c>
      <c r="C343" s="2" t="str">
        <f>IFERROR(__xludf.DUMMYFUNCTION("""COMPUTED_VALUE"""),"EC1607")</f>
        <v>EC1607</v>
      </c>
      <c r="D343" s="2" t="str">
        <f>IFERROR(__xludf.DUMMYFUNCTION("""COMPUTED_VALUE"""),"19EC607")</f>
        <v>19EC607</v>
      </c>
      <c r="E343" s="2"/>
      <c r="F343" s="2" t="str">
        <f>IFERROR(__xludf.DUMMYFUNCTION("""COMPUTED_VALUE"""),"NPTEL")</f>
        <v>NPTEL</v>
      </c>
      <c r="G343" s="3" t="str">
        <f>IFERROR(__xludf.DUMMYFUNCTION("""COMPUTED_VALUE"""),"Modern Digital Communication Techniques (NPTEL)")</f>
        <v>Modern Digital Communication Techniques (NPTEL)</v>
      </c>
      <c r="H343" s="2" t="str">
        <f>IFERROR(__xludf.DUMMYFUNCTION("""COMPUTED_VALUE"""),"12 Weeks")</f>
        <v>12 Weeks</v>
      </c>
      <c r="I343" s="4">
        <f>IFERROR(__xludf.DUMMYFUNCTION("""COMPUTED_VALUE"""),45224)</f>
        <v>45224</v>
      </c>
      <c r="J343" s="2" t="str">
        <f>IFERROR(__xludf.DUMMYFUNCTION("""COMPUTED_VALUE"""),"30/75")</f>
        <v>30/75</v>
      </c>
      <c r="K343" s="2" t="str">
        <f>IFERROR(__xludf.DUMMYFUNCTION("""COMPUTED_VALUE"""),"40/100")</f>
        <v>40/100</v>
      </c>
      <c r="L343" s="2" t="str">
        <f>IFERROR(__xludf.DUMMYFUNCTION("""COMPUTED_VALUE"""),"CGPA ")</f>
        <v>CGPA </v>
      </c>
      <c r="M343" s="2" t="str">
        <f>IFERROR(__xludf.DUMMYFUNCTION("""COMPUTED_VALUE"""),"Experiential Learning (Int and Grade from Certificate)")</f>
        <v>Experiential Learning (Int and Grade from Certificate)</v>
      </c>
      <c r="N343" s="2">
        <f>IFERROR(__xludf.DUMMYFUNCTION("""COMPUTED_VALUE"""),2)</f>
        <v>2</v>
      </c>
      <c r="O343" s="2">
        <f>IFERROR(__xludf.DUMMYFUNCTION("""COMPUTED_VALUE"""),3)</f>
        <v>3</v>
      </c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30.75" customHeight="1" spans="1:26">
      <c r="A344" s="2">
        <f>IFERROR(__xludf.DUMMYFUNCTION("""COMPUTED_VALUE"""),343)</f>
        <v>343</v>
      </c>
      <c r="B344" s="2" t="str">
        <f>IFERROR(__xludf.DUMMYFUNCTION("""COMPUTED_VALUE"""),"SCoFT")</f>
        <v>SCoFT</v>
      </c>
      <c r="C344" s="2" t="str">
        <f>IFERROR(__xludf.DUMMYFUNCTION("""COMPUTED_VALUE"""),"CS3054")</f>
        <v>CS3054</v>
      </c>
      <c r="D344" s="2" t="str">
        <f>IFERROR(__xludf.DUMMYFUNCTION("""COMPUTED_VALUE"""),"19AI054")</f>
        <v>19AI054</v>
      </c>
      <c r="E344" s="2"/>
      <c r="F344" s="2" t="str">
        <f>IFERROR(__xludf.DUMMYFUNCTION("""COMPUTED_VALUE"""),"NPTEL")</f>
        <v>NPTEL</v>
      </c>
      <c r="G344" s="3" t="str">
        <f>IFERROR(__xludf.DUMMYFUNCTION("""COMPUTED_VALUE"""),"Multi-Core Computer Architecture - Storage and Interconnects (NPTEL)")</f>
        <v>Multi-Core Computer Architecture - Storage and Interconnects (NPTEL)</v>
      </c>
      <c r="H344" s="2" t="str">
        <f>IFERROR(__xludf.DUMMYFUNCTION("""COMPUTED_VALUE"""),"8 Weeks")</f>
        <v>8 Weeks</v>
      </c>
      <c r="I344" s="2"/>
      <c r="J344" s="2"/>
      <c r="K344" s="2"/>
      <c r="L344" s="2" t="str">
        <f>IFERROR(__xludf.DUMMYFUNCTION("""COMPUTED_VALUE"""),"CGPA ")</f>
        <v>CGPA </v>
      </c>
      <c r="M344" s="2" t="str">
        <f>IFERROR(__xludf.DUMMYFUNCTION("""COMPUTED_VALUE"""),"Experiential Learning (Int and Grade from Certificate)")</f>
        <v>Experiential Learning (Int and Grade from Certificate)</v>
      </c>
      <c r="N344" s="2">
        <f>IFERROR(__xludf.DUMMYFUNCTION("""COMPUTED_VALUE"""),2)</f>
        <v>2</v>
      </c>
      <c r="O344" s="2">
        <f>IFERROR(__xludf.DUMMYFUNCTION("""COMPUTED_VALUE"""),2)</f>
        <v>2</v>
      </c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30.75" customHeight="1" spans="1:26">
      <c r="A345" s="2">
        <f>IFERROR(__xludf.DUMMYFUNCTION("""COMPUTED_VALUE"""),344)</f>
        <v>344</v>
      </c>
      <c r="B345" s="2" t="str">
        <f>IFERROR(__xludf.DUMMYFUNCTION("""COMPUTED_VALUE"""),"ECE")</f>
        <v>ECE</v>
      </c>
      <c r="C345" s="2" t="str">
        <f>IFERROR(__xludf.DUMMYFUNCTION("""COMPUTED_VALUE"""),"EC1636")</f>
        <v>EC1636</v>
      </c>
      <c r="D345" s="2" t="str">
        <f>IFERROR(__xludf.DUMMYFUNCTION("""COMPUTED_VALUE"""),"19EC636")</f>
        <v>19EC636</v>
      </c>
      <c r="E345" s="2"/>
      <c r="F345" s="2" t="str">
        <f>IFERROR(__xludf.DUMMYFUNCTION("""COMPUTED_VALUE"""),"NPTEL")</f>
        <v>NPTEL</v>
      </c>
      <c r="G345" s="3" t="str">
        <f>IFERROR(__xludf.DUMMYFUNCTION("""COMPUTED_VALUE"""),"Multirate DSP (NPTEL)")</f>
        <v>Multirate DSP (NPTEL)</v>
      </c>
      <c r="H345" s="2" t="str">
        <f>IFERROR(__xludf.DUMMYFUNCTION("""COMPUTED_VALUE"""),"12 Weeks")</f>
        <v>12 Weeks</v>
      </c>
      <c r="I345" s="2"/>
      <c r="J345" s="2"/>
      <c r="K345" s="2"/>
      <c r="L345" s="2" t="str">
        <f>IFERROR(__xludf.DUMMYFUNCTION("""COMPUTED_VALUE"""),"CGPA ")</f>
        <v>CGPA </v>
      </c>
      <c r="M345" s="2" t="str">
        <f>IFERROR(__xludf.DUMMYFUNCTION("""COMPUTED_VALUE"""),"Experiential Learning (Int and Grade from Certificate)")</f>
        <v>Experiential Learning (Int and Grade from Certificate)</v>
      </c>
      <c r="N345" s="2">
        <f>IFERROR(__xludf.DUMMYFUNCTION("""COMPUTED_VALUE"""),2)</f>
        <v>2</v>
      </c>
      <c r="O345" s="2">
        <f>IFERROR(__xludf.DUMMYFUNCTION("""COMPUTED_VALUE"""),3)</f>
        <v>3</v>
      </c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30.75" customHeight="1" spans="1:26">
      <c r="A346" s="2">
        <f>IFERROR(__xludf.DUMMYFUNCTION("""COMPUTED_VALUE"""),345)</f>
        <v>345</v>
      </c>
      <c r="B346" s="2" t="str">
        <f>IFERROR(__xludf.DUMMYFUNCTION("""COMPUTED_VALUE"""),"CIVIL")</f>
        <v>CIVIL</v>
      </c>
      <c r="C346" s="2" t="str">
        <f>IFERROR(__xludf.DUMMYFUNCTION("""COMPUTED_VALUE"""),"CE0604")</f>
        <v>CE0604</v>
      </c>
      <c r="D346" s="2" t="str">
        <f>IFERROR(__xludf.DUMMYFUNCTION("""COMPUTED_VALUE"""),"19CE604")</f>
        <v>19CE604</v>
      </c>
      <c r="E346" s="2"/>
      <c r="F346" s="2" t="str">
        <f>IFERROR(__xludf.DUMMYFUNCTION("""COMPUTED_VALUE"""),"NPTEL")</f>
        <v>NPTEL</v>
      </c>
      <c r="G346" s="3" t="str">
        <f>IFERROR(__xludf.DUMMYFUNCTION("""COMPUTED_VALUE"""),"Municipal Solid Waste Management (NPTEL)")</f>
        <v>Municipal Solid Waste Management (NPTEL)</v>
      </c>
      <c r="H346" s="2" t="str">
        <f>IFERROR(__xludf.DUMMYFUNCTION("""COMPUTED_VALUE"""),"12 Weeks")</f>
        <v>12 Weeks</v>
      </c>
      <c r="I346" s="2" t="str">
        <f>IFERROR(__xludf.DUMMYFUNCTION("""COMPUTED_VALUE"""),"10 / 25")</f>
        <v>10 / 25</v>
      </c>
      <c r="J346" s="2" t="str">
        <f>IFERROR(__xludf.DUMMYFUNCTION("""COMPUTED_VALUE"""),"30 / 75")</f>
        <v>30 / 75</v>
      </c>
      <c r="K346" s="2" t="str">
        <f>IFERROR(__xludf.DUMMYFUNCTION("""COMPUTED_VALUE"""),"40 / 100")</f>
        <v>40 / 100</v>
      </c>
      <c r="L346" s="2" t="str">
        <f>IFERROR(__xludf.DUMMYFUNCTION("""COMPUTED_VALUE"""),"CGPA ")</f>
        <v>CGPA </v>
      </c>
      <c r="M346" s="2" t="str">
        <f>IFERROR(__xludf.DUMMYFUNCTION("""COMPUTED_VALUE"""),"Experiential Learning (Int and Grade from Certificate)")</f>
        <v>Experiential Learning (Int and Grade from Certificate)</v>
      </c>
      <c r="N346" s="2">
        <f>IFERROR(__xludf.DUMMYFUNCTION("""COMPUTED_VALUE"""),2)</f>
        <v>2</v>
      </c>
      <c r="O346" s="2">
        <f>IFERROR(__xludf.DUMMYFUNCTION("""COMPUTED_VALUE"""),3)</f>
        <v>3</v>
      </c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30.75" customHeight="1" spans="1:26">
      <c r="A347" s="2">
        <f>IFERROR(__xludf.DUMMYFUNCTION("""COMPUTED_VALUE"""),346)</f>
        <v>346</v>
      </c>
      <c r="B347" s="2" t="str">
        <f>IFERROR(__xludf.DUMMYFUNCTION("""COMPUTED_VALUE"""),"SCoFT")</f>
        <v>SCoFT</v>
      </c>
      <c r="C347" s="2" t="str">
        <f>IFERROR(__xludf.DUMMYFUNCTION("""COMPUTED_VALUE"""),"CS3139")</f>
        <v>CS3139</v>
      </c>
      <c r="D347" s="2" t="str">
        <f>IFERROR(__xludf.DUMMYFUNCTION("""COMPUTED_VALUE"""),"19AI139")</f>
        <v>19AI139</v>
      </c>
      <c r="E347" s="2"/>
      <c r="F347" s="2" t="str">
        <f>IFERROR(__xludf.DUMMYFUNCTION("""COMPUTED_VALUE"""),"Oracle(1Z0-909)
")</f>
        <v>Oracle(1Z0-909)
</v>
      </c>
      <c r="G347" s="3" t="str">
        <f>IFERROR(__xludf.DUMMYFUNCTION("""COMPUTED_VALUE"""),"MySQL 8.0 Database Developer (Oracle)")</f>
        <v>MySQL 8.0 Database Developer (Oracle)</v>
      </c>
      <c r="H347" s="2" t="str">
        <f>IFERROR(__xludf.DUMMYFUNCTION("""COMPUTED_VALUE"""),"8 Weeks")</f>
        <v>8 Weeks</v>
      </c>
      <c r="I347" s="2"/>
      <c r="J347" s="2"/>
      <c r="K347" s="2"/>
      <c r="L347" s="2" t="str">
        <f>IFERROR(__xludf.DUMMYFUNCTION("""COMPUTED_VALUE"""),"CGPA")</f>
        <v>CGPA</v>
      </c>
      <c r="M347" s="2" t="str">
        <f>IFERROR(__xludf.DUMMYFUNCTION("""COMPUTED_VALUE"""),"Experiential Learning (Int and Grade from Certificate)")</f>
        <v>Experiential Learning (Int and Grade from Certificate)</v>
      </c>
      <c r="N347" s="2">
        <f>IFERROR(__xludf.DUMMYFUNCTION("""COMPUTED_VALUE"""),2)</f>
        <v>2</v>
      </c>
      <c r="O347" s="2">
        <f>IFERROR(__xludf.DUMMYFUNCTION("""COMPUTED_VALUE"""),2)</f>
        <v>2</v>
      </c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30.75" customHeight="1" spans="1:26">
      <c r="A348" s="2">
        <f>IFERROR(__xludf.DUMMYFUNCTION("""COMPUTED_VALUE"""),347)</f>
        <v>347</v>
      </c>
      <c r="B348" s="2" t="str">
        <f>IFERROR(__xludf.DUMMYFUNCTION("""COMPUTED_VALUE"""),"SCoFT")</f>
        <v>SCoFT</v>
      </c>
      <c r="C348" s="2" t="str">
        <f>IFERROR(__xludf.DUMMYFUNCTION("""COMPUTED_VALUE"""),"CS1606")</f>
        <v>CS1606</v>
      </c>
      <c r="D348" s="2" t="str">
        <f>IFERROR(__xludf.DUMMYFUNCTION("""COMPUTED_VALUE"""),"19CS606")</f>
        <v>19CS606</v>
      </c>
      <c r="E348" s="2"/>
      <c r="F348" s="2" t="str">
        <f>IFERROR(__xludf.DUMMYFUNCTION("""COMPUTED_VALUE"""),"Edx (Stanford University)")</f>
        <v>Edx (Stanford University)</v>
      </c>
      <c r="G348" s="3" t="str">
        <f>IFERROR(__xludf.DUMMYFUNCTION("""COMPUTED_VALUE"""),"Nano at Stanford (Edx (Stanford University))")</f>
        <v>Nano at Stanford (Edx (Stanford University))</v>
      </c>
      <c r="H348" s="2" t="str">
        <f>IFERROR(__xludf.DUMMYFUNCTION("""COMPUTED_VALUE"""),"10 Weeks")</f>
        <v>10 Weeks</v>
      </c>
      <c r="I348" s="2"/>
      <c r="J348" s="2"/>
      <c r="K348" s="2"/>
      <c r="L348" s="2" t="str">
        <f>IFERROR(__xludf.DUMMYFUNCTION("""COMPUTED_VALUE"""),"CGPA ")</f>
        <v>CGPA </v>
      </c>
      <c r="M348" s="2" t="str">
        <f>IFERROR(__xludf.DUMMYFUNCTION("""COMPUTED_VALUE"""),"Experiential Learning (Int and Grade from Certificate)")</f>
        <v>Experiential Learning (Int and Grade from Certificate)</v>
      </c>
      <c r="N348" s="2">
        <f>IFERROR(__xludf.DUMMYFUNCTION("""COMPUTED_VALUE"""),2)</f>
        <v>2</v>
      </c>
      <c r="O348" s="2">
        <f>IFERROR(__xludf.DUMMYFUNCTION("""COMPUTED_VALUE"""),2)</f>
        <v>2</v>
      </c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30.75" customHeight="1" spans="1:26">
      <c r="A349" s="2">
        <f>IFERROR(__xludf.DUMMYFUNCTION("""COMPUTED_VALUE"""),348)</f>
        <v>348</v>
      </c>
      <c r="B349" s="2" t="str">
        <f>IFERROR(__xludf.DUMMYFUNCTION("""COMPUTED_VALUE"""),"BME, MED ELEC")</f>
        <v>BME, MED ELEC</v>
      </c>
      <c r="C349" s="2" t="str">
        <f>IFERROR(__xludf.DUMMYFUNCTION("""COMPUTED_VALUE"""),"EC4668")</f>
        <v>EC4668</v>
      </c>
      <c r="D349" s="2" t="str">
        <f>IFERROR(__xludf.DUMMYFUNCTION("""COMPUTED_VALUE"""),"19BM668")</f>
        <v>19BM668</v>
      </c>
      <c r="E349" s="2"/>
      <c r="F349" s="2" t="str">
        <f>IFERROR(__xludf.DUMMYFUNCTION("""COMPUTED_VALUE"""),"NPTEL")</f>
        <v>NPTEL</v>
      </c>
      <c r="G349" s="3" t="str">
        <f>IFERROR(__xludf.DUMMYFUNCTION("""COMPUTED_VALUE"""),"Nanobio Technology Enabled Point-of-Care Devices (NPTEL)")</f>
        <v>Nanobio Technology Enabled Point-of-Care Devices (NPTEL)</v>
      </c>
      <c r="H349" s="2" t="str">
        <f>IFERROR(__xludf.DUMMYFUNCTION("""COMPUTED_VALUE"""),"8 Weeks")</f>
        <v>8 Weeks</v>
      </c>
      <c r="I349" s="2"/>
      <c r="J349" s="2"/>
      <c r="K349" s="2"/>
      <c r="L349" s="2" t="str">
        <f>IFERROR(__xludf.DUMMYFUNCTION("""COMPUTED_VALUE"""),"CGPA")</f>
        <v>CGPA</v>
      </c>
      <c r="M349" s="2" t="str">
        <f>IFERROR(__xludf.DUMMYFUNCTION("""COMPUTED_VALUE"""),"Experiential Learning (Int and Grade from Certificate)")</f>
        <v>Experiential Learning (Int and Grade from Certificate)</v>
      </c>
      <c r="N349" s="2">
        <f>IFERROR(__xludf.DUMMYFUNCTION("""COMPUTED_VALUE"""),2)</f>
        <v>2</v>
      </c>
      <c r="O349" s="2">
        <f>IFERROR(__xludf.DUMMYFUNCTION("""COMPUTED_VALUE"""),2)</f>
        <v>2</v>
      </c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30.75" customHeight="1" spans="1:26">
      <c r="A350" s="2">
        <f>IFERROR(__xludf.DUMMYFUNCTION("""COMPUTED_VALUE"""),349)</f>
        <v>349</v>
      </c>
      <c r="B350" s="2" t="str">
        <f>IFERROR(__xludf.DUMMYFUNCTION("""COMPUTED_VALUE"""),"BME, MED ELEC, SCoFT")</f>
        <v>BME, MED ELEC, SCoFT</v>
      </c>
      <c r="C350" s="2" t="str">
        <f>IFERROR(__xludf.DUMMYFUNCTION("""COMPUTED_VALUE"""),"EC4616")</f>
        <v>EC4616</v>
      </c>
      <c r="D350" s="2" t="str">
        <f>IFERROR(__xludf.DUMMYFUNCTION("""COMPUTED_VALUE"""),"19BM616")</f>
        <v>19BM616</v>
      </c>
      <c r="E350" s="2"/>
      <c r="F350" s="2" t="str">
        <f>IFERROR(__xludf.DUMMYFUNCTION("""COMPUTED_VALUE"""),"NPTEL")</f>
        <v>NPTEL</v>
      </c>
      <c r="G350" s="3" t="str">
        <f>IFERROR(__xludf.DUMMYFUNCTION("""COMPUTED_VALUE"""),"Natural Language Processing (NPTEL)")</f>
        <v>Natural Language Processing (NPTEL)</v>
      </c>
      <c r="H350" s="2" t="str">
        <f>IFERROR(__xludf.DUMMYFUNCTION("""COMPUTED_VALUE"""),"12 Weeks")</f>
        <v>12 Weeks</v>
      </c>
      <c r="I350" s="2" t="str">
        <f>IFERROR(__xludf.DUMMYFUNCTION("""COMPUTED_VALUE"""),"10 / 25")</f>
        <v>10 / 25</v>
      </c>
      <c r="J350" s="2" t="str">
        <f>IFERROR(__xludf.DUMMYFUNCTION("""COMPUTED_VALUE"""),"30 / 75")</f>
        <v>30 / 75</v>
      </c>
      <c r="K350" s="2" t="str">
        <f>IFERROR(__xludf.DUMMYFUNCTION("""COMPUTED_VALUE"""),"40 / 100")</f>
        <v>40 / 100</v>
      </c>
      <c r="L350" s="2" t="str">
        <f>IFERROR(__xludf.DUMMYFUNCTION("""COMPUTED_VALUE"""),"CGPA ")</f>
        <v>CGPA </v>
      </c>
      <c r="M350" s="2" t="str">
        <f>IFERROR(__xludf.DUMMYFUNCTION("""COMPUTED_VALUE"""),"Experiential Learning (Int and Grade from Certificate)")</f>
        <v>Experiential Learning (Int and Grade from Certificate)</v>
      </c>
      <c r="N350" s="2">
        <f>IFERROR(__xludf.DUMMYFUNCTION("""COMPUTED_VALUE"""),3)</f>
        <v>3</v>
      </c>
      <c r="O350" s="2">
        <f>IFERROR(__xludf.DUMMYFUNCTION("""COMPUTED_VALUE"""),3)</f>
        <v>3</v>
      </c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30.75" customHeight="1" spans="1:26">
      <c r="A351" s="2">
        <f>IFERROR(__xludf.DUMMYFUNCTION("""COMPUTED_VALUE"""),350)</f>
        <v>350</v>
      </c>
      <c r="B351" s="2" t="str">
        <f>IFERROR(__xludf.DUMMYFUNCTION("""COMPUTED_VALUE"""),"SCoFT")</f>
        <v>SCoFT</v>
      </c>
      <c r="C351" s="2" t="str">
        <f>IFERROR(__xludf.DUMMYFUNCTION("""COMPUTED_VALUE"""),"CS3099")</f>
        <v>CS3099</v>
      </c>
      <c r="D351" s="2" t="str">
        <f>IFERROR(__xludf.DUMMYFUNCTION("""COMPUTED_VALUE"""),"19AI099")</f>
        <v>19AI099</v>
      </c>
      <c r="E351" s="2"/>
      <c r="F351" s="2" t="str">
        <f>IFERROR(__xludf.DUMMYFUNCTION("""COMPUTED_VALUE"""),"COURSERA")</f>
        <v>COURSERA</v>
      </c>
      <c r="G351" s="3" t="str">
        <f>IFERROR(__xludf.DUMMYFUNCTION("""COMPUTED_VALUE"""),"Networking and Security Architecture with VMware NSX (Coursera)")</f>
        <v>Networking and Security Architecture with VMware NSX (Coursera)</v>
      </c>
      <c r="H351" s="2" t="str">
        <f>IFERROR(__xludf.DUMMYFUNCTION("""COMPUTED_VALUE"""),"5 weeks")</f>
        <v>5 weeks</v>
      </c>
      <c r="I351" s="2"/>
      <c r="J351" s="2"/>
      <c r="K351" s="2"/>
      <c r="L351" s="2" t="str">
        <f>IFERROR(__xludf.DUMMYFUNCTION("""COMPUTED_VALUE"""),"CGPA")</f>
        <v>CGPA</v>
      </c>
      <c r="M351" s="2" t="str">
        <f>IFERROR(__xludf.DUMMYFUNCTION("""COMPUTED_VALUE"""),"Experiential Learning (Int and Grade from Certificate)")</f>
        <v>Experiential Learning (Int and Grade from Certificate)</v>
      </c>
      <c r="N351" s="2">
        <f>IFERROR(__xludf.DUMMYFUNCTION("""COMPUTED_VALUE"""),1)</f>
        <v>1</v>
      </c>
      <c r="O351" s="2">
        <f>IFERROR(__xludf.DUMMYFUNCTION("""COMPUTED_VALUE"""),1)</f>
        <v>1</v>
      </c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30.75" customHeight="1" spans="1:26">
      <c r="A352" s="2">
        <f>IFERROR(__xludf.DUMMYFUNCTION("""COMPUTED_VALUE"""),351)</f>
        <v>351</v>
      </c>
      <c r="B352" s="2" t="str">
        <f>IFERROR(__xludf.DUMMYFUNCTION("""COMPUTED_VALUE"""),"BME, MED ELEC")</f>
        <v>BME, MED ELEC</v>
      </c>
      <c r="C352" s="2" t="str">
        <f>IFERROR(__xludf.DUMMYFUNCTION("""COMPUTED_VALUE"""),"EC4669")</f>
        <v>EC4669</v>
      </c>
      <c r="D352" s="2" t="str">
        <f>IFERROR(__xludf.DUMMYFUNCTION("""COMPUTED_VALUE"""),"19BM669")</f>
        <v>19BM669</v>
      </c>
      <c r="E352" s="2"/>
      <c r="F352" s="2" t="str">
        <f>IFERROR(__xludf.DUMMYFUNCTION("""COMPUTED_VALUE"""),"NPTEL")</f>
        <v>NPTEL</v>
      </c>
      <c r="G352" s="3" t="str">
        <f>IFERROR(__xludf.DUMMYFUNCTION("""COMPUTED_VALUE"""),"Neural Science for Engineers (NPTEL)")</f>
        <v>Neural Science for Engineers (NPTEL)</v>
      </c>
      <c r="H352" s="2" t="str">
        <f>IFERROR(__xludf.DUMMYFUNCTION("""COMPUTED_VALUE"""),"12 Weeks")</f>
        <v>12 Weeks</v>
      </c>
      <c r="I352" s="2"/>
      <c r="J352" s="2"/>
      <c r="K352" s="2"/>
      <c r="L352" s="2" t="str">
        <f>IFERROR(__xludf.DUMMYFUNCTION("""COMPUTED_VALUE"""),"CGPA")</f>
        <v>CGPA</v>
      </c>
      <c r="M352" s="2" t="str">
        <f>IFERROR(__xludf.DUMMYFUNCTION("""COMPUTED_VALUE"""),"Experiential Learning (Int and Grade from Certificate)")</f>
        <v>Experiential Learning (Int and Grade from Certificate)</v>
      </c>
      <c r="N352" s="2">
        <f>IFERROR(__xludf.DUMMYFUNCTION("""COMPUTED_VALUE"""),3)</f>
        <v>3</v>
      </c>
      <c r="O352" s="2">
        <f>IFERROR(__xludf.DUMMYFUNCTION("""COMPUTED_VALUE"""),3)</f>
        <v>3</v>
      </c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30.75" customHeight="1" spans="1:26">
      <c r="A353" s="2">
        <f>IFERROR(__xludf.DUMMYFUNCTION("""COMPUTED_VALUE"""),352)</f>
        <v>352</v>
      </c>
      <c r="B353" s="2" t="str">
        <f>IFERROR(__xludf.DUMMYFUNCTION("""COMPUTED_VALUE"""),"SCoFT")</f>
        <v>SCoFT</v>
      </c>
      <c r="C353" s="2" t="str">
        <f>IFERROR(__xludf.DUMMYFUNCTION("""COMPUTED_VALUE"""),"CS3055")</f>
        <v>CS3055</v>
      </c>
      <c r="D353" s="2" t="str">
        <f>IFERROR(__xludf.DUMMYFUNCTION("""COMPUTED_VALUE"""),"19AI055")</f>
        <v>19AI055</v>
      </c>
      <c r="E353" s="2"/>
      <c r="F353" s="2" t="str">
        <f>IFERROR(__xludf.DUMMYFUNCTION("""COMPUTED_VALUE"""),"NPTEL")</f>
        <v>NPTEL</v>
      </c>
      <c r="G353" s="3" t="str">
        <f>IFERROR(__xludf.DUMMYFUNCTION("""COMPUTED_VALUE"""),"Object Oriented Analysis and Design (NPTEL)")</f>
        <v>Object Oriented Analysis and Design (NPTEL)</v>
      </c>
      <c r="H353" s="2" t="str">
        <f>IFERROR(__xludf.DUMMYFUNCTION("""COMPUTED_VALUE"""),"8 Weeks")</f>
        <v>8 Weeks</v>
      </c>
      <c r="I353" s="2"/>
      <c r="J353" s="2"/>
      <c r="K353" s="2"/>
      <c r="L353" s="2" t="str">
        <f>IFERROR(__xludf.DUMMYFUNCTION("""COMPUTED_VALUE"""),"CGPA ")</f>
        <v>CGPA </v>
      </c>
      <c r="M353" s="2" t="str">
        <f>IFERROR(__xludf.DUMMYFUNCTION("""COMPUTED_VALUE"""),"Experiential Learning (Int and Grade from Certificate)")</f>
        <v>Experiential Learning (Int and Grade from Certificate)</v>
      </c>
      <c r="N353" s="2">
        <f>IFERROR(__xludf.DUMMYFUNCTION("""COMPUTED_VALUE"""),2)</f>
        <v>2</v>
      </c>
      <c r="O353" s="2">
        <f>IFERROR(__xludf.DUMMYFUNCTION("""COMPUTED_VALUE"""),2)</f>
        <v>2</v>
      </c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30.75" customHeight="1" spans="1:26">
      <c r="A354" s="2">
        <f>IFERROR(__xludf.DUMMYFUNCTION("""COMPUTED_VALUE"""),353)</f>
        <v>353</v>
      </c>
      <c r="B354" s="2" t="str">
        <f>IFERROR(__xludf.DUMMYFUNCTION("""COMPUTED_VALUE"""),"ECE, SCoFT")</f>
        <v>ECE, SCoFT</v>
      </c>
      <c r="C354" s="2" t="str">
        <f>IFERROR(__xludf.DUMMYFUNCTION("""COMPUTED_VALUE"""),"EC1638")</f>
        <v>EC1638</v>
      </c>
      <c r="D354" s="2" t="str">
        <f>IFERROR(__xludf.DUMMYFUNCTION("""COMPUTED_VALUE"""),"19EC638")</f>
        <v>19EC638</v>
      </c>
      <c r="E354" s="2"/>
      <c r="F354" s="2" t="str">
        <f>IFERROR(__xludf.DUMMYFUNCTION("""COMPUTED_VALUE"""),"NPTEL")</f>
        <v>NPTEL</v>
      </c>
      <c r="G354" s="3" t="str">
        <f>IFERROR(__xludf.DUMMYFUNCTION("""COMPUTED_VALUE"""),"Object Oriented System Development Using UML, Java and Patterns (NPTEL)")</f>
        <v>Object Oriented System Development Using UML, Java and Patterns (NPTEL)</v>
      </c>
      <c r="H354" s="2" t="str">
        <f>IFERROR(__xludf.DUMMYFUNCTION("""COMPUTED_VALUE"""),"12 Weeks")</f>
        <v>12 Weeks</v>
      </c>
      <c r="I354" s="2"/>
      <c r="J354" s="2"/>
      <c r="K354" s="2"/>
      <c r="L354" s="2" t="str">
        <f>IFERROR(__xludf.DUMMYFUNCTION("""COMPUTED_VALUE"""),"CGPA ")</f>
        <v>CGPA </v>
      </c>
      <c r="M354" s="2" t="str">
        <f>IFERROR(__xludf.DUMMYFUNCTION("""COMPUTED_VALUE"""),"Experiential Learning (Int and Grade from Certificate)")</f>
        <v>Experiential Learning (Int and Grade from Certificate)</v>
      </c>
      <c r="N354" s="2">
        <f>IFERROR(__xludf.DUMMYFUNCTION("""COMPUTED_VALUE"""),2)</f>
        <v>2</v>
      </c>
      <c r="O354" s="2">
        <f>IFERROR(__xludf.DUMMYFUNCTION("""COMPUTED_VALUE"""),3)</f>
        <v>3</v>
      </c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30.75" customHeight="1" spans="1:26">
      <c r="A355" s="2">
        <f>IFERROR(__xludf.DUMMYFUNCTION("""COMPUTED_VALUE"""),354)</f>
        <v>354</v>
      </c>
      <c r="B355" s="2" t="str">
        <f>IFERROR(__xludf.DUMMYFUNCTION("""COMPUTED_VALUE"""),"BME, MED ELEC")</f>
        <v>BME, MED ELEC</v>
      </c>
      <c r="C355" s="2" t="str">
        <f>IFERROR(__xludf.DUMMYFUNCTION("""COMPUTED_VALUE"""),"EC4670")</f>
        <v>EC4670</v>
      </c>
      <c r="D355" s="2" t="str">
        <f>IFERROR(__xludf.DUMMYFUNCTION("""COMPUTED_VALUE"""),"19BM670")</f>
        <v>19BM670</v>
      </c>
      <c r="E355" s="2"/>
      <c r="F355" s="2" t="str">
        <f>IFERROR(__xludf.DUMMYFUNCTION("""COMPUTED_VALUE"""),"NPTEL")</f>
        <v>NPTEL</v>
      </c>
      <c r="G355" s="3" t="str">
        <f>IFERROR(__xludf.DUMMYFUNCTION("""COMPUTED_VALUE"""),"One Health (NPTEL)")</f>
        <v>One Health (NPTEL)</v>
      </c>
      <c r="H355" s="2" t="str">
        <f>IFERROR(__xludf.DUMMYFUNCTION("""COMPUTED_VALUE"""),"12 Weeks")</f>
        <v>12 Weeks</v>
      </c>
      <c r="I355" s="2"/>
      <c r="J355" s="2"/>
      <c r="K355" s="2"/>
      <c r="L355" s="2" t="str">
        <f>IFERROR(__xludf.DUMMYFUNCTION("""COMPUTED_VALUE"""),"CGPA")</f>
        <v>CGPA</v>
      </c>
      <c r="M355" s="2" t="str">
        <f>IFERROR(__xludf.DUMMYFUNCTION("""COMPUTED_VALUE"""),"Experiential Learning (Int and Grade from Certificate)")</f>
        <v>Experiential Learning (Int and Grade from Certificate)</v>
      </c>
      <c r="N355" s="2">
        <f>IFERROR(__xludf.DUMMYFUNCTION("""COMPUTED_VALUE"""),3)</f>
        <v>3</v>
      </c>
      <c r="O355" s="2">
        <f>IFERROR(__xludf.DUMMYFUNCTION("""COMPUTED_VALUE"""),3)</f>
        <v>3</v>
      </c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30.75" customHeight="1" spans="1:26">
      <c r="A356" s="2">
        <f>IFERROR(__xludf.DUMMYFUNCTION("""COMPUTED_VALUE"""),355)</f>
        <v>355</v>
      </c>
      <c r="B356" s="2" t="str">
        <f>IFERROR(__xludf.DUMMYFUNCTION("""COMPUTED_VALUE"""),"ECE, SCoFT")</f>
        <v>ECE, SCoFT</v>
      </c>
      <c r="C356" s="2" t="str">
        <f>IFERROR(__xludf.DUMMYFUNCTION("""COMPUTED_VALUE"""),"EC1631")</f>
        <v>EC1631</v>
      </c>
      <c r="D356" s="2" t="str">
        <f>IFERROR(__xludf.DUMMYFUNCTION("""COMPUTED_VALUE"""),"19EC631")</f>
        <v>19EC631</v>
      </c>
      <c r="E356" s="2"/>
      <c r="F356" s="2" t="str">
        <f>IFERROR(__xludf.DUMMYFUNCTION("""COMPUTED_VALUE"""),"NPTEL")</f>
        <v>NPTEL</v>
      </c>
      <c r="G356" s="3" t="str">
        <f>IFERROR(__xludf.DUMMYFUNCTION("""COMPUTED_VALUE"""),"Online Privacy (NPTEL)")</f>
        <v>Online Privacy (NPTEL)</v>
      </c>
      <c r="H356" s="2" t="str">
        <f>IFERROR(__xludf.DUMMYFUNCTION("""COMPUTED_VALUE"""),"12 Weeks")</f>
        <v>12 Weeks</v>
      </c>
      <c r="I356" s="2"/>
      <c r="J356" s="2"/>
      <c r="K356" s="2"/>
      <c r="L356" s="2" t="str">
        <f>IFERROR(__xludf.DUMMYFUNCTION("""COMPUTED_VALUE"""),"CGPA ")</f>
        <v>CGPA </v>
      </c>
      <c r="M356" s="2" t="str">
        <f>IFERROR(__xludf.DUMMYFUNCTION("""COMPUTED_VALUE"""),"Experiential Learning (Int and Grade from Certificate)")</f>
        <v>Experiential Learning (Int and Grade from Certificate)</v>
      </c>
      <c r="N356" s="2">
        <f>IFERROR(__xludf.DUMMYFUNCTION("""COMPUTED_VALUE"""),2)</f>
        <v>2</v>
      </c>
      <c r="O356" s="2">
        <f>IFERROR(__xludf.DUMMYFUNCTION("""COMPUTED_VALUE"""),3)</f>
        <v>3</v>
      </c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30.75" customHeight="1" spans="1:26">
      <c r="A357" s="2">
        <f>IFERROR(__xludf.DUMMYFUNCTION("""COMPUTED_VALUE"""),356)</f>
        <v>356</v>
      </c>
      <c r="B357" s="2" t="str">
        <f>IFERROR(__xludf.DUMMYFUNCTION("""COMPUTED_VALUE"""),"BME, MED ELEC")</f>
        <v>BME, MED ELEC</v>
      </c>
      <c r="C357" s="2" t="str">
        <f>IFERROR(__xludf.DUMMYFUNCTION("""COMPUTED_VALUE"""),"EC4671")</f>
        <v>EC4671</v>
      </c>
      <c r="D357" s="2" t="str">
        <f>IFERROR(__xludf.DUMMYFUNCTION("""COMPUTED_VALUE"""),"19BM671")</f>
        <v>19BM671</v>
      </c>
      <c r="E357" s="2"/>
      <c r="F357" s="2" t="str">
        <f>IFERROR(__xludf.DUMMYFUNCTION("""COMPUTED_VALUE"""),"NPTEL")</f>
        <v>NPTEL</v>
      </c>
      <c r="G357" s="3" t="str">
        <f>IFERROR(__xludf.DUMMYFUNCTION("""COMPUTED_VALUE"""),"Optical Fiber Sensors (NPTEL)")</f>
        <v>Optical Fiber Sensors (NPTEL)</v>
      </c>
      <c r="H357" s="2" t="str">
        <f>IFERROR(__xludf.DUMMYFUNCTION("""COMPUTED_VALUE"""),"12 Weeks")</f>
        <v>12 Weeks</v>
      </c>
      <c r="I357" s="2"/>
      <c r="J357" s="2"/>
      <c r="K357" s="2"/>
      <c r="L357" s="2" t="str">
        <f>IFERROR(__xludf.DUMMYFUNCTION("""COMPUTED_VALUE"""),"CGPA")</f>
        <v>CGPA</v>
      </c>
      <c r="M357" s="2" t="str">
        <f>IFERROR(__xludf.DUMMYFUNCTION("""COMPUTED_VALUE"""),"Experiential Learning (Int and Grade from Certificate)")</f>
        <v>Experiential Learning (Int and Grade from Certificate)</v>
      </c>
      <c r="N357" s="2">
        <f>IFERROR(__xludf.DUMMYFUNCTION("""COMPUTED_VALUE"""),3)</f>
        <v>3</v>
      </c>
      <c r="O357" s="2">
        <f>IFERROR(__xludf.DUMMYFUNCTION("""COMPUTED_VALUE"""),3)</f>
        <v>3</v>
      </c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30.75" customHeight="1" spans="1:26">
      <c r="A358" s="2">
        <f>IFERROR(__xludf.DUMMYFUNCTION("""COMPUTED_VALUE"""),357)</f>
        <v>357</v>
      </c>
      <c r="B358" s="2" t="str">
        <f>IFERROR(__xludf.DUMMYFUNCTION("""COMPUTED_VALUE"""),"BME, MED ELEC")</f>
        <v>BME, MED ELEC</v>
      </c>
      <c r="C358" s="2" t="str">
        <f>IFERROR(__xludf.DUMMYFUNCTION("""COMPUTED_VALUE"""),"EC4672")</f>
        <v>EC4672</v>
      </c>
      <c r="D358" s="2" t="str">
        <f>IFERROR(__xludf.DUMMYFUNCTION("""COMPUTED_VALUE"""),"19BM672")</f>
        <v>19BM672</v>
      </c>
      <c r="E358" s="2"/>
      <c r="F358" s="2" t="str">
        <f>IFERROR(__xludf.DUMMYFUNCTION("""COMPUTED_VALUE"""),"NPTEL")</f>
        <v>NPTEL</v>
      </c>
      <c r="G358" s="3" t="str">
        <f>IFERROR(__xludf.DUMMYFUNCTION("""COMPUTED_VALUE"""),"Optical Spectroscopy and Microscopy : Fundamentals of Optical Measurements and Instrumentation (NPTEL)")</f>
        <v>Optical Spectroscopy and Microscopy : Fundamentals of Optical Measurements and Instrumentation (NPTEL)</v>
      </c>
      <c r="H358" s="2" t="str">
        <f>IFERROR(__xludf.DUMMYFUNCTION("""COMPUTED_VALUE"""),"12 Weeks")</f>
        <v>12 Weeks</v>
      </c>
      <c r="I358" s="2"/>
      <c r="J358" s="2"/>
      <c r="K358" s="2"/>
      <c r="L358" s="2" t="str">
        <f>IFERROR(__xludf.DUMMYFUNCTION("""COMPUTED_VALUE"""),"CGPA")</f>
        <v>CGPA</v>
      </c>
      <c r="M358" s="2" t="str">
        <f>IFERROR(__xludf.DUMMYFUNCTION("""COMPUTED_VALUE"""),"Experiential Learning (Int and Grade from Certificate)")</f>
        <v>Experiential Learning (Int and Grade from Certificate)</v>
      </c>
      <c r="N358" s="2">
        <f>IFERROR(__xludf.DUMMYFUNCTION("""COMPUTED_VALUE"""),3)</f>
        <v>3</v>
      </c>
      <c r="O358" s="2">
        <f>IFERROR(__xludf.DUMMYFUNCTION("""COMPUTED_VALUE"""),3)</f>
        <v>3</v>
      </c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30.75" customHeight="1" spans="1:26">
      <c r="A359" s="2">
        <f>IFERROR(__xludf.DUMMYFUNCTION("""COMPUTED_VALUE"""),358)</f>
        <v>358</v>
      </c>
      <c r="B359" s="2" t="str">
        <f>IFERROR(__xludf.DUMMYFUNCTION("""COMPUTED_VALUE"""),"CHEMICAL")</f>
        <v>CHEMICAL</v>
      </c>
      <c r="C359" s="2" t="str">
        <f>IFERROR(__xludf.DUMMYFUNCTION("""COMPUTED_VALUE"""),"CH0620")</f>
        <v>CH0620</v>
      </c>
      <c r="D359" s="2" t="str">
        <f>IFERROR(__xludf.DUMMYFUNCTION("""COMPUTED_VALUE"""),"19CH620")</f>
        <v>19CH620</v>
      </c>
      <c r="E359" s="2"/>
      <c r="F359" s="2" t="str">
        <f>IFERROR(__xludf.DUMMYFUNCTION("""COMPUTED_VALUE"""),"NPTEL")</f>
        <v>NPTEL</v>
      </c>
      <c r="G359" s="3" t="str">
        <f>IFERROR(__xludf.DUMMYFUNCTION("""COMPUTED_VALUE"""),"Optimization in Chemical Engineering (NPTEL)")</f>
        <v>Optimization in Chemical Engineering (NPTEL)</v>
      </c>
      <c r="H359" s="2" t="str">
        <f>IFERROR(__xludf.DUMMYFUNCTION("""COMPUTED_VALUE"""),"8 Weeks")</f>
        <v>8 Weeks</v>
      </c>
      <c r="I359" s="2"/>
      <c r="J359" s="2"/>
      <c r="K359" s="2"/>
      <c r="L359" s="2" t="str">
        <f>IFERROR(__xludf.DUMMYFUNCTION("""COMPUTED_VALUE"""),"CGPA ")</f>
        <v>CGPA </v>
      </c>
      <c r="M359" s="2" t="str">
        <f>IFERROR(__xludf.DUMMYFUNCTION("""COMPUTED_VALUE"""),"Experiential Learning (Int and Grade from Certificate)")</f>
        <v>Experiential Learning (Int and Grade from Certificate)</v>
      </c>
      <c r="N359" s="2">
        <f>IFERROR(__xludf.DUMMYFUNCTION("""COMPUTED_VALUE"""),2)</f>
        <v>2</v>
      </c>
      <c r="O359" s="2">
        <f>IFERROR(__xludf.DUMMYFUNCTION("""COMPUTED_VALUE"""),2)</f>
        <v>2</v>
      </c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30.75" customHeight="1" spans="1:26">
      <c r="A360" s="2">
        <f>IFERROR(__xludf.DUMMYFUNCTION("""COMPUTED_VALUE"""),359)</f>
        <v>359</v>
      </c>
      <c r="B360" s="2" t="str">
        <f>IFERROR(__xludf.DUMMYFUNCTION("""COMPUTED_VALUE"""),"SCoFT")</f>
        <v>SCoFT</v>
      </c>
      <c r="C360" s="2" t="str">
        <f>IFERROR(__xludf.DUMMYFUNCTION("""COMPUTED_VALUE"""),"CS3140")</f>
        <v>CS3140</v>
      </c>
      <c r="D360" s="2" t="str">
        <f>IFERROR(__xludf.DUMMYFUNCTION("""COMPUTED_VALUE"""),"19AI140")</f>
        <v>19AI140</v>
      </c>
      <c r="E360" s="2"/>
      <c r="F360" s="2" t="str">
        <f>IFERROR(__xludf.DUMMYFUNCTION("""COMPUTED_VALUE"""),"Oracle (1Z0-1094-23)")</f>
        <v>Oracle (1Z0-1094-23)</v>
      </c>
      <c r="G360" s="3" t="str">
        <f>IFERROR(__xludf.DUMMYFUNCTION("""COMPUTED_VALUE"""),"Oracle Cloud Database Migration and Integration 2023 Professional (Oracle)")</f>
        <v>Oracle Cloud Database Migration and Integration 2023 Professional (Oracle)</v>
      </c>
      <c r="H360" s="2" t="str">
        <f>IFERROR(__xludf.DUMMYFUNCTION("""COMPUTED_VALUE"""),"8 Weeks")</f>
        <v>8 Weeks</v>
      </c>
      <c r="I360" s="2"/>
      <c r="J360" s="2"/>
      <c r="K360" s="2"/>
      <c r="L360" s="2" t="str">
        <f>IFERROR(__xludf.DUMMYFUNCTION("""COMPUTED_VALUE"""),"CGPA")</f>
        <v>CGPA</v>
      </c>
      <c r="M360" s="2" t="str">
        <f>IFERROR(__xludf.DUMMYFUNCTION("""COMPUTED_VALUE"""),"Experiential Learning (Int and Grade from Certificate)")</f>
        <v>Experiential Learning (Int and Grade from Certificate)</v>
      </c>
      <c r="N360" s="2">
        <f>IFERROR(__xludf.DUMMYFUNCTION("""COMPUTED_VALUE"""),2)</f>
        <v>2</v>
      </c>
      <c r="O360" s="2">
        <f>IFERROR(__xludf.DUMMYFUNCTION("""COMPUTED_VALUE"""),2)</f>
        <v>2</v>
      </c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30.75" customHeight="1" spans="1:26">
      <c r="A361" s="2">
        <f>IFERROR(__xludf.DUMMYFUNCTION("""COMPUTED_VALUE"""),360)</f>
        <v>360</v>
      </c>
      <c r="B361" s="2" t="str">
        <f>IFERROR(__xludf.DUMMYFUNCTION("""COMPUTED_VALUE"""),"SCoFT")</f>
        <v>SCoFT</v>
      </c>
      <c r="C361" s="2" t="str">
        <f>IFERROR(__xludf.DUMMYFUNCTION("""COMPUTED_VALUE"""),"CS3137")</f>
        <v>CS3137</v>
      </c>
      <c r="D361" s="2" t="str">
        <f>IFERROR(__xludf.DUMMYFUNCTION("""COMPUTED_VALUE"""),"19AI137")</f>
        <v>19AI137</v>
      </c>
      <c r="E361" s="2"/>
      <c r="F361" s="2" t="str">
        <f>IFERROR(__xludf.DUMMYFUNCTION("""COMPUTED_VALUE"""),"Oracle (1Z0-1072-23)
")</f>
        <v>Oracle (1Z0-1072-23)
</v>
      </c>
      <c r="G361" s="3" t="str">
        <f>IFERROR(__xludf.DUMMYFUNCTION("""COMPUTED_VALUE"""),"Oracle Cloud Infrastructure 2023 Architect Associate (Oracle)")</f>
        <v>Oracle Cloud Infrastructure 2023 Architect Associate (Oracle)</v>
      </c>
      <c r="H361" s="2" t="str">
        <f>IFERROR(__xludf.DUMMYFUNCTION("""COMPUTED_VALUE"""),"8 Weeks")</f>
        <v>8 Weeks</v>
      </c>
      <c r="I361" s="2"/>
      <c r="J361" s="2"/>
      <c r="K361" s="2"/>
      <c r="L361" s="2" t="str">
        <f>IFERROR(__xludf.DUMMYFUNCTION("""COMPUTED_VALUE"""),"CGPA")</f>
        <v>CGPA</v>
      </c>
      <c r="M361" s="2" t="str">
        <f>IFERROR(__xludf.DUMMYFUNCTION("""COMPUTED_VALUE"""),"Experiential Learning (Int and Grade from Certificate)")</f>
        <v>Experiential Learning (Int and Grade from Certificate)</v>
      </c>
      <c r="N361" s="2">
        <f>IFERROR(__xludf.DUMMYFUNCTION("""COMPUTED_VALUE"""),2)</f>
        <v>2</v>
      </c>
      <c r="O361" s="2">
        <f>IFERROR(__xludf.DUMMYFUNCTION("""COMPUTED_VALUE"""),2)</f>
        <v>2</v>
      </c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30.75" customHeight="1" spans="1:26">
      <c r="A362" s="2">
        <f>IFERROR(__xludf.DUMMYFUNCTION("""COMPUTED_VALUE"""),361)</f>
        <v>361</v>
      </c>
      <c r="B362" s="2" t="str">
        <f>IFERROR(__xludf.DUMMYFUNCTION("""COMPUTED_VALUE"""),"SCoFT")</f>
        <v>SCoFT</v>
      </c>
      <c r="C362" s="2" t="str">
        <f>IFERROR(__xludf.DUMMYFUNCTION("""COMPUTED_VALUE"""),"CS3138")</f>
        <v>CS3138</v>
      </c>
      <c r="D362" s="2" t="str">
        <f>IFERROR(__xludf.DUMMYFUNCTION("""COMPUTED_VALUE"""),"19AI138")</f>
        <v>19AI138</v>
      </c>
      <c r="E362" s="2"/>
      <c r="F362" s="2" t="str">
        <f>IFERROR(__xludf.DUMMYFUNCTION("""COMPUTED_VALUE"""),"Oracle (1Z0-997-23)")</f>
        <v>Oracle (1Z0-997-23)</v>
      </c>
      <c r="G362" s="3" t="str">
        <f>IFERROR(__xludf.DUMMYFUNCTION("""COMPUTED_VALUE"""),"Oracle Cloud Infrastructure 2023 Architect Professional (Oracle)")</f>
        <v>Oracle Cloud Infrastructure 2023 Architect Professional (Oracle)</v>
      </c>
      <c r="H362" s="2" t="str">
        <f>IFERROR(__xludf.DUMMYFUNCTION("""COMPUTED_VALUE"""),"8 Weeks")</f>
        <v>8 Weeks</v>
      </c>
      <c r="I362" s="2"/>
      <c r="J362" s="2"/>
      <c r="K362" s="2"/>
      <c r="L362" s="2" t="str">
        <f>IFERROR(__xludf.DUMMYFUNCTION("""COMPUTED_VALUE"""),"CGPA")</f>
        <v>CGPA</v>
      </c>
      <c r="M362" s="2" t="str">
        <f>IFERROR(__xludf.DUMMYFUNCTION("""COMPUTED_VALUE"""),"Experiential Learning (Int and Grade from Certificate)")</f>
        <v>Experiential Learning (Int and Grade from Certificate)</v>
      </c>
      <c r="N362" s="2">
        <f>IFERROR(__xludf.DUMMYFUNCTION("""COMPUTED_VALUE"""),2)</f>
        <v>2</v>
      </c>
      <c r="O362" s="2">
        <f>IFERROR(__xludf.DUMMYFUNCTION("""COMPUTED_VALUE"""),2)</f>
        <v>2</v>
      </c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30.75" customHeight="1" spans="1:26">
      <c r="A363" s="2">
        <f>IFERROR(__xludf.DUMMYFUNCTION("""COMPUTED_VALUE"""),362)</f>
        <v>362</v>
      </c>
      <c r="B363" s="2" t="str">
        <f>IFERROR(__xludf.DUMMYFUNCTION("""COMPUTED_VALUE"""),"SCoFT")</f>
        <v>SCoFT</v>
      </c>
      <c r="C363" s="2" t="str">
        <f>IFERROR(__xludf.DUMMYFUNCTION("""COMPUTED_VALUE"""),"CS3141")</f>
        <v>CS3141</v>
      </c>
      <c r="D363" s="2" t="str">
        <f>IFERROR(__xludf.DUMMYFUNCTION("""COMPUTED_VALUE"""),"19AI141")</f>
        <v>19AI141</v>
      </c>
      <c r="E363" s="2"/>
      <c r="F363" s="2" t="str">
        <f>IFERROR(__xludf.DUMMYFUNCTION("""COMPUTED_VALUE"""),"Oracle (1Z0-1109-23)")</f>
        <v>Oracle (1Z0-1109-23)</v>
      </c>
      <c r="G363" s="3" t="str">
        <f>IFERROR(__xludf.DUMMYFUNCTION("""COMPUTED_VALUE"""),"Oracle Cloud Infrastructure 2023 DevOps Professional (Oracle)")</f>
        <v>Oracle Cloud Infrastructure 2023 DevOps Professional (Oracle)</v>
      </c>
      <c r="H363" s="2" t="str">
        <f>IFERROR(__xludf.DUMMYFUNCTION("""COMPUTED_VALUE"""),"8 Weeks")</f>
        <v>8 Weeks</v>
      </c>
      <c r="I363" s="2"/>
      <c r="J363" s="2"/>
      <c r="K363" s="2"/>
      <c r="L363" s="2" t="str">
        <f>IFERROR(__xludf.DUMMYFUNCTION("""COMPUTED_VALUE"""),"CGPA")</f>
        <v>CGPA</v>
      </c>
      <c r="M363" s="2" t="str">
        <f>IFERROR(__xludf.DUMMYFUNCTION("""COMPUTED_VALUE"""),"Experiential Learning (Int and Grade from Certificate)")</f>
        <v>Experiential Learning (Int and Grade from Certificate)</v>
      </c>
      <c r="N363" s="2">
        <f>IFERROR(__xludf.DUMMYFUNCTION("""COMPUTED_VALUE"""),2)</f>
        <v>2</v>
      </c>
      <c r="O363" s="2">
        <f>IFERROR(__xludf.DUMMYFUNCTION("""COMPUTED_VALUE"""),2)</f>
        <v>2</v>
      </c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30.75" customHeight="1" spans="1:26">
      <c r="A364" s="2">
        <f>IFERROR(__xludf.DUMMYFUNCTION("""COMPUTED_VALUE"""),363)</f>
        <v>363</v>
      </c>
      <c r="B364" s="2" t="str">
        <f>IFERROR(__xludf.DUMMYFUNCTION("""COMPUTED_VALUE"""),"SCoFT")</f>
        <v>SCoFT</v>
      </c>
      <c r="C364" s="2" t="str">
        <f>IFERROR(__xludf.DUMMYFUNCTION("""COMPUTED_VALUE"""),"CS3142")</f>
        <v>CS3142</v>
      </c>
      <c r="D364" s="2" t="str">
        <f>IFERROR(__xludf.DUMMYFUNCTION("""COMPUTED_VALUE"""),"19AI142")</f>
        <v>19AI142</v>
      </c>
      <c r="E364" s="2"/>
      <c r="F364" s="2" t="str">
        <f>IFERROR(__xludf.DUMMYFUNCTION("""COMPUTED_VALUE"""),"Oracle (1Z0-1110-23)
")</f>
        <v>Oracle (1Z0-1110-23)
</v>
      </c>
      <c r="G364" s="3" t="str">
        <f>IFERROR(__xludf.DUMMYFUNCTION("""COMPUTED_VALUE"""),"Oracle Cloud Infrastructure Data Science 2023 Professional (Oracle)")</f>
        <v>Oracle Cloud Infrastructure Data Science 2023 Professional (Oracle)</v>
      </c>
      <c r="H364" s="2" t="str">
        <f>IFERROR(__xludf.DUMMYFUNCTION("""COMPUTED_VALUE"""),"8 Weeks")</f>
        <v>8 Weeks</v>
      </c>
      <c r="I364" s="2"/>
      <c r="J364" s="2"/>
      <c r="K364" s="2"/>
      <c r="L364" s="2" t="str">
        <f>IFERROR(__xludf.DUMMYFUNCTION("""COMPUTED_VALUE"""),"CGPA")</f>
        <v>CGPA</v>
      </c>
      <c r="M364" s="2" t="str">
        <f>IFERROR(__xludf.DUMMYFUNCTION("""COMPUTED_VALUE"""),"Experiential Learning (Int and Grade from Certificate)")</f>
        <v>Experiential Learning (Int and Grade from Certificate)</v>
      </c>
      <c r="N364" s="2">
        <f>IFERROR(__xludf.DUMMYFUNCTION("""COMPUTED_VALUE"""),2)</f>
        <v>2</v>
      </c>
      <c r="O364" s="2">
        <f>IFERROR(__xludf.DUMMYFUNCTION("""COMPUTED_VALUE"""),2)</f>
        <v>2</v>
      </c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30.75" customHeight="1" spans="1:26">
      <c r="A365" s="2">
        <f>IFERROR(__xludf.DUMMYFUNCTION("""COMPUTED_VALUE"""),364)</f>
        <v>364</v>
      </c>
      <c r="B365" s="2" t="str">
        <f>IFERROR(__xludf.DUMMYFUNCTION("""COMPUTED_VALUE"""),"SCoFT")</f>
        <v>SCoFT</v>
      </c>
      <c r="C365" s="2" t="str">
        <f>IFERROR(__xludf.DUMMYFUNCTION("""COMPUTED_VALUE"""),"CS3143")</f>
        <v>CS3143</v>
      </c>
      <c r="D365" s="2" t="str">
        <f>IFERROR(__xludf.DUMMYFUNCTION("""COMPUTED_VALUE"""),"19AI143")</f>
        <v>19AI143</v>
      </c>
      <c r="E365" s="2"/>
      <c r="F365" s="2" t="str">
        <f>IFERROR(__xludf.DUMMYFUNCTION("""COMPUTED_VALUE"""),"Oracle (1Z0-116)")</f>
        <v>Oracle (1Z0-116)</v>
      </c>
      <c r="G365" s="3" t="str">
        <f>IFERROR(__xludf.DUMMYFUNCTION("""COMPUTED_VALUE"""),"Oracle Database Security Administration (Oracle)")</f>
        <v>Oracle Database Security Administration (Oracle)</v>
      </c>
      <c r="H365" s="2" t="str">
        <f>IFERROR(__xludf.DUMMYFUNCTION("""COMPUTED_VALUE"""),"8 Weeks")</f>
        <v>8 Weeks</v>
      </c>
      <c r="I365" s="2"/>
      <c r="J365" s="2"/>
      <c r="K365" s="2"/>
      <c r="L365" s="2" t="str">
        <f>IFERROR(__xludf.DUMMYFUNCTION("""COMPUTED_VALUE"""),"CGPA")</f>
        <v>CGPA</v>
      </c>
      <c r="M365" s="2" t="str">
        <f>IFERROR(__xludf.DUMMYFUNCTION("""COMPUTED_VALUE"""),"Experiential Learning (Int and Grade from Certificate)")</f>
        <v>Experiential Learning (Int and Grade from Certificate)</v>
      </c>
      <c r="N365" s="2">
        <f>IFERROR(__xludf.DUMMYFUNCTION("""COMPUTED_VALUE"""),2)</f>
        <v>2</v>
      </c>
      <c r="O365" s="2">
        <f>IFERROR(__xludf.DUMMYFUNCTION("""COMPUTED_VALUE"""),2)</f>
        <v>2</v>
      </c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30.75" customHeight="1" spans="1:26">
      <c r="A366" s="2">
        <f>IFERROR(__xludf.DUMMYFUNCTION("""COMPUTED_VALUE"""),365)</f>
        <v>365</v>
      </c>
      <c r="B366" s="2" t="str">
        <f>IFERROR(__xludf.DUMMYFUNCTION("""COMPUTED_VALUE"""),"SCoFT")</f>
        <v>SCoFT</v>
      </c>
      <c r="C366" s="2" t="str">
        <f>IFERROR(__xludf.DUMMYFUNCTION("""COMPUTED_VALUE"""),"CS3144")</f>
        <v>CS3144</v>
      </c>
      <c r="D366" s="2" t="str">
        <f>IFERROR(__xludf.DUMMYFUNCTION("""COMPUTED_VALUE"""),"19AI144")</f>
        <v>19AI144</v>
      </c>
      <c r="E366" s="2"/>
      <c r="F366" s="2" t="str">
        <f>IFERROR(__xludf.DUMMYFUNCTION("""COMPUTED_VALUE"""),"Oracle (1Z0-106)")</f>
        <v>Oracle (1Z0-106)</v>
      </c>
      <c r="G366" s="3" t="str">
        <f>IFERROR(__xludf.DUMMYFUNCTION("""COMPUTED_VALUE"""),"Oracle Linux 8 Advanced System Administration (Oracle)")</f>
        <v>Oracle Linux 8 Advanced System Administration (Oracle)</v>
      </c>
      <c r="H366" s="2" t="str">
        <f>IFERROR(__xludf.DUMMYFUNCTION("""COMPUTED_VALUE"""),"8 Weeks")</f>
        <v>8 Weeks</v>
      </c>
      <c r="I366" s="2"/>
      <c r="J366" s="2"/>
      <c r="K366" s="2"/>
      <c r="L366" s="2" t="str">
        <f>IFERROR(__xludf.DUMMYFUNCTION("""COMPUTED_VALUE"""),"CGPA")</f>
        <v>CGPA</v>
      </c>
      <c r="M366" s="2" t="str">
        <f>IFERROR(__xludf.DUMMYFUNCTION("""COMPUTED_VALUE"""),"Experiential Learning (Int and Grade from Certificate)")</f>
        <v>Experiential Learning (Int and Grade from Certificate)</v>
      </c>
      <c r="N366" s="2">
        <f>IFERROR(__xludf.DUMMYFUNCTION("""COMPUTED_VALUE"""),2)</f>
        <v>2</v>
      </c>
      <c r="O366" s="2">
        <f>IFERROR(__xludf.DUMMYFUNCTION("""COMPUTED_VALUE"""),2)</f>
        <v>2</v>
      </c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30.75" customHeight="1" spans="1:26">
      <c r="A367" s="2">
        <f>IFERROR(__xludf.DUMMYFUNCTION("""COMPUTED_VALUE"""),366)</f>
        <v>366</v>
      </c>
      <c r="B367" s="2" t="str">
        <f>IFERROR(__xludf.DUMMYFUNCTION("""COMPUTED_VALUE"""),"SCoFT")</f>
        <v>SCoFT</v>
      </c>
      <c r="C367" s="2" t="str">
        <f>IFERROR(__xludf.DUMMYFUNCTION("""COMPUTED_VALUE"""),"CS3145")</f>
        <v>CS3145</v>
      </c>
      <c r="D367" s="2" t="str">
        <f>IFERROR(__xludf.DUMMYFUNCTION("""COMPUTED_VALUE"""),"19AI145")</f>
        <v>19AI145</v>
      </c>
      <c r="E367" s="2"/>
      <c r="F367" s="2" t="str">
        <f>IFERROR(__xludf.DUMMYFUNCTION("""COMPUTED_VALUE"""),"Oracle (1Z0-1096-23)")</f>
        <v>Oracle (1Z0-1096-23)</v>
      </c>
      <c r="G367" s="3" t="str">
        <f>IFERROR(__xludf.DUMMYFUNCTION("""COMPUTED_VALUE"""),"Oracle Machine Learning using Autonomous Database 2023 Associate (Oracle)")</f>
        <v>Oracle Machine Learning using Autonomous Database 2023 Associate (Oracle)</v>
      </c>
      <c r="H367" s="2" t="str">
        <f>IFERROR(__xludf.DUMMYFUNCTION("""COMPUTED_VALUE"""),"8 Weeks")</f>
        <v>8 Weeks</v>
      </c>
      <c r="I367" s="2"/>
      <c r="J367" s="2"/>
      <c r="K367" s="2"/>
      <c r="L367" s="2" t="str">
        <f>IFERROR(__xludf.DUMMYFUNCTION("""COMPUTED_VALUE"""),"CGPA")</f>
        <v>CGPA</v>
      </c>
      <c r="M367" s="2" t="str">
        <f>IFERROR(__xludf.DUMMYFUNCTION("""COMPUTED_VALUE"""),"Experiential Learning (Int and Grade from Certificate)")</f>
        <v>Experiential Learning (Int and Grade from Certificate)</v>
      </c>
      <c r="N367" s="2">
        <f>IFERROR(__xludf.DUMMYFUNCTION("""COMPUTED_VALUE"""),2)</f>
        <v>2</v>
      </c>
      <c r="O367" s="2">
        <f>IFERROR(__xludf.DUMMYFUNCTION("""COMPUTED_VALUE"""),2)</f>
        <v>2</v>
      </c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30.75" customHeight="1" spans="1:26">
      <c r="A368" s="2">
        <f>IFERROR(__xludf.DUMMYFUNCTION("""COMPUTED_VALUE"""),367)</f>
        <v>367</v>
      </c>
      <c r="B368" s="2" t="str">
        <f>IFERROR(__xludf.DUMMYFUNCTION("""COMPUTED_VALUE"""),"SCoFT")</f>
        <v>SCoFT</v>
      </c>
      <c r="C368" s="2" t="str">
        <f>IFERROR(__xludf.DUMMYFUNCTION("""COMPUTED_VALUE"""),"CS3239")</f>
        <v>CS3239</v>
      </c>
      <c r="D368" s="2" t="str">
        <f>IFERROR(__xludf.DUMMYFUNCTION("""COMPUTED_VALUE"""),"19AI239")</f>
        <v>19AI239</v>
      </c>
      <c r="E368" s="2"/>
      <c r="F368" s="2" t="str">
        <f>IFERROR(__xludf.DUMMYFUNCTION("""COMPUTED_VALUE"""),"Coursera")</f>
        <v>Coursera</v>
      </c>
      <c r="G368" s="3" t="str">
        <f>IFERROR(__xludf.DUMMYFUNCTION("""COMPUTED_VALUE"""),"Palo Alto Networks Cybersecurity Professional Certificate")</f>
        <v>Palo Alto Networks Cybersecurity Professional Certificate</v>
      </c>
      <c r="H368" s="2" t="str">
        <f>IFERROR(__xludf.DUMMYFUNCTION("""COMPUTED_VALUE"""),"1 Month")</f>
        <v>1 Month</v>
      </c>
      <c r="I368" s="2" t="str">
        <f>IFERROR(__xludf.DUMMYFUNCTION("""COMPUTED_VALUE"""),"NA")</f>
        <v>NA</v>
      </c>
      <c r="J368" s="2" t="str">
        <f>IFERROR(__xludf.DUMMYFUNCTION("""COMPUTED_VALUE"""),"NA")</f>
        <v>NA</v>
      </c>
      <c r="K368" s="2" t="str">
        <f>IFERROR(__xludf.DUMMYFUNCTION("""COMPUTED_VALUE"""),"NA")</f>
        <v>NA</v>
      </c>
      <c r="L368" s="2" t="str">
        <f>IFERROR(__xludf.DUMMYFUNCTION("""COMPUTED_VALUE"""),"CGPA")</f>
        <v>CGPA</v>
      </c>
      <c r="M368" s="2" t="str">
        <f>IFERROR(__xludf.DUMMYFUNCTION("""COMPUTED_VALUE"""),"Experiential Learning (Int and Grade from Certificate)")</f>
        <v>Experiential Learning (Int and Grade from Certificate)</v>
      </c>
      <c r="N368" s="2">
        <f>IFERROR(__xludf.DUMMYFUNCTION("""COMPUTED_VALUE"""),1)</f>
        <v>1</v>
      </c>
      <c r="O368" s="2">
        <f>IFERROR(__xludf.DUMMYFUNCTION("""COMPUTED_VALUE"""),1)</f>
        <v>1</v>
      </c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30.75" customHeight="1" spans="1:26">
      <c r="A369" s="2">
        <f>IFERROR(__xludf.DUMMYFUNCTION("""COMPUTED_VALUE"""),368)</f>
        <v>368</v>
      </c>
      <c r="B369" s="2" t="str">
        <f>IFERROR(__xludf.DUMMYFUNCTION("""COMPUTED_VALUE"""),"SCoFT")</f>
        <v>SCoFT</v>
      </c>
      <c r="C369" s="2" t="str">
        <f>IFERROR(__xludf.DUMMYFUNCTION("""COMPUTED_VALUE"""),"CS3056")</f>
        <v>CS3056</v>
      </c>
      <c r="D369" s="2" t="str">
        <f>IFERROR(__xludf.DUMMYFUNCTION("""COMPUTED_VALUE"""),"19AI056")</f>
        <v>19AI056</v>
      </c>
      <c r="E369" s="2"/>
      <c r="F369" s="2" t="str">
        <f>IFERROR(__xludf.DUMMYFUNCTION("""COMPUTED_VALUE"""),"NPTEL")</f>
        <v>NPTEL</v>
      </c>
      <c r="G369" s="3" t="str">
        <f>IFERROR(__xludf.DUMMYFUNCTION("""COMPUTED_VALUE"""),"Parameterized Algorithms (NPTEL)")</f>
        <v>Parameterized Algorithms (NPTEL)</v>
      </c>
      <c r="H369" s="2" t="str">
        <f>IFERROR(__xludf.DUMMYFUNCTION("""COMPUTED_VALUE"""),"12 Weeks")</f>
        <v>12 Weeks</v>
      </c>
      <c r="I369" s="2"/>
      <c r="J369" s="2"/>
      <c r="K369" s="2"/>
      <c r="L369" s="2" t="str">
        <f>IFERROR(__xludf.DUMMYFUNCTION("""COMPUTED_VALUE"""),"CGPA ")</f>
        <v>CGPA </v>
      </c>
      <c r="M369" s="2" t="str">
        <f>IFERROR(__xludf.DUMMYFUNCTION("""COMPUTED_VALUE"""),"Experiential Learning (Int and Grade from Certificate)")</f>
        <v>Experiential Learning (Int and Grade from Certificate)</v>
      </c>
      <c r="N369" s="2">
        <f>IFERROR(__xludf.DUMMYFUNCTION("""COMPUTED_VALUE"""),3)</f>
        <v>3</v>
      </c>
      <c r="O369" s="2">
        <f>IFERROR(__xludf.DUMMYFUNCTION("""COMPUTED_VALUE"""),3)</f>
        <v>3</v>
      </c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30.75" customHeight="1" spans="1:26">
      <c r="A370" s="2">
        <f>IFERROR(__xludf.DUMMYFUNCTION("""COMPUTED_VALUE"""),369)</f>
        <v>369</v>
      </c>
      <c r="B370" s="2" t="str">
        <f>IFERROR(__xludf.DUMMYFUNCTION("""COMPUTED_VALUE"""),"BME, MED ELEC")</f>
        <v>BME, MED ELEC</v>
      </c>
      <c r="C370" s="2" t="str">
        <f>IFERROR(__xludf.DUMMYFUNCTION("""COMPUTED_VALUE"""),"EC4673")</f>
        <v>EC4673</v>
      </c>
      <c r="D370" s="2" t="str">
        <f>IFERROR(__xludf.DUMMYFUNCTION("""COMPUTED_VALUE"""),"19BM673")</f>
        <v>19BM673</v>
      </c>
      <c r="E370" s="2"/>
      <c r="F370" s="2" t="str">
        <f>IFERROR(__xludf.DUMMYFUNCTION("""COMPUTED_VALUE"""),"NPTEL")</f>
        <v>NPTEL</v>
      </c>
      <c r="G370" s="3" t="str">
        <f>IFERROR(__xludf.DUMMYFUNCTION("""COMPUTED_VALUE"""),"Patent Law for Engineers and Scientists (NPTEL)")</f>
        <v>Patent Law for Engineers and Scientists (NPTEL)</v>
      </c>
      <c r="H370" s="2" t="str">
        <f>IFERROR(__xludf.DUMMYFUNCTION("""COMPUTED_VALUE"""),"12 Weeks")</f>
        <v>12 Weeks</v>
      </c>
      <c r="I370" s="2"/>
      <c r="J370" s="2"/>
      <c r="K370" s="2"/>
      <c r="L370" s="2" t="str">
        <f>IFERROR(__xludf.DUMMYFUNCTION("""COMPUTED_VALUE"""),"CGPA")</f>
        <v>CGPA</v>
      </c>
      <c r="M370" s="2" t="str">
        <f>IFERROR(__xludf.DUMMYFUNCTION("""COMPUTED_VALUE"""),"Experiential Learning (Int and Grade from Certificate)")</f>
        <v>Experiential Learning (Int and Grade from Certificate)</v>
      </c>
      <c r="N370" s="2">
        <f>IFERROR(__xludf.DUMMYFUNCTION("""COMPUTED_VALUE"""),3)</f>
        <v>3</v>
      </c>
      <c r="O370" s="2">
        <f>IFERROR(__xludf.DUMMYFUNCTION("""COMPUTED_VALUE"""),3)</f>
        <v>3</v>
      </c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30.75" customHeight="1" spans="1:26">
      <c r="A371" s="2">
        <f>IFERROR(__xludf.DUMMYFUNCTION("""COMPUTED_VALUE"""),370)</f>
        <v>370</v>
      </c>
      <c r="B371" s="2" t="str">
        <f>IFERROR(__xludf.DUMMYFUNCTION("""COMPUTED_VALUE"""),"ECE")</f>
        <v>ECE</v>
      </c>
      <c r="C371" s="2" t="str">
        <f>IFERROR(__xludf.DUMMYFUNCTION("""COMPUTED_VALUE"""),"EC1646")</f>
        <v>EC1646</v>
      </c>
      <c r="D371" s="2" t="str">
        <f>IFERROR(__xludf.DUMMYFUNCTION("""COMPUTED_VALUE"""),"19EC646")</f>
        <v>19EC646</v>
      </c>
      <c r="E371" s="2"/>
      <c r="F371" s="2" t="str">
        <f>IFERROR(__xludf.DUMMYFUNCTION("""COMPUTED_VALUE"""),"NPTEL")</f>
        <v>NPTEL</v>
      </c>
      <c r="G371" s="3" t="str">
        <f>IFERROR(__xludf.DUMMYFUNCTION("""COMPUTED_VALUE"""),"Patent Law for Engineers and Scientists (NPTEL)")</f>
        <v>Patent Law for Engineers and Scientists (NPTEL)</v>
      </c>
      <c r="H371" s="2" t="str">
        <f>IFERROR(__xludf.DUMMYFUNCTION("""COMPUTED_VALUE"""),"12 Weeks")</f>
        <v>12 Weeks</v>
      </c>
      <c r="I371" s="2" t="str">
        <f>IFERROR(__xludf.DUMMYFUNCTION("""COMPUTED_VALUE"""),"10 / 25")</f>
        <v>10 / 25</v>
      </c>
      <c r="J371" s="2" t="str">
        <f>IFERROR(__xludf.DUMMYFUNCTION("""COMPUTED_VALUE"""),"30 / 75")</f>
        <v>30 / 75</v>
      </c>
      <c r="K371" s="2" t="str">
        <f>IFERROR(__xludf.DUMMYFUNCTION("""COMPUTED_VALUE"""),"40 / 100")</f>
        <v>40 / 100</v>
      </c>
      <c r="L371" s="2" t="str">
        <f>IFERROR(__xludf.DUMMYFUNCTION("""COMPUTED_VALUE"""),"CGPA")</f>
        <v>CGPA</v>
      </c>
      <c r="M371" s="2" t="str">
        <f>IFERROR(__xludf.DUMMYFUNCTION("""COMPUTED_VALUE"""),"Experiential Learning (Int and Grade from Certificate)")</f>
        <v>Experiential Learning (Int and Grade from Certificate)</v>
      </c>
      <c r="N371" s="2">
        <f>IFERROR(__xludf.DUMMYFUNCTION("""COMPUTED_VALUE"""),3)</f>
        <v>3</v>
      </c>
      <c r="O371" s="2">
        <f>IFERROR(__xludf.DUMMYFUNCTION("""COMPUTED_VALUE"""),3)</f>
        <v>3</v>
      </c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30.75" customHeight="1" spans="1:26">
      <c r="A372" s="2">
        <f>IFERROR(__xludf.DUMMYFUNCTION("""COMPUTED_VALUE"""),371)</f>
        <v>371</v>
      </c>
      <c r="B372" s="2" t="str">
        <f>IFERROR(__xludf.DUMMYFUNCTION("""COMPUTED_VALUE"""),"BME, MED ELEC")</f>
        <v>BME, MED ELEC</v>
      </c>
      <c r="C372" s="2" t="str">
        <f>IFERROR(__xludf.DUMMYFUNCTION("""COMPUTED_VALUE"""),"EC4674")</f>
        <v>EC4674</v>
      </c>
      <c r="D372" s="2" t="str">
        <f>IFERROR(__xludf.DUMMYFUNCTION("""COMPUTED_VALUE"""),"19BM674")</f>
        <v>19BM674</v>
      </c>
      <c r="E372" s="2"/>
      <c r="F372" s="2" t="str">
        <f>IFERROR(__xludf.DUMMYFUNCTION("""COMPUTED_VALUE"""),"NPTEL")</f>
        <v>NPTEL</v>
      </c>
      <c r="G372" s="3" t="str">
        <f>IFERROR(__xludf.DUMMYFUNCTION("""COMPUTED_VALUE"""),"Philosophy and Critical Thinking (NPTEL)")</f>
        <v>Philosophy and Critical Thinking (NPTEL)</v>
      </c>
      <c r="H372" s="2" t="str">
        <f>IFERROR(__xludf.DUMMYFUNCTION("""COMPUTED_VALUE"""),"12 weeks")</f>
        <v>12 weeks</v>
      </c>
      <c r="I372" s="2"/>
      <c r="J372" s="2"/>
      <c r="K372" s="2"/>
      <c r="L372" s="2" t="str">
        <f>IFERROR(__xludf.DUMMYFUNCTION("""COMPUTED_VALUE"""),"CGPA")</f>
        <v>CGPA</v>
      </c>
      <c r="M372" s="2" t="str">
        <f>IFERROR(__xludf.DUMMYFUNCTION("""COMPUTED_VALUE"""),"Experiential Learning (Int and Grade from Certificate)")</f>
        <v>Experiential Learning (Int and Grade from Certificate)</v>
      </c>
      <c r="N372" s="2">
        <f>IFERROR(__xludf.DUMMYFUNCTION("""COMPUTED_VALUE"""),3)</f>
        <v>3</v>
      </c>
      <c r="O372" s="2">
        <f>IFERROR(__xludf.DUMMYFUNCTION("""COMPUTED_VALUE"""),3)</f>
        <v>3</v>
      </c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30.75" customHeight="1" spans="1:26">
      <c r="A373" s="2">
        <f>IFERROR(__xludf.DUMMYFUNCTION("""COMPUTED_VALUE"""),372)</f>
        <v>372</v>
      </c>
      <c r="B373" s="2" t="str">
        <f>IFERROR(__xludf.DUMMYFUNCTION("""COMPUTED_VALUE"""),"BME, MED ELEC")</f>
        <v>BME, MED ELEC</v>
      </c>
      <c r="C373" s="2" t="str">
        <f>IFERROR(__xludf.DUMMYFUNCTION("""COMPUTED_VALUE"""),"EC4615")</f>
        <v>EC4615</v>
      </c>
      <c r="D373" s="2" t="str">
        <f>IFERROR(__xludf.DUMMYFUNCTION("""COMPUTED_VALUE"""),"19BM615")</f>
        <v>19BM615</v>
      </c>
      <c r="E373" s="2"/>
      <c r="F373" s="2" t="str">
        <f>IFERROR(__xludf.DUMMYFUNCTION("""COMPUTED_VALUE"""),"NPTEL")</f>
        <v>NPTEL</v>
      </c>
      <c r="G373" s="3" t="str">
        <f>IFERROR(__xludf.DUMMYFUNCTION("""COMPUTED_VALUE"""),"Physics of Biological System (NPTEL)")</f>
        <v>Physics of Biological System (NPTEL)</v>
      </c>
      <c r="H373" s="2" t="str">
        <f>IFERROR(__xludf.DUMMYFUNCTION("""COMPUTED_VALUE"""),"12 Weeks")</f>
        <v>12 Weeks</v>
      </c>
      <c r="I373" s="2"/>
      <c r="J373" s="2"/>
      <c r="K373" s="2"/>
      <c r="L373" s="2" t="str">
        <f>IFERROR(__xludf.DUMMYFUNCTION("""COMPUTED_VALUE"""),"CGPA ")</f>
        <v>CGPA </v>
      </c>
      <c r="M373" s="2" t="str">
        <f>IFERROR(__xludf.DUMMYFUNCTION("""COMPUTED_VALUE"""),"Experiential Learning (Int and Grade from Certificate)")</f>
        <v>Experiential Learning (Int and Grade from Certificate)</v>
      </c>
      <c r="N373" s="2">
        <f>IFERROR(__xludf.DUMMYFUNCTION("""COMPUTED_VALUE"""),2)</f>
        <v>2</v>
      </c>
      <c r="O373" s="2">
        <f>IFERROR(__xludf.DUMMYFUNCTION("""COMPUTED_VALUE"""),3)</f>
        <v>3</v>
      </c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30.75" customHeight="1" spans="1:26">
      <c r="A374" s="2">
        <f>IFERROR(__xludf.DUMMYFUNCTION("""COMPUTED_VALUE"""),373)</f>
        <v>373</v>
      </c>
      <c r="B374" s="2" t="str">
        <f>IFERROR(__xludf.DUMMYFUNCTION("""COMPUTED_VALUE"""),"CIVIL")</f>
        <v>CIVIL</v>
      </c>
      <c r="C374" s="2" t="str">
        <f>IFERROR(__xludf.DUMMYFUNCTION("""COMPUTED_VALUE"""),"CE0616")</f>
        <v>CE0616</v>
      </c>
      <c r="D374" s="2" t="str">
        <f>IFERROR(__xludf.DUMMYFUNCTION("""COMPUTED_VALUE"""),"19CE616")</f>
        <v>19CE616</v>
      </c>
      <c r="E374" s="2"/>
      <c r="F374" s="2" t="str">
        <f>IFERROR(__xludf.DUMMYFUNCTION("""COMPUTED_VALUE"""),"NPTEL")</f>
        <v>NPTEL</v>
      </c>
      <c r="G374" s="3" t="str">
        <f>IFERROR(__xludf.DUMMYFUNCTION("""COMPUTED_VALUE"""),"Plastic Waste Management  (NPTEL)")</f>
        <v>Plastic Waste Management  (NPTEL)</v>
      </c>
      <c r="H374" s="2" t="str">
        <f>IFERROR(__xludf.DUMMYFUNCTION("""COMPUTED_VALUE"""),"8 weeks")</f>
        <v>8 weeks</v>
      </c>
      <c r="I374" s="4">
        <f>IFERROR(__xludf.DUMMYFUNCTION("""COMPUTED_VALUE"""),45590)</f>
        <v>45590</v>
      </c>
      <c r="J374" s="2" t="str">
        <f>IFERROR(__xludf.DUMMYFUNCTION("""COMPUTED_VALUE"""),"30/75")</f>
        <v>30/75</v>
      </c>
      <c r="K374" s="2" t="str">
        <f>IFERROR(__xludf.DUMMYFUNCTION("""COMPUTED_VALUE"""),"40/100")</f>
        <v>40/100</v>
      </c>
      <c r="L374" s="2" t="str">
        <f>IFERROR(__xludf.DUMMYFUNCTION("""COMPUTED_VALUE"""),"CGPA")</f>
        <v>CGPA</v>
      </c>
      <c r="M374" s="2" t="str">
        <f>IFERROR(__xludf.DUMMYFUNCTION("""COMPUTED_VALUE"""),"Experiential Learning (Int and Grade from Certificate)")</f>
        <v>Experiential Learning (Int and Grade from Certificate)</v>
      </c>
      <c r="N374" s="2">
        <f>IFERROR(__xludf.DUMMYFUNCTION("""COMPUTED_VALUE"""),2)</f>
        <v>2</v>
      </c>
      <c r="O374" s="2">
        <f>IFERROR(__xludf.DUMMYFUNCTION("""COMPUTED_VALUE"""),2)</f>
        <v>2</v>
      </c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30.75" customHeight="1" spans="1:26">
      <c r="A375" s="2">
        <f>IFERROR(__xludf.DUMMYFUNCTION("""COMPUTED_VALUE"""),374)</f>
        <v>374</v>
      </c>
      <c r="B375" s="2" t="str">
        <f>IFERROR(__xludf.DUMMYFUNCTION("""COMPUTED_VALUE"""),"CHEMICAL")</f>
        <v>CHEMICAL</v>
      </c>
      <c r="C375" s="2" t="str">
        <f>IFERROR(__xludf.DUMMYFUNCTION("""COMPUTED_VALUE"""),"CH0602")</f>
        <v>CH0602</v>
      </c>
      <c r="D375" s="2" t="str">
        <f>IFERROR(__xludf.DUMMYFUNCTION("""COMPUTED_VALUE"""),"19CH602")</f>
        <v>19CH602</v>
      </c>
      <c r="E375" s="2"/>
      <c r="F375" s="2" t="str">
        <f>IFERROR(__xludf.DUMMYFUNCTION("""COMPUTED_VALUE"""),"NPTEL (IIT Roorkee)")</f>
        <v>NPTEL (IIT Roorkee)</v>
      </c>
      <c r="G375" s="3" t="str">
        <f>IFERROR(__xludf.DUMMYFUNCTION("""COMPUTED_VALUE"""),"Polymer Reaction Engineering (NPTEL)")</f>
        <v>Polymer Reaction Engineering (NPTEL)</v>
      </c>
      <c r="H375" s="2" t="str">
        <f>IFERROR(__xludf.DUMMYFUNCTION("""COMPUTED_VALUE"""),"12 Weeks")</f>
        <v>12 Weeks</v>
      </c>
      <c r="I375" s="2"/>
      <c r="J375" s="2"/>
      <c r="K375" s="2"/>
      <c r="L375" s="2" t="str">
        <f>IFERROR(__xludf.DUMMYFUNCTION("""COMPUTED_VALUE"""),"CGPA ")</f>
        <v>CGPA </v>
      </c>
      <c r="M375" s="2" t="str">
        <f>IFERROR(__xludf.DUMMYFUNCTION("""COMPUTED_VALUE"""),"Experiential Learning (Int and Grade from Certificate)")</f>
        <v>Experiential Learning (Int and Grade from Certificate)</v>
      </c>
      <c r="N375" s="2">
        <f>IFERROR(__xludf.DUMMYFUNCTION("""COMPUTED_VALUE"""),2)</f>
        <v>2</v>
      </c>
      <c r="O375" s="2">
        <f>IFERROR(__xludf.DUMMYFUNCTION("""COMPUTED_VALUE"""),3)</f>
        <v>3</v>
      </c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30.75" customHeight="1" spans="1:26">
      <c r="A376" s="2">
        <f>IFERROR(__xludf.DUMMYFUNCTION("""COMPUTED_VALUE"""),375)</f>
        <v>375</v>
      </c>
      <c r="B376" s="2" t="str">
        <f>IFERROR(__xludf.DUMMYFUNCTION("""COMPUTED_VALUE"""),"CHEMICAL")</f>
        <v>CHEMICAL</v>
      </c>
      <c r="C376" s="2" t="str">
        <f>IFERROR(__xludf.DUMMYFUNCTION("""COMPUTED_VALUE"""),"CH0607")</f>
        <v>CH0607</v>
      </c>
      <c r="D376" s="2" t="str">
        <f>IFERROR(__xludf.DUMMYFUNCTION("""COMPUTED_VALUE"""),"19CH607")</f>
        <v>19CH607</v>
      </c>
      <c r="E376" s="2"/>
      <c r="F376" s="2" t="str">
        <f>IFERROR(__xludf.DUMMYFUNCTION("""COMPUTED_VALUE"""),"NPTEL (IIT Madras)")</f>
        <v>NPTEL (IIT Madras)</v>
      </c>
      <c r="G376" s="3" t="str">
        <f>IFERROR(__xludf.DUMMYFUNCTION("""COMPUTED_VALUE"""),"Polymers: Concepts, Properties, Uses and Sustainability (NPTEL)")</f>
        <v>Polymers: Concepts, Properties, Uses and Sustainability (NPTEL)</v>
      </c>
      <c r="H376" s="2" t="str">
        <f>IFERROR(__xludf.DUMMYFUNCTION("""COMPUTED_VALUE"""),"12 Weeks")</f>
        <v>12 Weeks</v>
      </c>
      <c r="I376" s="4">
        <f>IFERROR(__xludf.DUMMYFUNCTION("""COMPUTED_VALUE"""),45224)</f>
        <v>45224</v>
      </c>
      <c r="J376" s="2" t="str">
        <f>IFERROR(__xludf.DUMMYFUNCTION("""COMPUTED_VALUE"""),"30/75")</f>
        <v>30/75</v>
      </c>
      <c r="K376" s="2" t="str">
        <f>IFERROR(__xludf.DUMMYFUNCTION("""COMPUTED_VALUE"""),"40/100")</f>
        <v>40/100</v>
      </c>
      <c r="L376" s="2" t="str">
        <f>IFERROR(__xludf.DUMMYFUNCTION("""COMPUTED_VALUE"""),"CGPA ")</f>
        <v>CGPA </v>
      </c>
      <c r="M376" s="2" t="str">
        <f>IFERROR(__xludf.DUMMYFUNCTION("""COMPUTED_VALUE"""),"Experiential Learning (Int and Grade from Certificate)")</f>
        <v>Experiential Learning (Int and Grade from Certificate)</v>
      </c>
      <c r="N376" s="2">
        <f>IFERROR(__xludf.DUMMYFUNCTION("""COMPUTED_VALUE"""),2)</f>
        <v>2</v>
      </c>
      <c r="O376" s="2">
        <f>IFERROR(__xludf.DUMMYFUNCTION("""COMPUTED_VALUE"""),3)</f>
        <v>3</v>
      </c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30.75" customHeight="1" spans="1:26">
      <c r="A377" s="2">
        <f>IFERROR(__xludf.DUMMYFUNCTION("""COMPUTED_VALUE"""),376)</f>
        <v>376</v>
      </c>
      <c r="B377" s="2" t="str">
        <f>IFERROR(__xludf.DUMMYFUNCTION("""COMPUTED_VALUE"""),"SCoFT")</f>
        <v>SCoFT</v>
      </c>
      <c r="C377" s="2" t="str">
        <f>IFERROR(__xludf.DUMMYFUNCTION("""COMPUTED_VALUE"""),"CS3095")</f>
        <v>CS3095</v>
      </c>
      <c r="D377" s="2" t="str">
        <f>IFERROR(__xludf.DUMMYFUNCTION("""COMPUTED_VALUE"""),"19AI095")</f>
        <v>19AI095</v>
      </c>
      <c r="E377" s="2"/>
      <c r="F377" s="2" t="str">
        <f>IFERROR(__xludf.DUMMYFUNCTION("""COMPUTED_VALUE"""),"COURSERA")</f>
        <v>COURSERA</v>
      </c>
      <c r="G377" s="3" t="str">
        <f>IFERROR(__xludf.DUMMYFUNCTION("""COMPUTED_VALUE"""),"Practical Python for AI Coding 1 (Coursera)")</f>
        <v>Practical Python for AI Coding 1 (Coursera)</v>
      </c>
      <c r="H377" s="2" t="str">
        <f>IFERROR(__xludf.DUMMYFUNCTION("""COMPUTED_VALUE"""),"7 weeks")</f>
        <v>7 weeks</v>
      </c>
      <c r="I377" s="2"/>
      <c r="J377" s="2"/>
      <c r="K377" s="2"/>
      <c r="L377" s="2" t="str">
        <f>IFERROR(__xludf.DUMMYFUNCTION("""COMPUTED_VALUE"""),"CGPA")</f>
        <v>CGPA</v>
      </c>
      <c r="M377" s="2" t="str">
        <f>IFERROR(__xludf.DUMMYFUNCTION("""COMPUTED_VALUE"""),"Experiential Learning (Int and Grade from Certificate)")</f>
        <v>Experiential Learning (Int and Grade from Certificate)</v>
      </c>
      <c r="N377" s="2">
        <f>IFERROR(__xludf.DUMMYFUNCTION("""COMPUTED_VALUE"""),1)</f>
        <v>1</v>
      </c>
      <c r="O377" s="2">
        <f>IFERROR(__xludf.DUMMYFUNCTION("""COMPUTED_VALUE"""),1)</f>
        <v>1</v>
      </c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30.75" customHeight="1" spans="1:26">
      <c r="A378" s="2">
        <f>IFERROR(__xludf.DUMMYFUNCTION("""COMPUTED_VALUE"""),377)</f>
        <v>377</v>
      </c>
      <c r="B378" s="2" t="str">
        <f>IFERROR(__xludf.DUMMYFUNCTION("""COMPUTED_VALUE"""),"SCoFT")</f>
        <v>SCoFT</v>
      </c>
      <c r="C378" s="2" t="str">
        <f>IFERROR(__xludf.DUMMYFUNCTION("""COMPUTED_VALUE"""),"CS3240")</f>
        <v>CS3240</v>
      </c>
      <c r="D378" s="2" t="str">
        <f>IFERROR(__xludf.DUMMYFUNCTION("""COMPUTED_VALUE"""),"19AI240")</f>
        <v>19AI240</v>
      </c>
      <c r="E378" s="2"/>
      <c r="F378" s="2" t="str">
        <f>IFERROR(__xludf.DUMMYFUNCTION("""COMPUTED_VALUE"""),"Coursera")</f>
        <v>Coursera</v>
      </c>
      <c r="G378" s="3" t="str">
        <f>IFERROR(__xludf.DUMMYFUNCTION("""COMPUTED_VALUE"""),"Preparing for Google Cloud Certification: Cloud Architect Professional Certificate")</f>
        <v>Preparing for Google Cloud Certification: Cloud Architect Professional Certificate</v>
      </c>
      <c r="H378" s="2" t="str">
        <f>IFERROR(__xludf.DUMMYFUNCTION("""COMPUTED_VALUE"""),"1 Month")</f>
        <v>1 Month</v>
      </c>
      <c r="I378" s="2" t="str">
        <f>IFERROR(__xludf.DUMMYFUNCTION("""COMPUTED_VALUE"""),"NA")</f>
        <v>NA</v>
      </c>
      <c r="J378" s="2" t="str">
        <f>IFERROR(__xludf.DUMMYFUNCTION("""COMPUTED_VALUE"""),"NA")</f>
        <v>NA</v>
      </c>
      <c r="K378" s="2" t="str">
        <f>IFERROR(__xludf.DUMMYFUNCTION("""COMPUTED_VALUE"""),"NA")</f>
        <v>NA</v>
      </c>
      <c r="L378" s="2" t="str">
        <f>IFERROR(__xludf.DUMMYFUNCTION("""COMPUTED_VALUE"""),"CGPA")</f>
        <v>CGPA</v>
      </c>
      <c r="M378" s="2" t="str">
        <f>IFERROR(__xludf.DUMMYFUNCTION("""COMPUTED_VALUE"""),"Experiential Learning (Int and Grade from Certificate)")</f>
        <v>Experiential Learning (Int and Grade from Certificate)</v>
      </c>
      <c r="N378" s="2">
        <f>IFERROR(__xludf.DUMMYFUNCTION("""COMPUTED_VALUE"""),1)</f>
        <v>1</v>
      </c>
      <c r="O378" s="2">
        <f>IFERROR(__xludf.DUMMYFUNCTION("""COMPUTED_VALUE"""),1)</f>
        <v>1</v>
      </c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30.75" customHeight="1" spans="1:26">
      <c r="A379" s="2">
        <f>IFERROR(__xludf.DUMMYFUNCTION("""COMPUTED_VALUE"""),378)</f>
        <v>378</v>
      </c>
      <c r="B379" s="2" t="str">
        <f>IFERROR(__xludf.DUMMYFUNCTION("""COMPUTED_VALUE"""),"SCoFT")</f>
        <v>SCoFT</v>
      </c>
      <c r="C379" s="2" t="str">
        <f>IFERROR(__xludf.DUMMYFUNCTION("""COMPUTED_VALUE"""),"CS3241")</f>
        <v>CS3241</v>
      </c>
      <c r="D379" s="2" t="str">
        <f>IFERROR(__xludf.DUMMYFUNCTION("""COMPUTED_VALUE"""),"19AI241")</f>
        <v>19AI241</v>
      </c>
      <c r="E379" s="2"/>
      <c r="F379" s="2" t="str">
        <f>IFERROR(__xludf.DUMMYFUNCTION("""COMPUTED_VALUE"""),"Coursera")</f>
        <v>Coursera</v>
      </c>
      <c r="G379" s="3" t="str">
        <f>IFERROR(__xludf.DUMMYFUNCTION("""COMPUTED_VALUE"""),"Preparing for Google Cloud Certification: Cloud Data Engineer Professional Certificate")</f>
        <v>Preparing for Google Cloud Certification: Cloud Data Engineer Professional Certificate</v>
      </c>
      <c r="H379" s="2" t="str">
        <f>IFERROR(__xludf.DUMMYFUNCTION("""COMPUTED_VALUE"""),"1 Month")</f>
        <v>1 Month</v>
      </c>
      <c r="I379" s="2" t="str">
        <f>IFERROR(__xludf.DUMMYFUNCTION("""COMPUTED_VALUE"""),"NA")</f>
        <v>NA</v>
      </c>
      <c r="J379" s="2" t="str">
        <f>IFERROR(__xludf.DUMMYFUNCTION("""COMPUTED_VALUE"""),"NA")</f>
        <v>NA</v>
      </c>
      <c r="K379" s="2" t="str">
        <f>IFERROR(__xludf.DUMMYFUNCTION("""COMPUTED_VALUE"""),"NA")</f>
        <v>NA</v>
      </c>
      <c r="L379" s="2" t="str">
        <f>IFERROR(__xludf.DUMMYFUNCTION("""COMPUTED_VALUE"""),"CGPA")</f>
        <v>CGPA</v>
      </c>
      <c r="M379" s="2" t="str">
        <f>IFERROR(__xludf.DUMMYFUNCTION("""COMPUTED_VALUE"""),"Experiential Learning (Int and Grade from Certificate)")</f>
        <v>Experiential Learning (Int and Grade from Certificate)</v>
      </c>
      <c r="N379" s="2">
        <f>IFERROR(__xludf.DUMMYFUNCTION("""COMPUTED_VALUE"""),1)</f>
        <v>1</v>
      </c>
      <c r="O379" s="2">
        <f>IFERROR(__xludf.DUMMYFUNCTION("""COMPUTED_VALUE"""),1)</f>
        <v>1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30.75" customHeight="1" spans="1:26">
      <c r="A380" s="2">
        <f>IFERROR(__xludf.DUMMYFUNCTION("""COMPUTED_VALUE"""),379)</f>
        <v>379</v>
      </c>
      <c r="B380" s="2" t="str">
        <f>IFERROR(__xludf.DUMMYFUNCTION("""COMPUTED_VALUE"""),"SCoFT")</f>
        <v>SCoFT</v>
      </c>
      <c r="C380" s="2" t="str">
        <f>IFERROR(__xludf.DUMMYFUNCTION("""COMPUTED_VALUE"""),"CS3242")</f>
        <v>CS3242</v>
      </c>
      <c r="D380" s="2" t="str">
        <f>IFERROR(__xludf.DUMMYFUNCTION("""COMPUTED_VALUE"""),"19AI242")</f>
        <v>19AI242</v>
      </c>
      <c r="E380" s="2"/>
      <c r="F380" s="2" t="str">
        <f>IFERROR(__xludf.DUMMYFUNCTION("""COMPUTED_VALUE"""),"Coursera")</f>
        <v>Coursera</v>
      </c>
      <c r="G380" s="3" t="str">
        <f>IFERROR(__xludf.DUMMYFUNCTION("""COMPUTED_VALUE"""),"Preparing for Google Cloud Certification: Cloud Developer Professional Certificate")</f>
        <v>Preparing for Google Cloud Certification: Cloud Developer Professional Certificate</v>
      </c>
      <c r="H380" s="2" t="str">
        <f>IFERROR(__xludf.DUMMYFUNCTION("""COMPUTED_VALUE"""),"2 Months")</f>
        <v>2 Months</v>
      </c>
      <c r="I380" s="2" t="str">
        <f>IFERROR(__xludf.DUMMYFUNCTION("""COMPUTED_VALUE"""),"NA")</f>
        <v>NA</v>
      </c>
      <c r="J380" s="2" t="str">
        <f>IFERROR(__xludf.DUMMYFUNCTION("""COMPUTED_VALUE"""),"NA")</f>
        <v>NA</v>
      </c>
      <c r="K380" s="2" t="str">
        <f>IFERROR(__xludf.DUMMYFUNCTION("""COMPUTED_VALUE"""),"NA")</f>
        <v>NA</v>
      </c>
      <c r="L380" s="2" t="str">
        <f>IFERROR(__xludf.DUMMYFUNCTION("""COMPUTED_VALUE"""),"CGPA")</f>
        <v>CGPA</v>
      </c>
      <c r="M380" s="2" t="str">
        <f>IFERROR(__xludf.DUMMYFUNCTION("""COMPUTED_VALUE"""),"Experiential Learning (Int and Grade from Certificate)")</f>
        <v>Experiential Learning (Int and Grade from Certificate)</v>
      </c>
      <c r="N380" s="2">
        <f>IFERROR(__xludf.DUMMYFUNCTION("""COMPUTED_VALUE"""),2)</f>
        <v>2</v>
      </c>
      <c r="O380" s="2">
        <f>IFERROR(__xludf.DUMMYFUNCTION("""COMPUTED_VALUE"""),2)</f>
        <v>2</v>
      </c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30.75" customHeight="1" spans="1:26">
      <c r="A381" s="2">
        <f>IFERROR(__xludf.DUMMYFUNCTION("""COMPUTED_VALUE"""),380)</f>
        <v>380</v>
      </c>
      <c r="B381" s="2" t="str">
        <f>IFERROR(__xludf.DUMMYFUNCTION("""COMPUTED_VALUE"""),"SCoFT")</f>
        <v>SCoFT</v>
      </c>
      <c r="C381" s="2" t="str">
        <f>IFERROR(__xludf.DUMMYFUNCTION("""COMPUTED_VALUE"""),"CS3243")</f>
        <v>CS3243</v>
      </c>
      <c r="D381" s="2" t="str">
        <f>IFERROR(__xludf.DUMMYFUNCTION("""COMPUTED_VALUE"""),"19AI243")</f>
        <v>19AI243</v>
      </c>
      <c r="E381" s="2"/>
      <c r="F381" s="2" t="str">
        <f>IFERROR(__xludf.DUMMYFUNCTION("""COMPUTED_VALUE"""),"Coursera")</f>
        <v>Coursera</v>
      </c>
      <c r="G381" s="3" t="str">
        <f>IFERROR(__xludf.DUMMYFUNCTION("""COMPUTED_VALUE"""),"Preparing for Google Cloud Certification: Cloud DevOps Engineer Professional Certificate")</f>
        <v>Preparing for Google Cloud Certification: Cloud DevOps Engineer Professional Certificate</v>
      </c>
      <c r="H381" s="2" t="str">
        <f>IFERROR(__xludf.DUMMYFUNCTION("""COMPUTED_VALUE"""),"1 Month")</f>
        <v>1 Month</v>
      </c>
      <c r="I381" s="2" t="str">
        <f>IFERROR(__xludf.DUMMYFUNCTION("""COMPUTED_VALUE"""),"NA")</f>
        <v>NA</v>
      </c>
      <c r="J381" s="2" t="str">
        <f>IFERROR(__xludf.DUMMYFUNCTION("""COMPUTED_VALUE"""),"NA")</f>
        <v>NA</v>
      </c>
      <c r="K381" s="2" t="str">
        <f>IFERROR(__xludf.DUMMYFUNCTION("""COMPUTED_VALUE"""),"NA")</f>
        <v>NA</v>
      </c>
      <c r="L381" s="2" t="str">
        <f>IFERROR(__xludf.DUMMYFUNCTION("""COMPUTED_VALUE"""),"CGPA")</f>
        <v>CGPA</v>
      </c>
      <c r="M381" s="2" t="str">
        <f>IFERROR(__xludf.DUMMYFUNCTION("""COMPUTED_VALUE"""),"Experiential Learning (Int and Grade from Certificate)")</f>
        <v>Experiential Learning (Int and Grade from Certificate)</v>
      </c>
      <c r="N381" s="2">
        <f>IFERROR(__xludf.DUMMYFUNCTION("""COMPUTED_VALUE"""),1)</f>
        <v>1</v>
      </c>
      <c r="O381" s="2">
        <f>IFERROR(__xludf.DUMMYFUNCTION("""COMPUTED_VALUE"""),1)</f>
        <v>1</v>
      </c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30.75" customHeight="1" spans="1:26">
      <c r="A382" s="2">
        <f>IFERROR(__xludf.DUMMYFUNCTION("""COMPUTED_VALUE"""),381)</f>
        <v>381</v>
      </c>
      <c r="B382" s="2" t="str">
        <f>IFERROR(__xludf.DUMMYFUNCTION("""COMPUTED_VALUE"""),"SCoFT")</f>
        <v>SCoFT</v>
      </c>
      <c r="C382" s="2" t="str">
        <f>IFERROR(__xludf.DUMMYFUNCTION("""COMPUTED_VALUE"""),"CS3244")</f>
        <v>CS3244</v>
      </c>
      <c r="D382" s="2" t="str">
        <f>IFERROR(__xludf.DUMMYFUNCTION("""COMPUTED_VALUE"""),"19AI244")</f>
        <v>19AI244</v>
      </c>
      <c r="E382" s="2"/>
      <c r="F382" s="2" t="str">
        <f>IFERROR(__xludf.DUMMYFUNCTION("""COMPUTED_VALUE"""),"Coursera")</f>
        <v>Coursera</v>
      </c>
      <c r="G382" s="3" t="str">
        <f>IFERROR(__xludf.DUMMYFUNCTION("""COMPUTED_VALUE"""),"Preparing for Google Cloud Certification: Cloud Engineer Professional Certificate")</f>
        <v>Preparing for Google Cloud Certification: Cloud Engineer Professional Certificate</v>
      </c>
      <c r="H382" s="2" t="str">
        <f>IFERROR(__xludf.DUMMYFUNCTION("""COMPUTED_VALUE"""),"1 Month")</f>
        <v>1 Month</v>
      </c>
      <c r="I382" s="2" t="str">
        <f>IFERROR(__xludf.DUMMYFUNCTION("""COMPUTED_VALUE"""),"NA")</f>
        <v>NA</v>
      </c>
      <c r="J382" s="2" t="str">
        <f>IFERROR(__xludf.DUMMYFUNCTION("""COMPUTED_VALUE"""),"NA")</f>
        <v>NA</v>
      </c>
      <c r="K382" s="2" t="str">
        <f>IFERROR(__xludf.DUMMYFUNCTION("""COMPUTED_VALUE"""),"NA")</f>
        <v>NA</v>
      </c>
      <c r="L382" s="2" t="str">
        <f>IFERROR(__xludf.DUMMYFUNCTION("""COMPUTED_VALUE"""),"CGPA")</f>
        <v>CGPA</v>
      </c>
      <c r="M382" s="2" t="str">
        <f>IFERROR(__xludf.DUMMYFUNCTION("""COMPUTED_VALUE"""),"Experiential Learning (Int and Grade from Certificate)")</f>
        <v>Experiential Learning (Int and Grade from Certificate)</v>
      </c>
      <c r="N382" s="2">
        <f>IFERROR(__xludf.DUMMYFUNCTION("""COMPUTED_VALUE"""),1)</f>
        <v>1</v>
      </c>
      <c r="O382" s="2">
        <f>IFERROR(__xludf.DUMMYFUNCTION("""COMPUTED_VALUE"""),1)</f>
        <v>1</v>
      </c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30.75" customHeight="1" spans="1:26">
      <c r="A383" s="2">
        <f>IFERROR(__xludf.DUMMYFUNCTION("""COMPUTED_VALUE"""),382)</f>
        <v>382</v>
      </c>
      <c r="B383" s="2" t="str">
        <f>IFERROR(__xludf.DUMMYFUNCTION("""COMPUTED_VALUE"""),"SCoFT")</f>
        <v>SCoFT</v>
      </c>
      <c r="C383" s="2" t="str">
        <f>IFERROR(__xludf.DUMMYFUNCTION("""COMPUTED_VALUE"""),"CS3245")</f>
        <v>CS3245</v>
      </c>
      <c r="D383" s="2" t="str">
        <f>IFERROR(__xludf.DUMMYFUNCTION("""COMPUTED_VALUE"""),"19AI245")</f>
        <v>19AI245</v>
      </c>
      <c r="E383" s="2"/>
      <c r="F383" s="2" t="str">
        <f>IFERROR(__xludf.DUMMYFUNCTION("""COMPUTED_VALUE"""),"Coursera")</f>
        <v>Coursera</v>
      </c>
      <c r="G383" s="3" t="str">
        <f>IFERROR(__xludf.DUMMYFUNCTION("""COMPUTED_VALUE"""),"Preparing for Google Cloud Certification: Cloud Network Engineer Professional Certificate")</f>
        <v>Preparing for Google Cloud Certification: Cloud Network Engineer Professional Certificate</v>
      </c>
      <c r="H383" s="2" t="str">
        <f>IFERROR(__xludf.DUMMYFUNCTION("""COMPUTED_VALUE"""),"1 Month")</f>
        <v>1 Month</v>
      </c>
      <c r="I383" s="2" t="str">
        <f>IFERROR(__xludf.DUMMYFUNCTION("""COMPUTED_VALUE"""),"NA")</f>
        <v>NA</v>
      </c>
      <c r="J383" s="2" t="str">
        <f>IFERROR(__xludf.DUMMYFUNCTION("""COMPUTED_VALUE"""),"NA")</f>
        <v>NA</v>
      </c>
      <c r="K383" s="2" t="str">
        <f>IFERROR(__xludf.DUMMYFUNCTION("""COMPUTED_VALUE"""),"NA")</f>
        <v>NA</v>
      </c>
      <c r="L383" s="2" t="str">
        <f>IFERROR(__xludf.DUMMYFUNCTION("""COMPUTED_VALUE"""),"CGPA")</f>
        <v>CGPA</v>
      </c>
      <c r="M383" s="2" t="str">
        <f>IFERROR(__xludf.DUMMYFUNCTION("""COMPUTED_VALUE"""),"Experiential Learning (Int and Grade from Certificate)")</f>
        <v>Experiential Learning (Int and Grade from Certificate)</v>
      </c>
      <c r="N383" s="2">
        <f>IFERROR(__xludf.DUMMYFUNCTION("""COMPUTED_VALUE"""),1)</f>
        <v>1</v>
      </c>
      <c r="O383" s="2">
        <f>IFERROR(__xludf.DUMMYFUNCTION("""COMPUTED_VALUE"""),1)</f>
        <v>1</v>
      </c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30.75" customHeight="1" spans="1:26">
      <c r="A384" s="2">
        <f>IFERROR(__xludf.DUMMYFUNCTION("""COMPUTED_VALUE"""),383)</f>
        <v>383</v>
      </c>
      <c r="B384" s="2" t="str">
        <f>IFERROR(__xludf.DUMMYFUNCTION("""COMPUTED_VALUE"""),"SCoFT")</f>
        <v>SCoFT</v>
      </c>
      <c r="C384" s="2" t="str">
        <f>IFERROR(__xludf.DUMMYFUNCTION("""COMPUTED_VALUE"""),"CS3246")</f>
        <v>CS3246</v>
      </c>
      <c r="D384" s="2" t="str">
        <f>IFERROR(__xludf.DUMMYFUNCTION("""COMPUTED_VALUE"""),"19AI246")</f>
        <v>19AI246</v>
      </c>
      <c r="E384" s="2"/>
      <c r="F384" s="2" t="str">
        <f>IFERROR(__xludf.DUMMYFUNCTION("""COMPUTED_VALUE"""),"Coursera")</f>
        <v>Coursera</v>
      </c>
      <c r="G384" s="3" t="str">
        <f>IFERROR(__xludf.DUMMYFUNCTION("""COMPUTED_VALUE"""),"Preparing for Google Cloud Certification: Cloud Security Engineer Professional Certificate")</f>
        <v>Preparing for Google Cloud Certification: Cloud Security Engineer Professional Certificate</v>
      </c>
      <c r="H384" s="2" t="str">
        <f>IFERROR(__xludf.DUMMYFUNCTION("""COMPUTED_VALUE"""),"1 Month")</f>
        <v>1 Month</v>
      </c>
      <c r="I384" s="2" t="str">
        <f>IFERROR(__xludf.DUMMYFUNCTION("""COMPUTED_VALUE"""),"NA")</f>
        <v>NA</v>
      </c>
      <c r="J384" s="2" t="str">
        <f>IFERROR(__xludf.DUMMYFUNCTION("""COMPUTED_VALUE"""),"NA")</f>
        <v>NA</v>
      </c>
      <c r="K384" s="2" t="str">
        <f>IFERROR(__xludf.DUMMYFUNCTION("""COMPUTED_VALUE"""),"NA")</f>
        <v>NA</v>
      </c>
      <c r="L384" s="2" t="str">
        <f>IFERROR(__xludf.DUMMYFUNCTION("""COMPUTED_VALUE"""),"CGPA")</f>
        <v>CGPA</v>
      </c>
      <c r="M384" s="2" t="str">
        <f>IFERROR(__xludf.DUMMYFUNCTION("""COMPUTED_VALUE"""),"Experiential Learning (Int and Grade from Certificate)")</f>
        <v>Experiential Learning (Int and Grade from Certificate)</v>
      </c>
      <c r="N384" s="2">
        <f>IFERROR(__xludf.DUMMYFUNCTION("""COMPUTED_VALUE"""),1)</f>
        <v>1</v>
      </c>
      <c r="O384" s="2">
        <f>IFERROR(__xludf.DUMMYFUNCTION("""COMPUTED_VALUE"""),1)</f>
        <v>1</v>
      </c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30.75" customHeight="1" spans="1:26">
      <c r="A385" s="2">
        <f>IFERROR(__xludf.DUMMYFUNCTION("""COMPUTED_VALUE"""),384)</f>
        <v>384</v>
      </c>
      <c r="B385" s="2" t="str">
        <f>IFERROR(__xludf.DUMMYFUNCTION("""COMPUTED_VALUE"""),"SCoFT")</f>
        <v>SCoFT</v>
      </c>
      <c r="C385" s="2" t="str">
        <f>IFERROR(__xludf.DUMMYFUNCTION("""COMPUTED_VALUE"""),"CS3247")</f>
        <v>CS3247</v>
      </c>
      <c r="D385" s="2" t="str">
        <f>IFERROR(__xludf.DUMMYFUNCTION("""COMPUTED_VALUE"""),"19AI247")</f>
        <v>19AI247</v>
      </c>
      <c r="E385" s="2"/>
      <c r="F385" s="2" t="str">
        <f>IFERROR(__xludf.DUMMYFUNCTION("""COMPUTED_VALUE"""),"Coursera")</f>
        <v>Coursera</v>
      </c>
      <c r="G385" s="3" t="str">
        <f>IFERROR(__xludf.DUMMYFUNCTION("""COMPUTED_VALUE"""),"Preparing for Google Cloud Certification: Machine Learning Engineer Professional Certificate")</f>
        <v>Preparing for Google Cloud Certification: Machine Learning Engineer Professional Certificate</v>
      </c>
      <c r="H385" s="2" t="str">
        <f>IFERROR(__xludf.DUMMYFUNCTION("""COMPUTED_VALUE"""),"2 Months")</f>
        <v>2 Months</v>
      </c>
      <c r="I385" s="2" t="str">
        <f>IFERROR(__xludf.DUMMYFUNCTION("""COMPUTED_VALUE"""),"NA")</f>
        <v>NA</v>
      </c>
      <c r="J385" s="2" t="str">
        <f>IFERROR(__xludf.DUMMYFUNCTION("""COMPUTED_VALUE"""),"NA")</f>
        <v>NA</v>
      </c>
      <c r="K385" s="2" t="str">
        <f>IFERROR(__xludf.DUMMYFUNCTION("""COMPUTED_VALUE"""),"NA")</f>
        <v>NA</v>
      </c>
      <c r="L385" s="2" t="str">
        <f>IFERROR(__xludf.DUMMYFUNCTION("""COMPUTED_VALUE"""),"CGPA")</f>
        <v>CGPA</v>
      </c>
      <c r="M385" s="2" t="str">
        <f>IFERROR(__xludf.DUMMYFUNCTION("""COMPUTED_VALUE"""),"Experiential Learning (Int and Grade from Certificate)")</f>
        <v>Experiential Learning (Int and Grade from Certificate)</v>
      </c>
      <c r="N385" s="2">
        <f>IFERROR(__xludf.DUMMYFUNCTION("""COMPUTED_VALUE"""),2)</f>
        <v>2</v>
      </c>
      <c r="O385" s="2">
        <f>IFERROR(__xludf.DUMMYFUNCTION("""COMPUTED_VALUE"""),2)</f>
        <v>2</v>
      </c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30.75" customHeight="1" spans="1:26">
      <c r="A386" s="2">
        <f>IFERROR(__xludf.DUMMYFUNCTION("""COMPUTED_VALUE"""),385)</f>
        <v>385</v>
      </c>
      <c r="B386" s="2" t="str">
        <f>IFERROR(__xludf.DUMMYFUNCTION("""COMPUTED_VALUE"""),"CIVIL")</f>
        <v>CIVIL</v>
      </c>
      <c r="C386" s="2" t="str">
        <f>IFERROR(__xludf.DUMMYFUNCTION("""COMPUTED_VALUE"""),"CE0614")</f>
        <v>CE0614</v>
      </c>
      <c r="D386" s="2" t="str">
        <f>IFERROR(__xludf.DUMMYFUNCTION("""COMPUTED_VALUE"""),"19CE614")</f>
        <v>19CE614</v>
      </c>
      <c r="E386" s="2"/>
      <c r="F386" s="2" t="str">
        <f>IFERROR(__xludf.DUMMYFUNCTION("""COMPUTED_VALUE"""),"NPTEL")</f>
        <v>NPTEL</v>
      </c>
      <c r="G386" s="3" t="str">
        <f>IFERROR(__xludf.DUMMYFUNCTION("""COMPUTED_VALUE"""),"Principles of Construction Management (NPTEL)")</f>
        <v>Principles of Construction Management (NPTEL)</v>
      </c>
      <c r="H386" s="2" t="str">
        <f>IFERROR(__xludf.DUMMYFUNCTION("""COMPUTED_VALUE"""),"8 weeks")</f>
        <v>8 weeks</v>
      </c>
      <c r="I386" s="2"/>
      <c r="J386" s="2"/>
      <c r="K386" s="2"/>
      <c r="L386" s="2" t="str">
        <f>IFERROR(__xludf.DUMMYFUNCTION("""COMPUTED_VALUE"""),"CGPA")</f>
        <v>CGPA</v>
      </c>
      <c r="M386" s="2" t="str">
        <f>IFERROR(__xludf.DUMMYFUNCTION("""COMPUTED_VALUE"""),"Experiential Learning (Int and Grade from Certificate)")</f>
        <v>Experiential Learning (Int and Grade from Certificate)</v>
      </c>
      <c r="N386" s="2">
        <f>IFERROR(__xludf.DUMMYFUNCTION("""COMPUTED_VALUE"""),2)</f>
        <v>2</v>
      </c>
      <c r="O386" s="2">
        <f>IFERROR(__xludf.DUMMYFUNCTION("""COMPUTED_VALUE"""),2)</f>
        <v>2</v>
      </c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30.75" customHeight="1" spans="1:26">
      <c r="A387" s="2">
        <f>IFERROR(__xludf.DUMMYFUNCTION("""COMPUTED_VALUE"""),386)</f>
        <v>386</v>
      </c>
      <c r="B387" s="2" t="str">
        <f>IFERROR(__xludf.DUMMYFUNCTION("""COMPUTED_VALUE"""),"MECH")</f>
        <v>MECH</v>
      </c>
      <c r="C387" s="2" t="str">
        <f>IFERROR(__xludf.DUMMYFUNCTION("""COMPUTED_VALUE"""),"ME0608")</f>
        <v>ME0608</v>
      </c>
      <c r="D387" s="2" t="str">
        <f>IFERROR(__xludf.DUMMYFUNCTION("""COMPUTED_VALUE"""),"19ME608")</f>
        <v>19ME608</v>
      </c>
      <c r="E387" s="2"/>
      <c r="F387" s="2" t="str">
        <f>IFERROR(__xludf.DUMMYFUNCTION("""COMPUTED_VALUE"""),"NPTEL")</f>
        <v>NPTEL</v>
      </c>
      <c r="G387" s="3" t="str">
        <f>IFERROR(__xludf.DUMMYFUNCTION("""COMPUTED_VALUE"""),"Principles of Industrial Engineering (NPTEL)")</f>
        <v>Principles of Industrial Engineering (NPTEL)</v>
      </c>
      <c r="H387" s="2" t="str">
        <f>IFERROR(__xludf.DUMMYFUNCTION("""COMPUTED_VALUE"""),"12 Weeks")</f>
        <v>12 Weeks</v>
      </c>
      <c r="I387" s="2" t="str">
        <f>IFERROR(__xludf.DUMMYFUNCTION("""COMPUTED_VALUE"""),"10 / 25")</f>
        <v>10 / 25</v>
      </c>
      <c r="J387" s="2" t="str">
        <f>IFERROR(__xludf.DUMMYFUNCTION("""COMPUTED_VALUE"""),"30 / 75")</f>
        <v>30 / 75</v>
      </c>
      <c r="K387" s="2" t="str">
        <f>IFERROR(__xludf.DUMMYFUNCTION("""COMPUTED_VALUE"""),"40 / 100")</f>
        <v>40 / 100</v>
      </c>
      <c r="L387" s="2" t="str">
        <f>IFERROR(__xludf.DUMMYFUNCTION("""COMPUTED_VALUE"""),"CGPA ")</f>
        <v>CGPA </v>
      </c>
      <c r="M387" s="2" t="str">
        <f>IFERROR(__xludf.DUMMYFUNCTION("""COMPUTED_VALUE"""),"Experiential Learning (Int and Grade from Certificate)")</f>
        <v>Experiential Learning (Int and Grade from Certificate)</v>
      </c>
      <c r="N387" s="2">
        <f>IFERROR(__xludf.DUMMYFUNCTION("""COMPUTED_VALUE"""),2)</f>
        <v>2</v>
      </c>
      <c r="O387" s="2">
        <f>IFERROR(__xludf.DUMMYFUNCTION("""COMPUTED_VALUE"""),3)</f>
        <v>3</v>
      </c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30.75" customHeight="1" spans="1:26">
      <c r="A388" s="2">
        <f>IFERROR(__xludf.DUMMYFUNCTION("""COMPUTED_VALUE"""),387)</f>
        <v>387</v>
      </c>
      <c r="B388" s="2" t="str">
        <f>IFERROR(__xludf.DUMMYFUNCTION("""COMPUTED_VALUE"""),"ECE")</f>
        <v>ECE</v>
      </c>
      <c r="C388" s="2" t="str">
        <f>IFERROR(__xludf.DUMMYFUNCTION("""COMPUTED_VALUE"""),"EC1644")</f>
        <v>EC1644</v>
      </c>
      <c r="D388" s="2" t="str">
        <f>IFERROR(__xludf.DUMMYFUNCTION("""COMPUTED_VALUE"""),"19EC644")</f>
        <v>19EC644</v>
      </c>
      <c r="E388" s="2"/>
      <c r="F388" s="2" t="str">
        <f>IFERROR(__xludf.DUMMYFUNCTION("""COMPUTED_VALUE"""),"NPTEL")</f>
        <v>NPTEL</v>
      </c>
      <c r="G388" s="3" t="str">
        <f>IFERROR(__xludf.DUMMYFUNCTION("""COMPUTED_VALUE"""),"Privacy and Security in Online Social Media (NPTEL)")</f>
        <v>Privacy and Security in Online Social Media (NPTEL)</v>
      </c>
      <c r="H388" s="2" t="str">
        <f>IFERROR(__xludf.DUMMYFUNCTION("""COMPUTED_VALUE"""),"12 Weeks")</f>
        <v>12 Weeks</v>
      </c>
      <c r="I388" s="2" t="str">
        <f>IFERROR(__xludf.DUMMYFUNCTION("""COMPUTED_VALUE"""),"10 / 25")</f>
        <v>10 / 25</v>
      </c>
      <c r="J388" s="2" t="str">
        <f>IFERROR(__xludf.DUMMYFUNCTION("""COMPUTED_VALUE"""),"30 / 75")</f>
        <v>30 / 75</v>
      </c>
      <c r="K388" s="2" t="str">
        <f>IFERROR(__xludf.DUMMYFUNCTION("""COMPUTED_VALUE"""),"40 / 100")</f>
        <v>40 / 100</v>
      </c>
      <c r="L388" s="2" t="str">
        <f>IFERROR(__xludf.DUMMYFUNCTION("""COMPUTED_VALUE"""),"CGPA")</f>
        <v>CGPA</v>
      </c>
      <c r="M388" s="2" t="str">
        <f>IFERROR(__xludf.DUMMYFUNCTION("""COMPUTED_VALUE"""),"Experiential Learning (Int and Grade from Certificate)")</f>
        <v>Experiential Learning (Int and Grade from Certificate)</v>
      </c>
      <c r="N388" s="2">
        <f>IFERROR(__xludf.DUMMYFUNCTION("""COMPUTED_VALUE"""),3)</f>
        <v>3</v>
      </c>
      <c r="O388" s="2">
        <f>IFERROR(__xludf.DUMMYFUNCTION("""COMPUTED_VALUE"""),3)</f>
        <v>3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30.75" customHeight="1" spans="1:26">
      <c r="A389" s="2">
        <f>IFERROR(__xludf.DUMMYFUNCTION("""COMPUTED_VALUE"""),388)</f>
        <v>388</v>
      </c>
      <c r="B389" s="2" t="str">
        <f>IFERROR(__xludf.DUMMYFUNCTION("""COMPUTED_VALUE"""),"BME, MED ELEC")</f>
        <v>BME, MED ELEC</v>
      </c>
      <c r="C389" s="2" t="str">
        <f>IFERROR(__xludf.DUMMYFUNCTION("""COMPUTED_VALUE"""),"EC4675")</f>
        <v>EC4675</v>
      </c>
      <c r="D389" s="2" t="str">
        <f>IFERROR(__xludf.DUMMYFUNCTION("""COMPUTED_VALUE"""),"19BM675")</f>
        <v>19BM675</v>
      </c>
      <c r="E389" s="2"/>
      <c r="F389" s="2" t="str">
        <f>IFERROR(__xludf.DUMMYFUNCTION("""COMPUTED_VALUE"""),"NPTEL")</f>
        <v>NPTEL</v>
      </c>
      <c r="G389" s="3" t="str">
        <f>IFERROR(__xludf.DUMMYFUNCTION("""COMPUTED_VALUE"""),"Problem Solving through Programming in C (NPTEL)")</f>
        <v>Problem Solving through Programming in C (NPTEL)</v>
      </c>
      <c r="H389" s="2" t="str">
        <f>IFERROR(__xludf.DUMMYFUNCTION("""COMPUTED_VALUE"""),"12 Weeks")</f>
        <v>12 Weeks</v>
      </c>
      <c r="I389" s="2"/>
      <c r="J389" s="2"/>
      <c r="K389" s="2"/>
      <c r="L389" s="2" t="str">
        <f>IFERROR(__xludf.DUMMYFUNCTION("""COMPUTED_VALUE"""),"CGPA")</f>
        <v>CGPA</v>
      </c>
      <c r="M389" s="2" t="str">
        <f>IFERROR(__xludf.DUMMYFUNCTION("""COMPUTED_VALUE"""),"Experiential Learning (Int and Grade from Certificate)")</f>
        <v>Experiential Learning (Int and Grade from Certificate)</v>
      </c>
      <c r="N389" s="2">
        <f>IFERROR(__xludf.DUMMYFUNCTION("""COMPUTED_VALUE"""),3)</f>
        <v>3</v>
      </c>
      <c r="O389" s="2">
        <f>IFERROR(__xludf.DUMMYFUNCTION("""COMPUTED_VALUE"""),3)</f>
        <v>3</v>
      </c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30.75" customHeight="1" spans="1:26">
      <c r="A390" s="2">
        <f>IFERROR(__xludf.DUMMYFUNCTION("""COMPUTED_VALUE"""),389)</f>
        <v>389</v>
      </c>
      <c r="B390" s="2" t="str">
        <f>IFERROR(__xludf.DUMMYFUNCTION("""COMPUTED_VALUE"""),"SCoFT")</f>
        <v>SCoFT</v>
      </c>
      <c r="C390" s="2" t="str">
        <f>IFERROR(__xludf.DUMMYFUNCTION("""COMPUTED_VALUE"""),"CS3075")</f>
        <v>CS3075</v>
      </c>
      <c r="D390" s="2" t="str">
        <f>IFERROR(__xludf.DUMMYFUNCTION("""COMPUTED_VALUE"""),"19AI075")</f>
        <v>19AI075</v>
      </c>
      <c r="E390" s="2"/>
      <c r="F390" s="2" t="str">
        <f>IFERROR(__xludf.DUMMYFUNCTION("""COMPUTED_VALUE"""),"COURSERA")</f>
        <v>COURSERA</v>
      </c>
      <c r="G390" s="3" t="str">
        <f>IFERROR(__xludf.DUMMYFUNCTION("""COMPUTED_VALUE"""),"Process Mining: Data Science in Action (Coursera)")</f>
        <v>Process Mining: Data Science in Action (Coursera)</v>
      </c>
      <c r="H390" s="2" t="str">
        <f>IFERROR(__xludf.DUMMYFUNCTION("""COMPUTED_VALUE"""),"6 Weeks")</f>
        <v>6 Weeks</v>
      </c>
      <c r="I390" s="2"/>
      <c r="J390" s="2"/>
      <c r="K390" s="2"/>
      <c r="L390" s="2" t="str">
        <f>IFERROR(__xludf.DUMMYFUNCTION("""COMPUTED_VALUE"""),"CGPA")</f>
        <v>CGPA</v>
      </c>
      <c r="M390" s="2" t="str">
        <f>IFERROR(__xludf.DUMMYFUNCTION("""COMPUTED_VALUE"""),"Experiential Learning (Int and Grade from Certificate)")</f>
        <v>Experiential Learning (Int and Grade from Certificate)</v>
      </c>
      <c r="N390" s="2">
        <f>IFERROR(__xludf.DUMMYFUNCTION("""COMPUTED_VALUE"""),1)</f>
        <v>1</v>
      </c>
      <c r="O390" s="2">
        <f>IFERROR(__xludf.DUMMYFUNCTION("""COMPUTED_VALUE"""),1)</f>
        <v>1</v>
      </c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30.75" customHeight="1" spans="1:26">
      <c r="A391" s="2">
        <f>IFERROR(__xludf.DUMMYFUNCTION("""COMPUTED_VALUE"""),390)</f>
        <v>390</v>
      </c>
      <c r="B391" s="2" t="str">
        <f>IFERROR(__xludf.DUMMYFUNCTION("""COMPUTED_VALUE"""),"MECH")</f>
        <v>MECH</v>
      </c>
      <c r="C391" s="2" t="str">
        <f>IFERROR(__xludf.DUMMYFUNCTION("""COMPUTED_VALUE"""),"ME0609")</f>
        <v>ME0609</v>
      </c>
      <c r="D391" s="2" t="str">
        <f>IFERROR(__xludf.DUMMYFUNCTION("""COMPUTED_VALUE"""),"19ME609")</f>
        <v>19ME609</v>
      </c>
      <c r="E391" s="2"/>
      <c r="F391" s="2" t="str">
        <f>IFERROR(__xludf.DUMMYFUNCTION("""COMPUTED_VALUE"""),"NPTEL")</f>
        <v>NPTEL</v>
      </c>
      <c r="G391" s="3" t="str">
        <f>IFERROR(__xludf.DUMMYFUNCTION("""COMPUTED_VALUE"""),"Product Design and Manufacturing (NPTEL)")</f>
        <v>Product Design and Manufacturing (NPTEL)</v>
      </c>
      <c r="H391" s="2" t="str">
        <f>IFERROR(__xludf.DUMMYFUNCTION("""COMPUTED_VALUE"""),"12 Weeks")</f>
        <v>12 Weeks</v>
      </c>
      <c r="I391" s="2" t="str">
        <f>IFERROR(__xludf.DUMMYFUNCTION("""COMPUTED_VALUE"""),"10 / 25")</f>
        <v>10 / 25</v>
      </c>
      <c r="J391" s="2" t="str">
        <f>IFERROR(__xludf.DUMMYFUNCTION("""COMPUTED_VALUE"""),"30 / 75")</f>
        <v>30 / 75</v>
      </c>
      <c r="K391" s="2" t="str">
        <f>IFERROR(__xludf.DUMMYFUNCTION("""COMPUTED_VALUE"""),"40 / 100")</f>
        <v>40 / 100</v>
      </c>
      <c r="L391" s="2" t="str">
        <f>IFERROR(__xludf.DUMMYFUNCTION("""COMPUTED_VALUE"""),"CGPA ")</f>
        <v>CGPA </v>
      </c>
      <c r="M391" s="2" t="str">
        <f>IFERROR(__xludf.DUMMYFUNCTION("""COMPUTED_VALUE"""),"Experiential Learning (Int and Grade from Certificate)")</f>
        <v>Experiential Learning (Int and Grade from Certificate)</v>
      </c>
      <c r="N391" s="2">
        <f>IFERROR(__xludf.DUMMYFUNCTION("""COMPUTED_VALUE"""),2)</f>
        <v>2</v>
      </c>
      <c r="O391" s="2">
        <f>IFERROR(__xludf.DUMMYFUNCTION("""COMPUTED_VALUE"""),3)</f>
        <v>3</v>
      </c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30.75" customHeight="1" spans="1:26">
      <c r="A392" s="2">
        <f>IFERROR(__xludf.DUMMYFUNCTION("""COMPUTED_VALUE"""),391)</f>
        <v>391</v>
      </c>
      <c r="B392" s="2" t="str">
        <f>IFERROR(__xludf.DUMMYFUNCTION("""COMPUTED_VALUE"""),"SCoFT")</f>
        <v>SCoFT</v>
      </c>
      <c r="C392" s="2" t="str">
        <f>IFERROR(__xludf.DUMMYFUNCTION("""COMPUTED_VALUE"""),"CS3102")</f>
        <v>CS3102</v>
      </c>
      <c r="D392" s="2" t="str">
        <f>IFERROR(__xludf.DUMMYFUNCTION("""COMPUTED_VALUE"""),"19AI102")</f>
        <v>19AI102</v>
      </c>
      <c r="E392" s="2"/>
      <c r="F392" s="2" t="str">
        <f>IFERROR(__xludf.DUMMYFUNCTION("""COMPUTED_VALUE"""),"COURSERA")</f>
        <v>COURSERA</v>
      </c>
      <c r="G392" s="3" t="str">
        <f>IFERROR(__xludf.DUMMYFUNCTION("""COMPUTED_VALUE"""),"Programming Foundations with JavaScript, HTML and CSS (Coursera)")</f>
        <v>Programming Foundations with JavaScript, HTML and CSS (Coursera)</v>
      </c>
      <c r="H392" s="2" t="str">
        <f>IFERROR(__xludf.DUMMYFUNCTION("""COMPUTED_VALUE"""),"5 weeks")</f>
        <v>5 weeks</v>
      </c>
      <c r="I392" s="2"/>
      <c r="J392" s="2"/>
      <c r="K392" s="2"/>
      <c r="L392" s="2" t="str">
        <f>IFERROR(__xludf.DUMMYFUNCTION("""COMPUTED_VALUE"""),"CGPA")</f>
        <v>CGPA</v>
      </c>
      <c r="M392" s="2" t="str">
        <f>IFERROR(__xludf.DUMMYFUNCTION("""COMPUTED_VALUE"""),"Experiential Learning (Int and Grade from Certificate)")</f>
        <v>Experiential Learning (Int and Grade from Certificate)</v>
      </c>
      <c r="N392" s="2">
        <f>IFERROR(__xludf.DUMMYFUNCTION("""COMPUTED_VALUE"""),1)</f>
        <v>1</v>
      </c>
      <c r="O392" s="2">
        <f>IFERROR(__xludf.DUMMYFUNCTION("""COMPUTED_VALUE"""),1)</f>
        <v>1</v>
      </c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30.75" customHeight="1" spans="1:26">
      <c r="A393" s="2">
        <f>IFERROR(__xludf.DUMMYFUNCTION("""COMPUTED_VALUE"""),392)</f>
        <v>392</v>
      </c>
      <c r="B393" s="2" t="str">
        <f>IFERROR(__xludf.DUMMYFUNCTION("""COMPUTED_VALUE"""),"ECE, EEE, SCoFT, BME, MED ELEC")</f>
        <v>ECE, EEE, SCoFT, BME, MED ELEC</v>
      </c>
      <c r="C393" s="2" t="str">
        <f>IFERROR(__xludf.DUMMYFUNCTION("""COMPUTED_VALUE"""),"EC1610")</f>
        <v>EC1610</v>
      </c>
      <c r="D393" s="2" t="str">
        <f>IFERROR(__xludf.DUMMYFUNCTION("""COMPUTED_VALUE"""),"19EC610")</f>
        <v>19EC610</v>
      </c>
      <c r="E393" s="2"/>
      <c r="F393" s="2" t="str">
        <f>IFERROR(__xludf.DUMMYFUNCTION("""COMPUTED_VALUE"""),"NPTEL")</f>
        <v>NPTEL</v>
      </c>
      <c r="G393" s="3" t="str">
        <f>IFERROR(__xludf.DUMMYFUNCTION("""COMPUTED_VALUE"""),"Programming in Java (NPTEL)")</f>
        <v>Programming in Java (NPTEL)</v>
      </c>
      <c r="H393" s="2" t="str">
        <f>IFERROR(__xludf.DUMMYFUNCTION("""COMPUTED_VALUE"""),"12 Weeks")</f>
        <v>12 Weeks</v>
      </c>
      <c r="I393" s="4">
        <f>IFERROR(__xludf.DUMMYFUNCTION("""COMPUTED_VALUE"""),45224)</f>
        <v>45224</v>
      </c>
      <c r="J393" s="2" t="str">
        <f>IFERROR(__xludf.DUMMYFUNCTION("""COMPUTED_VALUE"""),"30/75")</f>
        <v>30/75</v>
      </c>
      <c r="K393" s="2" t="str">
        <f>IFERROR(__xludf.DUMMYFUNCTION("""COMPUTED_VALUE"""),"40/100")</f>
        <v>40/100</v>
      </c>
      <c r="L393" s="2" t="str">
        <f>IFERROR(__xludf.DUMMYFUNCTION("""COMPUTED_VALUE"""),"CGPA ")</f>
        <v>CGPA </v>
      </c>
      <c r="M393" s="2" t="str">
        <f>IFERROR(__xludf.DUMMYFUNCTION("""COMPUTED_VALUE"""),"Experiential Learning (Int and Grade from Certificate)")</f>
        <v>Experiential Learning (Int and Grade from Certificate)</v>
      </c>
      <c r="N393" s="2">
        <f>IFERROR(__xludf.DUMMYFUNCTION("""COMPUTED_VALUE"""),2)</f>
        <v>2</v>
      </c>
      <c r="O393" s="2">
        <f>IFERROR(__xludf.DUMMYFUNCTION("""COMPUTED_VALUE"""),3)</f>
        <v>3</v>
      </c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30.75" customHeight="1" spans="1:26">
      <c r="A394" s="2">
        <f>IFERROR(__xludf.DUMMYFUNCTION("""COMPUTED_VALUE"""),393)</f>
        <v>393</v>
      </c>
      <c r="B394" s="2" t="str">
        <f>IFERROR(__xludf.DUMMYFUNCTION("""COMPUTED_VALUE"""),"ECE, SCoFT")</f>
        <v>ECE, SCoFT</v>
      </c>
      <c r="C394" s="2" t="str">
        <f>IFERROR(__xludf.DUMMYFUNCTION("""COMPUTED_VALUE"""),"EC1633")</f>
        <v>EC1633</v>
      </c>
      <c r="D394" s="2" t="str">
        <f>IFERROR(__xludf.DUMMYFUNCTION("""COMPUTED_VALUE"""),"19EC633")</f>
        <v>19EC633</v>
      </c>
      <c r="E394" s="2"/>
      <c r="F394" s="2" t="str">
        <f>IFERROR(__xludf.DUMMYFUNCTION("""COMPUTED_VALUE"""),"NPTEL")</f>
        <v>NPTEL</v>
      </c>
      <c r="G394" s="3" t="str">
        <f>IFERROR(__xludf.DUMMYFUNCTION("""COMPUTED_VALUE"""),"Programming in Modern C++ (NPTEL)")</f>
        <v>Programming in Modern C++ (NPTEL)</v>
      </c>
      <c r="H394" s="2" t="str">
        <f>IFERROR(__xludf.DUMMYFUNCTION("""COMPUTED_VALUE"""),"12 Weeks")</f>
        <v>12 Weeks</v>
      </c>
      <c r="I394" s="2" t="str">
        <f>IFERROR(__xludf.DUMMYFUNCTION("""COMPUTED_VALUE"""),"10 / 25")</f>
        <v>10 / 25</v>
      </c>
      <c r="J394" s="2" t="str">
        <f>IFERROR(__xludf.DUMMYFUNCTION("""COMPUTED_VALUE"""),"30 / 75")</f>
        <v>30 / 75</v>
      </c>
      <c r="K394" s="2" t="str">
        <f>IFERROR(__xludf.DUMMYFUNCTION("""COMPUTED_VALUE"""),"40 / 100")</f>
        <v>40 / 100</v>
      </c>
      <c r="L394" s="2" t="str">
        <f>IFERROR(__xludf.DUMMYFUNCTION("""COMPUTED_VALUE"""),"CGPA ")</f>
        <v>CGPA </v>
      </c>
      <c r="M394" s="2" t="str">
        <f>IFERROR(__xludf.DUMMYFUNCTION("""COMPUTED_VALUE"""),"Experiential Learning (Int and Grade from Certificate)")</f>
        <v>Experiential Learning (Int and Grade from Certificate)</v>
      </c>
      <c r="N394" s="2">
        <f>IFERROR(__xludf.DUMMYFUNCTION("""COMPUTED_VALUE"""),2)</f>
        <v>2</v>
      </c>
      <c r="O394" s="2">
        <f>IFERROR(__xludf.DUMMYFUNCTION("""COMPUTED_VALUE"""),3)</f>
        <v>3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30.75" customHeight="1" spans="1:26">
      <c r="A395" s="2">
        <f>IFERROR(__xludf.DUMMYFUNCTION("""COMPUTED_VALUE"""),394)</f>
        <v>394</v>
      </c>
      <c r="B395" s="2" t="str">
        <f>IFERROR(__xludf.DUMMYFUNCTION("""COMPUTED_VALUE"""),"CIVIL")</f>
        <v>CIVIL</v>
      </c>
      <c r="C395" s="2" t="str">
        <f>IFERROR(__xludf.DUMMYFUNCTION("""COMPUTED_VALUE"""),"CE0613")</f>
        <v>CE0613</v>
      </c>
      <c r="D395" s="2" t="str">
        <f>IFERROR(__xludf.DUMMYFUNCTION("""COMPUTED_VALUE"""),"19CE613")</f>
        <v>19CE613</v>
      </c>
      <c r="E395" s="2"/>
      <c r="F395" s="2" t="str">
        <f>IFERROR(__xludf.DUMMYFUNCTION("""COMPUTED_VALUE"""),"NPTEL")</f>
        <v>NPTEL</v>
      </c>
      <c r="G395" s="3" t="str">
        <f>IFERROR(__xludf.DUMMYFUNCTION("""COMPUTED_VALUE"""),"Project Planning and Control (NPTEL)")</f>
        <v>Project Planning and Control (NPTEL)</v>
      </c>
      <c r="H395" s="2" t="str">
        <f>IFERROR(__xludf.DUMMYFUNCTION("""COMPUTED_VALUE"""),"8 weeks")</f>
        <v>8 weeks</v>
      </c>
      <c r="I395" s="2"/>
      <c r="J395" s="2"/>
      <c r="K395" s="2"/>
      <c r="L395" s="2" t="str">
        <f>IFERROR(__xludf.DUMMYFUNCTION("""COMPUTED_VALUE"""),"CGPA")</f>
        <v>CGPA</v>
      </c>
      <c r="M395" s="2" t="str">
        <f>IFERROR(__xludf.DUMMYFUNCTION("""COMPUTED_VALUE"""),"Experiential Learning (Int and Grade from Certificate)")</f>
        <v>Experiential Learning (Int and Grade from Certificate)</v>
      </c>
      <c r="N395" s="2">
        <f>IFERROR(__xludf.DUMMYFUNCTION("""COMPUTED_VALUE"""),2)</f>
        <v>2</v>
      </c>
      <c r="O395" s="2">
        <f>IFERROR(__xludf.DUMMYFUNCTION("""COMPUTED_VALUE"""),2)</f>
        <v>2</v>
      </c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30.75" customHeight="1" spans="1:26">
      <c r="A396" s="2">
        <f>IFERROR(__xludf.DUMMYFUNCTION("""COMPUTED_VALUE"""),395)</f>
        <v>395</v>
      </c>
      <c r="B396" s="2" t="str">
        <f>IFERROR(__xludf.DUMMYFUNCTION("""COMPUTED_VALUE"""),"ECE, BME, MED ELEC")</f>
        <v>ECE, BME, MED ELEC</v>
      </c>
      <c r="C396" s="2" t="str">
        <f>IFERROR(__xludf.DUMMYFUNCTION("""COMPUTED_VALUE"""),"EC1645")</f>
        <v>EC1645</v>
      </c>
      <c r="D396" s="2" t="str">
        <f>IFERROR(__xludf.DUMMYFUNCTION("""COMPUTED_VALUE"""),"19EC645")</f>
        <v>19EC645</v>
      </c>
      <c r="E396" s="2"/>
      <c r="F396" s="2" t="str">
        <f>IFERROR(__xludf.DUMMYFUNCTION("""COMPUTED_VALUE"""),"NPTEL")</f>
        <v>NPTEL</v>
      </c>
      <c r="G396" s="3" t="str">
        <f>IFERROR(__xludf.DUMMYFUNCTION("""COMPUTED_VALUE"""),"Psychology of Stress, Health and Well-being (NPTEL)")</f>
        <v>Psychology of Stress, Health and Well-being (NPTEL)</v>
      </c>
      <c r="H396" s="2" t="str">
        <f>IFERROR(__xludf.DUMMYFUNCTION("""COMPUTED_VALUE"""),"12 Weeks")</f>
        <v>12 Weeks</v>
      </c>
      <c r="I396" s="2" t="str">
        <f>IFERROR(__xludf.DUMMYFUNCTION("""COMPUTED_VALUE"""),"10 / 25")</f>
        <v>10 / 25</v>
      </c>
      <c r="J396" s="2" t="str">
        <f>IFERROR(__xludf.DUMMYFUNCTION("""COMPUTED_VALUE"""),"30 / 75")</f>
        <v>30 / 75</v>
      </c>
      <c r="K396" s="2" t="str">
        <f>IFERROR(__xludf.DUMMYFUNCTION("""COMPUTED_VALUE"""),"40 / 100")</f>
        <v>40 / 100</v>
      </c>
      <c r="L396" s="2" t="str">
        <f>IFERROR(__xludf.DUMMYFUNCTION("""COMPUTED_VALUE"""),"CGPA")</f>
        <v>CGPA</v>
      </c>
      <c r="M396" s="2" t="str">
        <f>IFERROR(__xludf.DUMMYFUNCTION("""COMPUTED_VALUE"""),"Experiential Learning (Int and Grade from Certificate)")</f>
        <v>Experiential Learning (Int and Grade from Certificate)</v>
      </c>
      <c r="N396" s="2">
        <f>IFERROR(__xludf.DUMMYFUNCTION("""COMPUTED_VALUE"""),3)</f>
        <v>3</v>
      </c>
      <c r="O396" s="2">
        <f>IFERROR(__xludf.DUMMYFUNCTION("""COMPUTED_VALUE"""),3)</f>
        <v>3</v>
      </c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30.75" customHeight="1" spans="1:26">
      <c r="A397" s="2">
        <f>IFERROR(__xludf.DUMMYFUNCTION("""COMPUTED_VALUE"""),396)</f>
        <v>396</v>
      </c>
      <c r="B397" s="2" t="str">
        <f>IFERROR(__xludf.DUMMYFUNCTION("""COMPUTED_VALUE"""),"SCoFT")</f>
        <v>SCoFT</v>
      </c>
      <c r="C397" s="2" t="str">
        <f>IFERROR(__xludf.DUMMYFUNCTION("""COMPUTED_VALUE"""),"CS3091")</f>
        <v>CS3091</v>
      </c>
      <c r="D397" s="2" t="str">
        <f>IFERROR(__xludf.DUMMYFUNCTION("""COMPUTED_VALUE"""),"19AI091")</f>
        <v>19AI091</v>
      </c>
      <c r="E397" s="2"/>
      <c r="F397" s="2" t="str">
        <f>IFERROR(__xludf.DUMMYFUNCTION("""COMPUTED_VALUE"""),"COURSERA")</f>
        <v>COURSERA</v>
      </c>
      <c r="G397" s="3" t="str">
        <f>IFERROR(__xludf.DUMMYFUNCTION("""COMPUTED_VALUE"""),"Python and Statistics for Financial Analysis (Coursera)")</f>
        <v>Python and Statistics for Financial Analysis (Coursera)</v>
      </c>
      <c r="H397" s="2" t="str">
        <f>IFERROR(__xludf.DUMMYFUNCTION("""COMPUTED_VALUE"""),"4 weeks")</f>
        <v>4 weeks</v>
      </c>
      <c r="I397" s="2"/>
      <c r="J397" s="2"/>
      <c r="K397" s="2"/>
      <c r="L397" s="2" t="str">
        <f>IFERROR(__xludf.DUMMYFUNCTION("""COMPUTED_VALUE"""),"CGPA")</f>
        <v>CGPA</v>
      </c>
      <c r="M397" s="2" t="str">
        <f>IFERROR(__xludf.DUMMYFUNCTION("""COMPUTED_VALUE"""),"Experiential Learning (Int and Grade from Certificate)")</f>
        <v>Experiential Learning (Int and Grade from Certificate)</v>
      </c>
      <c r="N397" s="2">
        <f>IFERROR(__xludf.DUMMYFUNCTION("""COMPUTED_VALUE"""),1)</f>
        <v>1</v>
      </c>
      <c r="O397" s="2">
        <f>IFERROR(__xludf.DUMMYFUNCTION("""COMPUTED_VALUE"""),1)</f>
        <v>1</v>
      </c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30.75" customHeight="1" spans="1:26">
      <c r="A398" s="2">
        <f>IFERROR(__xludf.DUMMYFUNCTION("""COMPUTED_VALUE"""),397)</f>
        <v>397</v>
      </c>
      <c r="B398" s="2" t="str">
        <f>IFERROR(__xludf.DUMMYFUNCTION("""COMPUTED_VALUE"""),"SCoFT")</f>
        <v>SCoFT</v>
      </c>
      <c r="C398" s="2" t="str">
        <f>IFERROR(__xludf.DUMMYFUNCTION("""COMPUTED_VALUE"""),"CS3106")</f>
        <v>CS3106</v>
      </c>
      <c r="D398" s="2" t="str">
        <f>IFERROR(__xludf.DUMMYFUNCTION("""COMPUTED_VALUE"""),"19AI106")</f>
        <v>19AI106</v>
      </c>
      <c r="E398" s="2"/>
      <c r="F398" s="2" t="str">
        <f>IFERROR(__xludf.DUMMYFUNCTION("""COMPUTED_VALUE"""),"COURSERA")</f>
        <v>COURSERA</v>
      </c>
      <c r="G398" s="3" t="str">
        <f>IFERROR(__xludf.DUMMYFUNCTION("""COMPUTED_VALUE"""),"Python Data Structures (Coursera)")</f>
        <v>Python Data Structures (Coursera)</v>
      </c>
      <c r="H398" s="2" t="str">
        <f>IFERROR(__xludf.DUMMYFUNCTION("""COMPUTED_VALUE"""),"7 weeks")</f>
        <v>7 weeks</v>
      </c>
      <c r="I398" s="2"/>
      <c r="J398" s="2"/>
      <c r="K398" s="2"/>
      <c r="L398" s="2" t="str">
        <f>IFERROR(__xludf.DUMMYFUNCTION("""COMPUTED_VALUE"""),"CGPA")</f>
        <v>CGPA</v>
      </c>
      <c r="M398" s="2" t="str">
        <f>IFERROR(__xludf.DUMMYFUNCTION("""COMPUTED_VALUE"""),"Experiential Learning (Int and Grade from Certificate)")</f>
        <v>Experiential Learning (Int and Grade from Certificate)</v>
      </c>
      <c r="N398" s="2">
        <f>IFERROR(__xludf.DUMMYFUNCTION("""COMPUTED_VALUE"""),1)</f>
        <v>1</v>
      </c>
      <c r="O398" s="2">
        <f>IFERROR(__xludf.DUMMYFUNCTION("""COMPUTED_VALUE"""),1)</f>
        <v>1</v>
      </c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30.75" customHeight="1" spans="1:26">
      <c r="A399" s="2">
        <f>IFERROR(__xludf.DUMMYFUNCTION("""COMPUTED_VALUE"""),398)</f>
        <v>398</v>
      </c>
      <c r="B399" s="2" t="str">
        <f>IFERROR(__xludf.DUMMYFUNCTION("""COMPUTED_VALUE"""),"SCoFT, BME, MED ELEC")</f>
        <v>SCoFT, BME, MED ELEC</v>
      </c>
      <c r="C399" s="2" t="str">
        <f>IFERROR(__xludf.DUMMYFUNCTION("""COMPUTED_VALUE"""),"CS3057")</f>
        <v>CS3057</v>
      </c>
      <c r="D399" s="2" t="str">
        <f>IFERROR(__xludf.DUMMYFUNCTION("""COMPUTED_VALUE"""),"19AI057")</f>
        <v>19AI057</v>
      </c>
      <c r="E399" s="2"/>
      <c r="F399" s="2" t="str">
        <f>IFERROR(__xludf.DUMMYFUNCTION("""COMPUTED_VALUE"""),"NPTEL")</f>
        <v>NPTEL</v>
      </c>
      <c r="G399" s="3" t="str">
        <f>IFERROR(__xludf.DUMMYFUNCTION("""COMPUTED_VALUE"""),"Python for Data Science (NPTEL)")</f>
        <v>Python for Data Science (NPTEL)</v>
      </c>
      <c r="H399" s="2" t="str">
        <f>IFERROR(__xludf.DUMMYFUNCTION("""COMPUTED_VALUE"""),"4 Weeks")</f>
        <v>4 Weeks</v>
      </c>
      <c r="I399" s="2"/>
      <c r="J399" s="2"/>
      <c r="K399" s="2"/>
      <c r="L399" s="2" t="str">
        <f>IFERROR(__xludf.DUMMYFUNCTION("""COMPUTED_VALUE"""),"CGPA ")</f>
        <v>CGPA </v>
      </c>
      <c r="M399" s="2" t="str">
        <f>IFERROR(__xludf.DUMMYFUNCTION("""COMPUTED_VALUE"""),"Experiential Learning (Int and Grade from Certificate)")</f>
        <v>Experiential Learning (Int and Grade from Certificate)</v>
      </c>
      <c r="N399" s="2">
        <f>IFERROR(__xludf.DUMMYFUNCTION("""COMPUTED_VALUE"""),1)</f>
        <v>1</v>
      </c>
      <c r="O399" s="2">
        <f>IFERROR(__xludf.DUMMYFUNCTION("""COMPUTED_VALUE"""),1)</f>
        <v>1</v>
      </c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30.75" customHeight="1" spans="1:26">
      <c r="A400" s="2">
        <f>IFERROR(__xludf.DUMMYFUNCTION("""COMPUTED_VALUE"""),399)</f>
        <v>399</v>
      </c>
      <c r="B400" s="2" t="str">
        <f>IFERROR(__xludf.DUMMYFUNCTION("""COMPUTED_VALUE"""),"BME, MED ELEC")</f>
        <v>BME, MED ELEC</v>
      </c>
      <c r="C400" s="2" t="str">
        <f>IFERROR(__xludf.DUMMYFUNCTION("""COMPUTED_VALUE"""),"EC4676")</f>
        <v>EC4676</v>
      </c>
      <c r="D400" s="2" t="str">
        <f>IFERROR(__xludf.DUMMYFUNCTION("""COMPUTED_VALUE"""),"19BM676")</f>
        <v>19BM676</v>
      </c>
      <c r="E400" s="2"/>
      <c r="F400" s="2" t="str">
        <f>IFERROR(__xludf.DUMMYFUNCTION("""COMPUTED_VALUE"""),"NPTEL")</f>
        <v>NPTEL</v>
      </c>
      <c r="G400" s="3" t="str">
        <f>IFERROR(__xludf.DUMMYFUNCTION("""COMPUTED_VALUE"""),"Quantum Transport (NPTEL)")</f>
        <v>Quantum Transport (NPTEL)</v>
      </c>
      <c r="H400" s="2" t="str">
        <f>IFERROR(__xludf.DUMMYFUNCTION("""COMPUTED_VALUE"""),"12 Weeks")</f>
        <v>12 Weeks</v>
      </c>
      <c r="I400" s="2"/>
      <c r="J400" s="2"/>
      <c r="K400" s="2"/>
      <c r="L400" s="2" t="str">
        <f>IFERROR(__xludf.DUMMYFUNCTION("""COMPUTED_VALUE"""),"CGPA")</f>
        <v>CGPA</v>
      </c>
      <c r="M400" s="2" t="str">
        <f>IFERROR(__xludf.DUMMYFUNCTION("""COMPUTED_VALUE"""),"Experiential Learning (Int and Grade from Certificate)")</f>
        <v>Experiential Learning (Int and Grade from Certificate)</v>
      </c>
      <c r="N400" s="2">
        <f>IFERROR(__xludf.DUMMYFUNCTION("""COMPUTED_VALUE"""),3)</f>
        <v>3</v>
      </c>
      <c r="O400" s="2">
        <f>IFERROR(__xludf.DUMMYFUNCTION("""COMPUTED_VALUE"""),3)</f>
        <v>3</v>
      </c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30.75" customHeight="1" spans="1:26">
      <c r="A401" s="2">
        <f>IFERROR(__xludf.DUMMYFUNCTION("""COMPUTED_VALUE"""),400)</f>
        <v>400</v>
      </c>
      <c r="B401" s="2" t="str">
        <f>IFERROR(__xludf.DUMMYFUNCTION("""COMPUTED_VALUE"""),"Mechanical")</f>
        <v>Mechanical</v>
      </c>
      <c r="C401" s="2" t="str">
        <f>IFERROR(__xludf.DUMMYFUNCTION("""COMPUTED_VALUE"""),"ME0618")</f>
        <v>ME0618</v>
      </c>
      <c r="D401" s="2" t="str">
        <f>IFERROR(__xludf.DUMMYFUNCTION("""COMPUTED_VALUE"""),"19ME618")</f>
        <v>19ME618</v>
      </c>
      <c r="E401" s="2"/>
      <c r="F401" s="2" t="str">
        <f>IFERROR(__xludf.DUMMYFUNCTION("""COMPUTED_VALUE"""),"NPTEL (IIT Kanpur)")</f>
        <v>NPTEL (IIT Kanpur)</v>
      </c>
      <c r="G401" s="3" t="str">
        <f>IFERROR(__xludf.DUMMYFUNCTION("""COMPUTED_VALUE"""),"Rapid Manufacturing")</f>
        <v>Rapid Manufacturing</v>
      </c>
      <c r="H401" s="4" t="str">
        <f>IFERROR(__xludf.DUMMYFUNCTION("""COMPUTED_VALUE"""),"12 weeks")</f>
        <v>12 weeks</v>
      </c>
      <c r="I401" s="4">
        <f>IFERROR(__xludf.DUMMYFUNCTION("""COMPUTED_VALUE"""),45224)</f>
        <v>45224</v>
      </c>
      <c r="J401" s="2" t="str">
        <f>IFERROR(__xludf.DUMMYFUNCTION("""COMPUTED_VALUE"""),"30/75")</f>
        <v>30/75</v>
      </c>
      <c r="K401" s="2" t="str">
        <f>IFERROR(__xludf.DUMMYFUNCTION("""COMPUTED_VALUE"""),"40/100")</f>
        <v>40/100</v>
      </c>
      <c r="L401" s="2" t="str">
        <f>IFERROR(__xludf.DUMMYFUNCTION("""COMPUTED_VALUE"""),"CGPA ")</f>
        <v>CGPA </v>
      </c>
      <c r="M401" s="2" t="str">
        <f>IFERROR(__xludf.DUMMYFUNCTION("""COMPUTED_VALUE"""),"Experiential Learning (Int and Grade from Certificate)")</f>
        <v>Experiential Learning (Int and Grade from Certificate)</v>
      </c>
      <c r="N401" s="2">
        <f>IFERROR(__xludf.DUMMYFUNCTION("""COMPUTED_VALUE"""),3)</f>
        <v>3</v>
      </c>
      <c r="O401" s="2">
        <f>IFERROR(__xludf.DUMMYFUNCTION("""COMPUTED_VALUE"""),3)</f>
        <v>3</v>
      </c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30.75" customHeight="1" spans="1:26">
      <c r="A402" s="2">
        <f>IFERROR(__xludf.DUMMYFUNCTION("""COMPUTED_VALUE"""),401)</f>
        <v>401</v>
      </c>
      <c r="B402" s="2" t="str">
        <f>IFERROR(__xludf.DUMMYFUNCTION("""COMPUTED_VALUE"""),"SCoFT")</f>
        <v>SCoFT</v>
      </c>
      <c r="C402" s="2" t="str">
        <f>IFERROR(__xludf.DUMMYFUNCTION("""COMPUTED_VALUE"""),"CS3058")</f>
        <v>CS3058</v>
      </c>
      <c r="D402" s="2" t="str">
        <f>IFERROR(__xludf.DUMMYFUNCTION("""COMPUTED_VALUE"""),"19AI058")</f>
        <v>19AI058</v>
      </c>
      <c r="E402" s="2"/>
      <c r="F402" s="2" t="str">
        <f>IFERROR(__xludf.DUMMYFUNCTION("""COMPUTED_VALUE"""),"NPTEL")</f>
        <v>NPTEL</v>
      </c>
      <c r="G402" s="3" t="str">
        <f>IFERROR(__xludf.DUMMYFUNCTION("""COMPUTED_VALUE"""),"Real-Time Systems (NPTEL)")</f>
        <v>Real-Time Systems (NPTEL)</v>
      </c>
      <c r="H402" s="2" t="str">
        <f>IFERROR(__xludf.DUMMYFUNCTION("""COMPUTED_VALUE"""),"12 Weeks")</f>
        <v>12 Weeks</v>
      </c>
      <c r="I402" s="2"/>
      <c r="J402" s="2"/>
      <c r="K402" s="2"/>
      <c r="L402" s="2" t="str">
        <f>IFERROR(__xludf.DUMMYFUNCTION("""COMPUTED_VALUE"""),"CGPA ")</f>
        <v>CGPA </v>
      </c>
      <c r="M402" s="2" t="str">
        <f>IFERROR(__xludf.DUMMYFUNCTION("""COMPUTED_VALUE"""),"Experiential Learning (Int and Grade from Certificate)")</f>
        <v>Experiential Learning (Int and Grade from Certificate)</v>
      </c>
      <c r="N402" s="2">
        <f>IFERROR(__xludf.DUMMYFUNCTION("""COMPUTED_VALUE"""),3)</f>
        <v>3</v>
      </c>
      <c r="O402" s="2">
        <f>IFERROR(__xludf.DUMMYFUNCTION("""COMPUTED_VALUE"""),3)</f>
        <v>3</v>
      </c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30.75" customHeight="1" spans="1:26">
      <c r="A403" s="2">
        <f>IFERROR(__xludf.DUMMYFUNCTION("""COMPUTED_VALUE"""),402)</f>
        <v>402</v>
      </c>
      <c r="B403" s="2" t="str">
        <f>IFERROR(__xludf.DUMMYFUNCTION("""COMPUTED_VALUE"""),"SCoFT")</f>
        <v>SCoFT</v>
      </c>
      <c r="C403" s="2" t="str">
        <f>IFERROR(__xludf.DUMMYFUNCTION("""COMPUTED_VALUE"""),"CS3128")</f>
        <v>CS3128</v>
      </c>
      <c r="D403" s="2" t="str">
        <f>IFERROR(__xludf.DUMMYFUNCTION("""COMPUTED_VALUE"""),"19AI128")</f>
        <v>19AI128</v>
      </c>
      <c r="E403" s="2"/>
      <c r="F403" s="2" t="str">
        <f>IFERROR(__xludf.DUMMYFUNCTION("""COMPUTED_VALUE"""),"Redhat Academy  (EX280)
")</f>
        <v>Redhat Academy  (EX280)
</v>
      </c>
      <c r="G403" s="3" t="str">
        <f>IFERROR(__xludf.DUMMYFUNCTION("""COMPUTED_VALUE"""),"Red Hat Certified OpenShift Administrator (Redhat Academy)")</f>
        <v>Red Hat Certified OpenShift Administrator (Redhat Academy)</v>
      </c>
      <c r="H403" s="2" t="str">
        <f>IFERROR(__xludf.DUMMYFUNCTION("""COMPUTED_VALUE"""),"8 Weeks")</f>
        <v>8 Weeks</v>
      </c>
      <c r="I403" s="2"/>
      <c r="J403" s="2"/>
      <c r="K403" s="2"/>
      <c r="L403" s="2" t="str">
        <f>IFERROR(__xludf.DUMMYFUNCTION("""COMPUTED_VALUE"""),"CGPA")</f>
        <v>CGPA</v>
      </c>
      <c r="M403" s="2" t="str">
        <f>IFERROR(__xludf.DUMMYFUNCTION("""COMPUTED_VALUE"""),"Experiential Learning (Int and Grade from Certificate)")</f>
        <v>Experiential Learning (Int and Grade from Certificate)</v>
      </c>
      <c r="N403" s="2">
        <f>IFERROR(__xludf.DUMMYFUNCTION("""COMPUTED_VALUE"""),2)</f>
        <v>2</v>
      </c>
      <c r="O403" s="2">
        <f>IFERROR(__xludf.DUMMYFUNCTION("""COMPUTED_VALUE"""),2)</f>
        <v>2</v>
      </c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30.75" customHeight="1" spans="1:26">
      <c r="A404" s="2">
        <f>IFERROR(__xludf.DUMMYFUNCTION("""COMPUTED_VALUE"""),403)</f>
        <v>403</v>
      </c>
      <c r="B404" s="2" t="str">
        <f>IFERROR(__xludf.DUMMYFUNCTION("""COMPUTED_VALUE"""),"SCoFT")</f>
        <v>SCoFT</v>
      </c>
      <c r="C404" s="2" t="str">
        <f>IFERROR(__xludf.DUMMYFUNCTION("""COMPUTED_VALUE"""),"CS3127")</f>
        <v>CS3127</v>
      </c>
      <c r="D404" s="2" t="str">
        <f>IFERROR(__xludf.DUMMYFUNCTION("""COMPUTED_VALUE"""),"19AI127")</f>
        <v>19AI127</v>
      </c>
      <c r="E404" s="2"/>
      <c r="F404" s="2" t="str">
        <f>IFERROR(__xludf.DUMMYFUNCTION("""COMPUTED_VALUE"""),"Redhat Academy (EX210)
")</f>
        <v>Redhat Academy (EX210)
</v>
      </c>
      <c r="G404" s="3" t="str">
        <f>IFERROR(__xludf.DUMMYFUNCTION("""COMPUTED_VALUE"""),"Red Hat Certified Specialist in Cloud Infrastructure (Redhat Academy)")</f>
        <v>Red Hat Certified Specialist in Cloud Infrastructure (Redhat Academy)</v>
      </c>
      <c r="H404" s="2" t="str">
        <f>IFERROR(__xludf.DUMMYFUNCTION("""COMPUTED_VALUE"""),"8 Weeks")</f>
        <v>8 Weeks</v>
      </c>
      <c r="I404" s="2"/>
      <c r="J404" s="2"/>
      <c r="K404" s="2"/>
      <c r="L404" s="2" t="str">
        <f>IFERROR(__xludf.DUMMYFUNCTION("""COMPUTED_VALUE"""),"CGPA")</f>
        <v>CGPA</v>
      </c>
      <c r="M404" s="2" t="str">
        <f>IFERROR(__xludf.DUMMYFUNCTION("""COMPUTED_VALUE"""),"Experiential Learning (Int and Grade from Certificate)")</f>
        <v>Experiential Learning (Int and Grade from Certificate)</v>
      </c>
      <c r="N404" s="2">
        <f>IFERROR(__xludf.DUMMYFUNCTION("""COMPUTED_VALUE"""),2)</f>
        <v>2</v>
      </c>
      <c r="O404" s="2">
        <f>IFERROR(__xludf.DUMMYFUNCTION("""COMPUTED_VALUE"""),2)</f>
        <v>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30.75" customHeight="1" spans="1:26">
      <c r="A405" s="2">
        <f>IFERROR(__xludf.DUMMYFUNCTION("""COMPUTED_VALUE"""),404)</f>
        <v>404</v>
      </c>
      <c r="B405" s="2" t="str">
        <f>IFERROR(__xludf.DUMMYFUNCTION("""COMPUTED_VALUE"""),"SCoFT")</f>
        <v>SCoFT</v>
      </c>
      <c r="C405" s="2" t="str">
        <f>IFERROR(__xludf.DUMMYFUNCTION("""COMPUTED_VALUE"""),"CS3131")</f>
        <v>CS3131</v>
      </c>
      <c r="D405" s="2" t="str">
        <f>IFERROR(__xludf.DUMMYFUNCTION("""COMPUTED_VALUE"""),"19AI131")</f>
        <v>19AI131</v>
      </c>
      <c r="E405" s="2"/>
      <c r="F405" s="2" t="str">
        <f>IFERROR(__xludf.DUMMYFUNCTION("""COMPUTED_VALUE"""),"Redhat Academy (EX188)
")</f>
        <v>Redhat Academy (EX188)
</v>
      </c>
      <c r="G405" s="3" t="str">
        <f>IFERROR(__xludf.DUMMYFUNCTION("""COMPUTED_VALUE"""),"Red Hat Certified Specialist in Containers (Redhat Academy)")</f>
        <v>Red Hat Certified Specialist in Containers (Redhat Academy)</v>
      </c>
      <c r="H405" s="2" t="str">
        <f>IFERROR(__xludf.DUMMYFUNCTION("""COMPUTED_VALUE"""),"8 Weeks")</f>
        <v>8 Weeks</v>
      </c>
      <c r="I405" s="2"/>
      <c r="J405" s="2"/>
      <c r="K405" s="2"/>
      <c r="L405" s="2" t="str">
        <f>IFERROR(__xludf.DUMMYFUNCTION("""COMPUTED_VALUE"""),"CGPA")</f>
        <v>CGPA</v>
      </c>
      <c r="M405" s="2" t="str">
        <f>IFERROR(__xludf.DUMMYFUNCTION("""COMPUTED_VALUE"""),"Experiential Learning (Int and Grade from Certificate)")</f>
        <v>Experiential Learning (Int and Grade from Certificate)</v>
      </c>
      <c r="N405" s="2">
        <f>IFERROR(__xludf.DUMMYFUNCTION("""COMPUTED_VALUE"""),2)</f>
        <v>2</v>
      </c>
      <c r="O405" s="2">
        <f>IFERROR(__xludf.DUMMYFUNCTION("""COMPUTED_VALUE"""),2)</f>
        <v>2</v>
      </c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30.75" customHeight="1" spans="1:26">
      <c r="A406" s="2">
        <f>IFERROR(__xludf.DUMMYFUNCTION("""COMPUTED_VALUE"""),405)</f>
        <v>405</v>
      </c>
      <c r="B406" s="2" t="str">
        <f>IFERROR(__xludf.DUMMYFUNCTION("""COMPUTED_VALUE"""),"SCoFT")</f>
        <v>SCoFT</v>
      </c>
      <c r="C406" s="2" t="str">
        <f>IFERROR(__xludf.DUMMYFUNCTION("""COMPUTED_VALUE"""),"CS3129")</f>
        <v>CS3129</v>
      </c>
      <c r="D406" s="2" t="str">
        <f>IFERROR(__xludf.DUMMYFUNCTION("""COMPUTED_VALUE"""),"19AI129")</f>
        <v>19AI129</v>
      </c>
      <c r="E406" s="2"/>
      <c r="F406" s="2" t="str">
        <f>IFERROR(__xludf.DUMMYFUNCTION("""COMPUTED_VALUE"""),"Redhat Academy (EX415)
")</f>
        <v>Redhat Academy (EX415)
</v>
      </c>
      <c r="G406" s="3" t="str">
        <f>IFERROR(__xludf.DUMMYFUNCTION("""COMPUTED_VALUE"""),"Red Hat Certified Specialist in Security: Linux (Redhat Academy)")</f>
        <v>Red Hat Certified Specialist in Security: Linux (Redhat Academy)</v>
      </c>
      <c r="H406" s="2" t="str">
        <f>IFERROR(__xludf.DUMMYFUNCTION("""COMPUTED_VALUE"""),"8 Weeks")</f>
        <v>8 Weeks</v>
      </c>
      <c r="I406" s="2"/>
      <c r="J406" s="2"/>
      <c r="K406" s="2"/>
      <c r="L406" s="2" t="str">
        <f>IFERROR(__xludf.DUMMYFUNCTION("""COMPUTED_VALUE"""),"CGPA")</f>
        <v>CGPA</v>
      </c>
      <c r="M406" s="2" t="str">
        <f>IFERROR(__xludf.DUMMYFUNCTION("""COMPUTED_VALUE"""),"Experiential Learning (Int and Grade from Certificate)")</f>
        <v>Experiential Learning (Int and Grade from Certificate)</v>
      </c>
      <c r="N406" s="2">
        <f>IFERROR(__xludf.DUMMYFUNCTION("""COMPUTED_VALUE"""),2)</f>
        <v>2</v>
      </c>
      <c r="O406" s="2">
        <f>IFERROR(__xludf.DUMMYFUNCTION("""COMPUTED_VALUE"""),2)</f>
        <v>2</v>
      </c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30.75" customHeight="1" spans="1:26">
      <c r="A407" s="2">
        <f>IFERROR(__xludf.DUMMYFUNCTION("""COMPUTED_VALUE"""),406)</f>
        <v>406</v>
      </c>
      <c r="B407" s="2" t="str">
        <f>IFERROR(__xludf.DUMMYFUNCTION("""COMPUTED_VALUE"""),"SCoFT")</f>
        <v>SCoFT</v>
      </c>
      <c r="C407" s="2" t="str">
        <f>IFERROR(__xludf.DUMMYFUNCTION("""COMPUTED_VALUE"""),"CS3132")</f>
        <v>CS3132</v>
      </c>
      <c r="D407" s="2" t="str">
        <f>IFERROR(__xludf.DUMMYFUNCTION("""COMPUTED_VALUE"""),"19AI132")</f>
        <v>19AI132</v>
      </c>
      <c r="E407" s="2"/>
      <c r="F407" s="2" t="str">
        <f>IFERROR(__xludf.DUMMYFUNCTION("""COMPUTED_VALUE"""),"Redhat Academy(EX318)
")</f>
        <v>Redhat Academy(EX318)
</v>
      </c>
      <c r="G407" s="3" t="str">
        <f>IFERROR(__xludf.DUMMYFUNCTION("""COMPUTED_VALUE"""),"Red Hat Certified Specialist in Virtualization (Redhat Academy)")</f>
        <v>Red Hat Certified Specialist in Virtualization (Redhat Academy)</v>
      </c>
      <c r="H407" s="2" t="str">
        <f>IFERROR(__xludf.DUMMYFUNCTION("""COMPUTED_VALUE"""),"8 Weeks")</f>
        <v>8 Weeks</v>
      </c>
      <c r="I407" s="2"/>
      <c r="J407" s="2"/>
      <c r="K407" s="2"/>
      <c r="L407" s="2" t="str">
        <f>IFERROR(__xludf.DUMMYFUNCTION("""COMPUTED_VALUE"""),"CGPA")</f>
        <v>CGPA</v>
      </c>
      <c r="M407" s="2" t="str">
        <f>IFERROR(__xludf.DUMMYFUNCTION("""COMPUTED_VALUE"""),"Experiential Learning (Int and Grade from Certificate)")</f>
        <v>Experiential Learning (Int and Grade from Certificate)</v>
      </c>
      <c r="N407" s="2">
        <f>IFERROR(__xludf.DUMMYFUNCTION("""COMPUTED_VALUE"""),2)</f>
        <v>2</v>
      </c>
      <c r="O407" s="2">
        <f>IFERROR(__xludf.DUMMYFUNCTION("""COMPUTED_VALUE"""),2)</f>
        <v>2</v>
      </c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30.75" customHeight="1" spans="1:26">
      <c r="A408" s="2">
        <f>IFERROR(__xludf.DUMMYFUNCTION("""COMPUTED_VALUE"""),407)</f>
        <v>407</v>
      </c>
      <c r="B408" s="2" t="str">
        <f>IFERROR(__xludf.DUMMYFUNCTION("""COMPUTED_VALUE"""),"SCoFT")</f>
        <v>SCoFT</v>
      </c>
      <c r="C408" s="2" t="str">
        <f>IFERROR(__xludf.DUMMYFUNCTION("""COMPUTED_VALUE"""),"CS3130")</f>
        <v>CS3130</v>
      </c>
      <c r="D408" s="2" t="str">
        <f>IFERROR(__xludf.DUMMYFUNCTION("""COMPUTED_VALUE"""),"19AI130")</f>
        <v>19AI130</v>
      </c>
      <c r="E408" s="2"/>
      <c r="F408" s="2" t="str">
        <f>IFERROR(__xludf.DUMMYFUNCTION("""COMPUTED_VALUE"""),"Redhat Academy (EX200)
")</f>
        <v>Redhat Academy (EX200)
</v>
      </c>
      <c r="G408" s="3" t="str">
        <f>IFERROR(__xludf.DUMMYFUNCTION("""COMPUTED_VALUE"""),"Red Hat Certified System Administrator (Redhat Academy)")</f>
        <v>Red Hat Certified System Administrator (Redhat Academy)</v>
      </c>
      <c r="H408" s="2" t="str">
        <f>IFERROR(__xludf.DUMMYFUNCTION("""COMPUTED_VALUE"""),"8 Weeks")</f>
        <v>8 Weeks</v>
      </c>
      <c r="I408" s="2"/>
      <c r="J408" s="2"/>
      <c r="K408" s="2"/>
      <c r="L408" s="2" t="str">
        <f>IFERROR(__xludf.DUMMYFUNCTION("""COMPUTED_VALUE"""),"CGPA")</f>
        <v>CGPA</v>
      </c>
      <c r="M408" s="2" t="str">
        <f>IFERROR(__xludf.DUMMYFUNCTION("""COMPUTED_VALUE"""),"Experiential Learning (Int and Grade from Certificate)")</f>
        <v>Experiential Learning (Int and Grade from Certificate)</v>
      </c>
      <c r="N408" s="2">
        <f>IFERROR(__xludf.DUMMYFUNCTION("""COMPUTED_VALUE"""),2)</f>
        <v>2</v>
      </c>
      <c r="O408" s="2">
        <f>IFERROR(__xludf.DUMMYFUNCTION("""COMPUTED_VALUE"""),2)</f>
        <v>2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30.75" customHeight="1" spans="1:26">
      <c r="A409" s="2">
        <f>IFERROR(__xludf.DUMMYFUNCTION("""COMPUTED_VALUE"""),408)</f>
        <v>408</v>
      </c>
      <c r="B409" s="2" t="str">
        <f>IFERROR(__xludf.DUMMYFUNCTION("""COMPUTED_VALUE"""),"SCoFT, ECE")</f>
        <v>SCoFT, ECE</v>
      </c>
      <c r="C409" s="2" t="str">
        <f>IFERROR(__xludf.DUMMYFUNCTION("""COMPUTED_VALUE"""),"CS1607")</f>
        <v>CS1607</v>
      </c>
      <c r="D409" s="2" t="str">
        <f>IFERROR(__xludf.DUMMYFUNCTION("""COMPUTED_VALUE"""),"19CS607")</f>
        <v>19CS607</v>
      </c>
      <c r="E409" s="2"/>
      <c r="F409" s="2" t="str">
        <f>IFERROR(__xludf.DUMMYFUNCTION("""COMPUTED_VALUE"""),"NPTEL")</f>
        <v>NPTEL</v>
      </c>
      <c r="G409" s="3" t="str">
        <f>IFERROR(__xludf.DUMMYFUNCTION("""COMPUTED_VALUE"""),"Reinforcement Learning (NPTEL)")</f>
        <v>Reinforcement Learning (NPTEL)</v>
      </c>
      <c r="H409" s="2" t="str">
        <f>IFERROR(__xludf.DUMMYFUNCTION("""COMPUTED_VALUE"""),"12 Weeks")</f>
        <v>12 Weeks</v>
      </c>
      <c r="I409" s="4">
        <f>IFERROR(__xludf.DUMMYFUNCTION("""COMPUTED_VALUE"""),45224)</f>
        <v>45224</v>
      </c>
      <c r="J409" s="2" t="str">
        <f>IFERROR(__xludf.DUMMYFUNCTION("""COMPUTED_VALUE"""),"30/75")</f>
        <v>30/75</v>
      </c>
      <c r="K409" s="2" t="str">
        <f>IFERROR(__xludf.DUMMYFUNCTION("""COMPUTED_VALUE"""),"40/100")</f>
        <v>40/100</v>
      </c>
      <c r="L409" s="2" t="str">
        <f>IFERROR(__xludf.DUMMYFUNCTION("""COMPUTED_VALUE"""),"CGPA ")</f>
        <v>CGPA </v>
      </c>
      <c r="M409" s="2" t="str">
        <f>IFERROR(__xludf.DUMMYFUNCTION("""COMPUTED_VALUE"""),"Experiential Learning (Int and Grade from Certificate)")</f>
        <v>Experiential Learning (Int and Grade from Certificate)</v>
      </c>
      <c r="N409" s="2">
        <f>IFERROR(__xludf.DUMMYFUNCTION("""COMPUTED_VALUE"""),2)</f>
        <v>2</v>
      </c>
      <c r="O409" s="2">
        <f>IFERROR(__xludf.DUMMYFUNCTION("""COMPUTED_VALUE"""),3)</f>
        <v>3</v>
      </c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30.75" customHeight="1" spans="1:26">
      <c r="A410" s="2">
        <f>IFERROR(__xludf.DUMMYFUNCTION("""COMPUTED_VALUE"""),409)</f>
        <v>409</v>
      </c>
      <c r="B410" s="2" t="str">
        <f>IFERROR(__xludf.DUMMYFUNCTION("""COMPUTED_VALUE"""),"CIVIL")</f>
        <v>CIVIL</v>
      </c>
      <c r="C410" s="2" t="str">
        <f>IFERROR(__xludf.DUMMYFUNCTION("""COMPUTED_VALUE"""),"CE0615")</f>
        <v>CE0615</v>
      </c>
      <c r="D410" s="2" t="str">
        <f>IFERROR(__xludf.DUMMYFUNCTION("""COMPUTED_VALUE"""),"19CE615")</f>
        <v>19CE615</v>
      </c>
      <c r="E410" s="2"/>
      <c r="F410" s="2" t="str">
        <f>IFERROR(__xludf.DUMMYFUNCTION("""COMPUTED_VALUE"""),"NPTEL")</f>
        <v>NPTEL</v>
      </c>
      <c r="G410" s="3" t="str">
        <f>IFERROR(__xludf.DUMMYFUNCTION("""COMPUTED_VALUE"""),"Remote Sensing and GIS (NPTEL)")</f>
        <v>Remote Sensing and GIS (NPTEL)</v>
      </c>
      <c r="H410" s="2" t="str">
        <f>IFERROR(__xludf.DUMMYFUNCTION("""COMPUTED_VALUE"""),"8 weeks")</f>
        <v>8 weeks</v>
      </c>
      <c r="I410" s="2"/>
      <c r="J410" s="2"/>
      <c r="K410" s="2"/>
      <c r="L410" s="2" t="str">
        <f>IFERROR(__xludf.DUMMYFUNCTION("""COMPUTED_VALUE"""),"CGPA")</f>
        <v>CGPA</v>
      </c>
      <c r="M410" s="2" t="str">
        <f>IFERROR(__xludf.DUMMYFUNCTION("""COMPUTED_VALUE"""),"Experiential Learning (Int and Grade from Certificate)")</f>
        <v>Experiential Learning (Int and Grade from Certificate)</v>
      </c>
      <c r="N410" s="2">
        <f>IFERROR(__xludf.DUMMYFUNCTION("""COMPUTED_VALUE"""),2)</f>
        <v>2</v>
      </c>
      <c r="O410" s="2">
        <f>IFERROR(__xludf.DUMMYFUNCTION("""COMPUTED_VALUE"""),2)</f>
        <v>2</v>
      </c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30.75" customHeight="1" spans="1:26">
      <c r="A411" s="2">
        <f>IFERROR(__xludf.DUMMYFUNCTION("""COMPUTED_VALUE"""),410)</f>
        <v>410</v>
      </c>
      <c r="B411" s="2" t="str">
        <f>IFERROR(__xludf.DUMMYFUNCTION("""COMPUTED_VALUE"""),"SCoFT")</f>
        <v>SCoFT</v>
      </c>
      <c r="C411" s="2" t="str">
        <f>IFERROR(__xludf.DUMMYFUNCTION("""COMPUTED_VALUE"""),"CS3088")</f>
        <v>CS3088</v>
      </c>
      <c r="D411" s="2" t="str">
        <f>IFERROR(__xludf.DUMMYFUNCTION("""COMPUTED_VALUE"""),"19AI088")</f>
        <v>19AI088</v>
      </c>
      <c r="E411" s="2"/>
      <c r="F411" s="2" t="str">
        <f>IFERROR(__xludf.DUMMYFUNCTION("""COMPUTED_VALUE"""),"COURSERA")</f>
        <v>COURSERA</v>
      </c>
      <c r="G411" s="3" t="str">
        <f>IFERROR(__xludf.DUMMYFUNCTION("""COMPUTED_VALUE"""),"Research Data Management and Sharing (Coursera)")</f>
        <v>Research Data Management and Sharing (Coursera)</v>
      </c>
      <c r="H411" s="2" t="str">
        <f>IFERROR(__xludf.DUMMYFUNCTION("""COMPUTED_VALUE"""),"4 Weeks")</f>
        <v>4 Weeks</v>
      </c>
      <c r="I411" s="2"/>
      <c r="J411" s="2"/>
      <c r="K411" s="2"/>
      <c r="L411" s="2" t="str">
        <f>IFERROR(__xludf.DUMMYFUNCTION("""COMPUTED_VALUE"""),"CGPA")</f>
        <v>CGPA</v>
      </c>
      <c r="M411" s="2" t="str">
        <f>IFERROR(__xludf.DUMMYFUNCTION("""COMPUTED_VALUE"""),"Experiential Learning (Int and Grade from Certificate)")</f>
        <v>Experiential Learning (Int and Grade from Certificate)</v>
      </c>
      <c r="N411" s="2">
        <f>IFERROR(__xludf.DUMMYFUNCTION("""COMPUTED_VALUE"""),1)</f>
        <v>1</v>
      </c>
      <c r="O411" s="2">
        <f>IFERROR(__xludf.DUMMYFUNCTION("""COMPUTED_VALUE"""),1)</f>
        <v>1</v>
      </c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30.75" customHeight="1" spans="1:26">
      <c r="A412" s="2">
        <f>IFERROR(__xludf.DUMMYFUNCTION("""COMPUTED_VALUE"""),411)</f>
        <v>411</v>
      </c>
      <c r="B412" s="2" t="str">
        <f>IFERROR(__xludf.DUMMYFUNCTION("""COMPUTED_VALUE"""),"ECE")</f>
        <v>ECE</v>
      </c>
      <c r="C412" s="2" t="str">
        <f>IFERROR(__xludf.DUMMYFUNCTION("""COMPUTED_VALUE"""),"EC1650")</f>
        <v>EC1650</v>
      </c>
      <c r="D412" s="2" t="str">
        <f>IFERROR(__xludf.DUMMYFUNCTION("""COMPUTED_VALUE"""),"19EC650")</f>
        <v>19EC650</v>
      </c>
      <c r="E412" s="2"/>
      <c r="F412" s="2" t="str">
        <f>IFERROR(__xludf.DUMMYFUNCTION("""COMPUTED_VALUE"""),"NPTEL")</f>
        <v>NPTEL</v>
      </c>
      <c r="G412" s="3" t="str">
        <f>IFERROR(__xludf.DUMMYFUNCTION("""COMPUTED_VALUE"""),"Research Methodology (NPTEL)")</f>
        <v>Research Methodology (NPTEL)</v>
      </c>
      <c r="H412" s="2" t="str">
        <f>IFERROR(__xludf.DUMMYFUNCTION("""COMPUTED_VALUE"""),"8 Weeks")</f>
        <v>8 Weeks</v>
      </c>
      <c r="I412" s="2" t="str">
        <f>IFERROR(__xludf.DUMMYFUNCTION("""COMPUTED_VALUE"""),"10 / 25")</f>
        <v>10 / 25</v>
      </c>
      <c r="J412" s="2" t="str">
        <f>IFERROR(__xludf.DUMMYFUNCTION("""COMPUTED_VALUE"""),"30 / 75")</f>
        <v>30 / 75</v>
      </c>
      <c r="K412" s="2" t="str">
        <f>IFERROR(__xludf.DUMMYFUNCTION("""COMPUTED_VALUE"""),"40 / 100")</f>
        <v>40 / 100</v>
      </c>
      <c r="L412" s="2" t="str">
        <f>IFERROR(__xludf.DUMMYFUNCTION("""COMPUTED_VALUE"""),"CGPA")</f>
        <v>CGPA</v>
      </c>
      <c r="M412" s="2" t="str">
        <f>IFERROR(__xludf.DUMMYFUNCTION("""COMPUTED_VALUE"""),"Experiential Learning (Int and Grade from Certificate)")</f>
        <v>Experiential Learning (Int and Grade from Certificate)</v>
      </c>
      <c r="N412" s="2">
        <f>IFERROR(__xludf.DUMMYFUNCTION("""COMPUTED_VALUE"""),2)</f>
        <v>2</v>
      </c>
      <c r="O412" s="2">
        <f>IFERROR(__xludf.DUMMYFUNCTION("""COMPUTED_VALUE"""),2)</f>
        <v>2</v>
      </c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30.75" customHeight="1" spans="1:26">
      <c r="A413" s="2">
        <f>IFERROR(__xludf.DUMMYFUNCTION("""COMPUTED_VALUE"""),412)</f>
        <v>412</v>
      </c>
      <c r="B413" s="2" t="str">
        <f>IFERROR(__xludf.DUMMYFUNCTION("""COMPUTED_VALUE"""),"EEE, BME, MED ELEC")</f>
        <v>EEE, BME, MED ELEC</v>
      </c>
      <c r="C413" s="2" t="str">
        <f>IFERROR(__xludf.DUMMYFUNCTION("""COMPUTED_VALUE"""),"EC2621")</f>
        <v>EC2621</v>
      </c>
      <c r="D413" s="2" t="str">
        <f>IFERROR(__xludf.DUMMYFUNCTION("""COMPUTED_VALUE"""),"19EE621")</f>
        <v>19EE621</v>
      </c>
      <c r="E413" s="2"/>
      <c r="F413" s="2" t="str">
        <f>IFERROR(__xludf.DUMMYFUNCTION("""COMPUTED_VALUE"""),"NPTEL")</f>
        <v>NPTEL</v>
      </c>
      <c r="G413" s="3" t="str">
        <f>IFERROR(__xludf.DUMMYFUNCTION("""COMPUTED_VALUE"""),"Roadmap for Patent Creation (NPTEL)")</f>
        <v>Roadmap for Patent Creation (NPTEL)</v>
      </c>
      <c r="H413" s="2" t="str">
        <f>IFERROR(__xludf.DUMMYFUNCTION("""COMPUTED_VALUE"""),"8 Weeks")</f>
        <v>8 Weeks</v>
      </c>
      <c r="I413" s="2"/>
      <c r="J413" s="2"/>
      <c r="K413" s="2"/>
      <c r="L413" s="2" t="str">
        <f>IFERROR(__xludf.DUMMYFUNCTION("""COMPUTED_VALUE"""),"CGPA ")</f>
        <v>CGPA </v>
      </c>
      <c r="M413" s="2" t="str">
        <f>IFERROR(__xludf.DUMMYFUNCTION("""COMPUTED_VALUE"""),"Experiential Learning (Int and Grade from Certificate)")</f>
        <v>Experiential Learning (Int and Grade from Certificate)</v>
      </c>
      <c r="N413" s="2">
        <f>IFERROR(__xludf.DUMMYFUNCTION("""COMPUTED_VALUE"""),2)</f>
        <v>2</v>
      </c>
      <c r="O413" s="2">
        <f>IFERROR(__xludf.DUMMYFUNCTION("""COMPUTED_VALUE"""),2)</f>
        <v>2</v>
      </c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30.75" customHeight="1" spans="1:26">
      <c r="A414" s="2">
        <f>IFERROR(__xludf.DUMMYFUNCTION("""COMPUTED_VALUE"""),413)</f>
        <v>413</v>
      </c>
      <c r="B414" s="2" t="str">
        <f>IFERROR(__xludf.DUMMYFUNCTION("""COMPUTED_VALUE"""),"CIVIL")</f>
        <v>CIVIL</v>
      </c>
      <c r="C414" s="2" t="str">
        <f>IFERROR(__xludf.DUMMYFUNCTION("""COMPUTED_VALUE"""),"CE0603")</f>
        <v>CE0603</v>
      </c>
      <c r="D414" s="2" t="str">
        <f>IFERROR(__xludf.DUMMYFUNCTION("""COMPUTED_VALUE"""),"19CE603")</f>
        <v>19CE603</v>
      </c>
      <c r="E414" s="2"/>
      <c r="F414" s="2" t="str">
        <f>IFERROR(__xludf.DUMMYFUNCTION("""COMPUTED_VALUE"""),"NPTEL")</f>
        <v>NPTEL</v>
      </c>
      <c r="G414" s="3" t="str">
        <f>IFERROR(__xludf.DUMMYFUNCTION("""COMPUTED_VALUE"""),"Rural Water Resources Management (NPTEL)")</f>
        <v>Rural Water Resources Management (NPTEL)</v>
      </c>
      <c r="H414" s="2" t="str">
        <f>IFERROR(__xludf.DUMMYFUNCTION("""COMPUTED_VALUE"""),"12 Weeks")</f>
        <v>12 Weeks</v>
      </c>
      <c r="I414" s="2"/>
      <c r="J414" s="2"/>
      <c r="K414" s="2"/>
      <c r="L414" s="2" t="str">
        <f>IFERROR(__xludf.DUMMYFUNCTION("""COMPUTED_VALUE"""),"CGPA ")</f>
        <v>CGPA </v>
      </c>
      <c r="M414" s="2" t="str">
        <f>IFERROR(__xludf.DUMMYFUNCTION("""COMPUTED_VALUE"""),"Experiential Learning (Int and Grade from Certificate)")</f>
        <v>Experiential Learning (Int and Grade from Certificate)</v>
      </c>
      <c r="N414" s="2">
        <f>IFERROR(__xludf.DUMMYFUNCTION("""COMPUTED_VALUE"""),2)</f>
        <v>2</v>
      </c>
      <c r="O414" s="2">
        <f>IFERROR(__xludf.DUMMYFUNCTION("""COMPUTED_VALUE"""),3)</f>
        <v>3</v>
      </c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30.75" customHeight="1" spans="1:26">
      <c r="A415" s="2">
        <f>IFERROR(__xludf.DUMMYFUNCTION("""COMPUTED_VALUE"""),414)</f>
        <v>414</v>
      </c>
      <c r="B415" s="2" t="str">
        <f>IFERROR(__xludf.DUMMYFUNCTION("""COMPUTED_VALUE"""),"SCoFT")</f>
        <v>SCoFT</v>
      </c>
      <c r="C415" s="2" t="str">
        <f>IFERROR(__xludf.DUMMYFUNCTION("""COMPUTED_VALUE"""),"CS3248")</f>
        <v>CS3248</v>
      </c>
      <c r="D415" s="2" t="str">
        <f>IFERROR(__xludf.DUMMYFUNCTION("""COMPUTED_VALUE"""),"19AI248")</f>
        <v>19AI248</v>
      </c>
      <c r="E415" s="2"/>
      <c r="F415" s="2" t="str">
        <f>IFERROR(__xludf.DUMMYFUNCTION("""COMPUTED_VALUE"""),"Coursera")</f>
        <v>Coursera</v>
      </c>
      <c r="G415" s="3" t="str">
        <f>IFERROR(__xludf.DUMMYFUNCTION("""COMPUTED_VALUE"""),"Salesforce Sales Development Representative Professional Certificate")</f>
        <v>Salesforce Sales Development Representative Professional Certificate</v>
      </c>
      <c r="H415" s="2" t="str">
        <f>IFERROR(__xludf.DUMMYFUNCTION("""COMPUTED_VALUE"""),"3 Months")</f>
        <v>3 Months</v>
      </c>
      <c r="I415" s="2" t="str">
        <f>IFERROR(__xludf.DUMMYFUNCTION("""COMPUTED_VALUE"""),"NA")</f>
        <v>NA</v>
      </c>
      <c r="J415" s="2" t="str">
        <f>IFERROR(__xludf.DUMMYFUNCTION("""COMPUTED_VALUE"""),"NA")</f>
        <v>NA</v>
      </c>
      <c r="K415" s="2" t="str">
        <f>IFERROR(__xludf.DUMMYFUNCTION("""COMPUTED_VALUE"""),"NA")</f>
        <v>NA</v>
      </c>
      <c r="L415" s="2" t="str">
        <f>IFERROR(__xludf.DUMMYFUNCTION("""COMPUTED_VALUE"""),"CGPA")</f>
        <v>CGPA</v>
      </c>
      <c r="M415" s="2" t="str">
        <f>IFERROR(__xludf.DUMMYFUNCTION("""COMPUTED_VALUE"""),"Experiential Learning (Int and Grade from Certificate)")</f>
        <v>Experiential Learning (Int and Grade from Certificate)</v>
      </c>
      <c r="N415" s="2">
        <f>IFERROR(__xludf.DUMMYFUNCTION("""COMPUTED_VALUE"""),3)</f>
        <v>3</v>
      </c>
      <c r="O415" s="2">
        <f>IFERROR(__xludf.DUMMYFUNCTION("""COMPUTED_VALUE"""),3)</f>
        <v>3</v>
      </c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30.75" customHeight="1" spans="1:26">
      <c r="A416" s="2">
        <f>IFERROR(__xludf.DUMMYFUNCTION("""COMPUTED_VALUE"""),415)</f>
        <v>415</v>
      </c>
      <c r="B416" s="2" t="str">
        <f>IFERROR(__xludf.DUMMYFUNCTION("""COMPUTED_VALUE"""),"SCoFT")</f>
        <v>SCoFT</v>
      </c>
      <c r="C416" s="2" t="str">
        <f>IFERROR(__xludf.DUMMYFUNCTION("""COMPUTED_VALUE"""),"CS3249")</f>
        <v>CS3249</v>
      </c>
      <c r="D416" s="2" t="str">
        <f>IFERROR(__xludf.DUMMYFUNCTION("""COMPUTED_VALUE"""),"19AI249")</f>
        <v>19AI249</v>
      </c>
      <c r="E416" s="2"/>
      <c r="F416" s="2" t="str">
        <f>IFERROR(__xludf.DUMMYFUNCTION("""COMPUTED_VALUE"""),"Coursera")</f>
        <v>Coursera</v>
      </c>
      <c r="G416" s="3" t="str">
        <f>IFERROR(__xludf.DUMMYFUNCTION("""COMPUTED_VALUE"""),"Salesforce Sales Operations Professional Certificate")</f>
        <v>Salesforce Sales Operations Professional Certificate</v>
      </c>
      <c r="H416" s="2" t="str">
        <f>IFERROR(__xludf.DUMMYFUNCTION("""COMPUTED_VALUE"""),"3 Months")</f>
        <v>3 Months</v>
      </c>
      <c r="I416" s="2" t="str">
        <f>IFERROR(__xludf.DUMMYFUNCTION("""COMPUTED_VALUE"""),"NA")</f>
        <v>NA</v>
      </c>
      <c r="J416" s="2" t="str">
        <f>IFERROR(__xludf.DUMMYFUNCTION("""COMPUTED_VALUE"""),"NA")</f>
        <v>NA</v>
      </c>
      <c r="K416" s="2" t="str">
        <f>IFERROR(__xludf.DUMMYFUNCTION("""COMPUTED_VALUE"""),"NA")</f>
        <v>NA</v>
      </c>
      <c r="L416" s="2" t="str">
        <f>IFERROR(__xludf.DUMMYFUNCTION("""COMPUTED_VALUE"""),"CGPA")</f>
        <v>CGPA</v>
      </c>
      <c r="M416" s="2" t="str">
        <f>IFERROR(__xludf.DUMMYFUNCTION("""COMPUTED_VALUE"""),"Experiential Learning (Int and Grade from Certificate)")</f>
        <v>Experiential Learning (Int and Grade from Certificate)</v>
      </c>
      <c r="N416" s="2">
        <f>IFERROR(__xludf.DUMMYFUNCTION("""COMPUTED_VALUE"""),3)</f>
        <v>3</v>
      </c>
      <c r="O416" s="2">
        <f>IFERROR(__xludf.DUMMYFUNCTION("""COMPUTED_VALUE"""),3)</f>
        <v>3</v>
      </c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30.75" customHeight="1" spans="1:26">
      <c r="A417" s="2">
        <f>IFERROR(__xludf.DUMMYFUNCTION("""COMPUTED_VALUE"""),416)</f>
        <v>416</v>
      </c>
      <c r="B417" s="2" t="str">
        <f>IFERROR(__xludf.DUMMYFUNCTION("""COMPUTED_VALUE"""),"SCoFT")</f>
        <v>SCoFT</v>
      </c>
      <c r="C417" s="2" t="str">
        <f>IFERROR(__xludf.DUMMYFUNCTION("""COMPUTED_VALUE"""),"CS3250")</f>
        <v>CS3250</v>
      </c>
      <c r="D417" s="2" t="str">
        <f>IFERROR(__xludf.DUMMYFUNCTION("""COMPUTED_VALUE"""),"19AI250")</f>
        <v>19AI250</v>
      </c>
      <c r="E417" s="2"/>
      <c r="F417" s="2" t="str">
        <f>IFERROR(__xludf.DUMMYFUNCTION("""COMPUTED_VALUE"""),"Coursera")</f>
        <v>Coursera</v>
      </c>
      <c r="G417" s="3" t="str">
        <f>IFERROR(__xludf.DUMMYFUNCTION("""COMPUTED_VALUE"""),"SAP Technology Consultant Professional Certificate")</f>
        <v>SAP Technology Consultant Professional Certificate</v>
      </c>
      <c r="H417" s="2" t="str">
        <f>IFERROR(__xludf.DUMMYFUNCTION("""COMPUTED_VALUE"""),"7 Months")</f>
        <v>7 Months</v>
      </c>
      <c r="I417" s="2" t="str">
        <f>IFERROR(__xludf.DUMMYFUNCTION("""COMPUTED_VALUE"""),"NA")</f>
        <v>NA</v>
      </c>
      <c r="J417" s="2" t="str">
        <f>IFERROR(__xludf.DUMMYFUNCTION("""COMPUTED_VALUE"""),"NA")</f>
        <v>NA</v>
      </c>
      <c r="K417" s="2" t="str">
        <f>IFERROR(__xludf.DUMMYFUNCTION("""COMPUTED_VALUE"""),"NA")</f>
        <v>NA</v>
      </c>
      <c r="L417" s="2" t="str">
        <f>IFERROR(__xludf.DUMMYFUNCTION("""COMPUTED_VALUE"""),"CGPA")</f>
        <v>CGPA</v>
      </c>
      <c r="M417" s="2" t="str">
        <f>IFERROR(__xludf.DUMMYFUNCTION("""COMPUTED_VALUE"""),"Experiential Learning (Int and Grade from Certificate)")</f>
        <v>Experiential Learning (Int and Grade from Certificate)</v>
      </c>
      <c r="N417" s="2">
        <f>IFERROR(__xludf.DUMMYFUNCTION("""COMPUTED_VALUE"""),3)</f>
        <v>3</v>
      </c>
      <c r="O417" s="2">
        <f>IFERROR(__xludf.DUMMYFUNCTION("""COMPUTED_VALUE"""),3)</f>
        <v>3</v>
      </c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30.75" customHeight="1" spans="1:26">
      <c r="A418" s="2">
        <f>IFERROR(__xludf.DUMMYFUNCTION("""COMPUTED_VALUE"""),417)</f>
        <v>417</v>
      </c>
      <c r="B418" s="2" t="str">
        <f>IFERROR(__xludf.DUMMYFUNCTION("""COMPUTED_VALUE"""),"SCoFT")</f>
        <v>SCoFT</v>
      </c>
      <c r="C418" s="2" t="str">
        <f>IFERROR(__xludf.DUMMYFUNCTION("""COMPUTED_VALUE"""),"CS3251")</f>
        <v>CS3251</v>
      </c>
      <c r="D418" s="2" t="str">
        <f>IFERROR(__xludf.DUMMYFUNCTION("""COMPUTED_VALUE"""),"19AI251")</f>
        <v>19AI251</v>
      </c>
      <c r="E418" s="2"/>
      <c r="F418" s="2" t="str">
        <f>IFERROR(__xludf.DUMMYFUNCTION("""COMPUTED_VALUE"""),"Coursera")</f>
        <v>Coursera</v>
      </c>
      <c r="G418" s="3" t="str">
        <f>IFERROR(__xludf.DUMMYFUNCTION("""COMPUTED_VALUE"""),"SAS Advanced Programmer Professional Certificate")</f>
        <v>SAS Advanced Programmer Professional Certificate</v>
      </c>
      <c r="H418" s="2" t="str">
        <f>IFERROR(__xludf.DUMMYFUNCTION("""COMPUTED_VALUE"""),"2 Months")</f>
        <v>2 Months</v>
      </c>
      <c r="I418" s="2" t="str">
        <f>IFERROR(__xludf.DUMMYFUNCTION("""COMPUTED_VALUE"""),"NA")</f>
        <v>NA</v>
      </c>
      <c r="J418" s="2" t="str">
        <f>IFERROR(__xludf.DUMMYFUNCTION("""COMPUTED_VALUE"""),"NA")</f>
        <v>NA</v>
      </c>
      <c r="K418" s="2" t="str">
        <f>IFERROR(__xludf.DUMMYFUNCTION("""COMPUTED_VALUE"""),"NA")</f>
        <v>NA</v>
      </c>
      <c r="L418" s="2" t="str">
        <f>IFERROR(__xludf.DUMMYFUNCTION("""COMPUTED_VALUE"""),"CGPA")</f>
        <v>CGPA</v>
      </c>
      <c r="M418" s="2" t="str">
        <f>IFERROR(__xludf.DUMMYFUNCTION("""COMPUTED_VALUE"""),"Experiential Learning (Int and Grade from Certificate)")</f>
        <v>Experiential Learning (Int and Grade from Certificate)</v>
      </c>
      <c r="N418" s="2">
        <f>IFERROR(__xludf.DUMMYFUNCTION("""COMPUTED_VALUE"""),2)</f>
        <v>2</v>
      </c>
      <c r="O418" s="2">
        <f>IFERROR(__xludf.DUMMYFUNCTION("""COMPUTED_VALUE"""),2)</f>
        <v>2</v>
      </c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30.75" customHeight="1" spans="1:26">
      <c r="A419" s="2">
        <f>IFERROR(__xludf.DUMMYFUNCTION("""COMPUTED_VALUE"""),418)</f>
        <v>418</v>
      </c>
      <c r="B419" s="2" t="str">
        <f>IFERROR(__xludf.DUMMYFUNCTION("""COMPUTED_VALUE"""),"SCoFT")</f>
        <v>SCoFT</v>
      </c>
      <c r="C419" s="2" t="str">
        <f>IFERROR(__xludf.DUMMYFUNCTION("""COMPUTED_VALUE"""),"CS3252")</f>
        <v>CS3252</v>
      </c>
      <c r="D419" s="2" t="str">
        <f>IFERROR(__xludf.DUMMYFUNCTION("""COMPUTED_VALUE"""),"19AI252")</f>
        <v>19AI252</v>
      </c>
      <c r="E419" s="2"/>
      <c r="F419" s="2" t="str">
        <f>IFERROR(__xludf.DUMMYFUNCTION("""COMPUTED_VALUE"""),"Coursera")</f>
        <v>Coursera</v>
      </c>
      <c r="G419" s="3" t="str">
        <f>IFERROR(__xludf.DUMMYFUNCTION("""COMPUTED_VALUE"""),"SAS Programmer Professional Certificate")</f>
        <v>SAS Programmer Professional Certificate</v>
      </c>
      <c r="H419" s="2" t="str">
        <f>IFERROR(__xludf.DUMMYFUNCTION("""COMPUTED_VALUE"""),"2 Months")</f>
        <v>2 Months</v>
      </c>
      <c r="I419" s="2" t="str">
        <f>IFERROR(__xludf.DUMMYFUNCTION("""COMPUTED_VALUE"""),"NA")</f>
        <v>NA</v>
      </c>
      <c r="J419" s="2" t="str">
        <f>IFERROR(__xludf.DUMMYFUNCTION("""COMPUTED_VALUE"""),"NA")</f>
        <v>NA</v>
      </c>
      <c r="K419" s="2" t="str">
        <f>IFERROR(__xludf.DUMMYFUNCTION("""COMPUTED_VALUE"""),"NA")</f>
        <v>NA</v>
      </c>
      <c r="L419" s="2" t="str">
        <f>IFERROR(__xludf.DUMMYFUNCTION("""COMPUTED_VALUE"""),"CGPA")</f>
        <v>CGPA</v>
      </c>
      <c r="M419" s="2" t="str">
        <f>IFERROR(__xludf.DUMMYFUNCTION("""COMPUTED_VALUE"""),"Experiential Learning (Int and Grade from Certificate)")</f>
        <v>Experiential Learning (Int and Grade from Certificate)</v>
      </c>
      <c r="N419" s="2">
        <f>IFERROR(__xludf.DUMMYFUNCTION("""COMPUTED_VALUE"""),2)</f>
        <v>2</v>
      </c>
      <c r="O419" s="2">
        <f>IFERROR(__xludf.DUMMYFUNCTION("""COMPUTED_VALUE"""),2)</f>
        <v>2</v>
      </c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30.75" customHeight="1" spans="1:26">
      <c r="A420" s="2">
        <f>IFERROR(__xludf.DUMMYFUNCTION("""COMPUTED_VALUE"""),419)</f>
        <v>419</v>
      </c>
      <c r="B420" s="2" t="str">
        <f>IFERROR(__xludf.DUMMYFUNCTION("""COMPUTED_VALUE"""),"SCoFT")</f>
        <v>SCoFT</v>
      </c>
      <c r="C420" s="2" t="str">
        <f>IFERROR(__xludf.DUMMYFUNCTION("""COMPUTED_VALUE"""),"CS3253")</f>
        <v>CS3253</v>
      </c>
      <c r="D420" s="2" t="str">
        <f>IFERROR(__xludf.DUMMYFUNCTION("""COMPUTED_VALUE"""),"19AI253")</f>
        <v>19AI253</v>
      </c>
      <c r="E420" s="2"/>
      <c r="F420" s="2" t="str">
        <f>IFERROR(__xludf.DUMMYFUNCTION("""COMPUTED_VALUE"""),"Coursera")</f>
        <v>Coursera</v>
      </c>
      <c r="G420" s="3" t="str">
        <f>IFERROR(__xludf.DUMMYFUNCTION("""COMPUTED_VALUE"""),"SAS Statistical Business Analyst Professional Certificate")</f>
        <v>SAS Statistical Business Analyst Professional Certificate</v>
      </c>
      <c r="H420" s="2" t="str">
        <f>IFERROR(__xludf.DUMMYFUNCTION("""COMPUTED_VALUE"""),"1 Month")</f>
        <v>1 Month</v>
      </c>
      <c r="I420" s="2" t="str">
        <f>IFERROR(__xludf.DUMMYFUNCTION("""COMPUTED_VALUE"""),"NA")</f>
        <v>NA</v>
      </c>
      <c r="J420" s="2" t="str">
        <f>IFERROR(__xludf.DUMMYFUNCTION("""COMPUTED_VALUE"""),"NA")</f>
        <v>NA</v>
      </c>
      <c r="K420" s="2" t="str">
        <f>IFERROR(__xludf.DUMMYFUNCTION("""COMPUTED_VALUE"""),"NA")</f>
        <v>NA</v>
      </c>
      <c r="L420" s="2" t="str">
        <f>IFERROR(__xludf.DUMMYFUNCTION("""COMPUTED_VALUE"""),"CGPA")</f>
        <v>CGPA</v>
      </c>
      <c r="M420" s="2" t="str">
        <f>IFERROR(__xludf.DUMMYFUNCTION("""COMPUTED_VALUE"""),"Experiential Learning (Int and Grade from Certificate)")</f>
        <v>Experiential Learning (Int and Grade from Certificate)</v>
      </c>
      <c r="N420" s="2">
        <f>IFERROR(__xludf.DUMMYFUNCTION("""COMPUTED_VALUE"""),1)</f>
        <v>1</v>
      </c>
      <c r="O420" s="2">
        <f>IFERROR(__xludf.DUMMYFUNCTION("""COMPUTED_VALUE"""),1)</f>
        <v>1</v>
      </c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30.75" customHeight="1" spans="1:26">
      <c r="A421" s="2">
        <f>IFERROR(__xludf.DUMMYFUNCTION("""COMPUTED_VALUE"""),420)</f>
        <v>420</v>
      </c>
      <c r="B421" s="2" t="str">
        <f>IFERROR(__xludf.DUMMYFUNCTION("""COMPUTED_VALUE"""),"SCoFT")</f>
        <v>SCoFT</v>
      </c>
      <c r="C421" s="2" t="str">
        <f>IFERROR(__xludf.DUMMYFUNCTION("""COMPUTED_VALUE"""),"CS3254")</f>
        <v>CS3254</v>
      </c>
      <c r="D421" s="2" t="str">
        <f>IFERROR(__xludf.DUMMYFUNCTION("""COMPUTED_VALUE"""),"19AI254")</f>
        <v>19AI254</v>
      </c>
      <c r="E421" s="2"/>
      <c r="F421" s="2" t="str">
        <f>IFERROR(__xludf.DUMMYFUNCTION("""COMPUTED_VALUE"""),"Coursera")</f>
        <v>Coursera</v>
      </c>
      <c r="G421" s="3" t="str">
        <f>IFERROR(__xludf.DUMMYFUNCTION("""COMPUTED_VALUE"""),"SAS Visual Business Analytics Professional Certificate")</f>
        <v>SAS Visual Business Analytics Professional Certificate</v>
      </c>
      <c r="H421" s="2" t="str">
        <f>IFERROR(__xludf.DUMMYFUNCTION("""COMPUTED_VALUE"""),"1 Month")</f>
        <v>1 Month</v>
      </c>
      <c r="I421" s="2" t="str">
        <f>IFERROR(__xludf.DUMMYFUNCTION("""COMPUTED_VALUE"""),"NA")</f>
        <v>NA</v>
      </c>
      <c r="J421" s="2" t="str">
        <f>IFERROR(__xludf.DUMMYFUNCTION("""COMPUTED_VALUE"""),"NA")</f>
        <v>NA</v>
      </c>
      <c r="K421" s="2" t="str">
        <f>IFERROR(__xludf.DUMMYFUNCTION("""COMPUTED_VALUE"""),"NA")</f>
        <v>NA</v>
      </c>
      <c r="L421" s="2" t="str">
        <f>IFERROR(__xludf.DUMMYFUNCTION("""COMPUTED_VALUE"""),"CGPA")</f>
        <v>CGPA</v>
      </c>
      <c r="M421" s="2" t="str">
        <f>IFERROR(__xludf.DUMMYFUNCTION("""COMPUTED_VALUE"""),"Experiential Learning (Int and Grade from Certificate)")</f>
        <v>Experiential Learning (Int and Grade from Certificate)</v>
      </c>
      <c r="N421" s="2">
        <f>IFERROR(__xludf.DUMMYFUNCTION("""COMPUTED_VALUE"""),1)</f>
        <v>1</v>
      </c>
      <c r="O421" s="2">
        <f>IFERROR(__xludf.DUMMYFUNCTION("""COMPUTED_VALUE"""),1)</f>
        <v>1</v>
      </c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30.75" customHeight="1" spans="1:26">
      <c r="A422" s="2">
        <f>IFERROR(__xludf.DUMMYFUNCTION("""COMPUTED_VALUE"""),421)</f>
        <v>421</v>
      </c>
      <c r="B422" s="2" t="str">
        <f>IFERROR(__xludf.DUMMYFUNCTION("""COMPUTED_VALUE"""),"SCoFT")</f>
        <v>SCoFT</v>
      </c>
      <c r="C422" s="2" t="str">
        <f>IFERROR(__xludf.DUMMYFUNCTION("""COMPUTED_VALUE"""),"CS3059")</f>
        <v>CS3059</v>
      </c>
      <c r="D422" s="2" t="str">
        <f>IFERROR(__xludf.DUMMYFUNCTION("""COMPUTED_VALUE"""),"19AI059")</f>
        <v>19AI059</v>
      </c>
      <c r="E422" s="2"/>
      <c r="F422" s="2" t="str">
        <f>IFERROR(__xludf.DUMMYFUNCTION("""COMPUTED_VALUE"""),"NPTEL")</f>
        <v>NPTEL</v>
      </c>
      <c r="G422" s="3" t="str">
        <f>IFERROR(__xludf.DUMMYFUNCTION("""COMPUTED_VALUE"""),"Scalable Data Science (NPTEL)")</f>
        <v>Scalable Data Science (NPTEL)</v>
      </c>
      <c r="H422" s="2" t="str">
        <f>IFERROR(__xludf.DUMMYFUNCTION("""COMPUTED_VALUE"""),"8 Weeks")</f>
        <v>8 Weeks</v>
      </c>
      <c r="I422" s="2"/>
      <c r="J422" s="2"/>
      <c r="K422" s="2"/>
      <c r="L422" s="2" t="str">
        <f>IFERROR(__xludf.DUMMYFUNCTION("""COMPUTED_VALUE"""),"CGPA ")</f>
        <v>CGPA </v>
      </c>
      <c r="M422" s="2" t="str">
        <f>IFERROR(__xludf.DUMMYFUNCTION("""COMPUTED_VALUE"""),"Experiential Learning (Int and Grade from Certificate)")</f>
        <v>Experiential Learning (Int and Grade from Certificate)</v>
      </c>
      <c r="N422" s="2">
        <f>IFERROR(__xludf.DUMMYFUNCTION("""COMPUTED_VALUE"""),2)</f>
        <v>2</v>
      </c>
      <c r="O422" s="2">
        <f>IFERROR(__xludf.DUMMYFUNCTION("""COMPUTED_VALUE"""),2)</f>
        <v>2</v>
      </c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30.75" customHeight="1" spans="1:26">
      <c r="A423" s="2">
        <f>IFERROR(__xludf.DUMMYFUNCTION("""COMPUTED_VALUE"""),422)</f>
        <v>422</v>
      </c>
      <c r="B423" s="2" t="str">
        <f>IFERROR(__xludf.DUMMYFUNCTION("""COMPUTED_VALUE"""),"BME, MED ELEC")</f>
        <v>BME, MED ELEC</v>
      </c>
      <c r="C423" s="2" t="str">
        <f>IFERROR(__xludf.DUMMYFUNCTION("""COMPUTED_VALUE"""),"EC4677")</f>
        <v>EC4677</v>
      </c>
      <c r="D423" s="2" t="str">
        <f>IFERROR(__xludf.DUMMYFUNCTION("""COMPUTED_VALUE"""),"19BM677")</f>
        <v>19BM677</v>
      </c>
      <c r="E423" s="2"/>
      <c r="F423" s="2" t="str">
        <f>IFERROR(__xludf.DUMMYFUNCTION("""COMPUTED_VALUE"""),"NPTEL")</f>
        <v>NPTEL</v>
      </c>
      <c r="G423" s="3" t="str">
        <f>IFERROR(__xludf.DUMMYFUNCTION("""COMPUTED_VALUE"""),"Science Communication: Research Productivity and Data Analytics using Open Source Software (NPTEL)")</f>
        <v>Science Communication: Research Productivity and Data Analytics using Open Source Software (NPTEL)</v>
      </c>
      <c r="H423" s="2" t="str">
        <f>IFERROR(__xludf.DUMMYFUNCTION("""COMPUTED_VALUE"""),"12 Weeks")</f>
        <v>12 Weeks</v>
      </c>
      <c r="I423" s="2"/>
      <c r="J423" s="2"/>
      <c r="K423" s="2"/>
      <c r="L423" s="2" t="str">
        <f>IFERROR(__xludf.DUMMYFUNCTION("""COMPUTED_VALUE"""),"CGPA")</f>
        <v>CGPA</v>
      </c>
      <c r="M423" s="2" t="str">
        <f>IFERROR(__xludf.DUMMYFUNCTION("""COMPUTED_VALUE"""),"Experiential Learning (Int and Grade from Certificate)")</f>
        <v>Experiential Learning (Int and Grade from Certificate)</v>
      </c>
      <c r="N423" s="2">
        <f>IFERROR(__xludf.DUMMYFUNCTION("""COMPUTED_VALUE"""),3)</f>
        <v>3</v>
      </c>
      <c r="O423" s="2">
        <f>IFERROR(__xludf.DUMMYFUNCTION("""COMPUTED_VALUE"""),3)</f>
        <v>3</v>
      </c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30.75" customHeight="1" spans="1:26">
      <c r="A424" s="2">
        <f>IFERROR(__xludf.DUMMYFUNCTION("""COMPUTED_VALUE"""),423)</f>
        <v>423</v>
      </c>
      <c r="B424" s="2" t="str">
        <f>IFERROR(__xludf.DUMMYFUNCTION("""COMPUTED_VALUE"""),"BME, MED ELEC")</f>
        <v>BME, MED ELEC</v>
      </c>
      <c r="C424" s="2" t="str">
        <f>IFERROR(__xludf.DUMMYFUNCTION("""COMPUTED_VALUE"""),"EC4678")</f>
        <v>EC4678</v>
      </c>
      <c r="D424" s="2" t="str">
        <f>IFERROR(__xludf.DUMMYFUNCTION("""COMPUTED_VALUE"""),"19BM678")</f>
        <v>19BM678</v>
      </c>
      <c r="E424" s="2"/>
      <c r="F424" s="2" t="str">
        <f>IFERROR(__xludf.DUMMYFUNCTION("""COMPUTED_VALUE"""),"NPTEL")</f>
        <v>NPTEL</v>
      </c>
      <c r="G424" s="3" t="str">
        <f>IFERROR(__xludf.DUMMYFUNCTION("""COMPUTED_VALUE"""),"Scientific Computing using Matlab (NPTEL)")</f>
        <v>Scientific Computing using Matlab (NPTEL)</v>
      </c>
      <c r="H424" s="2" t="str">
        <f>IFERROR(__xludf.DUMMYFUNCTION("""COMPUTED_VALUE"""),"12 Weeks")</f>
        <v>12 Weeks</v>
      </c>
      <c r="I424" s="2"/>
      <c r="J424" s="2"/>
      <c r="K424" s="2"/>
      <c r="L424" s="2" t="str">
        <f>IFERROR(__xludf.DUMMYFUNCTION("""COMPUTED_VALUE"""),"CGPA")</f>
        <v>CGPA</v>
      </c>
      <c r="M424" s="2" t="str">
        <f>IFERROR(__xludf.DUMMYFUNCTION("""COMPUTED_VALUE"""),"Experiential Learning (Int and Grade from Certificate)")</f>
        <v>Experiential Learning (Int and Grade from Certificate)</v>
      </c>
      <c r="N424" s="2">
        <f>IFERROR(__xludf.DUMMYFUNCTION("""COMPUTED_VALUE"""),3)</f>
        <v>3</v>
      </c>
      <c r="O424" s="2">
        <f>IFERROR(__xludf.DUMMYFUNCTION("""COMPUTED_VALUE"""),3)</f>
        <v>3</v>
      </c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30.75" customHeight="1" spans="1:26">
      <c r="A425" s="2">
        <f>IFERROR(__xludf.DUMMYFUNCTION("""COMPUTED_VALUE"""),424)</f>
        <v>424</v>
      </c>
      <c r="B425" s="2" t="str">
        <f>IFERROR(__xludf.DUMMYFUNCTION("""COMPUTED_VALUE"""),"SCoFT")</f>
        <v>SCoFT</v>
      </c>
      <c r="C425" s="2" t="str">
        <f>IFERROR(__xludf.DUMMYFUNCTION("""COMPUTED_VALUE"""),"CS3125")</f>
        <v>CS3125</v>
      </c>
      <c r="D425" s="2" t="str">
        <f>IFERROR(__xludf.DUMMYFUNCTION("""COMPUTED_VALUE"""),"19AI125")</f>
        <v>19AI125</v>
      </c>
      <c r="E425" s="2"/>
      <c r="F425" s="2" t="str">
        <f>IFERROR(__xludf.DUMMYFUNCTION("""COMPUTED_VALUE"""),"COURSERA")</f>
        <v>COURSERA</v>
      </c>
      <c r="G425" s="3" t="str">
        <f>IFERROR(__xludf.DUMMYFUNCTION("""COMPUTED_VALUE"""),"Scrum Master Certification Specialization (Coursera)")</f>
        <v>Scrum Master Certification Specialization (Coursera)</v>
      </c>
      <c r="H425" s="2" t="str">
        <f>IFERROR(__xludf.DUMMYFUNCTION("""COMPUTED_VALUE"""),"8 Weeks")</f>
        <v>8 Weeks</v>
      </c>
      <c r="I425" s="2"/>
      <c r="J425" s="2"/>
      <c r="K425" s="2"/>
      <c r="L425" s="2" t="str">
        <f>IFERROR(__xludf.DUMMYFUNCTION("""COMPUTED_VALUE"""),"CGPA")</f>
        <v>CGPA</v>
      </c>
      <c r="M425" s="2" t="str">
        <f>IFERROR(__xludf.DUMMYFUNCTION("""COMPUTED_VALUE"""),"Experiential Learning (Int and Grade from Certificate)")</f>
        <v>Experiential Learning (Int and Grade from Certificate)</v>
      </c>
      <c r="N425" s="2">
        <f>IFERROR(__xludf.DUMMYFUNCTION("""COMPUTED_VALUE"""),2)</f>
        <v>2</v>
      </c>
      <c r="O425" s="2">
        <f>IFERROR(__xludf.DUMMYFUNCTION("""COMPUTED_VALUE"""),2)</f>
        <v>2</v>
      </c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30.75" customHeight="1" spans="1:26">
      <c r="A426" s="2">
        <f>IFERROR(__xludf.DUMMYFUNCTION("""COMPUTED_VALUE"""),425)</f>
        <v>425</v>
      </c>
      <c r="B426" s="2" t="str">
        <f>IFERROR(__xludf.DUMMYFUNCTION("""COMPUTED_VALUE"""),"SCoFT")</f>
        <v>SCoFT</v>
      </c>
      <c r="C426" s="2" t="str">
        <f>IFERROR(__xludf.DUMMYFUNCTION("""COMPUTED_VALUE"""),"CS3060")</f>
        <v>CS3060</v>
      </c>
      <c r="D426" s="2" t="str">
        <f>IFERROR(__xludf.DUMMYFUNCTION("""COMPUTED_VALUE"""),"19AI060")</f>
        <v>19AI060</v>
      </c>
      <c r="E426" s="2"/>
      <c r="F426" s="2" t="str">
        <f>IFERROR(__xludf.DUMMYFUNCTION("""COMPUTED_VALUE"""),"NPTEL")</f>
        <v>NPTEL</v>
      </c>
      <c r="G426" s="3" t="str">
        <f>IFERROR(__xludf.DUMMYFUNCTION("""COMPUTED_VALUE"""),"Secure Computation: Part II (NPTEL)")</f>
        <v>Secure Computation: Part II (NPTEL)</v>
      </c>
      <c r="H426" s="2" t="str">
        <f>IFERROR(__xludf.DUMMYFUNCTION("""COMPUTED_VALUE"""),"12 Weeks")</f>
        <v>12 Weeks</v>
      </c>
      <c r="I426" s="2"/>
      <c r="J426" s="2"/>
      <c r="K426" s="2"/>
      <c r="L426" s="2" t="str">
        <f>IFERROR(__xludf.DUMMYFUNCTION("""COMPUTED_VALUE"""),"CGPA ")</f>
        <v>CGPA </v>
      </c>
      <c r="M426" s="2" t="str">
        <f>IFERROR(__xludf.DUMMYFUNCTION("""COMPUTED_VALUE"""),"Experiential Learning (Int and Grade from Certificate)")</f>
        <v>Experiential Learning (Int and Grade from Certificate)</v>
      </c>
      <c r="N426" s="2">
        <f>IFERROR(__xludf.DUMMYFUNCTION("""COMPUTED_VALUE"""),3)</f>
        <v>3</v>
      </c>
      <c r="O426" s="2">
        <f>IFERROR(__xludf.DUMMYFUNCTION("""COMPUTED_VALUE"""),3)</f>
        <v>3</v>
      </c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30.75" customHeight="1" spans="1:26">
      <c r="A427" s="2">
        <f>IFERROR(__xludf.DUMMYFUNCTION("""COMPUTED_VALUE"""),426)</f>
        <v>426</v>
      </c>
      <c r="B427" s="2" t="str">
        <f>IFERROR(__xludf.DUMMYFUNCTION("""COMPUTED_VALUE"""),"ECE")</f>
        <v>ECE</v>
      </c>
      <c r="C427" s="2" t="str">
        <f>IFERROR(__xludf.DUMMYFUNCTION("""COMPUTED_VALUE"""),"EC1624")</f>
        <v>EC1624</v>
      </c>
      <c r="D427" s="2" t="str">
        <f>IFERROR(__xludf.DUMMYFUNCTION("""COMPUTED_VALUE"""),"19EC624")</f>
        <v>19EC624</v>
      </c>
      <c r="E427" s="2"/>
      <c r="F427" s="2" t="str">
        <f>IFERROR(__xludf.DUMMYFUNCTION("""COMPUTED_VALUE"""),"NPTEL")</f>
        <v>NPTEL</v>
      </c>
      <c r="G427" s="3" t="str">
        <f>IFERROR(__xludf.DUMMYFUNCTION("""COMPUTED_VALUE"""),"Sensors and Actuators (NPTEL)")</f>
        <v>Sensors and Actuators (NPTEL)</v>
      </c>
      <c r="H427" s="2" t="str">
        <f>IFERROR(__xludf.DUMMYFUNCTION("""COMPUTED_VALUE"""),"12 Weeks")</f>
        <v>12 Weeks</v>
      </c>
      <c r="I427" s="4">
        <f>IFERROR(__xludf.DUMMYFUNCTION("""COMPUTED_VALUE"""),45224)</f>
        <v>45224</v>
      </c>
      <c r="J427" s="2" t="str">
        <f>IFERROR(__xludf.DUMMYFUNCTION("""COMPUTED_VALUE"""),"30/75")</f>
        <v>30/75</v>
      </c>
      <c r="K427" s="2" t="str">
        <f>IFERROR(__xludf.DUMMYFUNCTION("""COMPUTED_VALUE"""),"40/100")</f>
        <v>40/100</v>
      </c>
      <c r="L427" s="2" t="str">
        <f>IFERROR(__xludf.DUMMYFUNCTION("""COMPUTED_VALUE"""),"CGPA ")</f>
        <v>CGPA </v>
      </c>
      <c r="M427" s="2" t="str">
        <f>IFERROR(__xludf.DUMMYFUNCTION("""COMPUTED_VALUE"""),"Experiential Learning (Int and Grade from Certificate)")</f>
        <v>Experiential Learning (Int and Grade from Certificate)</v>
      </c>
      <c r="N427" s="2">
        <f>IFERROR(__xludf.DUMMYFUNCTION("""COMPUTED_VALUE"""),2)</f>
        <v>2</v>
      </c>
      <c r="O427" s="2">
        <f>IFERROR(__xludf.DUMMYFUNCTION("""COMPUTED_VALUE"""),3)</f>
        <v>3</v>
      </c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30.75" customHeight="1" spans="1:26">
      <c r="A428" s="2">
        <f>IFERROR(__xludf.DUMMYFUNCTION("""COMPUTED_VALUE"""),427)</f>
        <v>427</v>
      </c>
      <c r="B428" s="2" t="str">
        <f>IFERROR(__xludf.DUMMYFUNCTION("""COMPUTED_VALUE"""),"SCoFT")</f>
        <v>SCoFT</v>
      </c>
      <c r="C428" s="2" t="str">
        <f>IFERROR(__xludf.DUMMYFUNCTION("""COMPUTED_VALUE"""),"CS3061")</f>
        <v>CS3061</v>
      </c>
      <c r="D428" s="2" t="str">
        <f>IFERROR(__xludf.DUMMYFUNCTION("""COMPUTED_VALUE"""),"19AI061")</f>
        <v>19AI061</v>
      </c>
      <c r="E428" s="2"/>
      <c r="F428" s="2" t="str">
        <f>IFERROR(__xludf.DUMMYFUNCTION("""COMPUTED_VALUE"""),"NPTEL")</f>
        <v>NPTEL</v>
      </c>
      <c r="G428" s="3" t="str">
        <f>IFERROR(__xludf.DUMMYFUNCTION("""COMPUTED_VALUE"""),"Social Network Analysis (NPTEL)")</f>
        <v>Social Network Analysis (NPTEL)</v>
      </c>
      <c r="H428" s="2" t="str">
        <f>IFERROR(__xludf.DUMMYFUNCTION("""COMPUTED_VALUE"""),"12 Weeks")</f>
        <v>12 Weeks</v>
      </c>
      <c r="I428" s="2"/>
      <c r="J428" s="2"/>
      <c r="K428" s="2"/>
      <c r="L428" s="2" t="str">
        <f>IFERROR(__xludf.DUMMYFUNCTION("""COMPUTED_VALUE"""),"CGPA ")</f>
        <v>CGPA </v>
      </c>
      <c r="M428" s="2" t="str">
        <f>IFERROR(__xludf.DUMMYFUNCTION("""COMPUTED_VALUE"""),"Experiential Learning (Int and Grade from Certificate)")</f>
        <v>Experiential Learning (Int and Grade from Certificate)</v>
      </c>
      <c r="N428" s="2">
        <f>IFERROR(__xludf.DUMMYFUNCTION("""COMPUTED_VALUE"""),3)</f>
        <v>3</v>
      </c>
      <c r="O428" s="2">
        <f>IFERROR(__xludf.DUMMYFUNCTION("""COMPUTED_VALUE"""),3)</f>
        <v>3</v>
      </c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30.75" customHeight="1" spans="1:26">
      <c r="A429" s="2">
        <f>IFERROR(__xludf.DUMMYFUNCTION("""COMPUTED_VALUE"""),428)</f>
        <v>428</v>
      </c>
      <c r="B429" s="2" t="str">
        <f>IFERROR(__xludf.DUMMYFUNCTION("""COMPUTED_VALUE"""),"SCoFT")</f>
        <v>SCoFT</v>
      </c>
      <c r="C429" s="2" t="str">
        <f>IFERROR(__xludf.DUMMYFUNCTION("""COMPUTED_VALUE"""),"CS2602")</f>
        <v>CS2602</v>
      </c>
      <c r="D429" s="2" t="str">
        <f>IFERROR(__xludf.DUMMYFUNCTION("""COMPUTED_VALUE"""),"19IT602")</f>
        <v>19IT602</v>
      </c>
      <c r="E429" s="2"/>
      <c r="F429" s="2" t="str">
        <f>IFERROR(__xludf.DUMMYFUNCTION("""COMPUTED_VALUE"""),"NPTEL(IIT Ropar)")</f>
        <v>NPTEL(IIT Ropar)</v>
      </c>
      <c r="G429" s="3" t="str">
        <f>IFERROR(__xludf.DUMMYFUNCTION("""COMPUTED_VALUE"""),"Social Networks (NPTEL)")</f>
        <v>Social Networks (NPTEL)</v>
      </c>
      <c r="H429" s="2" t="str">
        <f>IFERROR(__xludf.DUMMYFUNCTION("""COMPUTED_VALUE"""),"12 Weeks")</f>
        <v>12 Weeks</v>
      </c>
      <c r="I429" s="2" t="str">
        <f>IFERROR(__xludf.DUMMYFUNCTION("""COMPUTED_VALUE"""),"10 / 25")</f>
        <v>10 / 25</v>
      </c>
      <c r="J429" s="2" t="str">
        <f>IFERROR(__xludf.DUMMYFUNCTION("""COMPUTED_VALUE"""),"30 / 75")</f>
        <v>30 / 75</v>
      </c>
      <c r="K429" s="2" t="str">
        <f>IFERROR(__xludf.DUMMYFUNCTION("""COMPUTED_VALUE"""),"40 / 100")</f>
        <v>40 / 100</v>
      </c>
      <c r="L429" s="2" t="str">
        <f>IFERROR(__xludf.DUMMYFUNCTION("""COMPUTED_VALUE"""),"CGPA ")</f>
        <v>CGPA </v>
      </c>
      <c r="M429" s="2" t="str">
        <f>IFERROR(__xludf.DUMMYFUNCTION("""COMPUTED_VALUE"""),"Experiential Learning (Int and Grade from Certificate)")</f>
        <v>Experiential Learning (Int and Grade from Certificate)</v>
      </c>
      <c r="N429" s="2">
        <f>IFERROR(__xludf.DUMMYFUNCTION("""COMPUTED_VALUE"""),2)</f>
        <v>2</v>
      </c>
      <c r="O429" s="2">
        <f>IFERROR(__xludf.DUMMYFUNCTION("""COMPUTED_VALUE"""),3)</f>
        <v>3</v>
      </c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30.75" customHeight="1" spans="1:26">
      <c r="A430" s="2">
        <f>IFERROR(__xludf.DUMMYFUNCTION("""COMPUTED_VALUE"""),429)</f>
        <v>429</v>
      </c>
      <c r="B430" s="2" t="str">
        <f>IFERROR(__xludf.DUMMYFUNCTION("""COMPUTED_VALUE"""),"CHEMICAL")</f>
        <v>CHEMICAL</v>
      </c>
      <c r="C430" s="2" t="str">
        <f>IFERROR(__xludf.DUMMYFUNCTION("""COMPUTED_VALUE"""),"CH0621")</f>
        <v>CH0621</v>
      </c>
      <c r="D430" s="2" t="str">
        <f>IFERROR(__xludf.DUMMYFUNCTION("""COMPUTED_VALUE"""),"19CH621")</f>
        <v>19CH621</v>
      </c>
      <c r="E430" s="2"/>
      <c r="F430" s="2" t="str">
        <f>IFERROR(__xludf.DUMMYFUNCTION("""COMPUTED_VALUE"""),"NPTEL")</f>
        <v>NPTEL</v>
      </c>
      <c r="G430" s="3" t="str">
        <f>IFERROR(__xludf.DUMMYFUNCTION("""COMPUTED_VALUE"""),"Soft Nano Technology (NPTEL)")</f>
        <v>Soft Nano Technology (NPTEL)</v>
      </c>
      <c r="H430" s="2" t="str">
        <f>IFERROR(__xludf.DUMMYFUNCTION("""COMPUTED_VALUE"""),"8 Weeks")</f>
        <v>8 Weeks</v>
      </c>
      <c r="I430" s="2"/>
      <c r="J430" s="2"/>
      <c r="K430" s="2"/>
      <c r="L430" s="2" t="str">
        <f>IFERROR(__xludf.DUMMYFUNCTION("""COMPUTED_VALUE"""),"CGPA ")</f>
        <v>CGPA </v>
      </c>
      <c r="M430" s="2" t="str">
        <f>IFERROR(__xludf.DUMMYFUNCTION("""COMPUTED_VALUE"""),"Experiential Learning (Int and Grade from Certificate)")</f>
        <v>Experiential Learning (Int and Grade from Certificate)</v>
      </c>
      <c r="N430" s="2">
        <f>IFERROR(__xludf.DUMMYFUNCTION("""COMPUTED_VALUE"""),2)</f>
        <v>2</v>
      </c>
      <c r="O430" s="2">
        <f>IFERROR(__xludf.DUMMYFUNCTION("""COMPUTED_VALUE"""),2)</f>
        <v>2</v>
      </c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30.75" customHeight="1" spans="1:26">
      <c r="A431" s="2">
        <f>IFERROR(__xludf.DUMMYFUNCTION("""COMPUTED_VALUE"""),430)</f>
        <v>430</v>
      </c>
      <c r="B431" s="2" t="str">
        <f>IFERROR(__xludf.DUMMYFUNCTION("""COMPUTED_VALUE"""),"SCoFT")</f>
        <v>SCoFT</v>
      </c>
      <c r="C431" s="2" t="str">
        <f>IFERROR(__xludf.DUMMYFUNCTION("""COMPUTED_VALUE"""),"CS3089")</f>
        <v>CS3089</v>
      </c>
      <c r="D431" s="2" t="str">
        <f>IFERROR(__xludf.DUMMYFUNCTION("""COMPUTED_VALUE"""),"19AI089")</f>
        <v>19AI089</v>
      </c>
      <c r="E431" s="2"/>
      <c r="F431" s="2" t="str">
        <f>IFERROR(__xludf.DUMMYFUNCTION("""COMPUTED_VALUE"""),"COURSERA")</f>
        <v>COURSERA</v>
      </c>
      <c r="G431" s="3" t="str">
        <f>IFERROR(__xludf.DUMMYFUNCTION("""COMPUTED_VALUE"""),"Software Architecture for IoT (Coursera)")</f>
        <v>Software Architecture for IoT (Coursera)</v>
      </c>
      <c r="H431" s="2" t="str">
        <f>IFERROR(__xludf.DUMMYFUNCTION("""COMPUTED_VALUE"""),"5 weeks")</f>
        <v>5 weeks</v>
      </c>
      <c r="I431" s="2"/>
      <c r="J431" s="2"/>
      <c r="K431" s="2"/>
      <c r="L431" s="2" t="str">
        <f>IFERROR(__xludf.DUMMYFUNCTION("""COMPUTED_VALUE"""),"CGPA")</f>
        <v>CGPA</v>
      </c>
      <c r="M431" s="2" t="str">
        <f>IFERROR(__xludf.DUMMYFUNCTION("""COMPUTED_VALUE"""),"Experiential Learning (Int and Grade from Certificate)")</f>
        <v>Experiential Learning (Int and Grade from Certificate)</v>
      </c>
      <c r="N431" s="2">
        <f>IFERROR(__xludf.DUMMYFUNCTION("""COMPUTED_VALUE"""),1)</f>
        <v>1</v>
      </c>
      <c r="O431" s="2">
        <f>IFERROR(__xludf.DUMMYFUNCTION("""COMPUTED_VALUE"""),1)</f>
        <v>1</v>
      </c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30.75" customHeight="1" spans="1:26">
      <c r="A432" s="2">
        <f>IFERROR(__xludf.DUMMYFUNCTION("""COMPUTED_VALUE"""),431)</f>
        <v>431</v>
      </c>
      <c r="B432" s="2" t="str">
        <f>IFERROR(__xludf.DUMMYFUNCTION("""COMPUTED_VALUE"""),"SCoFT")</f>
        <v>SCoFT</v>
      </c>
      <c r="C432" s="2" t="str">
        <f>IFERROR(__xludf.DUMMYFUNCTION("""COMPUTED_VALUE"""),"CS3062")</f>
        <v>CS3062</v>
      </c>
      <c r="D432" s="2" t="str">
        <f>IFERROR(__xludf.DUMMYFUNCTION("""COMPUTED_VALUE"""),"19AI062")</f>
        <v>19AI062</v>
      </c>
      <c r="E432" s="2"/>
      <c r="F432" s="2" t="str">
        <f>IFERROR(__xludf.DUMMYFUNCTION("""COMPUTED_VALUE"""),"NPTEL")</f>
        <v>NPTEL</v>
      </c>
      <c r="G432" s="3" t="str">
        <f>IFERROR(__xludf.DUMMYFUNCTION("""COMPUTED_VALUE"""),"Software Conceptual Design (NPTEL)")</f>
        <v>Software Conceptual Design (NPTEL)</v>
      </c>
      <c r="H432" s="2" t="str">
        <f>IFERROR(__xludf.DUMMYFUNCTION("""COMPUTED_VALUE"""),"4 Weeks")</f>
        <v>4 Weeks</v>
      </c>
      <c r="I432" s="2"/>
      <c r="J432" s="2"/>
      <c r="K432" s="2"/>
      <c r="L432" s="2" t="str">
        <f>IFERROR(__xludf.DUMMYFUNCTION("""COMPUTED_VALUE"""),"CGPA ")</f>
        <v>CGPA </v>
      </c>
      <c r="M432" s="2" t="str">
        <f>IFERROR(__xludf.DUMMYFUNCTION("""COMPUTED_VALUE"""),"Experiential Learning (Int and Grade from Certificate)")</f>
        <v>Experiential Learning (Int and Grade from Certificate)</v>
      </c>
      <c r="N432" s="2">
        <f>IFERROR(__xludf.DUMMYFUNCTION("""COMPUTED_VALUE"""),1)</f>
        <v>1</v>
      </c>
      <c r="O432" s="2">
        <f>IFERROR(__xludf.DUMMYFUNCTION("""COMPUTED_VALUE"""),1)</f>
        <v>1</v>
      </c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30.75" customHeight="1" spans="1:26">
      <c r="A433" s="2">
        <f>IFERROR(__xludf.DUMMYFUNCTION("""COMPUTED_VALUE"""),432)</f>
        <v>432</v>
      </c>
      <c r="B433" s="2" t="str">
        <f>IFERROR(__xludf.DUMMYFUNCTION("""COMPUTED_VALUE"""),"SCoFT")</f>
        <v>SCoFT</v>
      </c>
      <c r="C433" s="2" t="str">
        <f>IFERROR(__xludf.DUMMYFUNCTION("""COMPUTED_VALUE"""),"CS3063")</f>
        <v>CS3063</v>
      </c>
      <c r="D433" s="2" t="str">
        <f>IFERROR(__xludf.DUMMYFUNCTION("""COMPUTED_VALUE"""),"19AI063")</f>
        <v>19AI063</v>
      </c>
      <c r="E433" s="2"/>
      <c r="F433" s="2" t="str">
        <f>IFERROR(__xludf.DUMMYFUNCTION("""COMPUTED_VALUE"""),"NPTEL")</f>
        <v>NPTEL</v>
      </c>
      <c r="G433" s="3" t="str">
        <f>IFERROR(__xludf.DUMMYFUNCTION("""COMPUTED_VALUE"""),"Software Engineering (NPTEL)")</f>
        <v>Software Engineering (NPTEL)</v>
      </c>
      <c r="H433" s="2" t="str">
        <f>IFERROR(__xludf.DUMMYFUNCTION("""COMPUTED_VALUE"""),"12 Weeks")</f>
        <v>12 Weeks</v>
      </c>
      <c r="I433" s="2"/>
      <c r="J433" s="2"/>
      <c r="K433" s="2"/>
      <c r="L433" s="2" t="str">
        <f>IFERROR(__xludf.DUMMYFUNCTION("""COMPUTED_VALUE"""),"CGPA ")</f>
        <v>CGPA </v>
      </c>
      <c r="M433" s="2" t="str">
        <f>IFERROR(__xludf.DUMMYFUNCTION("""COMPUTED_VALUE"""),"Experiential Learning (Int and Grade from Certificate)")</f>
        <v>Experiential Learning (Int and Grade from Certificate)</v>
      </c>
      <c r="N433" s="2">
        <f>IFERROR(__xludf.DUMMYFUNCTION("""COMPUTED_VALUE"""),3)</f>
        <v>3</v>
      </c>
      <c r="O433" s="2">
        <f>IFERROR(__xludf.DUMMYFUNCTION("""COMPUTED_VALUE"""),3)</f>
        <v>3</v>
      </c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30.75" customHeight="1" spans="1:26">
      <c r="A434" s="2">
        <f>IFERROR(__xludf.DUMMYFUNCTION("""COMPUTED_VALUE"""),433)</f>
        <v>433</v>
      </c>
      <c r="B434" s="2" t="str">
        <f>IFERROR(__xludf.DUMMYFUNCTION("""COMPUTED_VALUE"""),"SCoFT")</f>
        <v>SCoFT</v>
      </c>
      <c r="C434" s="2" t="str">
        <f>IFERROR(__xludf.DUMMYFUNCTION("""COMPUTED_VALUE"""),"CS3064")</f>
        <v>CS3064</v>
      </c>
      <c r="D434" s="2" t="str">
        <f>IFERROR(__xludf.DUMMYFUNCTION("""COMPUTED_VALUE"""),"19AI064")</f>
        <v>19AI064</v>
      </c>
      <c r="E434" s="2"/>
      <c r="F434" s="2" t="str">
        <f>IFERROR(__xludf.DUMMYFUNCTION("""COMPUTED_VALUE"""),"NPTEL")</f>
        <v>NPTEL</v>
      </c>
      <c r="G434" s="3" t="str">
        <f>IFERROR(__xludf.DUMMYFUNCTION("""COMPUTED_VALUE"""),"Software Project Management (NPTEL)")</f>
        <v>Software Project Management (NPTEL)</v>
      </c>
      <c r="H434" s="2" t="str">
        <f>IFERROR(__xludf.DUMMYFUNCTION("""COMPUTED_VALUE"""),"12 Weeks")</f>
        <v>12 Weeks</v>
      </c>
      <c r="I434" s="2"/>
      <c r="J434" s="2"/>
      <c r="K434" s="2"/>
      <c r="L434" s="2" t="str">
        <f>IFERROR(__xludf.DUMMYFUNCTION("""COMPUTED_VALUE"""),"CGPA ")</f>
        <v>CGPA </v>
      </c>
      <c r="M434" s="2" t="str">
        <f>IFERROR(__xludf.DUMMYFUNCTION("""COMPUTED_VALUE"""),"Experiential Learning (Int and Grade from Certificate)")</f>
        <v>Experiential Learning (Int and Grade from Certificate)</v>
      </c>
      <c r="N434" s="2">
        <f>IFERROR(__xludf.DUMMYFUNCTION("""COMPUTED_VALUE"""),3)</f>
        <v>3</v>
      </c>
      <c r="O434" s="2">
        <f>IFERROR(__xludf.DUMMYFUNCTION("""COMPUTED_VALUE"""),3)</f>
        <v>3</v>
      </c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30.75" customHeight="1" spans="1:26">
      <c r="A435" s="2">
        <f>IFERROR(__xludf.DUMMYFUNCTION("""COMPUTED_VALUE"""),434)</f>
        <v>434</v>
      </c>
      <c r="B435" s="2" t="str">
        <f>IFERROR(__xludf.DUMMYFUNCTION("""COMPUTED_VALUE"""),"SCoFT")</f>
        <v>SCoFT</v>
      </c>
      <c r="C435" s="2" t="str">
        <f>IFERROR(__xludf.DUMMYFUNCTION("""COMPUTED_VALUE"""),"CS3065")</f>
        <v>CS3065</v>
      </c>
      <c r="D435" s="2" t="str">
        <f>IFERROR(__xludf.DUMMYFUNCTION("""COMPUTED_VALUE"""),"19AI065")</f>
        <v>19AI065</v>
      </c>
      <c r="E435" s="2"/>
      <c r="F435" s="2" t="str">
        <f>IFERROR(__xludf.DUMMYFUNCTION("""COMPUTED_VALUE"""),"NPTEL")</f>
        <v>NPTEL</v>
      </c>
      <c r="G435" s="3" t="str">
        <f>IFERROR(__xludf.DUMMYFUNCTION("""COMPUTED_VALUE"""),"Software Testing (NPTEL)")</f>
        <v>Software Testing (NPTEL)</v>
      </c>
      <c r="H435" s="2" t="str">
        <f>IFERROR(__xludf.DUMMYFUNCTION("""COMPUTED_VALUE"""),"12 Weeks")</f>
        <v>12 Weeks</v>
      </c>
      <c r="I435" s="2"/>
      <c r="J435" s="2"/>
      <c r="K435" s="2"/>
      <c r="L435" s="2" t="str">
        <f>IFERROR(__xludf.DUMMYFUNCTION("""COMPUTED_VALUE"""),"CGPA ")</f>
        <v>CGPA </v>
      </c>
      <c r="M435" s="2" t="str">
        <f>IFERROR(__xludf.DUMMYFUNCTION("""COMPUTED_VALUE"""),"Experiential Learning (Int and Grade from Certificate)")</f>
        <v>Experiential Learning (Int and Grade from Certificate)</v>
      </c>
      <c r="N435" s="2">
        <f>IFERROR(__xludf.DUMMYFUNCTION("""COMPUTED_VALUE"""),3)</f>
        <v>3</v>
      </c>
      <c r="O435" s="2">
        <f>IFERROR(__xludf.DUMMYFUNCTION("""COMPUTED_VALUE"""),3)</f>
        <v>3</v>
      </c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30.75" customHeight="1" spans="1:26">
      <c r="A436" s="2">
        <f>IFERROR(__xludf.DUMMYFUNCTION("""COMPUTED_VALUE"""),435)</f>
        <v>435</v>
      </c>
      <c r="B436" s="2" t="str">
        <f>IFERROR(__xludf.DUMMYFUNCTION("""COMPUTED_VALUE"""),"CHEMICAL, BME, MED ELEC")</f>
        <v>CHEMICAL, BME, MED ELEC</v>
      </c>
      <c r="C436" s="2" t="str">
        <f>IFERROR(__xludf.DUMMYFUNCTION("""COMPUTED_VALUE"""),"CH0609")</f>
        <v>CH0609</v>
      </c>
      <c r="D436" s="2" t="str">
        <f>IFERROR(__xludf.DUMMYFUNCTION("""COMPUTED_VALUE"""),"19CH609")</f>
        <v>19CH609</v>
      </c>
      <c r="E436" s="2"/>
      <c r="F436" s="2" t="str">
        <f>IFERROR(__xludf.DUMMYFUNCTION("""COMPUTED_VALUE"""),"NPTEL")</f>
        <v>NPTEL</v>
      </c>
      <c r="G436" s="3" t="str">
        <f>IFERROR(__xludf.DUMMYFUNCTION("""COMPUTED_VALUE"""),"Soil and Water Conservation Engineering (NPTEL)")</f>
        <v>Soil and Water Conservation Engineering (NPTEL)</v>
      </c>
      <c r="H436" s="2" t="str">
        <f>IFERROR(__xludf.DUMMYFUNCTION("""COMPUTED_VALUE"""),"12 Weeks")</f>
        <v>12 Weeks</v>
      </c>
      <c r="I436" s="2"/>
      <c r="J436" s="2"/>
      <c r="K436" s="2"/>
      <c r="L436" s="2" t="str">
        <f>IFERROR(__xludf.DUMMYFUNCTION("""COMPUTED_VALUE"""),"CGPA ")</f>
        <v>CGPA </v>
      </c>
      <c r="M436" s="2" t="str">
        <f>IFERROR(__xludf.DUMMYFUNCTION("""COMPUTED_VALUE"""),"Experiential Learning (Int and Grade from Certificate)")</f>
        <v>Experiential Learning (Int and Grade from Certificate)</v>
      </c>
      <c r="N436" s="2">
        <f>IFERROR(__xludf.DUMMYFUNCTION("""COMPUTED_VALUE"""),2)</f>
        <v>2</v>
      </c>
      <c r="O436" s="2">
        <f>IFERROR(__xludf.DUMMYFUNCTION("""COMPUTED_VALUE"""),3)</f>
        <v>3</v>
      </c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30.75" customHeight="1" spans="1:26">
      <c r="A437" s="2">
        <f>IFERROR(__xludf.DUMMYFUNCTION("""COMPUTED_VALUE"""),436)</f>
        <v>436</v>
      </c>
      <c r="B437" s="2" t="str">
        <f>IFERROR(__xludf.DUMMYFUNCTION("""COMPUTED_VALUE"""),"EEE, MECH")</f>
        <v>EEE, MECH</v>
      </c>
      <c r="C437" s="2" t="str">
        <f>IFERROR(__xludf.DUMMYFUNCTION("""COMPUTED_VALUE"""),"EC2612")</f>
        <v>EC2612</v>
      </c>
      <c r="D437" s="2" t="str">
        <f>IFERROR(__xludf.DUMMYFUNCTION("""COMPUTED_VALUE"""),"19EE612")</f>
        <v>19EE612</v>
      </c>
      <c r="E437" s="2"/>
      <c r="F437" s="2" t="str">
        <f>IFERROR(__xludf.DUMMYFUNCTION("""COMPUTED_VALUE"""),"NPTEL")</f>
        <v>NPTEL</v>
      </c>
      <c r="G437" s="3" t="str">
        <f>IFERROR(__xludf.DUMMYFUNCTION("""COMPUTED_VALUE"""),"Solar Photovoltaics: Principles, Technologies and Materials (NPTEL)")</f>
        <v>Solar Photovoltaics: Principles, Technologies and Materials (NPTEL)</v>
      </c>
      <c r="H437" s="2" t="str">
        <f>IFERROR(__xludf.DUMMYFUNCTION("""COMPUTED_VALUE"""),"8 Weeks")</f>
        <v>8 Weeks</v>
      </c>
      <c r="I437" s="2" t="str">
        <f>IFERROR(__xludf.DUMMYFUNCTION("""COMPUTED_VALUE"""),"10 / 25")</f>
        <v>10 / 25</v>
      </c>
      <c r="J437" s="2" t="str">
        <f>IFERROR(__xludf.DUMMYFUNCTION("""COMPUTED_VALUE"""),"30 / 75")</f>
        <v>30 / 75</v>
      </c>
      <c r="K437" s="2" t="str">
        <f>IFERROR(__xludf.DUMMYFUNCTION("""COMPUTED_VALUE"""),"40 / 100")</f>
        <v>40 / 100</v>
      </c>
      <c r="L437" s="2" t="str">
        <f>IFERROR(__xludf.DUMMYFUNCTION("""COMPUTED_VALUE"""),"CGPA ")</f>
        <v>CGPA </v>
      </c>
      <c r="M437" s="2" t="str">
        <f>IFERROR(__xludf.DUMMYFUNCTION("""COMPUTED_VALUE"""),"Experiential Learning (Int and Grade from Certificate)")</f>
        <v>Experiential Learning (Int and Grade from Certificate)</v>
      </c>
      <c r="N437" s="2">
        <f>IFERROR(__xludf.DUMMYFUNCTION("""COMPUTED_VALUE"""),2)</f>
        <v>2</v>
      </c>
      <c r="O437" s="2">
        <f>IFERROR(__xludf.DUMMYFUNCTION("""COMPUTED_VALUE"""),2)</f>
        <v>2</v>
      </c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30.75" customHeight="1" spans="1:26">
      <c r="A438" s="2">
        <f>IFERROR(__xludf.DUMMYFUNCTION("""COMPUTED_VALUE"""),437)</f>
        <v>437</v>
      </c>
      <c r="B438" s="2" t="str">
        <f>IFERROR(__xludf.DUMMYFUNCTION("""COMPUTED_VALUE"""),"SCoFT")</f>
        <v>SCoFT</v>
      </c>
      <c r="C438" s="2" t="str">
        <f>IFERROR(__xludf.DUMMYFUNCTION("""COMPUTED_VALUE"""),"CS3066")</f>
        <v>CS3066</v>
      </c>
      <c r="D438" s="2" t="str">
        <f>IFERROR(__xludf.DUMMYFUNCTION("""COMPUTED_VALUE"""),"19AI066")</f>
        <v>19AI066</v>
      </c>
      <c r="E438" s="2"/>
      <c r="F438" s="2" t="str">
        <f>IFERROR(__xludf.DUMMYFUNCTION("""COMPUTED_VALUE"""),"NPTEL")</f>
        <v>NPTEL</v>
      </c>
      <c r="G438" s="3" t="str">
        <f>IFERROR(__xludf.DUMMYFUNCTION("""COMPUTED_VALUE"""),"Spatial Informatics (NPTEL)")</f>
        <v>Spatial Informatics (NPTEL)</v>
      </c>
      <c r="H438" s="2" t="str">
        <f>IFERROR(__xludf.DUMMYFUNCTION("""COMPUTED_VALUE"""),"8 Weeks")</f>
        <v>8 Weeks</v>
      </c>
      <c r="I438" s="2"/>
      <c r="J438" s="2"/>
      <c r="K438" s="2"/>
      <c r="L438" s="2" t="str">
        <f>IFERROR(__xludf.DUMMYFUNCTION("""COMPUTED_VALUE"""),"CGPA ")</f>
        <v>CGPA </v>
      </c>
      <c r="M438" s="2" t="str">
        <f>IFERROR(__xludf.DUMMYFUNCTION("""COMPUTED_VALUE"""),"Experiential Learning (Int and Grade from Certificate)")</f>
        <v>Experiential Learning (Int and Grade from Certificate)</v>
      </c>
      <c r="N438" s="2">
        <f>IFERROR(__xludf.DUMMYFUNCTION("""COMPUTED_VALUE"""),2)</f>
        <v>2</v>
      </c>
      <c r="O438" s="2">
        <f>IFERROR(__xludf.DUMMYFUNCTION("""COMPUTED_VALUE"""),2)</f>
        <v>2</v>
      </c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30.75" customHeight="1" spans="1:26">
      <c r="A439" s="2">
        <f>IFERROR(__xludf.DUMMYFUNCTION("""COMPUTED_VALUE"""),438)</f>
        <v>438</v>
      </c>
      <c r="B439" s="2" t="str">
        <f>IFERROR(__xludf.DUMMYFUNCTION("""COMPUTED_VALUE"""),"EEE")</f>
        <v>EEE</v>
      </c>
      <c r="C439" s="2" t="str">
        <f>IFERROR(__xludf.DUMMYFUNCTION("""COMPUTED_VALUE"""),"EC2613")</f>
        <v>EC2613</v>
      </c>
      <c r="D439" s="2" t="str">
        <f>IFERROR(__xludf.DUMMYFUNCTION("""COMPUTED_VALUE"""),"19EE613")</f>
        <v>19EE613</v>
      </c>
      <c r="E439" s="2"/>
      <c r="F439" s="2" t="str">
        <f>IFERROR(__xludf.DUMMYFUNCTION("""COMPUTED_VALUE"""),"NPTEL")</f>
        <v>NPTEL</v>
      </c>
      <c r="G439" s="3" t="str">
        <f>IFERROR(__xludf.DUMMYFUNCTION("""COMPUTED_VALUE"""),"Speaking Effectively (NPTEL)")</f>
        <v>Speaking Effectively (NPTEL)</v>
      </c>
      <c r="H439" s="2" t="str">
        <f>IFERROR(__xludf.DUMMYFUNCTION("""COMPUTED_VALUE"""),"8 Weeks")</f>
        <v>8 Weeks</v>
      </c>
      <c r="I439" s="2"/>
      <c r="J439" s="2"/>
      <c r="K439" s="2"/>
      <c r="L439" s="2" t="str">
        <f>IFERROR(__xludf.DUMMYFUNCTION("""COMPUTED_VALUE"""),"CGPA ")</f>
        <v>CGPA </v>
      </c>
      <c r="M439" s="2" t="str">
        <f>IFERROR(__xludf.DUMMYFUNCTION("""COMPUTED_VALUE"""),"Experiential Learning (Int and Grade from Certificate)")</f>
        <v>Experiential Learning (Int and Grade from Certificate)</v>
      </c>
      <c r="N439" s="2">
        <f>IFERROR(__xludf.DUMMYFUNCTION("""COMPUTED_VALUE"""),2)</f>
        <v>2</v>
      </c>
      <c r="O439" s="2">
        <f>IFERROR(__xludf.DUMMYFUNCTION("""COMPUTED_VALUE"""),2)</f>
        <v>2</v>
      </c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30.75" customHeight="1" spans="1:26">
      <c r="A440" s="2">
        <f>IFERROR(__xludf.DUMMYFUNCTION("""COMPUTED_VALUE"""),439)</f>
        <v>439</v>
      </c>
      <c r="B440" s="2" t="str">
        <f>IFERROR(__xludf.DUMMYFUNCTION("""COMPUTED_VALUE"""),"ECE")</f>
        <v>ECE</v>
      </c>
      <c r="C440" s="2" t="str">
        <f>IFERROR(__xludf.DUMMYFUNCTION("""COMPUTED_VALUE"""),"EC1635")</f>
        <v>EC1635</v>
      </c>
      <c r="D440" s="2" t="str">
        <f>IFERROR(__xludf.DUMMYFUNCTION("""COMPUTED_VALUE"""),"19EC635")</f>
        <v>19EC635</v>
      </c>
      <c r="E440" s="2"/>
      <c r="F440" s="2" t="str">
        <f>IFERROR(__xludf.DUMMYFUNCTION("""COMPUTED_VALUE"""),"NPTEL")</f>
        <v>NPTEL</v>
      </c>
      <c r="G440" s="3" t="str">
        <f>IFERROR(__xludf.DUMMYFUNCTION("""COMPUTED_VALUE"""),"Spread Spectrum Communications and Jamming (NPTEL)")</f>
        <v>Spread Spectrum Communications and Jamming (NPTEL)</v>
      </c>
      <c r="H440" s="2" t="str">
        <f>IFERROR(__xludf.DUMMYFUNCTION("""COMPUTED_VALUE"""),"12 Weeks")</f>
        <v>12 Weeks</v>
      </c>
      <c r="I440" s="2"/>
      <c r="J440" s="2"/>
      <c r="K440" s="2"/>
      <c r="L440" s="2" t="str">
        <f>IFERROR(__xludf.DUMMYFUNCTION("""COMPUTED_VALUE"""),"CGPA ")</f>
        <v>CGPA </v>
      </c>
      <c r="M440" s="2" t="str">
        <f>IFERROR(__xludf.DUMMYFUNCTION("""COMPUTED_VALUE"""),"Experiential Learning (Int and Grade from Certificate)")</f>
        <v>Experiential Learning (Int and Grade from Certificate)</v>
      </c>
      <c r="N440" s="2">
        <f>IFERROR(__xludf.DUMMYFUNCTION("""COMPUTED_VALUE"""),2)</f>
        <v>2</v>
      </c>
      <c r="O440" s="2">
        <f>IFERROR(__xludf.DUMMYFUNCTION("""COMPUTED_VALUE"""),3)</f>
        <v>3</v>
      </c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30.75" customHeight="1" spans="1:26">
      <c r="A441" s="2">
        <f>IFERROR(__xludf.DUMMYFUNCTION("""COMPUTED_VALUE"""),440)</f>
        <v>440</v>
      </c>
      <c r="B441" s="2" t="str">
        <f>IFERROR(__xludf.DUMMYFUNCTION("""COMPUTED_VALUE"""),"SCoFT")</f>
        <v>SCoFT</v>
      </c>
      <c r="C441" s="2" t="str">
        <f>IFERROR(__xludf.DUMMYFUNCTION("""COMPUTED_VALUE"""),"CS1613")</f>
        <v>CS1613</v>
      </c>
      <c r="D441" s="2" t="str">
        <f>IFERROR(__xludf.DUMMYFUNCTION("""COMPUTED_VALUE"""),"19CS613")</f>
        <v>19CS613</v>
      </c>
      <c r="E441" s="2"/>
      <c r="F441" s="2" t="str">
        <f>IFERROR(__xludf.DUMMYFUNCTION("""COMPUTED_VALUE"""),"Edx (Stanford University)")</f>
        <v>Edx (Stanford University)</v>
      </c>
      <c r="G441" s="3" t="str">
        <f>IFERROR(__xludf.DUMMYFUNCTION("""COMPUTED_VALUE"""),"Statistical Learning (Edx)")</f>
        <v>Statistical Learning (Edx)</v>
      </c>
      <c r="H441" s="2" t="str">
        <f>IFERROR(__xludf.DUMMYFUNCTION("""COMPUTED_VALUE"""),"9 Weeks ")</f>
        <v>9 Weeks </v>
      </c>
      <c r="I441" s="2"/>
      <c r="J441" s="2"/>
      <c r="K441" s="2"/>
      <c r="L441" s="2" t="str">
        <f>IFERROR(__xludf.DUMMYFUNCTION("""COMPUTED_VALUE"""),"CGPA ")</f>
        <v>CGPA </v>
      </c>
      <c r="M441" s="2" t="str">
        <f>IFERROR(__xludf.DUMMYFUNCTION("""COMPUTED_VALUE"""),"Experiential Learning (Internal Only)")</f>
        <v>Experiential Learning (Internal Only)</v>
      </c>
      <c r="N441" s="2">
        <f>IFERROR(__xludf.DUMMYFUNCTION("""COMPUTED_VALUE"""),2)</f>
        <v>2</v>
      </c>
      <c r="O441" s="2">
        <f>IFERROR(__xludf.DUMMYFUNCTION("""COMPUTED_VALUE"""),2)</f>
        <v>2</v>
      </c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30.75" customHeight="1" spans="1:26">
      <c r="A442" s="2">
        <f>IFERROR(__xludf.DUMMYFUNCTION("""COMPUTED_VALUE"""),441)</f>
        <v>441</v>
      </c>
      <c r="B442" s="2" t="str">
        <f>IFERROR(__xludf.DUMMYFUNCTION("""COMPUTED_VALUE"""),"EIE")</f>
        <v>EIE</v>
      </c>
      <c r="C442" s="2" t="str">
        <f>IFERROR(__xludf.DUMMYFUNCTION("""COMPUTED_VALUE"""),"EC3605")</f>
        <v>EC3605</v>
      </c>
      <c r="D442" s="2" t="str">
        <f>IFERROR(__xludf.DUMMYFUNCTION("""COMPUTED_VALUE"""),"19EI605")</f>
        <v>19EI605</v>
      </c>
      <c r="E442" s="2"/>
      <c r="F442" s="2" t="str">
        <f>IFERROR(__xludf.DUMMYFUNCTION("""COMPUTED_VALUE"""),"NPTEL")</f>
        <v>NPTEL</v>
      </c>
      <c r="G442" s="3" t="str">
        <f>IFERROR(__xludf.DUMMYFUNCTION("""COMPUTED_VALUE"""),"Statistical Learning of Reliability Analysis (NPTEL)")</f>
        <v>Statistical Learning of Reliability Analysis (NPTEL)</v>
      </c>
      <c r="H442" s="2" t="str">
        <f>IFERROR(__xludf.DUMMYFUNCTION("""COMPUTED_VALUE"""),"12 Weeks")</f>
        <v>12 Weeks</v>
      </c>
      <c r="I442" s="2" t="str">
        <f>IFERROR(__xludf.DUMMYFUNCTION("""COMPUTED_VALUE"""),"10 / 25")</f>
        <v>10 / 25</v>
      </c>
      <c r="J442" s="2" t="str">
        <f>IFERROR(__xludf.DUMMYFUNCTION("""COMPUTED_VALUE"""),"30 / 75")</f>
        <v>30 / 75</v>
      </c>
      <c r="K442" s="2" t="str">
        <f>IFERROR(__xludf.DUMMYFUNCTION("""COMPUTED_VALUE"""),"40 / 100")</f>
        <v>40 / 100</v>
      </c>
      <c r="L442" s="2" t="str">
        <f>IFERROR(__xludf.DUMMYFUNCTION("""COMPUTED_VALUE"""),"CGPA")</f>
        <v>CGPA</v>
      </c>
      <c r="M442" s="2" t="str">
        <f>IFERROR(__xludf.DUMMYFUNCTION("""COMPUTED_VALUE"""),"Experiential Learning (Int and Grade from Certificate)")</f>
        <v>Experiential Learning (Int and Grade from Certificate)</v>
      </c>
      <c r="N442" s="2">
        <f>IFERROR(__xludf.DUMMYFUNCTION("""COMPUTED_VALUE"""),3)</f>
        <v>3</v>
      </c>
      <c r="O442" s="2">
        <f>IFERROR(__xludf.DUMMYFUNCTION("""COMPUTED_VALUE"""),3)</f>
        <v>3</v>
      </c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30.75" customHeight="1" spans="1:26">
      <c r="A443" s="2">
        <f>IFERROR(__xludf.DUMMYFUNCTION("""COMPUTED_VALUE"""),442)</f>
        <v>442</v>
      </c>
      <c r="B443" s="2" t="str">
        <f>IFERROR(__xludf.DUMMYFUNCTION("""COMPUTED_VALUE"""),"ECE")</f>
        <v>ECE</v>
      </c>
      <c r="C443" s="2" t="str">
        <f>IFERROR(__xludf.DUMMYFUNCTION("""COMPUTED_VALUE"""),"EC1642")</f>
        <v>EC1642</v>
      </c>
      <c r="D443" s="2" t="str">
        <f>IFERROR(__xludf.DUMMYFUNCTION("""COMPUTED_VALUE"""),"19EC642")</f>
        <v>19EC642</v>
      </c>
      <c r="E443" s="2"/>
      <c r="F443" s="2" t="str">
        <f>IFERROR(__xludf.DUMMYFUNCTION("""COMPUTED_VALUE"""),"NPTEL")</f>
        <v>NPTEL</v>
      </c>
      <c r="G443" s="3" t="str">
        <f>IFERROR(__xludf.DUMMYFUNCTION("""COMPUTED_VALUE"""),"Strategies for Sustainable Design (NPTEL)")</f>
        <v>Strategies for Sustainable Design (NPTEL)</v>
      </c>
      <c r="H443" s="2" t="str">
        <f>IFERROR(__xludf.DUMMYFUNCTION("""COMPUTED_VALUE"""),"12 Weeks")</f>
        <v>12 Weeks</v>
      </c>
      <c r="I443" s="2"/>
      <c r="J443" s="2"/>
      <c r="K443" s="2"/>
      <c r="L443" s="2" t="str">
        <f>IFERROR(__xludf.DUMMYFUNCTION("""COMPUTED_VALUE"""),"CGPA")</f>
        <v>CGPA</v>
      </c>
      <c r="M443" s="2" t="str">
        <f>IFERROR(__xludf.DUMMYFUNCTION("""COMPUTED_VALUE"""),"Experiential Learning (Int and Grade from Certificate)")</f>
        <v>Experiential Learning (Int and Grade from Certificate)</v>
      </c>
      <c r="N443" s="2">
        <f>IFERROR(__xludf.DUMMYFUNCTION("""COMPUTED_VALUE"""),3)</f>
        <v>3</v>
      </c>
      <c r="O443" s="2">
        <f>IFERROR(__xludf.DUMMYFUNCTION("""COMPUTED_VALUE"""),3)</f>
        <v>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30.75" customHeight="1" spans="1:26">
      <c r="A444" s="2">
        <f>IFERROR(__xludf.DUMMYFUNCTION("""COMPUTED_VALUE"""),443)</f>
        <v>443</v>
      </c>
      <c r="B444" s="2" t="str">
        <f>IFERROR(__xludf.DUMMYFUNCTION("""COMPUTED_VALUE"""),"BME, MED ELEC")</f>
        <v>BME, MED ELEC</v>
      </c>
      <c r="C444" s="2" t="str">
        <f>IFERROR(__xludf.DUMMYFUNCTION("""COMPUTED_VALUE"""),"EC4618")</f>
        <v>EC4618</v>
      </c>
      <c r="D444" s="2" t="str">
        <f>IFERROR(__xludf.DUMMYFUNCTION("""COMPUTED_VALUE"""),"19BM618")</f>
        <v>19BM618</v>
      </c>
      <c r="E444" s="2"/>
      <c r="F444" s="2" t="str">
        <f>IFERROR(__xludf.DUMMYFUNCTION("""COMPUTED_VALUE"""),"NPTEL")</f>
        <v>NPTEL</v>
      </c>
      <c r="G444" s="3" t="str">
        <f>IFERROR(__xludf.DUMMYFUNCTION("""COMPUTED_VALUE"""),"Structural Biology (NPTEL)")</f>
        <v>Structural Biology (NPTEL)</v>
      </c>
      <c r="H444" s="2" t="str">
        <f>IFERROR(__xludf.DUMMYFUNCTION("""COMPUTED_VALUE"""),"12 Weeks")</f>
        <v>12 Weeks</v>
      </c>
      <c r="I444" s="2"/>
      <c r="J444" s="2"/>
      <c r="K444" s="2"/>
      <c r="L444" s="2" t="str">
        <f>IFERROR(__xludf.DUMMYFUNCTION("""COMPUTED_VALUE"""),"CGPA ")</f>
        <v>CGPA </v>
      </c>
      <c r="M444" s="2" t="str">
        <f>IFERROR(__xludf.DUMMYFUNCTION("""COMPUTED_VALUE"""),"Experiential Learning (Int and Grade from Certificate)")</f>
        <v>Experiential Learning (Int and Grade from Certificate)</v>
      </c>
      <c r="N444" s="2">
        <f>IFERROR(__xludf.DUMMYFUNCTION("""COMPUTED_VALUE"""),3)</f>
        <v>3</v>
      </c>
      <c r="O444" s="2">
        <f>IFERROR(__xludf.DUMMYFUNCTION("""COMPUTED_VALUE"""),3)</f>
        <v>3</v>
      </c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30.75" customHeight="1" spans="1:26">
      <c r="A445" s="2">
        <f>IFERROR(__xludf.DUMMYFUNCTION("""COMPUTED_VALUE"""),444)</f>
        <v>444</v>
      </c>
      <c r="B445" s="2" t="str">
        <f>IFERROR(__xludf.DUMMYFUNCTION("""COMPUTED_VALUE"""),"CHEMICAL")</f>
        <v>CHEMICAL</v>
      </c>
      <c r="C445" s="2" t="str">
        <f>IFERROR(__xludf.DUMMYFUNCTION("""COMPUTED_VALUE"""),"CH0624")</f>
        <v>CH0624</v>
      </c>
      <c r="D445" s="2" t="str">
        <f>IFERROR(__xludf.DUMMYFUNCTION("""COMPUTED_VALUE"""),"19CH624")</f>
        <v>19CH624</v>
      </c>
      <c r="E445" s="2"/>
      <c r="F445" s="2" t="str">
        <f>IFERROR(__xludf.DUMMYFUNCTION("""COMPUTED_VALUE"""),"NPTEL")</f>
        <v>NPTEL</v>
      </c>
      <c r="G445" s="7" t="str">
        <f>IFERROR(__xludf.DUMMYFUNCTION("""COMPUTED_VALUE"""),"Sustainable Power Generation Systems (NPTEL)")</f>
        <v>Sustainable Power Generation Systems (NPTEL)</v>
      </c>
      <c r="H445" s="2" t="str">
        <f>IFERROR(__xludf.DUMMYFUNCTION("""COMPUTED_VALUE"""),"12 Weeks")</f>
        <v>12 Weeks</v>
      </c>
      <c r="I445" s="2" t="str">
        <f>IFERROR(__xludf.DUMMYFUNCTION("""COMPUTED_VALUE"""),"10 / 25")</f>
        <v>10 / 25</v>
      </c>
      <c r="J445" s="2" t="str">
        <f>IFERROR(__xludf.DUMMYFUNCTION("""COMPUTED_VALUE"""),"30 / 75")</f>
        <v>30 / 75</v>
      </c>
      <c r="K445" s="2" t="str">
        <f>IFERROR(__xludf.DUMMYFUNCTION("""COMPUTED_VALUE"""),"40 / 100")</f>
        <v>40 / 100</v>
      </c>
      <c r="L445" s="2" t="str">
        <f>IFERROR(__xludf.DUMMYFUNCTION("""COMPUTED_VALUE"""),"CGPA")</f>
        <v>CGPA</v>
      </c>
      <c r="M445" s="2" t="str">
        <f>IFERROR(__xludf.DUMMYFUNCTION("""COMPUTED_VALUE"""),"Experiential Learning (Int and Grade from Certificate)")</f>
        <v>Experiential Learning (Int and Grade from Certificate)</v>
      </c>
      <c r="N445" s="2">
        <f>IFERROR(__xludf.DUMMYFUNCTION("""COMPUTED_VALUE"""),3)</f>
        <v>3</v>
      </c>
      <c r="O445" s="2">
        <f>IFERROR(__xludf.DUMMYFUNCTION("""COMPUTED_VALUE"""),3)</f>
        <v>3</v>
      </c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30.75" customHeight="1" spans="1:26">
      <c r="A446" s="2">
        <f>IFERROR(__xludf.DUMMYFUNCTION("""COMPUTED_VALUE"""),445)</f>
        <v>445</v>
      </c>
      <c r="B446" s="2" t="str">
        <f>IFERROR(__xludf.DUMMYFUNCTION("""COMPUTED_VALUE"""),"Civil")</f>
        <v>Civil</v>
      </c>
      <c r="C446" s="2" t="str">
        <f>IFERROR(__xludf.DUMMYFUNCTION("""COMPUTED_VALUE"""),"CE0618")</f>
        <v>CE0618</v>
      </c>
      <c r="D446" s="2" t="str">
        <f>IFERROR(__xludf.DUMMYFUNCTION("""COMPUTED_VALUE"""),"19CE618")</f>
        <v>19CE618</v>
      </c>
      <c r="E446" s="2"/>
      <c r="F446" s="2" t="str">
        <f>IFERROR(__xludf.DUMMYFUNCTION("""COMPUTED_VALUE"""),"NPTEL")</f>
        <v>NPTEL</v>
      </c>
      <c r="G446" s="3" t="str">
        <f>IFERROR(__xludf.DUMMYFUNCTION("""COMPUTED_VALUE"""),"Sustainable Transportation Systems")</f>
        <v>Sustainable Transportation Systems</v>
      </c>
      <c r="H446" s="2" t="str">
        <f>IFERROR(__xludf.DUMMYFUNCTION("""COMPUTED_VALUE"""),"12 Weeks")</f>
        <v>12 Weeks</v>
      </c>
      <c r="I446" s="4">
        <f>IFERROR(__xludf.DUMMYFUNCTION("""COMPUTED_VALUE"""),45224)</f>
        <v>45224</v>
      </c>
      <c r="J446" s="2" t="str">
        <f>IFERROR(__xludf.DUMMYFUNCTION("""COMPUTED_VALUE"""),"30/75")</f>
        <v>30/75</v>
      </c>
      <c r="K446" s="2" t="str">
        <f>IFERROR(__xludf.DUMMYFUNCTION("""COMPUTED_VALUE"""),"40/100")</f>
        <v>40/100</v>
      </c>
      <c r="L446" s="2" t="str">
        <f>IFERROR(__xludf.DUMMYFUNCTION("""COMPUTED_VALUE"""),"CGPA ")</f>
        <v>CGPA </v>
      </c>
      <c r="M446" s="2" t="str">
        <f>IFERROR(__xludf.DUMMYFUNCTION("""COMPUTED_VALUE"""),"Experiential Learning (Int and Grade from Certificate)")</f>
        <v>Experiential Learning (Int and Grade from Certificate)</v>
      </c>
      <c r="N446" s="2">
        <f>IFERROR(__xludf.DUMMYFUNCTION("""COMPUTED_VALUE"""),3)</f>
        <v>3</v>
      </c>
      <c r="O446" s="2">
        <f>IFERROR(__xludf.DUMMYFUNCTION("""COMPUTED_VALUE"""),3)</f>
        <v>3</v>
      </c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30.75" customHeight="1" spans="1:26">
      <c r="A447" s="2">
        <f>IFERROR(__xludf.DUMMYFUNCTION("""COMPUTED_VALUE"""),446)</f>
        <v>446</v>
      </c>
      <c r="B447" s="2" t="str">
        <f>IFERROR(__xludf.DUMMYFUNCTION("""COMPUTED_VALUE"""),"SCoFT")</f>
        <v>SCoFT</v>
      </c>
      <c r="C447" s="2" t="str">
        <f>IFERROR(__xludf.DUMMYFUNCTION("""COMPUTED_VALUE"""),"CS3255")</f>
        <v>CS3255</v>
      </c>
      <c r="D447" s="2" t="str">
        <f>IFERROR(__xludf.DUMMYFUNCTION("""COMPUTED_VALUE"""),"19AI255")</f>
        <v>19AI255</v>
      </c>
      <c r="E447" s="2"/>
      <c r="F447" s="2" t="str">
        <f>IFERROR(__xludf.DUMMYFUNCTION("""COMPUTED_VALUE"""),"Coursera")</f>
        <v>Coursera</v>
      </c>
      <c r="G447" s="3" t="str">
        <f>IFERROR(__xludf.DUMMYFUNCTION("""COMPUTED_VALUE"""),"Tableau Business Intelligence Analyst Professional Certificate")</f>
        <v>Tableau Business Intelligence Analyst Professional Certificate</v>
      </c>
      <c r="H447" s="2" t="str">
        <f>IFERROR(__xludf.DUMMYFUNCTION("""COMPUTED_VALUE"""),"8 Months")</f>
        <v>8 Months</v>
      </c>
      <c r="I447" s="2" t="str">
        <f>IFERROR(__xludf.DUMMYFUNCTION("""COMPUTED_VALUE"""),"NA")</f>
        <v>NA</v>
      </c>
      <c r="J447" s="2" t="str">
        <f>IFERROR(__xludf.DUMMYFUNCTION("""COMPUTED_VALUE"""),"NA")</f>
        <v>NA</v>
      </c>
      <c r="K447" s="2" t="str">
        <f>IFERROR(__xludf.DUMMYFUNCTION("""COMPUTED_VALUE"""),"NA")</f>
        <v>NA</v>
      </c>
      <c r="L447" s="2" t="str">
        <f>IFERROR(__xludf.DUMMYFUNCTION("""COMPUTED_VALUE"""),"CGPA")</f>
        <v>CGPA</v>
      </c>
      <c r="M447" s="2" t="str">
        <f>IFERROR(__xludf.DUMMYFUNCTION("""COMPUTED_VALUE"""),"Experiential Learning (Int and Grade from Certificate)")</f>
        <v>Experiential Learning (Int and Grade from Certificate)</v>
      </c>
      <c r="N447" s="2">
        <f>IFERROR(__xludf.DUMMYFUNCTION("""COMPUTED_VALUE"""),3)</f>
        <v>3</v>
      </c>
      <c r="O447" s="2">
        <f>IFERROR(__xludf.DUMMYFUNCTION("""COMPUTED_VALUE"""),3)</f>
        <v>3</v>
      </c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30.75" customHeight="1" spans="1:26">
      <c r="A448" s="2">
        <f>IFERROR(__xludf.DUMMYFUNCTION("""COMPUTED_VALUE"""),447)</f>
        <v>447</v>
      </c>
      <c r="B448" s="2" t="str">
        <f>IFERROR(__xludf.DUMMYFUNCTION("""COMPUTED_VALUE"""),"CHEMICAL")</f>
        <v>CHEMICAL</v>
      </c>
      <c r="C448" s="2" t="str">
        <f>IFERROR(__xludf.DUMMYFUNCTION("""COMPUTED_VALUE"""),"CH0618")</f>
        <v>CH0618</v>
      </c>
      <c r="D448" s="2" t="str">
        <f>IFERROR(__xludf.DUMMYFUNCTION("""COMPUTED_VALUE"""),"19CH618")</f>
        <v>19CH618</v>
      </c>
      <c r="E448" s="2"/>
      <c r="F448" s="2" t="str">
        <f>IFERROR(__xludf.DUMMYFUNCTION("""COMPUTED_VALUE"""),"NPTEL")</f>
        <v>NPTEL</v>
      </c>
      <c r="G448" s="3" t="str">
        <f>IFERROR(__xludf.DUMMYFUNCTION("""COMPUTED_VALUE"""),"Technologies for Clean and Renewable Energy Production (NPTEL)")</f>
        <v>Technologies for Clean and Renewable Energy Production (NPTEL)</v>
      </c>
      <c r="H448" s="2" t="str">
        <f>IFERROR(__xludf.DUMMYFUNCTION("""COMPUTED_VALUE"""),"8 Weeks")</f>
        <v>8 Weeks</v>
      </c>
      <c r="I448" s="2" t="str">
        <f>IFERROR(__xludf.DUMMYFUNCTION("""COMPUTED_VALUE"""),"10 / 25")</f>
        <v>10 / 25</v>
      </c>
      <c r="J448" s="2" t="str">
        <f>IFERROR(__xludf.DUMMYFUNCTION("""COMPUTED_VALUE"""),"30 / 75")</f>
        <v>30 / 75</v>
      </c>
      <c r="K448" s="2" t="str">
        <f>IFERROR(__xludf.DUMMYFUNCTION("""COMPUTED_VALUE"""),"40 / 100")</f>
        <v>40 / 100</v>
      </c>
      <c r="L448" s="2" t="str">
        <f>IFERROR(__xludf.DUMMYFUNCTION("""COMPUTED_VALUE"""),"CGPA ")</f>
        <v>CGPA </v>
      </c>
      <c r="M448" s="2" t="str">
        <f>IFERROR(__xludf.DUMMYFUNCTION("""COMPUTED_VALUE"""),"Experiential Learning (Int and Grade from Certificate)")</f>
        <v>Experiential Learning (Int and Grade from Certificate)</v>
      </c>
      <c r="N448" s="2">
        <f>IFERROR(__xludf.DUMMYFUNCTION("""COMPUTED_VALUE"""),2)</f>
        <v>2</v>
      </c>
      <c r="O448" s="2">
        <f>IFERROR(__xludf.DUMMYFUNCTION("""COMPUTED_VALUE"""),2)</f>
        <v>2</v>
      </c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30.75" customHeight="1" spans="1:26">
      <c r="A449" s="2">
        <f>IFERROR(__xludf.DUMMYFUNCTION("""COMPUTED_VALUE"""),448)</f>
        <v>448</v>
      </c>
      <c r="B449" s="2" t="str">
        <f>IFERROR(__xludf.DUMMYFUNCTION("""COMPUTED_VALUE"""),"ECE, BME, MED ELEC")</f>
        <v>ECE, BME, MED ELEC</v>
      </c>
      <c r="C449" s="2" t="str">
        <f>IFERROR(__xludf.DUMMYFUNCTION("""COMPUTED_VALUE"""),"EC1623")</f>
        <v>EC1623</v>
      </c>
      <c r="D449" s="2" t="str">
        <f>IFERROR(__xludf.DUMMYFUNCTION("""COMPUTED_VALUE"""),"19EC623")</f>
        <v>19EC623</v>
      </c>
      <c r="E449" s="2"/>
      <c r="F449" s="2" t="str">
        <f>IFERROR(__xludf.DUMMYFUNCTION("""COMPUTED_VALUE"""),"NPTEL")</f>
        <v>NPTEL</v>
      </c>
      <c r="G449" s="3" t="str">
        <f>IFERROR(__xludf.DUMMYFUNCTION("""COMPUTED_VALUE"""),"The Joy of Computing using Python (NPTEL)")</f>
        <v>The Joy of Computing using Python (NPTEL)</v>
      </c>
      <c r="H449" s="2" t="str">
        <f>IFERROR(__xludf.DUMMYFUNCTION("""COMPUTED_VALUE"""),"12 Weeks")</f>
        <v>12 Weeks</v>
      </c>
      <c r="I449" s="4">
        <f>IFERROR(__xludf.DUMMYFUNCTION("""COMPUTED_VALUE"""),45224)</f>
        <v>45224</v>
      </c>
      <c r="J449" s="2" t="str">
        <f>IFERROR(__xludf.DUMMYFUNCTION("""COMPUTED_VALUE"""),"30/75")</f>
        <v>30/75</v>
      </c>
      <c r="K449" s="2" t="str">
        <f>IFERROR(__xludf.DUMMYFUNCTION("""COMPUTED_VALUE"""),"40/100")</f>
        <v>40/100</v>
      </c>
      <c r="L449" s="2" t="str">
        <f>IFERROR(__xludf.DUMMYFUNCTION("""COMPUTED_VALUE"""),"CGPA ")</f>
        <v>CGPA </v>
      </c>
      <c r="M449" s="2" t="str">
        <f>IFERROR(__xludf.DUMMYFUNCTION("""COMPUTED_VALUE"""),"Experiential Learning (Int and Grade from Certificate)")</f>
        <v>Experiential Learning (Int and Grade from Certificate)</v>
      </c>
      <c r="N449" s="2">
        <f>IFERROR(__xludf.DUMMYFUNCTION("""COMPUTED_VALUE"""),2)</f>
        <v>2</v>
      </c>
      <c r="O449" s="2">
        <f>IFERROR(__xludf.DUMMYFUNCTION("""COMPUTED_VALUE"""),3)</f>
        <v>3</v>
      </c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30.75" customHeight="1" spans="1:26">
      <c r="A450" s="2">
        <f>IFERROR(__xludf.DUMMYFUNCTION("""COMPUTED_VALUE"""),449)</f>
        <v>449</v>
      </c>
      <c r="B450" s="2" t="str">
        <f>IFERROR(__xludf.DUMMYFUNCTION("""COMPUTED_VALUE"""),"BME, MED ELEC")</f>
        <v>BME, MED ELEC</v>
      </c>
      <c r="C450" s="2" t="str">
        <f>IFERROR(__xludf.DUMMYFUNCTION("""COMPUTED_VALUE"""),"EC4679")</f>
        <v>EC4679</v>
      </c>
      <c r="D450" s="2" t="str">
        <f>IFERROR(__xludf.DUMMYFUNCTION("""COMPUTED_VALUE"""),"19BM679")</f>
        <v>19BM679</v>
      </c>
      <c r="E450" s="2"/>
      <c r="F450" s="2" t="str">
        <f>IFERROR(__xludf.DUMMYFUNCTION("""COMPUTED_VALUE"""),"NPTEL")</f>
        <v>NPTEL</v>
      </c>
      <c r="G450" s="3" t="str">
        <f>IFERROR(__xludf.DUMMYFUNCTION("""COMPUTED_VALUE"""),"The Science of Happiness and Wellbeing (NPTEL)")</f>
        <v>The Science of Happiness and Wellbeing (NPTEL)</v>
      </c>
      <c r="H450" s="2" t="str">
        <f>IFERROR(__xludf.DUMMYFUNCTION("""COMPUTED_VALUE"""),"8 Weeks")</f>
        <v>8 Weeks</v>
      </c>
      <c r="I450" s="2"/>
      <c r="J450" s="2"/>
      <c r="K450" s="2"/>
      <c r="L450" s="2" t="str">
        <f>IFERROR(__xludf.DUMMYFUNCTION("""COMPUTED_VALUE"""),"CGPA")</f>
        <v>CGPA</v>
      </c>
      <c r="M450" s="2" t="str">
        <f>IFERROR(__xludf.DUMMYFUNCTION("""COMPUTED_VALUE"""),"Experiential Learning (Int and Grade from Certificate)")</f>
        <v>Experiential Learning (Int and Grade from Certificate)</v>
      </c>
      <c r="N450" s="2">
        <f>IFERROR(__xludf.DUMMYFUNCTION("""COMPUTED_VALUE"""),2)</f>
        <v>2</v>
      </c>
      <c r="O450" s="2">
        <f>IFERROR(__xludf.DUMMYFUNCTION("""COMPUTED_VALUE"""),2)</f>
        <v>2</v>
      </c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30.75" customHeight="1" spans="1:26">
      <c r="A451" s="2">
        <f>IFERROR(__xludf.DUMMYFUNCTION("""COMPUTED_VALUE"""),450)</f>
        <v>450</v>
      </c>
      <c r="B451" s="2" t="str">
        <f>IFERROR(__xludf.DUMMYFUNCTION("""COMPUTED_VALUE"""),"SCoFT")</f>
        <v>SCoFT</v>
      </c>
      <c r="C451" s="2" t="str">
        <f>IFERROR(__xludf.DUMMYFUNCTION("""COMPUTED_VALUE"""),"CS3067")</f>
        <v>CS3067</v>
      </c>
      <c r="D451" s="2" t="str">
        <f>IFERROR(__xludf.DUMMYFUNCTION("""COMPUTED_VALUE"""),"19AI067")</f>
        <v>19AI067</v>
      </c>
      <c r="E451" s="2"/>
      <c r="F451" s="2" t="str">
        <f>IFERROR(__xludf.DUMMYFUNCTION("""COMPUTED_VALUE"""),"NPTEL")</f>
        <v>NPTEL</v>
      </c>
      <c r="G451" s="3" t="str">
        <f>IFERROR(__xludf.DUMMYFUNCTION("""COMPUTED_VALUE"""),"Theory of Computation (NPTEL)")</f>
        <v>Theory of Computation (NPTEL)</v>
      </c>
      <c r="H451" s="2" t="str">
        <f>IFERROR(__xludf.DUMMYFUNCTION("""COMPUTED_VALUE"""),"8 Weeks")</f>
        <v>8 Weeks</v>
      </c>
      <c r="I451" s="2"/>
      <c r="J451" s="2"/>
      <c r="K451" s="2"/>
      <c r="L451" s="2" t="str">
        <f>IFERROR(__xludf.DUMMYFUNCTION("""COMPUTED_VALUE"""),"CGPA ")</f>
        <v>CGPA </v>
      </c>
      <c r="M451" s="2" t="str">
        <f>IFERROR(__xludf.DUMMYFUNCTION("""COMPUTED_VALUE"""),"Experiential Learning (Int and Grade from Certificate)")</f>
        <v>Experiential Learning (Int and Grade from Certificate)</v>
      </c>
      <c r="N451" s="2">
        <f>IFERROR(__xludf.DUMMYFUNCTION("""COMPUTED_VALUE"""),2)</f>
        <v>2</v>
      </c>
      <c r="O451" s="2">
        <f>IFERROR(__xludf.DUMMYFUNCTION("""COMPUTED_VALUE"""),2)</f>
        <v>2</v>
      </c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30.75" customHeight="1" spans="1:26">
      <c r="A452" s="2">
        <f>IFERROR(__xludf.DUMMYFUNCTION("""COMPUTED_VALUE"""),451)</f>
        <v>451</v>
      </c>
      <c r="B452" s="2" t="str">
        <f>IFERROR(__xludf.DUMMYFUNCTION("""COMPUTED_VALUE"""),"MECH")</f>
        <v>MECH</v>
      </c>
      <c r="C452" s="2" t="str">
        <f>IFERROR(__xludf.DUMMYFUNCTION("""COMPUTED_VALUE"""),"ME0603")</f>
        <v>ME0603</v>
      </c>
      <c r="D452" s="2" t="str">
        <f>IFERROR(__xludf.DUMMYFUNCTION("""COMPUTED_VALUE"""),"19ME603")</f>
        <v>19ME603</v>
      </c>
      <c r="E452" s="2"/>
      <c r="F452" s="2" t="str">
        <f>IFERROR(__xludf.DUMMYFUNCTION("""COMPUTED_VALUE"""),"NPTEL (IITG)")</f>
        <v>NPTEL (IITG)</v>
      </c>
      <c r="G452" s="3" t="str">
        <f>IFERROR(__xludf.DUMMYFUNCTION("""COMPUTED_VALUE"""),"Thermal Processing of Foods (NPTEL)")</f>
        <v>Thermal Processing of Foods (NPTEL)</v>
      </c>
      <c r="H452" s="2" t="str">
        <f>IFERROR(__xludf.DUMMYFUNCTION("""COMPUTED_VALUE"""),"12 Weeks")</f>
        <v>12 Weeks</v>
      </c>
      <c r="I452" s="4">
        <f>IFERROR(__xludf.DUMMYFUNCTION("""COMPUTED_VALUE"""),45224)</f>
        <v>45224</v>
      </c>
      <c r="J452" s="2" t="str">
        <f>IFERROR(__xludf.DUMMYFUNCTION("""COMPUTED_VALUE"""),"30/75")</f>
        <v>30/75</v>
      </c>
      <c r="K452" s="2" t="str">
        <f>IFERROR(__xludf.DUMMYFUNCTION("""COMPUTED_VALUE"""),"40/100")</f>
        <v>40/100</v>
      </c>
      <c r="L452" s="2" t="str">
        <f>IFERROR(__xludf.DUMMYFUNCTION("""COMPUTED_VALUE"""),"CGPA ")</f>
        <v>CGPA </v>
      </c>
      <c r="M452" s="2" t="str">
        <f>IFERROR(__xludf.DUMMYFUNCTION("""COMPUTED_VALUE"""),"Experiential Learning (Int and Grade from Certificate)")</f>
        <v>Experiential Learning (Int and Grade from Certificate)</v>
      </c>
      <c r="N452" s="2">
        <f>IFERROR(__xludf.DUMMYFUNCTION("""COMPUTED_VALUE"""),2)</f>
        <v>2</v>
      </c>
      <c r="O452" s="2">
        <f>IFERROR(__xludf.DUMMYFUNCTION("""COMPUTED_VALUE"""),3)</f>
        <v>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30.75" customHeight="1" spans="1:26">
      <c r="A453" s="2">
        <f>IFERROR(__xludf.DUMMYFUNCTION("""COMPUTED_VALUE"""),452)</f>
        <v>452</v>
      </c>
      <c r="B453" s="2" t="str">
        <f>IFERROR(__xludf.DUMMYFUNCTION("""COMPUTED_VALUE"""),"MECH")</f>
        <v>MECH</v>
      </c>
      <c r="C453" s="2" t="str">
        <f>IFERROR(__xludf.DUMMYFUNCTION("""COMPUTED_VALUE"""),"ME0611")</f>
        <v>ME0611</v>
      </c>
      <c r="D453" s="2" t="str">
        <f>IFERROR(__xludf.DUMMYFUNCTION("""COMPUTED_VALUE"""),"19ME611")</f>
        <v>19ME611</v>
      </c>
      <c r="E453" s="2"/>
      <c r="F453" s="2" t="str">
        <f>IFERROR(__xludf.DUMMYFUNCTION("""COMPUTED_VALUE"""),"NPTEL")</f>
        <v>NPTEL</v>
      </c>
      <c r="G453" s="3" t="str">
        <f>IFERROR(__xludf.DUMMYFUNCTION("""COMPUTED_VALUE"""),"Traditional and Non-Traditional Optimization Tools (NPTEL)")</f>
        <v>Traditional and Non-Traditional Optimization Tools (NPTEL)</v>
      </c>
      <c r="H453" s="2" t="str">
        <f>IFERROR(__xludf.DUMMYFUNCTION("""COMPUTED_VALUE"""),"8 Weeks")</f>
        <v>8 Weeks</v>
      </c>
      <c r="I453" s="2"/>
      <c r="J453" s="2"/>
      <c r="K453" s="2"/>
      <c r="L453" s="2" t="str">
        <f>IFERROR(__xludf.DUMMYFUNCTION("""COMPUTED_VALUE"""),"CGPA ")</f>
        <v>CGPA </v>
      </c>
      <c r="M453" s="2" t="str">
        <f>IFERROR(__xludf.DUMMYFUNCTION("""COMPUTED_VALUE"""),"Experiential Learning (Int and Grade from Certificate)")</f>
        <v>Experiential Learning (Int and Grade from Certificate)</v>
      </c>
      <c r="N453" s="2">
        <f>IFERROR(__xludf.DUMMYFUNCTION("""COMPUTED_VALUE"""),2)</f>
        <v>2</v>
      </c>
      <c r="O453" s="2">
        <f>IFERROR(__xludf.DUMMYFUNCTION("""COMPUTED_VALUE"""),2)</f>
        <v>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30.75" customHeight="1" spans="1:26">
      <c r="A454" s="2">
        <f>IFERROR(__xludf.DUMMYFUNCTION("""COMPUTED_VALUE"""),453)</f>
        <v>453</v>
      </c>
      <c r="B454" s="2" t="str">
        <f>IFERROR(__xludf.DUMMYFUNCTION("""COMPUTED_VALUE"""),"BME, MED ELEC")</f>
        <v>BME, MED ELEC</v>
      </c>
      <c r="C454" s="2" t="str">
        <f>IFERROR(__xludf.DUMMYFUNCTION("""COMPUTED_VALUE"""),"EC4680")</f>
        <v>EC4680</v>
      </c>
      <c r="D454" s="2" t="str">
        <f>IFERROR(__xludf.DUMMYFUNCTION("""COMPUTED_VALUE"""),"19BM680")</f>
        <v>19BM680</v>
      </c>
      <c r="E454" s="2"/>
      <c r="F454" s="2" t="str">
        <f>IFERROR(__xludf.DUMMYFUNCTION("""COMPUTED_VALUE"""),"NPTEL")</f>
        <v>NPTEL</v>
      </c>
      <c r="G454" s="3" t="str">
        <f>IFERROR(__xludf.DUMMYFUNCTION("""COMPUTED_VALUE"""),"Transducers for Instrumentation (NPTEL)")</f>
        <v>Transducers for Instrumentation (NPTEL)</v>
      </c>
      <c r="H454" s="2" t="str">
        <f>IFERROR(__xludf.DUMMYFUNCTION("""COMPUTED_VALUE"""),"12 Weeks")</f>
        <v>12 Weeks</v>
      </c>
      <c r="I454" s="2"/>
      <c r="J454" s="2"/>
      <c r="K454" s="2"/>
      <c r="L454" s="2" t="str">
        <f>IFERROR(__xludf.DUMMYFUNCTION("""COMPUTED_VALUE"""),"CGPA")</f>
        <v>CGPA</v>
      </c>
      <c r="M454" s="2" t="str">
        <f>IFERROR(__xludf.DUMMYFUNCTION("""COMPUTED_VALUE"""),"Experiential Learning (Int and Grade from Certificate)")</f>
        <v>Experiential Learning (Int and Grade from Certificate)</v>
      </c>
      <c r="N454" s="2">
        <f>IFERROR(__xludf.DUMMYFUNCTION("""COMPUTED_VALUE"""),3)</f>
        <v>3</v>
      </c>
      <c r="O454" s="2">
        <f>IFERROR(__xludf.DUMMYFUNCTION("""COMPUTED_VALUE"""),3)</f>
        <v>3</v>
      </c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30.75" customHeight="1" spans="1:26">
      <c r="A455" s="2">
        <f>IFERROR(__xludf.DUMMYFUNCTION("""COMPUTED_VALUE"""),454)</f>
        <v>454</v>
      </c>
      <c r="B455" s="2" t="str">
        <f>IFERROR(__xludf.DUMMYFUNCTION("""COMPUTED_VALUE"""),"SCoFT")</f>
        <v>SCoFT</v>
      </c>
      <c r="C455" s="2" t="str">
        <f>IFERROR(__xludf.DUMMYFUNCTION("""COMPUTED_VALUE"""),"CS3174")</f>
        <v>CS3174</v>
      </c>
      <c r="D455" s="2" t="str">
        <f>IFERROR(__xludf.DUMMYFUNCTION("""COMPUTED_VALUE"""),"19AI174")</f>
        <v>19AI174</v>
      </c>
      <c r="E455" s="2"/>
      <c r="F455" s="2" t="str">
        <f>IFERROR(__xludf.DUMMYFUNCTION("""COMPUTED_VALUE"""),"Microsoft (MS-220)")</f>
        <v>Microsoft (MS-220)</v>
      </c>
      <c r="G455" s="3" t="str">
        <f>IFERROR(__xludf.DUMMYFUNCTION("""COMPUTED_VALUE"""),"Troubleshooting Microsoft Exchange Online (Microsoft)")</f>
        <v>Troubleshooting Microsoft Exchange Online (Microsoft)</v>
      </c>
      <c r="H455" s="2" t="str">
        <f>IFERROR(__xludf.DUMMYFUNCTION("""COMPUTED_VALUE"""),"8 Weeks")</f>
        <v>8 Weeks</v>
      </c>
      <c r="I455" s="2"/>
      <c r="J455" s="2"/>
      <c r="K455" s="2"/>
      <c r="L455" s="2" t="str">
        <f>IFERROR(__xludf.DUMMYFUNCTION("""COMPUTED_VALUE"""),"CGPA")</f>
        <v>CGPA</v>
      </c>
      <c r="M455" s="2" t="str">
        <f>IFERROR(__xludf.DUMMYFUNCTION("""COMPUTED_VALUE"""),"Experiential Learning (Int and Grade from Certificate)")</f>
        <v>Experiential Learning (Int and Grade from Certificate)</v>
      </c>
      <c r="N455" s="2">
        <f>IFERROR(__xludf.DUMMYFUNCTION("""COMPUTED_VALUE"""),1)</f>
        <v>1</v>
      </c>
      <c r="O455" s="2">
        <f>IFERROR(__xludf.DUMMYFUNCTION("""COMPUTED_VALUE"""),1)</f>
        <v>1</v>
      </c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30.75" customHeight="1" spans="1:26">
      <c r="A456" s="2">
        <f>IFERROR(__xludf.DUMMYFUNCTION("""COMPUTED_VALUE"""),455)</f>
        <v>455</v>
      </c>
      <c r="B456" s="2" t="str">
        <f>IFERROR(__xludf.DUMMYFUNCTION("""COMPUTED_VALUE"""),"SCoFT")</f>
        <v>SCoFT</v>
      </c>
      <c r="C456" s="2" t="str">
        <f>IFERROR(__xludf.DUMMYFUNCTION("""COMPUTED_VALUE"""),"CS3256")</f>
        <v>CS3256</v>
      </c>
      <c r="D456" s="2" t="str">
        <f>IFERROR(__xludf.DUMMYFUNCTION("""COMPUTED_VALUE"""),"19AI256")</f>
        <v>19AI256</v>
      </c>
      <c r="E456" s="2"/>
      <c r="F456" s="2" t="str">
        <f>IFERROR(__xludf.DUMMYFUNCTION("""COMPUTED_VALUE"""),"Coursera")</f>
        <v>Coursera</v>
      </c>
      <c r="G456" s="3" t="str">
        <f>IFERROR(__xludf.DUMMYFUNCTION("""COMPUTED_VALUE"""),"UCI Project Management Professional Certificate")</f>
        <v>UCI Project Management Professional Certificate</v>
      </c>
      <c r="H456" s="2" t="str">
        <f>IFERROR(__xludf.DUMMYFUNCTION("""COMPUTED_VALUE"""),"5 Months")</f>
        <v>5 Months</v>
      </c>
      <c r="I456" s="2" t="str">
        <f>IFERROR(__xludf.DUMMYFUNCTION("""COMPUTED_VALUE"""),"NA")</f>
        <v>NA</v>
      </c>
      <c r="J456" s="2" t="str">
        <f>IFERROR(__xludf.DUMMYFUNCTION("""COMPUTED_VALUE"""),"NA")</f>
        <v>NA</v>
      </c>
      <c r="K456" s="2" t="str">
        <f>IFERROR(__xludf.DUMMYFUNCTION("""COMPUTED_VALUE"""),"NA")</f>
        <v>NA</v>
      </c>
      <c r="L456" s="2" t="str">
        <f>IFERROR(__xludf.DUMMYFUNCTION("""COMPUTED_VALUE"""),"CGPA")</f>
        <v>CGPA</v>
      </c>
      <c r="M456" s="2" t="str">
        <f>IFERROR(__xludf.DUMMYFUNCTION("""COMPUTED_VALUE"""),"Experiential Learning (Int and Grade from Certificate)")</f>
        <v>Experiential Learning (Int and Grade from Certificate)</v>
      </c>
      <c r="N456" s="2">
        <f>IFERROR(__xludf.DUMMYFUNCTION("""COMPUTED_VALUE"""),3)</f>
        <v>3</v>
      </c>
      <c r="O456" s="2">
        <f>IFERROR(__xludf.DUMMYFUNCTION("""COMPUTED_VALUE"""),3)</f>
        <v>3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30.75" customHeight="1" spans="1:26">
      <c r="A457" s="2">
        <f>IFERROR(__xludf.DUMMYFUNCTION("""COMPUTED_VALUE"""),456)</f>
        <v>456</v>
      </c>
      <c r="B457" s="2" t="str">
        <f>IFERROR(__xludf.DUMMYFUNCTION("""COMPUTED_VALUE"""),"BME, MED ELEC")</f>
        <v>BME, MED ELEC</v>
      </c>
      <c r="C457" s="2" t="str">
        <f>IFERROR(__xludf.DUMMYFUNCTION("""COMPUTED_VALUE"""),"EC4681")</f>
        <v>EC4681</v>
      </c>
      <c r="D457" s="2" t="str">
        <f>IFERROR(__xludf.DUMMYFUNCTION("""COMPUTED_VALUE"""),"19BM681")</f>
        <v>19BM681</v>
      </c>
      <c r="E457" s="2"/>
      <c r="F457" s="2" t="str">
        <f>IFERROR(__xludf.DUMMYFUNCTION("""COMPUTED_VALUE"""),"NPTEL")</f>
        <v>NPTEL</v>
      </c>
      <c r="G457" s="3" t="str">
        <f>IFERROR(__xludf.DUMMYFUNCTION("""COMPUTED_VALUE"""),"Understanding Ethnography (NPTEL)")</f>
        <v>Understanding Ethnography (NPTEL)</v>
      </c>
      <c r="H457" s="2" t="str">
        <f>IFERROR(__xludf.DUMMYFUNCTION("""COMPUTED_VALUE"""),"8 Weeks")</f>
        <v>8 Weeks</v>
      </c>
      <c r="I457" s="2"/>
      <c r="J457" s="2"/>
      <c r="K457" s="2"/>
      <c r="L457" s="2" t="str">
        <f>IFERROR(__xludf.DUMMYFUNCTION("""COMPUTED_VALUE"""),"CGPA")</f>
        <v>CGPA</v>
      </c>
      <c r="M457" s="2" t="str">
        <f>IFERROR(__xludf.DUMMYFUNCTION("""COMPUTED_VALUE"""),"Experiential Learning (Int and Grade from Certificate)")</f>
        <v>Experiential Learning (Int and Grade from Certificate)</v>
      </c>
      <c r="N457" s="2">
        <f>IFERROR(__xludf.DUMMYFUNCTION("""COMPUTED_VALUE"""),2)</f>
        <v>2</v>
      </c>
      <c r="O457" s="2">
        <f>IFERROR(__xludf.DUMMYFUNCTION("""COMPUTED_VALUE"""),2)</f>
        <v>2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30.75" customHeight="1" spans="1:26">
      <c r="A458" s="2">
        <f>IFERROR(__xludf.DUMMYFUNCTION("""COMPUTED_VALUE"""),457)</f>
        <v>457</v>
      </c>
      <c r="B458" s="2" t="str">
        <f>IFERROR(__xludf.DUMMYFUNCTION("""COMPUTED_VALUE"""),"MECH, ECE. MED ELEC, SCoFT, BME")</f>
        <v>MECH, ECE. MED ELEC, SCoFT, BME</v>
      </c>
      <c r="C458" s="2" t="str">
        <f>IFERROR(__xludf.DUMMYFUNCTION("""COMPUTED_VALUE"""),"ME0610")</f>
        <v>ME0610</v>
      </c>
      <c r="D458" s="2" t="str">
        <f>IFERROR(__xludf.DUMMYFUNCTION("""COMPUTED_VALUE"""),"19ME610")</f>
        <v>19ME610</v>
      </c>
      <c r="E458" s="2"/>
      <c r="F458" s="2" t="str">
        <f>IFERROR(__xludf.DUMMYFUNCTION("""COMPUTED_VALUE"""),"NPTEL")</f>
        <v>NPTEL</v>
      </c>
      <c r="G458" s="3" t="str">
        <f>IFERROR(__xludf.DUMMYFUNCTION("""COMPUTED_VALUE"""),"Understanding Incubation and Entrepreneurship (NPTEL)")</f>
        <v>Understanding Incubation and Entrepreneurship (NPTEL)</v>
      </c>
      <c r="H458" s="2" t="str">
        <f>IFERROR(__xludf.DUMMYFUNCTION("""COMPUTED_VALUE"""),"12 Weeks")</f>
        <v>12 Weeks</v>
      </c>
      <c r="I458" s="2" t="str">
        <f>IFERROR(__xludf.DUMMYFUNCTION("""COMPUTED_VALUE"""),"10 / 25")</f>
        <v>10 / 25</v>
      </c>
      <c r="J458" s="2" t="str">
        <f>IFERROR(__xludf.DUMMYFUNCTION("""COMPUTED_VALUE"""),"30 / 75")</f>
        <v>30 / 75</v>
      </c>
      <c r="K458" s="2" t="str">
        <f>IFERROR(__xludf.DUMMYFUNCTION("""COMPUTED_VALUE"""),"40 / 100")</f>
        <v>40 / 100</v>
      </c>
      <c r="L458" s="2" t="str">
        <f>IFERROR(__xludf.DUMMYFUNCTION("""COMPUTED_VALUE"""),"CGPA ")</f>
        <v>CGPA </v>
      </c>
      <c r="M458" s="2" t="str">
        <f>IFERROR(__xludf.DUMMYFUNCTION("""COMPUTED_VALUE"""),"Experiential Learning (Int and Grade from Certificate)")</f>
        <v>Experiential Learning (Int and Grade from Certificate)</v>
      </c>
      <c r="N458" s="2">
        <f>IFERROR(__xludf.DUMMYFUNCTION("""COMPUTED_VALUE"""),2)</f>
        <v>2</v>
      </c>
      <c r="O458" s="2">
        <f>IFERROR(__xludf.DUMMYFUNCTION("""COMPUTED_VALUE"""),3)</f>
        <v>3</v>
      </c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30.75" customHeight="1" spans="1:26">
      <c r="A459" s="2">
        <f>IFERROR(__xludf.DUMMYFUNCTION("""COMPUTED_VALUE"""),458)</f>
        <v>458</v>
      </c>
      <c r="B459" s="2" t="str">
        <f>IFERROR(__xludf.DUMMYFUNCTION("""COMPUTED_VALUE"""),"SCoFT")</f>
        <v>SCoFT</v>
      </c>
      <c r="C459" s="2" t="str">
        <f>IFERROR(__xludf.DUMMYFUNCTION("""COMPUTED_VALUE"""),"CS3257")</f>
        <v>CS3257</v>
      </c>
      <c r="D459" s="2" t="str">
        <f>IFERROR(__xludf.DUMMYFUNCTION("""COMPUTED_VALUE"""),"19AI257")</f>
        <v>19AI257</v>
      </c>
      <c r="E459" s="2"/>
      <c r="F459" s="2" t="str">
        <f>IFERROR(__xludf.DUMMYFUNCTION("""COMPUTED_VALUE"""),"Coursera")</f>
        <v>Coursera</v>
      </c>
      <c r="G459" s="3" t="str">
        <f>IFERROR(__xludf.DUMMYFUNCTION("""COMPUTED_VALUE"""),"Unilever Digital Marketing Analyst Professional Certificate")</f>
        <v>Unilever Digital Marketing Analyst Professional Certificate</v>
      </c>
      <c r="H459" s="2" t="str">
        <f>IFERROR(__xludf.DUMMYFUNCTION("""COMPUTED_VALUE"""),"2 Months")</f>
        <v>2 Months</v>
      </c>
      <c r="I459" s="2" t="str">
        <f>IFERROR(__xludf.DUMMYFUNCTION("""COMPUTED_VALUE"""),"NA")</f>
        <v>NA</v>
      </c>
      <c r="J459" s="2" t="str">
        <f>IFERROR(__xludf.DUMMYFUNCTION("""COMPUTED_VALUE"""),"NA")</f>
        <v>NA</v>
      </c>
      <c r="K459" s="2" t="str">
        <f>IFERROR(__xludf.DUMMYFUNCTION("""COMPUTED_VALUE"""),"NA")</f>
        <v>NA</v>
      </c>
      <c r="L459" s="2" t="str">
        <f>IFERROR(__xludf.DUMMYFUNCTION("""COMPUTED_VALUE"""),"CGPA")</f>
        <v>CGPA</v>
      </c>
      <c r="M459" s="2" t="str">
        <f>IFERROR(__xludf.DUMMYFUNCTION("""COMPUTED_VALUE"""),"Experiential Learning (Int and Grade from Certificate)")</f>
        <v>Experiential Learning (Int and Grade from Certificate)</v>
      </c>
      <c r="N459" s="2">
        <f>IFERROR(__xludf.DUMMYFUNCTION("""COMPUTED_VALUE"""),2)</f>
        <v>2</v>
      </c>
      <c r="O459" s="2">
        <f>IFERROR(__xludf.DUMMYFUNCTION("""COMPUTED_VALUE"""),2)</f>
        <v>2</v>
      </c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30.75" customHeight="1" spans="1:26">
      <c r="A460" s="2">
        <f>IFERROR(__xludf.DUMMYFUNCTION("""COMPUTED_VALUE"""),459)</f>
        <v>459</v>
      </c>
      <c r="B460" s="2" t="str">
        <f>IFERROR(__xludf.DUMMYFUNCTION("""COMPUTED_VALUE"""),"SCoFT")</f>
        <v>SCoFT</v>
      </c>
      <c r="C460" s="2" t="str">
        <f>IFERROR(__xludf.DUMMYFUNCTION("""COMPUTED_VALUE"""),"CS3258")</f>
        <v>CS3258</v>
      </c>
      <c r="D460" s="2" t="str">
        <f>IFERROR(__xludf.DUMMYFUNCTION("""COMPUTED_VALUE"""),"19AI258")</f>
        <v>19AI258</v>
      </c>
      <c r="E460" s="2"/>
      <c r="F460" s="2" t="str">
        <f>IFERROR(__xludf.DUMMYFUNCTION("""COMPUTED_VALUE"""),"Coursera")</f>
        <v>Coursera</v>
      </c>
      <c r="G460" s="3" t="str">
        <f>IFERROR(__xludf.DUMMYFUNCTION("""COMPUTED_VALUE"""),"Unilever Supply Chain Data Analyst Professional Certificate")</f>
        <v>Unilever Supply Chain Data Analyst Professional Certificate</v>
      </c>
      <c r="H460" s="2" t="str">
        <f>IFERROR(__xludf.DUMMYFUNCTION("""COMPUTED_VALUE"""),"4 Months")</f>
        <v>4 Months</v>
      </c>
      <c r="I460" s="2" t="str">
        <f>IFERROR(__xludf.DUMMYFUNCTION("""COMPUTED_VALUE"""),"NA")</f>
        <v>NA</v>
      </c>
      <c r="J460" s="2" t="str">
        <f>IFERROR(__xludf.DUMMYFUNCTION("""COMPUTED_VALUE"""),"NA")</f>
        <v>NA</v>
      </c>
      <c r="K460" s="2" t="str">
        <f>IFERROR(__xludf.DUMMYFUNCTION("""COMPUTED_VALUE"""),"NA")</f>
        <v>NA</v>
      </c>
      <c r="L460" s="2" t="str">
        <f>IFERROR(__xludf.DUMMYFUNCTION("""COMPUTED_VALUE"""),"CGPA")</f>
        <v>CGPA</v>
      </c>
      <c r="M460" s="2" t="str">
        <f>IFERROR(__xludf.DUMMYFUNCTION("""COMPUTED_VALUE"""),"Experiential Learning (Int and Grade from Certificate)")</f>
        <v>Experiential Learning (Int and Grade from Certificate)</v>
      </c>
      <c r="N460" s="2">
        <f>IFERROR(__xludf.DUMMYFUNCTION("""COMPUTED_VALUE"""),3)</f>
        <v>3</v>
      </c>
      <c r="O460" s="2">
        <f>IFERROR(__xludf.DUMMYFUNCTION("""COMPUTED_VALUE"""),3)</f>
        <v>3</v>
      </c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30.75" customHeight="1" spans="1:26">
      <c r="A461" s="2">
        <f>IFERROR(__xludf.DUMMYFUNCTION("""COMPUTED_VALUE"""),460)</f>
        <v>460</v>
      </c>
      <c r="B461" s="2" t="str">
        <f>IFERROR(__xludf.DUMMYFUNCTION("""COMPUTED_VALUE"""),"CHEMICAL")</f>
        <v>CHEMICAL</v>
      </c>
      <c r="C461" s="2" t="str">
        <f>IFERROR(__xludf.DUMMYFUNCTION("""COMPUTED_VALUE"""),"CH0605")</f>
        <v>CH0605</v>
      </c>
      <c r="D461" s="2" t="str">
        <f>IFERROR(__xludf.DUMMYFUNCTION("""COMPUTED_VALUE"""),"19CH605")</f>
        <v>19CH605</v>
      </c>
      <c r="E461" s="2"/>
      <c r="F461" s="2" t="str">
        <f>IFERROR(__xludf.DUMMYFUNCTION("""COMPUTED_VALUE"""),"NPTEL (IIT Kharagpur)")</f>
        <v>NPTEL (IIT Kharagpur)</v>
      </c>
      <c r="G461" s="3" t="str">
        <f>IFERROR(__xludf.DUMMYFUNCTION("""COMPUTED_VALUE"""),"Upstream LNG Technology (NPTEL)")</f>
        <v>Upstream LNG Technology (NPTEL)</v>
      </c>
      <c r="H461" s="2" t="str">
        <f>IFERROR(__xludf.DUMMYFUNCTION("""COMPUTED_VALUE"""),"12 Weeks")</f>
        <v>12 Weeks</v>
      </c>
      <c r="I461" s="4">
        <f>IFERROR(__xludf.DUMMYFUNCTION("""COMPUTED_VALUE"""),45224)</f>
        <v>45224</v>
      </c>
      <c r="J461" s="2" t="str">
        <f>IFERROR(__xludf.DUMMYFUNCTION("""COMPUTED_VALUE"""),"30/75")</f>
        <v>30/75</v>
      </c>
      <c r="K461" s="2" t="str">
        <f>IFERROR(__xludf.DUMMYFUNCTION("""COMPUTED_VALUE"""),"40/100")</f>
        <v>40/100</v>
      </c>
      <c r="L461" s="2" t="str">
        <f>IFERROR(__xludf.DUMMYFUNCTION("""COMPUTED_VALUE"""),"CGPA ")</f>
        <v>CGPA </v>
      </c>
      <c r="M461" s="2" t="str">
        <f>IFERROR(__xludf.DUMMYFUNCTION("""COMPUTED_VALUE"""),"Experiential Learning (Int and Grade from Certificate)")</f>
        <v>Experiential Learning (Int and Grade from Certificate)</v>
      </c>
      <c r="N461" s="2">
        <f>IFERROR(__xludf.DUMMYFUNCTION("""COMPUTED_VALUE"""),2)</f>
        <v>2</v>
      </c>
      <c r="O461" s="2">
        <f>IFERROR(__xludf.DUMMYFUNCTION("""COMPUTED_VALUE"""),3)</f>
        <v>3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30.75" customHeight="1" spans="1:26">
      <c r="A462" s="2">
        <f>IFERROR(__xludf.DUMMYFUNCTION("""COMPUTED_VALUE"""),461)</f>
        <v>461</v>
      </c>
      <c r="B462" s="2" t="str">
        <f>IFERROR(__xludf.DUMMYFUNCTION("""COMPUTED_VALUE"""),"CIVIL")</f>
        <v>CIVIL</v>
      </c>
      <c r="C462" s="2" t="str">
        <f>IFERROR(__xludf.DUMMYFUNCTION("""COMPUTED_VALUE"""),"CE0612")</f>
        <v>CE0612</v>
      </c>
      <c r="D462" s="2" t="str">
        <f>IFERROR(__xludf.DUMMYFUNCTION("""COMPUTED_VALUE"""),"19CE612")</f>
        <v>19CE612</v>
      </c>
      <c r="E462" s="2"/>
      <c r="F462" s="2" t="str">
        <f>IFERROR(__xludf.DUMMYFUNCTION("""COMPUTED_VALUE"""),"NPTEL")</f>
        <v>NPTEL</v>
      </c>
      <c r="G462" s="3" t="str">
        <f>IFERROR(__xludf.DUMMYFUNCTION("""COMPUTED_VALUE"""),"Urban Transportation Systems Planning (NPTEL)")</f>
        <v>Urban Transportation Systems Planning (NPTEL)</v>
      </c>
      <c r="H462" s="2" t="str">
        <f>IFERROR(__xludf.DUMMYFUNCTION("""COMPUTED_VALUE"""),"12 Weeks")</f>
        <v>12 Weeks</v>
      </c>
      <c r="I462" s="2"/>
      <c r="J462" s="2"/>
      <c r="K462" s="2"/>
      <c r="L462" s="2" t="str">
        <f>IFERROR(__xludf.DUMMYFUNCTION("""COMPUTED_VALUE"""),"CGPA")</f>
        <v>CGPA</v>
      </c>
      <c r="M462" s="2" t="str">
        <f>IFERROR(__xludf.DUMMYFUNCTION("""COMPUTED_VALUE"""),"Experiential Learning (Int and Grade from Certificate)")</f>
        <v>Experiential Learning (Int and Grade from Certificate)</v>
      </c>
      <c r="N462" s="2">
        <f>IFERROR(__xludf.DUMMYFUNCTION("""COMPUTED_VALUE"""),3)</f>
        <v>3</v>
      </c>
      <c r="O462" s="2">
        <f>IFERROR(__xludf.DUMMYFUNCTION("""COMPUTED_VALUE"""),3)</f>
        <v>3</v>
      </c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30.75" customHeight="1" spans="1:26">
      <c r="A463" s="2">
        <f>IFERROR(__xludf.DUMMYFUNCTION("""COMPUTED_VALUE"""),462)</f>
        <v>462</v>
      </c>
      <c r="B463" s="2" t="str">
        <f>IFERROR(__xludf.DUMMYFUNCTION("""COMPUTED_VALUE"""),"SCoFT")</f>
        <v>SCoFT</v>
      </c>
      <c r="C463" s="2" t="str">
        <f>IFERROR(__xludf.DUMMYFUNCTION("""COMPUTED_VALUE"""),"CS3068")</f>
        <v>CS3068</v>
      </c>
      <c r="D463" s="2" t="str">
        <f>IFERROR(__xludf.DUMMYFUNCTION("""COMPUTED_VALUE"""),"19AI068")</f>
        <v>19AI068</v>
      </c>
      <c r="E463" s="2"/>
      <c r="F463" s="2" t="str">
        <f>IFERROR(__xludf.DUMMYFUNCTION("""COMPUTED_VALUE"""),"NPTEL")</f>
        <v>NPTEL</v>
      </c>
      <c r="G463" s="3" t="str">
        <f>IFERROR(__xludf.DUMMYFUNCTION("""COMPUTED_VALUE"""),"User-Centric Computing for Human-Computer Interaction (NPTEL)")</f>
        <v>User-Centric Computing for Human-Computer Interaction (NPTEL)</v>
      </c>
      <c r="H463" s="2" t="str">
        <f>IFERROR(__xludf.DUMMYFUNCTION("""COMPUTED_VALUE"""),"8 Weeks")</f>
        <v>8 Weeks</v>
      </c>
      <c r="I463" s="2"/>
      <c r="J463" s="2"/>
      <c r="K463" s="2"/>
      <c r="L463" s="2" t="str">
        <f>IFERROR(__xludf.DUMMYFUNCTION("""COMPUTED_VALUE"""),"CGPA ")</f>
        <v>CGPA </v>
      </c>
      <c r="M463" s="2" t="str">
        <f>IFERROR(__xludf.DUMMYFUNCTION("""COMPUTED_VALUE"""),"Experiential Learning (Int and Grade from Certificate)")</f>
        <v>Experiential Learning (Int and Grade from Certificate)</v>
      </c>
      <c r="N463" s="2">
        <f>IFERROR(__xludf.DUMMYFUNCTION("""COMPUTED_VALUE"""),2)</f>
        <v>2</v>
      </c>
      <c r="O463" s="2">
        <f>IFERROR(__xludf.DUMMYFUNCTION("""COMPUTED_VALUE"""),2)</f>
        <v>2</v>
      </c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30.75" customHeight="1" spans="1:26">
      <c r="A464" s="2">
        <f>IFERROR(__xludf.DUMMYFUNCTION("""COMPUTED_VALUE"""),463)</f>
        <v>463</v>
      </c>
      <c r="B464" s="2" t="str">
        <f>IFERROR(__xludf.DUMMYFUNCTION("""COMPUTED_VALUE"""),"SCoFT")</f>
        <v>SCoFT</v>
      </c>
      <c r="C464" s="2" t="str">
        <f>IFERROR(__xludf.DUMMYFUNCTION("""COMPUTED_VALUE"""),"CS3069")</f>
        <v>CS3069</v>
      </c>
      <c r="D464" s="2" t="str">
        <f>IFERROR(__xludf.DUMMYFUNCTION("""COMPUTED_VALUE"""),"19AI069")</f>
        <v>19AI069</v>
      </c>
      <c r="E464" s="2"/>
      <c r="F464" s="2" t="str">
        <f>IFERROR(__xludf.DUMMYFUNCTION("""COMPUTED_VALUE"""),"NPTEL")</f>
        <v>NPTEL</v>
      </c>
      <c r="G464" s="3" t="str">
        <f>IFERROR(__xludf.DUMMYFUNCTION("""COMPUTED_VALUE"""),"VLSI Physical Design (NPTEL)")</f>
        <v>VLSI Physical Design (NPTEL)</v>
      </c>
      <c r="H464" s="2" t="str">
        <f>IFERROR(__xludf.DUMMYFUNCTION("""COMPUTED_VALUE"""),"12 Weeks")</f>
        <v>12 Weeks</v>
      </c>
      <c r="I464" s="2"/>
      <c r="J464" s="2"/>
      <c r="K464" s="2"/>
      <c r="L464" s="2" t="str">
        <f>IFERROR(__xludf.DUMMYFUNCTION("""COMPUTED_VALUE"""),"CGPA ")</f>
        <v>CGPA </v>
      </c>
      <c r="M464" s="2" t="str">
        <f>IFERROR(__xludf.DUMMYFUNCTION("""COMPUTED_VALUE"""),"Experiential Learning (Int and Grade from Certificate)")</f>
        <v>Experiential Learning (Int and Grade from Certificate)</v>
      </c>
      <c r="N464" s="2">
        <f>IFERROR(__xludf.DUMMYFUNCTION("""COMPUTED_VALUE"""),3)</f>
        <v>3</v>
      </c>
      <c r="O464" s="2">
        <f>IFERROR(__xludf.DUMMYFUNCTION("""COMPUTED_VALUE"""),3)</f>
        <v>3</v>
      </c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30.75" customHeight="1" spans="1:26">
      <c r="A465" s="2">
        <f>IFERROR(__xludf.DUMMYFUNCTION("""COMPUTED_VALUE"""),464)</f>
        <v>464</v>
      </c>
      <c r="B465" s="2" t="str">
        <f>IFERROR(__xludf.DUMMYFUNCTION("""COMPUTED_VALUE"""),"CHEMICAL, EEE")</f>
        <v>CHEMICAL, EEE</v>
      </c>
      <c r="C465" s="2" t="str">
        <f>IFERROR(__xludf.DUMMYFUNCTION("""COMPUTED_VALUE"""),"CH0617")</f>
        <v>CH0617</v>
      </c>
      <c r="D465" s="2" t="str">
        <f>IFERROR(__xludf.DUMMYFUNCTION("""COMPUTED_VALUE"""),"19CH617")</f>
        <v>19CH617</v>
      </c>
      <c r="E465" s="2"/>
      <c r="F465" s="2" t="str">
        <f>IFERROR(__xludf.DUMMYFUNCTION("""COMPUTED_VALUE"""),"NPTEL")</f>
        <v>NPTEL</v>
      </c>
      <c r="G465" s="3" t="str">
        <f>IFERROR(__xludf.DUMMYFUNCTION("""COMPUTED_VALUE"""),"Waste to Energy Conversion (NPTEL)")</f>
        <v>Waste to Energy Conversion (NPTEL)</v>
      </c>
      <c r="H465" s="2" t="str">
        <f>IFERROR(__xludf.DUMMYFUNCTION("""COMPUTED_VALUE"""),"8 Weeks")</f>
        <v>8 Weeks</v>
      </c>
      <c r="I465" s="2"/>
      <c r="J465" s="2"/>
      <c r="K465" s="2"/>
      <c r="L465" s="2" t="str">
        <f>IFERROR(__xludf.DUMMYFUNCTION("""COMPUTED_VALUE"""),"CGPA ")</f>
        <v>CGPA </v>
      </c>
      <c r="M465" s="2" t="str">
        <f>IFERROR(__xludf.DUMMYFUNCTION("""COMPUTED_VALUE"""),"Experiential Learning (Int and Grade from Certificate)")</f>
        <v>Experiential Learning (Int and Grade from Certificate)</v>
      </c>
      <c r="N465" s="2">
        <f>IFERROR(__xludf.DUMMYFUNCTION("""COMPUTED_VALUE"""),2)</f>
        <v>2</v>
      </c>
      <c r="O465" s="2">
        <f>IFERROR(__xludf.DUMMYFUNCTION("""COMPUTED_VALUE"""),2)</f>
        <v>2</v>
      </c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30.75" customHeight="1" spans="1:26">
      <c r="A466" s="2">
        <f>IFERROR(__xludf.DUMMYFUNCTION("""COMPUTED_VALUE"""),465)</f>
        <v>465</v>
      </c>
      <c r="B466" s="2" t="str">
        <f>IFERROR(__xludf.DUMMYFUNCTION("""COMPUTED_VALUE"""),"CIVIL")</f>
        <v>CIVIL</v>
      </c>
      <c r="C466" s="2" t="str">
        <f>IFERROR(__xludf.DUMMYFUNCTION("""COMPUTED_VALUE"""),"CE0606")</f>
        <v>CE0606</v>
      </c>
      <c r="D466" s="2" t="str">
        <f>IFERROR(__xludf.DUMMYFUNCTION("""COMPUTED_VALUE"""),"19CE606")</f>
        <v>19CE606</v>
      </c>
      <c r="E466" s="2"/>
      <c r="F466" s="2" t="str">
        <f>IFERROR(__xludf.DUMMYFUNCTION("""COMPUTED_VALUE"""),"NPTEL")</f>
        <v>NPTEL</v>
      </c>
      <c r="G466" s="3" t="str">
        <f>IFERROR(__xludf.DUMMYFUNCTION("""COMPUTED_VALUE"""),"Waste Water Treatment and Recycling (NPTEL)")</f>
        <v>Waste Water Treatment and Recycling (NPTEL)</v>
      </c>
      <c r="H466" s="2" t="str">
        <f>IFERROR(__xludf.DUMMYFUNCTION("""COMPUTED_VALUE"""),"12 Weeks")</f>
        <v>12 Weeks</v>
      </c>
      <c r="I466" s="2" t="str">
        <f>IFERROR(__xludf.DUMMYFUNCTION("""COMPUTED_VALUE"""),"10 / 25")</f>
        <v>10 / 25</v>
      </c>
      <c r="J466" s="2" t="str">
        <f>IFERROR(__xludf.DUMMYFUNCTION("""COMPUTED_VALUE"""),"30 / 75")</f>
        <v>30 / 75</v>
      </c>
      <c r="K466" s="2" t="str">
        <f>IFERROR(__xludf.DUMMYFUNCTION("""COMPUTED_VALUE"""),"40 / 100")</f>
        <v>40 / 100</v>
      </c>
      <c r="L466" s="2" t="str">
        <f>IFERROR(__xludf.DUMMYFUNCTION("""COMPUTED_VALUE"""),"CGPA ")</f>
        <v>CGPA </v>
      </c>
      <c r="M466" s="2" t="str">
        <f>IFERROR(__xludf.DUMMYFUNCTION("""COMPUTED_VALUE"""),"Experiential Learning (Int and Grade from Certificate)")</f>
        <v>Experiential Learning (Int and Grade from Certificate)</v>
      </c>
      <c r="N466" s="2">
        <f>IFERROR(__xludf.DUMMYFUNCTION("""COMPUTED_VALUE"""),2)</f>
        <v>2</v>
      </c>
      <c r="O466" s="2">
        <f>IFERROR(__xludf.DUMMYFUNCTION("""COMPUTED_VALUE"""),3)</f>
        <v>3</v>
      </c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30.75" customHeight="1" spans="1:26">
      <c r="A467" s="2">
        <f>IFERROR(__xludf.DUMMYFUNCTION("""COMPUTED_VALUE"""),466)</f>
        <v>466</v>
      </c>
      <c r="B467" s="2" t="str">
        <f>IFERROR(__xludf.DUMMYFUNCTION("""COMPUTED_VALUE"""),"CIVIL")</f>
        <v>CIVIL</v>
      </c>
      <c r="C467" s="2" t="str">
        <f>IFERROR(__xludf.DUMMYFUNCTION("""COMPUTED_VALUE"""),"CE0609")</f>
        <v>CE0609</v>
      </c>
      <c r="D467" s="2" t="str">
        <f>IFERROR(__xludf.DUMMYFUNCTION("""COMPUTED_VALUE"""),"19CE609")</f>
        <v>19CE609</v>
      </c>
      <c r="E467" s="2"/>
      <c r="F467" s="2" t="str">
        <f>IFERROR(__xludf.DUMMYFUNCTION("""COMPUTED_VALUE"""),"NPTEL")</f>
        <v>NPTEL</v>
      </c>
      <c r="G467" s="3" t="str">
        <f>IFERROR(__xludf.DUMMYFUNCTION("""COMPUTED_VALUE"""),"Water and Waste Water Treatment (NPTEL)")</f>
        <v>Water and Waste Water Treatment (NPTEL)</v>
      </c>
      <c r="H467" s="2" t="str">
        <f>IFERROR(__xludf.DUMMYFUNCTION("""COMPUTED_VALUE"""),"12 Weeks")</f>
        <v>12 Weeks</v>
      </c>
      <c r="I467" s="2"/>
      <c r="J467" s="2"/>
      <c r="K467" s="2"/>
      <c r="L467" s="2" t="str">
        <f>IFERROR(__xludf.DUMMYFUNCTION("""COMPUTED_VALUE"""),"CGPA")</f>
        <v>CGPA</v>
      </c>
      <c r="M467" s="2" t="str">
        <f>IFERROR(__xludf.DUMMYFUNCTION("""COMPUTED_VALUE"""),"Experiential Learning (Int and Grade from Certificate)")</f>
        <v>Experiential Learning (Int and Grade from Certificate)</v>
      </c>
      <c r="N467" s="2">
        <f>IFERROR(__xludf.DUMMYFUNCTION("""COMPUTED_VALUE"""),3)</f>
        <v>3</v>
      </c>
      <c r="O467" s="2">
        <f>IFERROR(__xludf.DUMMYFUNCTION("""COMPUTED_VALUE"""),3)</f>
        <v>3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30.75" customHeight="1" spans="1:26">
      <c r="A468" s="2">
        <f>IFERROR(__xludf.DUMMYFUNCTION("""COMPUTED_VALUE"""),467)</f>
        <v>467</v>
      </c>
      <c r="B468" s="2" t="str">
        <f>IFERROR(__xludf.DUMMYFUNCTION("""COMPUTED_VALUE"""),"Mech")</f>
        <v>Mech</v>
      </c>
      <c r="C468" s="2" t="str">
        <f>IFERROR(__xludf.DUMMYFUNCTION("""COMPUTED_VALUE"""),"ME0617")</f>
        <v>ME0617</v>
      </c>
      <c r="D468" s="2" t="str">
        <f>IFERROR(__xludf.DUMMYFUNCTION("""COMPUTED_VALUE"""),"19ME617")</f>
        <v>19ME617</v>
      </c>
      <c r="E468" s="2"/>
      <c r="F468" s="2" t="str">
        <f>IFERROR(__xludf.DUMMYFUNCTION("""COMPUTED_VALUE"""),"NPTEL")</f>
        <v>NPTEL</v>
      </c>
      <c r="G468" s="3" t="str">
        <f>IFERROR(__xludf.DUMMYFUNCTION("""COMPUTED_VALUE"""),"Welding Application Technology")</f>
        <v>Welding Application Technology</v>
      </c>
      <c r="H468" s="2" t="str">
        <f>IFERROR(__xludf.DUMMYFUNCTION("""COMPUTED_VALUE"""),"4 Weeks")</f>
        <v>4 Weeks</v>
      </c>
      <c r="I468" s="2"/>
      <c r="J468" s="2"/>
      <c r="K468" s="2"/>
      <c r="L468" s="2" t="str">
        <f>IFERROR(__xludf.DUMMYFUNCTION("""COMPUTED_VALUE"""),"CGPA")</f>
        <v>CGPA</v>
      </c>
      <c r="M468" s="2" t="str">
        <f>IFERROR(__xludf.DUMMYFUNCTION("""COMPUTED_VALUE"""),"Experiential Learning (Int and Grade from Certificate)")</f>
        <v>Experiential Learning (Int and Grade from Certificate)</v>
      </c>
      <c r="N468" s="2">
        <f>IFERROR(__xludf.DUMMYFUNCTION("""COMPUTED_VALUE"""),1)</f>
        <v>1</v>
      </c>
      <c r="O468" s="2">
        <f>IFERROR(__xludf.DUMMYFUNCTION("""COMPUTED_VALUE"""),1)</f>
        <v>1</v>
      </c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30.75" customHeight="1" spans="1:26">
      <c r="A469" s="2">
        <f>IFERROR(__xludf.DUMMYFUNCTION("""COMPUTED_VALUE"""),468)</f>
        <v>468</v>
      </c>
      <c r="B469" s="2" t="str">
        <f>IFERROR(__xludf.DUMMYFUNCTION("""COMPUTED_VALUE"""),"BME, MED ELEC")</f>
        <v>BME, MED ELEC</v>
      </c>
      <c r="C469" s="2" t="str">
        <f>IFERROR(__xludf.DUMMYFUNCTION("""COMPUTED_VALUE"""),"EC4682")</f>
        <v>EC4682</v>
      </c>
      <c r="D469" s="2" t="str">
        <f>IFERROR(__xludf.DUMMYFUNCTION("""COMPUTED_VALUE"""),"19BM682")</f>
        <v>19BM682</v>
      </c>
      <c r="E469" s="2"/>
      <c r="F469" s="2" t="str">
        <f>IFERROR(__xludf.DUMMYFUNCTION("""COMPUTED_VALUE"""),"NPTEL")</f>
        <v>NPTEL</v>
      </c>
      <c r="G469" s="3" t="str">
        <f>IFERROR(__xludf.DUMMYFUNCTION("""COMPUTED_VALUE"""),"Yoga and Positive Psychology for Managing Career and Life (NPTEL)")</f>
        <v>Yoga and Positive Psychology for Managing Career and Life (NPTEL)</v>
      </c>
      <c r="H469" s="2" t="str">
        <f>IFERROR(__xludf.DUMMYFUNCTION("""COMPUTED_VALUE"""),"8 Weeks")</f>
        <v>8 Weeks</v>
      </c>
      <c r="I469" s="2"/>
      <c r="J469" s="2"/>
      <c r="K469" s="2"/>
      <c r="L469" s="2" t="str">
        <f>IFERROR(__xludf.DUMMYFUNCTION("""COMPUTED_VALUE"""),"CGPA")</f>
        <v>CGPA</v>
      </c>
      <c r="M469" s="2" t="str">
        <f>IFERROR(__xludf.DUMMYFUNCTION("""COMPUTED_VALUE"""),"Experiential Learning (Int and Grade from Certificate)")</f>
        <v>Experiential Learning (Int and Grade from Certificate)</v>
      </c>
      <c r="N469" s="2">
        <f>IFERROR(__xludf.DUMMYFUNCTION("""COMPUTED_VALUE"""),2)</f>
        <v>2</v>
      </c>
      <c r="O469" s="2">
        <f>IFERROR(__xludf.DUMMYFUNCTION("""COMPUTED_VALUE"""),2)</f>
        <v>2</v>
      </c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30.75" customHeight="1" spans="1:26">
      <c r="A470" s="2">
        <f>IFERROR(__xludf.DUMMYFUNCTION("""COMPUTED_VALUE"""),470)</f>
        <v>470</v>
      </c>
      <c r="B470" s="2" t="str">
        <f>IFERROR(__xludf.DUMMYFUNCTION("""COMPUTED_VALUE"""),"BME, MED ELEC")</f>
        <v>BME, MED ELEC</v>
      </c>
      <c r="C470" s="2"/>
      <c r="D470" s="2"/>
      <c r="E470" s="2"/>
      <c r="F470" s="2" t="str">
        <f>IFERROR(__xludf.DUMMYFUNCTION("""COMPUTED_VALUE"""),"NPTEL (IIT Kharagpur)")</f>
        <v>NPTEL (IIT Kharagpur)</v>
      </c>
      <c r="G470" s="3" t="str">
        <f>IFERROR(__xludf.DUMMYFUNCTION("""COMPUTED_VALUE"""),"Medical Image Analysis")</f>
        <v>Medical Image Analysis</v>
      </c>
      <c r="H470" s="2" t="str">
        <f>IFERROR(__xludf.DUMMYFUNCTION("""COMPUTED_VALUE"""),"4 Weeks")</f>
        <v>4 Weeks</v>
      </c>
      <c r="I470" s="2"/>
      <c r="J470" s="2"/>
      <c r="K470" s="2"/>
      <c r="L470" s="2" t="str">
        <f>IFERROR(__xludf.DUMMYFUNCTION("""COMPUTED_VALUE"""),"CGPA")</f>
        <v>CGPA</v>
      </c>
      <c r="M470" s="2" t="str">
        <f>IFERROR(__xludf.DUMMYFUNCTION("""COMPUTED_VALUE"""),"Experiential Learning (Int and Grade from Certificate)")</f>
        <v>Experiential Learning (Int and Grade from Certificate)</v>
      </c>
      <c r="N470" s="2" t="str">
        <f>IFERROR(__xludf.DUMMYFUNCTION("""COMPUTED_VALUE"""),"-")</f>
        <v>-</v>
      </c>
      <c r="O470" s="2">
        <f>IFERROR(__xludf.DUMMYFUNCTION("""COMPUTED_VALUE"""),1)</f>
        <v>1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30.75" customHeight="1" spans="1:26">
      <c r="A471" s="2">
        <f>IFERROR(__xludf.DUMMYFUNCTION("""COMPUTED_VALUE"""),471)</f>
        <v>471</v>
      </c>
      <c r="B471" s="2" t="str">
        <f>IFERROR(__xludf.DUMMYFUNCTION("""COMPUTED_VALUE"""),"BME, MED ELEC")</f>
        <v>BME, MED ELEC</v>
      </c>
      <c r="C471" s="2"/>
      <c r="D471" s="2"/>
      <c r="E471" s="2"/>
      <c r="F471" s="2" t="str">
        <f>IFERROR(__xludf.DUMMYFUNCTION("""COMPUTED_VALUE"""),"NPTEL (IIT Kharagpur)")</f>
        <v>NPTEL (IIT Kharagpur)</v>
      </c>
      <c r="G471" s="3" t="str">
        <f>IFERROR(__xludf.DUMMYFUNCTION("""COMPUTED_VALUE"""),"Nanobiophotonics: Touching Our Daily Life")</f>
        <v>Nanobiophotonics: Touching Our Daily Life</v>
      </c>
      <c r="H471" s="2" t="str">
        <f>IFERROR(__xludf.DUMMYFUNCTION("""COMPUTED_VALUE"""),"12 Weeks")</f>
        <v>12 Weeks</v>
      </c>
      <c r="I471" s="2"/>
      <c r="J471" s="2"/>
      <c r="K471" s="2"/>
      <c r="L471" s="2" t="str">
        <f>IFERROR(__xludf.DUMMYFUNCTION("""COMPUTED_VALUE"""),"CGPA")</f>
        <v>CGPA</v>
      </c>
      <c r="M471" s="2" t="str">
        <f>IFERROR(__xludf.DUMMYFUNCTION("""COMPUTED_VALUE"""),"Experiential Learning (Int and Grade from Certificate)")</f>
        <v>Experiential Learning (Int and Grade from Certificate)</v>
      </c>
      <c r="N471" s="2" t="str">
        <f>IFERROR(__xludf.DUMMYFUNCTION("""COMPUTED_VALUE"""),"-")</f>
        <v>-</v>
      </c>
      <c r="O471" s="2">
        <f>IFERROR(__xludf.DUMMYFUNCTION("""COMPUTED_VALUE"""),3)</f>
        <v>3</v>
      </c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30.75" customHeight="1" spans="1:26">
      <c r="A472" s="6"/>
      <c r="B472" s="6"/>
      <c r="C472" s="6"/>
      <c r="D472" s="6"/>
      <c r="E472" s="6"/>
      <c r="F472" s="6"/>
      <c r="G472" s="8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30.75" customHeight="1" spans="1:26">
      <c r="A473" s="6"/>
      <c r="B473" s="6"/>
      <c r="C473" s="6"/>
      <c r="D473" s="6"/>
      <c r="E473" s="6"/>
      <c r="F473" s="6"/>
      <c r="G473" s="8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30.75" customHeight="1" spans="1:26">
      <c r="A474" s="6"/>
      <c r="B474" s="6"/>
      <c r="C474" s="6"/>
      <c r="D474" s="6"/>
      <c r="E474" s="6"/>
      <c r="F474" s="6"/>
      <c r="G474" s="8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30.75" customHeight="1" spans="1:26">
      <c r="A475" s="6"/>
      <c r="B475" s="6"/>
      <c r="C475" s="6"/>
      <c r="D475" s="6"/>
      <c r="E475" s="6"/>
      <c r="F475" s="6"/>
      <c r="G475" s="8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30.75" customHeight="1" spans="1:26">
      <c r="A476" s="6"/>
      <c r="B476" s="6"/>
      <c r="C476" s="6"/>
      <c r="D476" s="6"/>
      <c r="E476" s="6"/>
      <c r="F476" s="6"/>
      <c r="G476" s="8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30.75" customHeight="1" spans="1:26">
      <c r="A477" s="6"/>
      <c r="B477" s="6"/>
      <c r="C477" s="6"/>
      <c r="D477" s="6"/>
      <c r="E477" s="6"/>
      <c r="F477" s="6"/>
      <c r="G477" s="8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30.75" customHeight="1" spans="1:26">
      <c r="A478" s="6"/>
      <c r="B478" s="6"/>
      <c r="C478" s="6"/>
      <c r="D478" s="6"/>
      <c r="E478" s="6"/>
      <c r="F478" s="6"/>
      <c r="G478" s="8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30.75" customHeight="1" spans="1:26">
      <c r="A479" s="6"/>
      <c r="B479" s="6"/>
      <c r="C479" s="6"/>
      <c r="D479" s="6"/>
      <c r="E479" s="6"/>
      <c r="F479" s="6"/>
      <c r="G479" s="8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30.75" customHeight="1" spans="1:26">
      <c r="A480" s="6"/>
      <c r="B480" s="6"/>
      <c r="C480" s="6"/>
      <c r="D480" s="6"/>
      <c r="E480" s="6"/>
      <c r="F480" s="6"/>
      <c r="G480" s="8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30.75" customHeight="1" spans="1:26">
      <c r="A481" s="6"/>
      <c r="B481" s="6"/>
      <c r="C481" s="6"/>
      <c r="D481" s="6"/>
      <c r="E481" s="6"/>
      <c r="F481" s="6"/>
      <c r="G481" s="8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30.75" customHeight="1" spans="1:26">
      <c r="A482" s="6"/>
      <c r="B482" s="6"/>
      <c r="C482" s="6"/>
      <c r="D482" s="6"/>
      <c r="E482" s="6"/>
      <c r="F482" s="6"/>
      <c r="G482" s="8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30.75" customHeight="1" spans="1:26">
      <c r="A483" s="6"/>
      <c r="B483" s="6"/>
      <c r="C483" s="6"/>
      <c r="D483" s="6"/>
      <c r="E483" s="6"/>
      <c r="F483" s="6"/>
      <c r="G483" s="8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30.75" customHeight="1" spans="1:26">
      <c r="A484" s="6"/>
      <c r="B484" s="6"/>
      <c r="C484" s="6"/>
      <c r="D484" s="6"/>
      <c r="E484" s="6"/>
      <c r="F484" s="6"/>
      <c r="G484" s="8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30.75" customHeight="1" spans="1:26">
      <c r="A485" s="6"/>
      <c r="B485" s="6"/>
      <c r="C485" s="6"/>
      <c r="D485" s="6"/>
      <c r="E485" s="6"/>
      <c r="F485" s="6"/>
      <c r="G485" s="8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30.75" customHeight="1" spans="1:26">
      <c r="A486" s="6"/>
      <c r="B486" s="6"/>
      <c r="C486" s="6"/>
      <c r="D486" s="6"/>
      <c r="E486" s="6"/>
      <c r="F486" s="6"/>
      <c r="G486" s="8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30.75" customHeight="1" spans="1:26">
      <c r="A487" s="6"/>
      <c r="B487" s="6"/>
      <c r="C487" s="6"/>
      <c r="D487" s="6"/>
      <c r="E487" s="6"/>
      <c r="F487" s="6"/>
      <c r="G487" s="8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30.75" customHeight="1" spans="1:26">
      <c r="A488" s="6"/>
      <c r="B488" s="6"/>
      <c r="C488" s="6"/>
      <c r="D488" s="6"/>
      <c r="E488" s="6"/>
      <c r="F488" s="6"/>
      <c r="G488" s="8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30.75" customHeight="1" spans="1:26">
      <c r="A489" s="6"/>
      <c r="B489" s="6"/>
      <c r="C489" s="6"/>
      <c r="D489" s="6"/>
      <c r="E489" s="6"/>
      <c r="F489" s="6"/>
      <c r="G489" s="8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30.75" customHeight="1" spans="1:26">
      <c r="A490" s="6"/>
      <c r="B490" s="6"/>
      <c r="C490" s="6"/>
      <c r="D490" s="6"/>
      <c r="E490" s="6"/>
      <c r="F490" s="6"/>
      <c r="G490" s="8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30.75" customHeight="1" spans="1:26">
      <c r="A491" s="6"/>
      <c r="B491" s="6"/>
      <c r="C491" s="6"/>
      <c r="D491" s="6"/>
      <c r="E491" s="6"/>
      <c r="F491" s="6"/>
      <c r="G491" s="8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30.75" customHeight="1" spans="1:26">
      <c r="A492" s="6"/>
      <c r="B492" s="6"/>
      <c r="C492" s="6"/>
      <c r="D492" s="6"/>
      <c r="E492" s="6"/>
      <c r="F492" s="6"/>
      <c r="G492" s="8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30.75" customHeight="1" spans="1:26">
      <c r="A493" s="6"/>
      <c r="B493" s="6"/>
      <c r="C493" s="6"/>
      <c r="D493" s="6"/>
      <c r="E493" s="6"/>
      <c r="F493" s="6"/>
      <c r="G493" s="8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30.75" customHeight="1" spans="1:26">
      <c r="A494" s="6"/>
      <c r="B494" s="6"/>
      <c r="C494" s="6"/>
      <c r="D494" s="6"/>
      <c r="E494" s="6"/>
      <c r="F494" s="6"/>
      <c r="G494" s="8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30.75" customHeight="1" spans="1:26">
      <c r="A495" s="6"/>
      <c r="B495" s="6"/>
      <c r="C495" s="6"/>
      <c r="D495" s="6"/>
      <c r="E495" s="6"/>
      <c r="F495" s="6"/>
      <c r="G495" s="8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30.75" customHeight="1" spans="1:26">
      <c r="A496" s="6"/>
      <c r="B496" s="6"/>
      <c r="C496" s="6"/>
      <c r="D496" s="6"/>
      <c r="E496" s="6"/>
      <c r="F496" s="6"/>
      <c r="G496" s="8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30.75" customHeight="1" spans="1:26">
      <c r="A497" s="6"/>
      <c r="B497" s="6"/>
      <c r="C497" s="6"/>
      <c r="D497" s="6"/>
      <c r="E497" s="6"/>
      <c r="F497" s="6"/>
      <c r="G497" s="8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30.75" customHeight="1" spans="1:26">
      <c r="A498" s="6"/>
      <c r="B498" s="6"/>
      <c r="C498" s="6"/>
      <c r="D498" s="6"/>
      <c r="E498" s="6"/>
      <c r="F498" s="6"/>
      <c r="G498" s="8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30.75" customHeight="1" spans="1:26">
      <c r="A499" s="6"/>
      <c r="B499" s="6"/>
      <c r="C499" s="6"/>
      <c r="D499" s="6"/>
      <c r="E499" s="6"/>
      <c r="F499" s="6"/>
      <c r="G499" s="8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30.75" customHeight="1" spans="1:26">
      <c r="A500" s="6"/>
      <c r="B500" s="6"/>
      <c r="C500" s="6"/>
      <c r="D500" s="6"/>
      <c r="E500" s="6"/>
      <c r="F500" s="6"/>
      <c r="G500" s="8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30.75" customHeight="1" spans="1:26">
      <c r="A501" s="6"/>
      <c r="B501" s="6"/>
      <c r="C501" s="6"/>
      <c r="D501" s="6"/>
      <c r="E501" s="6"/>
      <c r="F501" s="6"/>
      <c r="G501" s="8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30.75" customHeight="1" spans="1:26">
      <c r="A502" s="6"/>
      <c r="B502" s="6"/>
      <c r="C502" s="6"/>
      <c r="D502" s="6"/>
      <c r="E502" s="6"/>
      <c r="F502" s="6"/>
      <c r="G502" s="8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30.75" customHeight="1" spans="1:26">
      <c r="A503" s="6"/>
      <c r="B503" s="6"/>
      <c r="C503" s="6"/>
      <c r="D503" s="6"/>
      <c r="E503" s="6"/>
      <c r="F503" s="6"/>
      <c r="G503" s="8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30.75" customHeight="1" spans="1:26">
      <c r="A504" s="6"/>
      <c r="B504" s="6"/>
      <c r="C504" s="6"/>
      <c r="D504" s="6"/>
      <c r="E504" s="6"/>
      <c r="F504" s="6"/>
      <c r="G504" s="8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30.75" customHeight="1" spans="1:26">
      <c r="A505" s="6"/>
      <c r="B505" s="6"/>
      <c r="C505" s="6"/>
      <c r="D505" s="6"/>
      <c r="E505" s="6"/>
      <c r="F505" s="6"/>
      <c r="G505" s="8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30.75" customHeight="1" spans="1:26">
      <c r="A506" s="6"/>
      <c r="B506" s="6"/>
      <c r="C506" s="6"/>
      <c r="D506" s="6"/>
      <c r="E506" s="6"/>
      <c r="F506" s="6"/>
      <c r="G506" s="8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30.75" customHeight="1" spans="1:26">
      <c r="A507" s="6"/>
      <c r="B507" s="6"/>
      <c r="C507" s="6"/>
      <c r="D507" s="6"/>
      <c r="E507" s="6"/>
      <c r="F507" s="6"/>
      <c r="G507" s="8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30.75" customHeight="1" spans="1:26">
      <c r="A508" s="6"/>
      <c r="B508" s="6"/>
      <c r="C508" s="6"/>
      <c r="D508" s="6"/>
      <c r="E508" s="6"/>
      <c r="F508" s="6"/>
      <c r="G508" s="8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30.75" customHeight="1" spans="1:26">
      <c r="A509" s="6"/>
      <c r="B509" s="6"/>
      <c r="C509" s="6"/>
      <c r="D509" s="6"/>
      <c r="E509" s="6"/>
      <c r="F509" s="6"/>
      <c r="G509" s="8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30.75" customHeight="1" spans="1:26">
      <c r="A510" s="6"/>
      <c r="B510" s="6"/>
      <c r="C510" s="6"/>
      <c r="D510" s="6"/>
      <c r="E510" s="6"/>
      <c r="F510" s="6"/>
      <c r="G510" s="8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30.75" customHeight="1" spans="1:26">
      <c r="A511" s="6"/>
      <c r="B511" s="6"/>
      <c r="C511" s="6"/>
      <c r="D511" s="6"/>
      <c r="E511" s="6"/>
      <c r="F511" s="6"/>
      <c r="G511" s="8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30.75" customHeight="1" spans="1:26">
      <c r="A512" s="6"/>
      <c r="B512" s="6"/>
      <c r="C512" s="6"/>
      <c r="D512" s="6"/>
      <c r="E512" s="6"/>
      <c r="F512" s="6"/>
      <c r="G512" s="8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30.75" customHeight="1" spans="1:26">
      <c r="A513" s="6"/>
      <c r="B513" s="6"/>
      <c r="C513" s="6"/>
      <c r="D513" s="6"/>
      <c r="E513" s="6"/>
      <c r="F513" s="6"/>
      <c r="G513" s="8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30.75" customHeight="1" spans="1:26">
      <c r="A514" s="6"/>
      <c r="B514" s="6"/>
      <c r="C514" s="6"/>
      <c r="D514" s="6"/>
      <c r="E514" s="6"/>
      <c r="F514" s="6"/>
      <c r="G514" s="8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30.75" customHeight="1" spans="1:26">
      <c r="A515" s="6"/>
      <c r="B515" s="6"/>
      <c r="C515" s="6"/>
      <c r="D515" s="6"/>
      <c r="E515" s="6"/>
      <c r="F515" s="6"/>
      <c r="G515" s="8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30.75" customHeight="1" spans="1:26">
      <c r="A516" s="6"/>
      <c r="B516" s="6"/>
      <c r="C516" s="6"/>
      <c r="D516" s="6"/>
      <c r="E516" s="6"/>
      <c r="F516" s="6"/>
      <c r="G516" s="8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30.75" customHeight="1" spans="1:26">
      <c r="A517" s="6"/>
      <c r="B517" s="6"/>
      <c r="C517" s="6"/>
      <c r="D517" s="6"/>
      <c r="E517" s="6"/>
      <c r="F517" s="6"/>
      <c r="G517" s="8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30.75" customHeight="1" spans="1:26">
      <c r="A518" s="6"/>
      <c r="B518" s="6"/>
      <c r="C518" s="6"/>
      <c r="D518" s="6"/>
      <c r="E518" s="6"/>
      <c r="F518" s="6"/>
      <c r="G518" s="8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30.75" customHeight="1" spans="1:26">
      <c r="A519" s="6"/>
      <c r="B519" s="6"/>
      <c r="C519" s="6"/>
      <c r="D519" s="6"/>
      <c r="E519" s="6"/>
      <c r="F519" s="6"/>
      <c r="G519" s="8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30.75" customHeight="1" spans="1:26">
      <c r="A520" s="6"/>
      <c r="B520" s="6"/>
      <c r="C520" s="6"/>
      <c r="D520" s="6"/>
      <c r="E520" s="6"/>
      <c r="F520" s="6"/>
      <c r="G520" s="8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30.75" customHeight="1" spans="1:26">
      <c r="A521" s="6"/>
      <c r="B521" s="6"/>
      <c r="C521" s="6"/>
      <c r="D521" s="6"/>
      <c r="E521" s="6"/>
      <c r="F521" s="6"/>
      <c r="G521" s="8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30.75" customHeight="1" spans="1:26">
      <c r="A522" s="6"/>
      <c r="B522" s="6"/>
      <c r="C522" s="6"/>
      <c r="D522" s="6"/>
      <c r="E522" s="6"/>
      <c r="F522" s="6"/>
      <c r="G522" s="8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30.75" customHeight="1" spans="1:26">
      <c r="A523" s="6"/>
      <c r="B523" s="6"/>
      <c r="C523" s="6"/>
      <c r="D523" s="6"/>
      <c r="E523" s="6"/>
      <c r="F523" s="6"/>
      <c r="G523" s="8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30.75" customHeight="1" spans="1:26">
      <c r="A524" s="6"/>
      <c r="B524" s="6"/>
      <c r="C524" s="6"/>
      <c r="D524" s="6"/>
      <c r="E524" s="6"/>
      <c r="F524" s="6"/>
      <c r="G524" s="8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30.75" customHeight="1" spans="1:26">
      <c r="A525" s="6"/>
      <c r="B525" s="6"/>
      <c r="C525" s="6"/>
      <c r="D525" s="6"/>
      <c r="E525" s="6"/>
      <c r="F525" s="6"/>
      <c r="G525" s="8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30.75" customHeight="1" spans="1:26">
      <c r="A526" s="6"/>
      <c r="B526" s="6"/>
      <c r="C526" s="6"/>
      <c r="D526" s="6"/>
      <c r="E526" s="6"/>
      <c r="F526" s="6"/>
      <c r="G526" s="8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30.75" customHeight="1" spans="1:26">
      <c r="A527" s="6"/>
      <c r="B527" s="6"/>
      <c r="C527" s="6"/>
      <c r="D527" s="6"/>
      <c r="E527" s="6"/>
      <c r="F527" s="6"/>
      <c r="G527" s="8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30.75" customHeight="1" spans="1:26">
      <c r="A528" s="6"/>
      <c r="B528" s="6"/>
      <c r="C528" s="6"/>
      <c r="D528" s="6"/>
      <c r="E528" s="6"/>
      <c r="F528" s="6"/>
      <c r="G528" s="8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30.75" customHeight="1" spans="1:26">
      <c r="A529" s="6"/>
      <c r="B529" s="6"/>
      <c r="C529" s="6"/>
      <c r="D529" s="6"/>
      <c r="E529" s="6"/>
      <c r="F529" s="6"/>
      <c r="G529" s="8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30.75" customHeight="1" spans="1:26">
      <c r="A530" s="6"/>
      <c r="B530" s="6"/>
      <c r="C530" s="6"/>
      <c r="D530" s="6"/>
      <c r="E530" s="6"/>
      <c r="F530" s="6"/>
      <c r="G530" s="8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30.75" customHeight="1" spans="1:26">
      <c r="A531" s="6"/>
      <c r="B531" s="6"/>
      <c r="C531" s="6"/>
      <c r="D531" s="6"/>
      <c r="E531" s="6"/>
      <c r="F531" s="6"/>
      <c r="G531" s="8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30.75" customHeight="1" spans="1:26">
      <c r="A532" s="6"/>
      <c r="B532" s="6"/>
      <c r="C532" s="6"/>
      <c r="D532" s="6"/>
      <c r="E532" s="6"/>
      <c r="F532" s="6"/>
      <c r="G532" s="8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30.75" customHeight="1" spans="1:26">
      <c r="A533" s="6"/>
      <c r="B533" s="6"/>
      <c r="C533" s="6"/>
      <c r="D533" s="6"/>
      <c r="E533" s="6"/>
      <c r="F533" s="6"/>
      <c r="G533" s="8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30.75" customHeight="1" spans="1:26">
      <c r="A534" s="6"/>
      <c r="B534" s="6"/>
      <c r="C534" s="6"/>
      <c r="D534" s="6"/>
      <c r="E534" s="6"/>
      <c r="F534" s="6"/>
      <c r="G534" s="8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30.75" customHeight="1" spans="1:26">
      <c r="A535" s="6"/>
      <c r="B535" s="6"/>
      <c r="C535" s="6"/>
      <c r="D535" s="6"/>
      <c r="E535" s="6"/>
      <c r="F535" s="6"/>
      <c r="G535" s="8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30.75" customHeight="1" spans="1:26">
      <c r="A536" s="6"/>
      <c r="B536" s="6"/>
      <c r="C536" s="6"/>
      <c r="D536" s="6"/>
      <c r="E536" s="6"/>
      <c r="F536" s="6"/>
      <c r="G536" s="8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30.75" customHeight="1" spans="1:26">
      <c r="A537" s="6"/>
      <c r="B537" s="6"/>
      <c r="C537" s="6"/>
      <c r="D537" s="6"/>
      <c r="E537" s="6"/>
      <c r="F537" s="6"/>
      <c r="G537" s="8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30.75" customHeight="1" spans="1:26">
      <c r="A538" s="6"/>
      <c r="B538" s="6"/>
      <c r="C538" s="6"/>
      <c r="D538" s="6"/>
      <c r="E538" s="6"/>
      <c r="F538" s="6"/>
      <c r="G538" s="8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30.75" customHeight="1" spans="1:26">
      <c r="A539" s="6"/>
      <c r="B539" s="6"/>
      <c r="C539" s="6"/>
      <c r="D539" s="6"/>
      <c r="E539" s="6"/>
      <c r="F539" s="6"/>
      <c r="G539" s="8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30.75" customHeight="1" spans="1:26">
      <c r="A540" s="6"/>
      <c r="B540" s="6"/>
      <c r="C540" s="6"/>
      <c r="D540" s="6"/>
      <c r="E540" s="6"/>
      <c r="F540" s="6"/>
      <c r="G540" s="8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30.75" customHeight="1" spans="1:26">
      <c r="A541" s="6"/>
      <c r="B541" s="6"/>
      <c r="C541" s="6"/>
      <c r="D541" s="6"/>
      <c r="E541" s="6"/>
      <c r="F541" s="6"/>
      <c r="G541" s="8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30.75" customHeight="1" spans="1:26">
      <c r="A542" s="6"/>
      <c r="B542" s="6"/>
      <c r="C542" s="6"/>
      <c r="D542" s="6"/>
      <c r="E542" s="6"/>
      <c r="F542" s="6"/>
      <c r="G542" s="8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30.75" customHeight="1" spans="1:26">
      <c r="A543" s="6"/>
      <c r="B543" s="6"/>
      <c r="C543" s="6"/>
      <c r="D543" s="6"/>
      <c r="E543" s="6"/>
      <c r="F543" s="6"/>
      <c r="G543" s="8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30.75" customHeight="1" spans="1:26">
      <c r="A544" s="6"/>
      <c r="B544" s="6"/>
      <c r="C544" s="6"/>
      <c r="D544" s="6"/>
      <c r="E544" s="6"/>
      <c r="F544" s="6"/>
      <c r="G544" s="8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30.75" customHeight="1" spans="1:26">
      <c r="A545" s="6"/>
      <c r="B545" s="6"/>
      <c r="C545" s="6"/>
      <c r="D545" s="6"/>
      <c r="E545" s="6"/>
      <c r="F545" s="6"/>
      <c r="G545" s="8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30.75" customHeight="1" spans="1:26">
      <c r="A546" s="6"/>
      <c r="B546" s="6"/>
      <c r="C546" s="6"/>
      <c r="D546" s="6"/>
      <c r="E546" s="6"/>
      <c r="F546" s="6"/>
      <c r="G546" s="8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30.75" customHeight="1" spans="1:26">
      <c r="A547" s="6"/>
      <c r="B547" s="6"/>
      <c r="C547" s="6"/>
      <c r="D547" s="6"/>
      <c r="E547" s="6"/>
      <c r="F547" s="6"/>
      <c r="G547" s="8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30.75" customHeight="1" spans="1:26">
      <c r="A548" s="6"/>
      <c r="B548" s="6"/>
      <c r="C548" s="6"/>
      <c r="D548" s="6"/>
      <c r="E548" s="6"/>
      <c r="F548" s="6"/>
      <c r="G548" s="8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30.75" customHeight="1" spans="1:26">
      <c r="A549" s="6"/>
      <c r="B549" s="6"/>
      <c r="C549" s="6"/>
      <c r="D549" s="6"/>
      <c r="E549" s="6"/>
      <c r="F549" s="6"/>
      <c r="G549" s="8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30.75" customHeight="1" spans="1:26">
      <c r="A550" s="6"/>
      <c r="B550" s="6"/>
      <c r="C550" s="6"/>
      <c r="D550" s="6"/>
      <c r="E550" s="6"/>
      <c r="F550" s="6"/>
      <c r="G550" s="8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30.75" customHeight="1" spans="1:26">
      <c r="A551" s="6"/>
      <c r="B551" s="6"/>
      <c r="C551" s="6"/>
      <c r="D551" s="6"/>
      <c r="E551" s="6"/>
      <c r="F551" s="6"/>
      <c r="G551" s="8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30.75" customHeight="1" spans="1:26">
      <c r="A552" s="6"/>
      <c r="B552" s="6"/>
      <c r="C552" s="6"/>
      <c r="D552" s="6"/>
      <c r="E552" s="6"/>
      <c r="F552" s="6"/>
      <c r="G552" s="8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30.75" customHeight="1" spans="1:26">
      <c r="A553" s="6"/>
      <c r="B553" s="6"/>
      <c r="C553" s="6"/>
      <c r="D553" s="6"/>
      <c r="E553" s="6"/>
      <c r="F553" s="6"/>
      <c r="G553" s="8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30.75" customHeight="1" spans="1:26">
      <c r="A554" s="6"/>
      <c r="B554" s="6"/>
      <c r="C554" s="6"/>
      <c r="D554" s="6"/>
      <c r="E554" s="6"/>
      <c r="F554" s="6"/>
      <c r="G554" s="8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30.75" customHeight="1" spans="1:26">
      <c r="A555" s="6"/>
      <c r="B555" s="6"/>
      <c r="C555" s="6"/>
      <c r="D555" s="6"/>
      <c r="E555" s="6"/>
      <c r="F555" s="6"/>
      <c r="G555" s="8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30.75" customHeight="1" spans="1:26">
      <c r="A556" s="6"/>
      <c r="B556" s="6"/>
      <c r="C556" s="6"/>
      <c r="D556" s="6"/>
      <c r="E556" s="6"/>
      <c r="F556" s="6"/>
      <c r="G556" s="8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30.75" customHeight="1" spans="1:26">
      <c r="A557" s="6"/>
      <c r="B557" s="6"/>
      <c r="C557" s="6"/>
      <c r="D557" s="6"/>
      <c r="E557" s="6"/>
      <c r="F557" s="6"/>
      <c r="G557" s="8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30.75" customHeight="1" spans="1:26">
      <c r="A558" s="6"/>
      <c r="B558" s="6"/>
      <c r="C558" s="6"/>
      <c r="D558" s="6"/>
      <c r="E558" s="6"/>
      <c r="F558" s="6"/>
      <c r="G558" s="8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30.75" customHeight="1" spans="1:26">
      <c r="A559" s="6"/>
      <c r="B559" s="6"/>
      <c r="C559" s="6"/>
      <c r="D559" s="6"/>
      <c r="E559" s="6"/>
      <c r="F559" s="6"/>
      <c r="G559" s="8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30.75" customHeight="1" spans="1:26">
      <c r="A560" s="6"/>
      <c r="B560" s="6"/>
      <c r="C560" s="6"/>
      <c r="D560" s="6"/>
      <c r="E560" s="6"/>
      <c r="F560" s="6"/>
      <c r="G560" s="8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30.75" customHeight="1" spans="1:26">
      <c r="A561" s="6"/>
      <c r="B561" s="6"/>
      <c r="C561" s="6"/>
      <c r="D561" s="6"/>
      <c r="E561" s="6"/>
      <c r="F561" s="6"/>
      <c r="G561" s="8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30.75" customHeight="1" spans="1:26">
      <c r="A562" s="6"/>
      <c r="B562" s="6"/>
      <c r="C562" s="6"/>
      <c r="D562" s="6"/>
      <c r="E562" s="6"/>
      <c r="F562" s="6"/>
      <c r="G562" s="8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30.75" customHeight="1" spans="1:26">
      <c r="A563" s="6"/>
      <c r="B563" s="6"/>
      <c r="C563" s="6"/>
      <c r="D563" s="6"/>
      <c r="E563" s="6"/>
      <c r="F563" s="6"/>
      <c r="G563" s="8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30.75" customHeight="1" spans="1:26">
      <c r="A564" s="6"/>
      <c r="B564" s="6"/>
      <c r="C564" s="6"/>
      <c r="D564" s="6"/>
      <c r="E564" s="6"/>
      <c r="F564" s="6"/>
      <c r="G564" s="8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30.75" customHeight="1" spans="1:26">
      <c r="A565" s="6"/>
      <c r="B565" s="6"/>
      <c r="C565" s="6"/>
      <c r="D565" s="6"/>
      <c r="E565" s="6"/>
      <c r="F565" s="6"/>
      <c r="G565" s="8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30.75" customHeight="1" spans="1:26">
      <c r="A566" s="6"/>
      <c r="B566" s="6"/>
      <c r="C566" s="6"/>
      <c r="D566" s="6"/>
      <c r="E566" s="6"/>
      <c r="F566" s="6"/>
      <c r="G566" s="8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30.75" customHeight="1" spans="1:26">
      <c r="A567" s="6"/>
      <c r="B567" s="6"/>
      <c r="C567" s="6"/>
      <c r="D567" s="6"/>
      <c r="E567" s="6"/>
      <c r="F567" s="6"/>
      <c r="G567" s="8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30.75" customHeight="1" spans="1:26">
      <c r="A568" s="6"/>
      <c r="B568" s="6"/>
      <c r="C568" s="6"/>
      <c r="D568" s="6"/>
      <c r="E568" s="6"/>
      <c r="F568" s="6"/>
      <c r="G568" s="8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30.75" customHeight="1" spans="1:26">
      <c r="A569" s="6"/>
      <c r="B569" s="6"/>
      <c r="C569" s="6"/>
      <c r="D569" s="6"/>
      <c r="E569" s="6"/>
      <c r="F569" s="6"/>
      <c r="G569" s="8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30.75" customHeight="1" spans="1:26">
      <c r="A570" s="6"/>
      <c r="B570" s="6"/>
      <c r="C570" s="6"/>
      <c r="D570" s="6"/>
      <c r="E570" s="6"/>
      <c r="F570" s="6"/>
      <c r="G570" s="8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30.75" customHeight="1" spans="1:26">
      <c r="A571" s="6"/>
      <c r="B571" s="6"/>
      <c r="C571" s="6"/>
      <c r="D571" s="6"/>
      <c r="E571" s="6"/>
      <c r="F571" s="6"/>
      <c r="G571" s="8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30.75" customHeight="1" spans="1:26">
      <c r="A572" s="6"/>
      <c r="B572" s="6"/>
      <c r="C572" s="6"/>
      <c r="D572" s="6"/>
      <c r="E572" s="6"/>
      <c r="F572" s="6"/>
      <c r="G572" s="8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30.75" customHeight="1" spans="1:26">
      <c r="A573" s="6"/>
      <c r="B573" s="6"/>
      <c r="C573" s="6"/>
      <c r="D573" s="6"/>
      <c r="E573" s="6"/>
      <c r="F573" s="6"/>
      <c r="G573" s="8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30.75" customHeight="1" spans="1:26">
      <c r="A574" s="6"/>
      <c r="B574" s="6"/>
      <c r="C574" s="6"/>
      <c r="D574" s="6"/>
      <c r="E574" s="6"/>
      <c r="F574" s="6"/>
      <c r="G574" s="8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30.75" customHeight="1" spans="1:26">
      <c r="A575" s="6"/>
      <c r="B575" s="6"/>
      <c r="C575" s="6"/>
      <c r="D575" s="6"/>
      <c r="E575" s="6"/>
      <c r="F575" s="6"/>
      <c r="G575" s="8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30.75" customHeight="1" spans="1:26">
      <c r="A576" s="6"/>
      <c r="B576" s="6"/>
      <c r="C576" s="6"/>
      <c r="D576" s="6"/>
      <c r="E576" s="6"/>
      <c r="F576" s="6"/>
      <c r="G576" s="8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30.75" customHeight="1" spans="1:26">
      <c r="A577" s="6"/>
      <c r="B577" s="6"/>
      <c r="C577" s="6"/>
      <c r="D577" s="6"/>
      <c r="E577" s="6"/>
      <c r="F577" s="6"/>
      <c r="G577" s="8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30.75" customHeight="1" spans="1:26">
      <c r="A578" s="6"/>
      <c r="B578" s="6"/>
      <c r="C578" s="6"/>
      <c r="D578" s="6"/>
      <c r="E578" s="6"/>
      <c r="F578" s="6"/>
      <c r="G578" s="8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30.75" customHeight="1" spans="1:26">
      <c r="A579" s="6"/>
      <c r="B579" s="6"/>
      <c r="C579" s="6"/>
      <c r="D579" s="6"/>
      <c r="E579" s="6"/>
      <c r="F579" s="6"/>
      <c r="G579" s="8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30.75" customHeight="1" spans="1:26">
      <c r="A580" s="6"/>
      <c r="B580" s="6"/>
      <c r="C580" s="6"/>
      <c r="D580" s="6"/>
      <c r="E580" s="6"/>
      <c r="F580" s="6"/>
      <c r="G580" s="8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30.75" customHeight="1" spans="1:26">
      <c r="A581" s="6"/>
      <c r="B581" s="6"/>
      <c r="C581" s="6"/>
      <c r="D581" s="6"/>
      <c r="E581" s="6"/>
      <c r="F581" s="6"/>
      <c r="G581" s="8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30.75" customHeight="1" spans="1:26">
      <c r="A582" s="6"/>
      <c r="B582" s="6"/>
      <c r="C582" s="6"/>
      <c r="D582" s="6"/>
      <c r="E582" s="6"/>
      <c r="F582" s="6"/>
      <c r="G582" s="8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30.75" customHeight="1" spans="1:26">
      <c r="A583" s="6"/>
      <c r="B583" s="6"/>
      <c r="C583" s="6"/>
      <c r="D583" s="6"/>
      <c r="E583" s="6"/>
      <c r="F583" s="6"/>
      <c r="G583" s="8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30.75" customHeight="1" spans="1:26">
      <c r="A584" s="6"/>
      <c r="B584" s="6"/>
      <c r="C584" s="6"/>
      <c r="D584" s="6"/>
      <c r="E584" s="6"/>
      <c r="F584" s="6"/>
      <c r="G584" s="8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30.75" customHeight="1" spans="1:26">
      <c r="A585" s="6"/>
      <c r="B585" s="6"/>
      <c r="C585" s="6"/>
      <c r="D585" s="6"/>
      <c r="E585" s="6"/>
      <c r="F585" s="6"/>
      <c r="G585" s="8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30.75" customHeight="1" spans="1:26">
      <c r="A586" s="6"/>
      <c r="B586" s="6"/>
      <c r="C586" s="6"/>
      <c r="D586" s="6"/>
      <c r="E586" s="6"/>
      <c r="F586" s="6"/>
      <c r="G586" s="8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30.75" customHeight="1" spans="1:26">
      <c r="A587" s="6"/>
      <c r="B587" s="6"/>
      <c r="C587" s="6"/>
      <c r="D587" s="6"/>
      <c r="E587" s="6"/>
      <c r="F587" s="6"/>
      <c r="G587" s="8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30.75" customHeight="1" spans="1:26">
      <c r="A588" s="6"/>
      <c r="B588" s="6"/>
      <c r="C588" s="6"/>
      <c r="D588" s="6"/>
      <c r="E588" s="6"/>
      <c r="F588" s="6"/>
      <c r="G588" s="8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30.75" customHeight="1" spans="1:26">
      <c r="A589" s="6"/>
      <c r="B589" s="6"/>
      <c r="C589" s="6"/>
      <c r="D589" s="6"/>
      <c r="E589" s="6"/>
      <c r="F589" s="6"/>
      <c r="G589" s="8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30.75" customHeight="1" spans="1:26">
      <c r="A590" s="6"/>
      <c r="B590" s="6"/>
      <c r="C590" s="6"/>
      <c r="D590" s="6"/>
      <c r="E590" s="6"/>
      <c r="F590" s="6"/>
      <c r="G590" s="8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30.75" customHeight="1" spans="1:26">
      <c r="A591" s="6"/>
      <c r="B591" s="6"/>
      <c r="C591" s="6"/>
      <c r="D591" s="6"/>
      <c r="E591" s="6"/>
      <c r="F591" s="6"/>
      <c r="G591" s="8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30.75" customHeight="1" spans="1:26">
      <c r="A592" s="6"/>
      <c r="B592" s="6"/>
      <c r="C592" s="6"/>
      <c r="D592" s="6"/>
      <c r="E592" s="6"/>
      <c r="F592" s="6"/>
      <c r="G592" s="8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30.75" customHeight="1" spans="1:26">
      <c r="A593" s="6"/>
      <c r="B593" s="6"/>
      <c r="C593" s="6"/>
      <c r="D593" s="6"/>
      <c r="E593" s="6"/>
      <c r="F593" s="6"/>
      <c r="G593" s="8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30.75" customHeight="1" spans="1:26">
      <c r="A594" s="6"/>
      <c r="B594" s="6"/>
      <c r="C594" s="6"/>
      <c r="D594" s="6"/>
      <c r="E594" s="6"/>
      <c r="F594" s="6"/>
      <c r="G594" s="8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30.75" customHeight="1" spans="1:26">
      <c r="A595" s="6"/>
      <c r="B595" s="6"/>
      <c r="C595" s="6"/>
      <c r="D595" s="6"/>
      <c r="E595" s="6"/>
      <c r="F595" s="6"/>
      <c r="G595" s="8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30.75" customHeight="1" spans="1:26">
      <c r="A596" s="6"/>
      <c r="B596" s="6"/>
      <c r="C596" s="6"/>
      <c r="D596" s="6"/>
      <c r="E596" s="6"/>
      <c r="F596" s="6"/>
      <c r="G596" s="8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30.75" customHeight="1" spans="1:26">
      <c r="A597" s="6"/>
      <c r="B597" s="6"/>
      <c r="C597" s="6"/>
      <c r="D597" s="6"/>
      <c r="E597" s="6"/>
      <c r="F597" s="6"/>
      <c r="G597" s="8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30.75" customHeight="1" spans="1:26">
      <c r="A598" s="6"/>
      <c r="B598" s="6"/>
      <c r="C598" s="6"/>
      <c r="D598" s="6"/>
      <c r="E598" s="6"/>
      <c r="F598" s="6"/>
      <c r="G598" s="8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30.75" customHeight="1" spans="1:26">
      <c r="A599" s="6"/>
      <c r="B599" s="6"/>
      <c r="C599" s="6"/>
      <c r="D599" s="6"/>
      <c r="E599" s="6"/>
      <c r="F599" s="6"/>
      <c r="G599" s="8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30.75" customHeight="1" spans="1:26">
      <c r="A600" s="6"/>
      <c r="B600" s="6"/>
      <c r="C600" s="6"/>
      <c r="D600" s="6"/>
      <c r="E600" s="6"/>
      <c r="F600" s="6"/>
      <c r="G600" s="8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30.75" customHeight="1" spans="1:26">
      <c r="A601" s="6"/>
      <c r="B601" s="6"/>
      <c r="C601" s="6"/>
      <c r="D601" s="6"/>
      <c r="E601" s="6"/>
      <c r="F601" s="6"/>
      <c r="G601" s="8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30.75" customHeight="1" spans="1:26">
      <c r="A602" s="6"/>
      <c r="B602" s="6"/>
      <c r="C602" s="6"/>
      <c r="D602" s="6"/>
      <c r="E602" s="6"/>
      <c r="F602" s="6"/>
      <c r="G602" s="8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30.75" customHeight="1" spans="1:26">
      <c r="A603" s="6"/>
      <c r="B603" s="6"/>
      <c r="C603" s="6"/>
      <c r="D603" s="6"/>
      <c r="E603" s="6"/>
      <c r="F603" s="6"/>
      <c r="G603" s="8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30.75" customHeight="1" spans="1:26">
      <c r="A604" s="6"/>
      <c r="B604" s="6"/>
      <c r="C604" s="6"/>
      <c r="D604" s="6"/>
      <c r="E604" s="6"/>
      <c r="F604" s="6"/>
      <c r="G604" s="8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30.75" customHeight="1" spans="1:26">
      <c r="A605" s="6"/>
      <c r="B605" s="6"/>
      <c r="C605" s="6"/>
      <c r="D605" s="6"/>
      <c r="E605" s="6"/>
      <c r="F605" s="6"/>
      <c r="G605" s="8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30.75" customHeight="1" spans="1:26">
      <c r="A606" s="6"/>
      <c r="B606" s="6"/>
      <c r="C606" s="6"/>
      <c r="D606" s="6"/>
      <c r="E606" s="6"/>
      <c r="F606" s="6"/>
      <c r="G606" s="8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30.75" customHeight="1" spans="1:26">
      <c r="A607" s="6"/>
      <c r="B607" s="6"/>
      <c r="C607" s="6"/>
      <c r="D607" s="6"/>
      <c r="E607" s="6"/>
      <c r="F607" s="6"/>
      <c r="G607" s="8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30.75" customHeight="1" spans="1:26">
      <c r="A608" s="6"/>
      <c r="B608" s="6"/>
      <c r="C608" s="6"/>
      <c r="D608" s="6"/>
      <c r="E608" s="6"/>
      <c r="F608" s="6"/>
      <c r="G608" s="8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30.75" customHeight="1" spans="1:26">
      <c r="A609" s="6"/>
      <c r="B609" s="6"/>
      <c r="C609" s="6"/>
      <c r="D609" s="6"/>
      <c r="E609" s="6"/>
      <c r="F609" s="6"/>
      <c r="G609" s="8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30.75" customHeight="1" spans="1:26">
      <c r="A610" s="6"/>
      <c r="B610" s="6"/>
      <c r="C610" s="6"/>
      <c r="D610" s="6"/>
      <c r="E610" s="6"/>
      <c r="F610" s="6"/>
      <c r="G610" s="8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30.75" customHeight="1" spans="1:26">
      <c r="A611" s="6"/>
      <c r="B611" s="6"/>
      <c r="C611" s="6"/>
      <c r="D611" s="6"/>
      <c r="E611" s="6"/>
      <c r="F611" s="6"/>
      <c r="G611" s="8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30.75" customHeight="1" spans="1:26">
      <c r="A612" s="6"/>
      <c r="B612" s="6"/>
      <c r="C612" s="6"/>
      <c r="D612" s="6"/>
      <c r="E612" s="6"/>
      <c r="F612" s="6"/>
      <c r="G612" s="8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30.75" customHeight="1" spans="1:26">
      <c r="A613" s="6"/>
      <c r="B613" s="6"/>
      <c r="C613" s="6"/>
      <c r="D613" s="6"/>
      <c r="E613" s="6"/>
      <c r="F613" s="6"/>
      <c r="G613" s="8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30.75" customHeight="1" spans="1:26">
      <c r="A614" s="6"/>
      <c r="B614" s="6"/>
      <c r="C614" s="6"/>
      <c r="D614" s="6"/>
      <c r="E614" s="6"/>
      <c r="F614" s="6"/>
      <c r="G614" s="8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30.75" customHeight="1" spans="1:26">
      <c r="A615" s="6"/>
      <c r="B615" s="6"/>
      <c r="C615" s="6"/>
      <c r="D615" s="6"/>
      <c r="E615" s="6"/>
      <c r="F615" s="6"/>
      <c r="G615" s="8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30.75" customHeight="1" spans="1:26">
      <c r="A616" s="6"/>
      <c r="B616" s="6"/>
      <c r="C616" s="6"/>
      <c r="D616" s="6"/>
      <c r="E616" s="6"/>
      <c r="F616" s="6"/>
      <c r="G616" s="8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30.75" customHeight="1" spans="1:26">
      <c r="A617" s="6"/>
      <c r="B617" s="6"/>
      <c r="C617" s="6"/>
      <c r="D617" s="6"/>
      <c r="E617" s="6"/>
      <c r="F617" s="6"/>
      <c r="G617" s="8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30.75" customHeight="1" spans="1:26">
      <c r="A618" s="6"/>
      <c r="B618" s="6"/>
      <c r="C618" s="6"/>
      <c r="D618" s="6"/>
      <c r="E618" s="6"/>
      <c r="F618" s="6"/>
      <c r="G618" s="8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30.75" customHeight="1" spans="1:26">
      <c r="A619" s="6"/>
      <c r="B619" s="6"/>
      <c r="C619" s="6"/>
      <c r="D619" s="6"/>
      <c r="E619" s="6"/>
      <c r="F619" s="6"/>
      <c r="G619" s="8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30.75" customHeight="1" spans="1:26">
      <c r="A620" s="6"/>
      <c r="B620" s="6"/>
      <c r="C620" s="6"/>
      <c r="D620" s="6"/>
      <c r="E620" s="6"/>
      <c r="F620" s="6"/>
      <c r="G620" s="8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30.75" customHeight="1" spans="1:26">
      <c r="A621" s="6"/>
      <c r="B621" s="6"/>
      <c r="C621" s="6"/>
      <c r="D621" s="6"/>
      <c r="E621" s="6"/>
      <c r="F621" s="6"/>
      <c r="G621" s="8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30.75" customHeight="1" spans="1:26">
      <c r="A622" s="6"/>
      <c r="B622" s="6"/>
      <c r="C622" s="6"/>
      <c r="D622" s="6"/>
      <c r="E622" s="6"/>
      <c r="F622" s="6"/>
      <c r="G622" s="8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30.75" customHeight="1" spans="1:26">
      <c r="A623" s="6"/>
      <c r="B623" s="6"/>
      <c r="C623" s="6"/>
      <c r="D623" s="6"/>
      <c r="E623" s="6"/>
      <c r="F623" s="6"/>
      <c r="G623" s="8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30.75" customHeight="1" spans="1:26">
      <c r="A624" s="6"/>
      <c r="B624" s="6"/>
      <c r="C624" s="6"/>
      <c r="D624" s="6"/>
      <c r="E624" s="6"/>
      <c r="F624" s="6"/>
      <c r="G624" s="8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30.75" customHeight="1" spans="1:26">
      <c r="A625" s="6"/>
      <c r="B625" s="6"/>
      <c r="C625" s="6"/>
      <c r="D625" s="6"/>
      <c r="E625" s="6"/>
      <c r="F625" s="6"/>
      <c r="G625" s="8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30.75" customHeight="1" spans="1:26">
      <c r="A626" s="6"/>
      <c r="B626" s="6"/>
      <c r="C626" s="6"/>
      <c r="D626" s="6"/>
      <c r="E626" s="6"/>
      <c r="F626" s="6"/>
      <c r="G626" s="8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30.75" customHeight="1" spans="1:26">
      <c r="A627" s="6"/>
      <c r="B627" s="6"/>
      <c r="C627" s="6"/>
      <c r="D627" s="6"/>
      <c r="E627" s="6"/>
      <c r="F627" s="6"/>
      <c r="G627" s="8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30.75" customHeight="1" spans="1:26">
      <c r="A628" s="6"/>
      <c r="B628" s="6"/>
      <c r="C628" s="6"/>
      <c r="D628" s="6"/>
      <c r="E628" s="6"/>
      <c r="F628" s="6"/>
      <c r="G628" s="8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30.75" customHeight="1" spans="1:26">
      <c r="A629" s="6"/>
      <c r="B629" s="6"/>
      <c r="C629" s="6"/>
      <c r="D629" s="6"/>
      <c r="E629" s="6"/>
      <c r="F629" s="6"/>
      <c r="G629" s="8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30.75" customHeight="1" spans="1:26">
      <c r="A630" s="6"/>
      <c r="B630" s="6"/>
      <c r="C630" s="6"/>
      <c r="D630" s="6"/>
      <c r="E630" s="6"/>
      <c r="F630" s="6"/>
      <c r="G630" s="8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30.75" customHeight="1" spans="1:26">
      <c r="A631" s="6"/>
      <c r="B631" s="6"/>
      <c r="C631" s="6"/>
      <c r="D631" s="6"/>
      <c r="E631" s="6"/>
      <c r="F631" s="6"/>
      <c r="G631" s="8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30.75" customHeight="1" spans="1:26">
      <c r="A632" s="6"/>
      <c r="B632" s="6"/>
      <c r="C632" s="6"/>
      <c r="D632" s="6"/>
      <c r="E632" s="6"/>
      <c r="F632" s="6"/>
      <c r="G632" s="8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30.75" customHeight="1" spans="1:26">
      <c r="A633" s="6"/>
      <c r="B633" s="6"/>
      <c r="C633" s="6"/>
      <c r="D633" s="6"/>
      <c r="E633" s="6"/>
      <c r="F633" s="6"/>
      <c r="G633" s="8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30.75" customHeight="1" spans="1:26">
      <c r="A634" s="6"/>
      <c r="B634" s="6"/>
      <c r="C634" s="6"/>
      <c r="D634" s="6"/>
      <c r="E634" s="6"/>
      <c r="F634" s="6"/>
      <c r="G634" s="8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30.75" customHeight="1" spans="1:26">
      <c r="A635" s="6"/>
      <c r="B635" s="6"/>
      <c r="C635" s="6"/>
      <c r="D635" s="6"/>
      <c r="E635" s="6"/>
      <c r="F635" s="6"/>
      <c r="G635" s="8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30.75" customHeight="1" spans="1:26">
      <c r="A636" s="6"/>
      <c r="B636" s="6"/>
      <c r="C636" s="6"/>
      <c r="D636" s="6"/>
      <c r="E636" s="6"/>
      <c r="F636" s="6"/>
      <c r="G636" s="8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30.75" customHeight="1" spans="1:26">
      <c r="A637" s="6"/>
      <c r="B637" s="6"/>
      <c r="C637" s="6"/>
      <c r="D637" s="6"/>
      <c r="E637" s="6"/>
      <c r="F637" s="6"/>
      <c r="G637" s="8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30.75" customHeight="1" spans="1:26">
      <c r="A638" s="6"/>
      <c r="B638" s="6"/>
      <c r="C638" s="6"/>
      <c r="D638" s="6"/>
      <c r="E638" s="6"/>
      <c r="F638" s="6"/>
      <c r="G638" s="8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30.75" customHeight="1" spans="1:26">
      <c r="A639" s="6"/>
      <c r="B639" s="6"/>
      <c r="C639" s="6"/>
      <c r="D639" s="6"/>
      <c r="E639" s="6"/>
      <c r="F639" s="6"/>
      <c r="G639" s="8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30.75" customHeight="1" spans="1:26">
      <c r="A640" s="6"/>
      <c r="B640" s="6"/>
      <c r="C640" s="6"/>
      <c r="D640" s="6"/>
      <c r="E640" s="6"/>
      <c r="F640" s="6"/>
      <c r="G640" s="8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30.75" customHeight="1" spans="1:26">
      <c r="A641" s="6"/>
      <c r="B641" s="6"/>
      <c r="C641" s="6"/>
      <c r="D641" s="6"/>
      <c r="E641" s="6"/>
      <c r="F641" s="6"/>
      <c r="G641" s="8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30.75" customHeight="1" spans="1:26">
      <c r="A642" s="6"/>
      <c r="B642" s="6"/>
      <c r="C642" s="6"/>
      <c r="D642" s="6"/>
      <c r="E642" s="6"/>
      <c r="F642" s="6"/>
      <c r="G642" s="8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30.75" customHeight="1" spans="1:26">
      <c r="A643" s="6"/>
      <c r="B643" s="6"/>
      <c r="C643" s="6"/>
      <c r="D643" s="6"/>
      <c r="E643" s="6"/>
      <c r="F643" s="6"/>
      <c r="G643" s="8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30.75" customHeight="1" spans="1:26">
      <c r="A644" s="6"/>
      <c r="B644" s="6"/>
      <c r="C644" s="6"/>
      <c r="D644" s="6"/>
      <c r="E644" s="6"/>
      <c r="F644" s="6"/>
      <c r="G644" s="8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30.75" customHeight="1" spans="1:26">
      <c r="A645" s="6"/>
      <c r="B645" s="6"/>
      <c r="C645" s="6"/>
      <c r="D645" s="6"/>
      <c r="E645" s="6"/>
      <c r="F645" s="6"/>
      <c r="G645" s="8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30.75" customHeight="1" spans="1:26">
      <c r="A646" s="6"/>
      <c r="B646" s="6"/>
      <c r="C646" s="6"/>
      <c r="D646" s="6"/>
      <c r="E646" s="6"/>
      <c r="F646" s="6"/>
      <c r="G646" s="8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30.75" customHeight="1" spans="1:26">
      <c r="A647" s="6"/>
      <c r="B647" s="6"/>
      <c r="C647" s="6"/>
      <c r="D647" s="6"/>
      <c r="E647" s="6"/>
      <c r="F647" s="6"/>
      <c r="G647" s="8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30.75" customHeight="1" spans="1:26">
      <c r="A648" s="6"/>
      <c r="B648" s="6"/>
      <c r="C648" s="6"/>
      <c r="D648" s="6"/>
      <c r="E648" s="6"/>
      <c r="F648" s="6"/>
      <c r="G648" s="8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30.75" customHeight="1" spans="1:26">
      <c r="A649" s="6"/>
      <c r="B649" s="6"/>
      <c r="C649" s="6"/>
      <c r="D649" s="6"/>
      <c r="E649" s="6"/>
      <c r="F649" s="6"/>
      <c r="G649" s="8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30.75" customHeight="1" spans="1:26">
      <c r="A650" s="6"/>
      <c r="B650" s="6"/>
      <c r="C650" s="6"/>
      <c r="D650" s="6"/>
      <c r="E650" s="6"/>
      <c r="F650" s="6"/>
      <c r="G650" s="8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30.75" customHeight="1" spans="1:26">
      <c r="A651" s="6"/>
      <c r="B651" s="6"/>
      <c r="C651" s="6"/>
      <c r="D651" s="6"/>
      <c r="E651" s="6"/>
      <c r="F651" s="6"/>
      <c r="G651" s="8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30.75" customHeight="1" spans="1:26">
      <c r="A652" s="6"/>
      <c r="B652" s="6"/>
      <c r="C652" s="6"/>
      <c r="D652" s="6"/>
      <c r="E652" s="6"/>
      <c r="F652" s="6"/>
      <c r="G652" s="8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30.75" customHeight="1" spans="1:26">
      <c r="A653" s="6"/>
      <c r="B653" s="6"/>
      <c r="C653" s="6"/>
      <c r="D653" s="6"/>
      <c r="E653" s="6"/>
      <c r="F653" s="6"/>
      <c r="G653" s="8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30.75" customHeight="1" spans="1:26">
      <c r="A654" s="6"/>
      <c r="B654" s="6"/>
      <c r="C654" s="6"/>
      <c r="D654" s="6"/>
      <c r="E654" s="6"/>
      <c r="F654" s="6"/>
      <c r="G654" s="8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30.75" customHeight="1" spans="1:26">
      <c r="A655" s="6"/>
      <c r="B655" s="6"/>
      <c r="C655" s="6"/>
      <c r="D655" s="6"/>
      <c r="E655" s="6"/>
      <c r="F655" s="6"/>
      <c r="G655" s="8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30.75" customHeight="1" spans="1:26">
      <c r="A656" s="6"/>
      <c r="B656" s="6"/>
      <c r="C656" s="6"/>
      <c r="D656" s="6"/>
      <c r="E656" s="6"/>
      <c r="F656" s="6"/>
      <c r="G656" s="8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30.75" customHeight="1" spans="1:26">
      <c r="A657" s="6"/>
      <c r="B657" s="6"/>
      <c r="C657" s="6"/>
      <c r="D657" s="6"/>
      <c r="E657" s="6"/>
      <c r="F657" s="6"/>
      <c r="G657" s="8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30.75" customHeight="1" spans="1:26">
      <c r="A658" s="6"/>
      <c r="B658" s="6"/>
      <c r="C658" s="6"/>
      <c r="D658" s="6"/>
      <c r="E658" s="6"/>
      <c r="F658" s="6"/>
      <c r="G658" s="8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30.75" customHeight="1" spans="1:26">
      <c r="A659" s="6"/>
      <c r="B659" s="6"/>
      <c r="C659" s="6"/>
      <c r="D659" s="6"/>
      <c r="E659" s="6"/>
      <c r="F659" s="6"/>
      <c r="G659" s="8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30.75" customHeight="1" spans="1:26">
      <c r="A660" s="6"/>
      <c r="B660" s="6"/>
      <c r="C660" s="6"/>
      <c r="D660" s="6"/>
      <c r="E660" s="6"/>
      <c r="F660" s="6"/>
      <c r="G660" s="8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30.75" customHeight="1" spans="1:26">
      <c r="A661" s="6"/>
      <c r="B661" s="6"/>
      <c r="C661" s="6"/>
      <c r="D661" s="6"/>
      <c r="E661" s="6"/>
      <c r="F661" s="6"/>
      <c r="G661" s="8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30.75" customHeight="1" spans="1:26">
      <c r="A662" s="6"/>
      <c r="B662" s="6"/>
      <c r="C662" s="6"/>
      <c r="D662" s="6"/>
      <c r="E662" s="6"/>
      <c r="F662" s="6"/>
      <c r="G662" s="8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30.75" customHeight="1" spans="1:26">
      <c r="A663" s="6"/>
      <c r="B663" s="6"/>
      <c r="C663" s="6"/>
      <c r="D663" s="6"/>
      <c r="E663" s="6"/>
      <c r="F663" s="6"/>
      <c r="G663" s="8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30.75" customHeight="1" spans="1:26">
      <c r="A664" s="6"/>
      <c r="B664" s="6"/>
      <c r="C664" s="6"/>
      <c r="D664" s="6"/>
      <c r="E664" s="6"/>
      <c r="F664" s="6"/>
      <c r="G664" s="8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30.75" customHeight="1" spans="1:26">
      <c r="A665" s="6"/>
      <c r="B665" s="6"/>
      <c r="C665" s="6"/>
      <c r="D665" s="6"/>
      <c r="E665" s="6"/>
      <c r="F665" s="6"/>
      <c r="G665" s="8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30.75" customHeight="1" spans="1:26">
      <c r="A666" s="6"/>
      <c r="B666" s="6"/>
      <c r="C666" s="6"/>
      <c r="D666" s="6"/>
      <c r="E666" s="6"/>
      <c r="F666" s="6"/>
      <c r="G666" s="8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30.75" customHeight="1" spans="1:26">
      <c r="A667" s="6"/>
      <c r="B667" s="6"/>
      <c r="C667" s="6"/>
      <c r="D667" s="6"/>
      <c r="E667" s="6"/>
      <c r="F667" s="6"/>
      <c r="G667" s="8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30.75" customHeight="1" spans="1:26">
      <c r="A668" s="6"/>
      <c r="B668" s="6"/>
      <c r="C668" s="6"/>
      <c r="D668" s="6"/>
      <c r="E668" s="6"/>
      <c r="F668" s="6"/>
      <c r="G668" s="8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30.75" customHeight="1" spans="1:26">
      <c r="A669" s="6"/>
      <c r="B669" s="6"/>
      <c r="C669" s="6"/>
      <c r="D669" s="6"/>
      <c r="E669" s="6"/>
      <c r="F669" s="6"/>
      <c r="G669" s="8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30.75" customHeight="1" spans="1:26">
      <c r="A670" s="6"/>
      <c r="B670" s="6"/>
      <c r="C670" s="6"/>
      <c r="D670" s="6"/>
      <c r="E670" s="6"/>
      <c r="F670" s="6"/>
      <c r="G670" s="8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30.75" customHeight="1" spans="1:26">
      <c r="A671" s="6"/>
      <c r="B671" s="6"/>
      <c r="C671" s="6"/>
      <c r="D671" s="6"/>
      <c r="E671" s="6"/>
      <c r="F671" s="6"/>
      <c r="G671" s="8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30.75" customHeight="1" spans="1:26">
      <c r="A672" s="6"/>
      <c r="B672" s="6"/>
      <c r="C672" s="6"/>
      <c r="D672" s="6"/>
      <c r="E672" s="6"/>
      <c r="F672" s="6"/>
      <c r="G672" s="8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30.75" customHeight="1" spans="1:26">
      <c r="A673" s="6"/>
      <c r="B673" s="6"/>
      <c r="C673" s="6"/>
      <c r="D673" s="6"/>
      <c r="E673" s="6"/>
      <c r="F673" s="6"/>
      <c r="G673" s="8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30.75" customHeight="1" spans="1:26">
      <c r="A674" s="6"/>
      <c r="B674" s="6"/>
      <c r="C674" s="6"/>
      <c r="D674" s="6"/>
      <c r="E674" s="6"/>
      <c r="F674" s="6"/>
      <c r="G674" s="8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30.75" customHeight="1" spans="1:26">
      <c r="A675" s="6"/>
      <c r="B675" s="6"/>
      <c r="C675" s="6"/>
      <c r="D675" s="6"/>
      <c r="E675" s="6"/>
      <c r="F675" s="6"/>
      <c r="G675" s="8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30.75" customHeight="1" spans="1:26">
      <c r="A676" s="6"/>
      <c r="B676" s="6"/>
      <c r="C676" s="6"/>
      <c r="D676" s="6"/>
      <c r="E676" s="6"/>
      <c r="F676" s="6"/>
      <c r="G676" s="8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30.75" customHeight="1" spans="1:26">
      <c r="A677" s="6"/>
      <c r="B677" s="6"/>
      <c r="C677" s="6"/>
      <c r="D677" s="6"/>
      <c r="E677" s="6"/>
      <c r="F677" s="6"/>
      <c r="G677" s="8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30.75" customHeight="1" spans="1:26">
      <c r="A678" s="6"/>
      <c r="B678" s="6"/>
      <c r="C678" s="6"/>
      <c r="D678" s="6"/>
      <c r="E678" s="6"/>
      <c r="F678" s="6"/>
      <c r="G678" s="8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30.75" customHeight="1" spans="1:26">
      <c r="A679" s="6"/>
      <c r="B679" s="6"/>
      <c r="C679" s="6"/>
      <c r="D679" s="6"/>
      <c r="E679" s="6"/>
      <c r="F679" s="6"/>
      <c r="G679" s="8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30.75" customHeight="1" spans="1:26">
      <c r="A680" s="6"/>
      <c r="B680" s="6"/>
      <c r="C680" s="6"/>
      <c r="D680" s="6"/>
      <c r="E680" s="6"/>
      <c r="F680" s="6"/>
      <c r="G680" s="8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30.75" customHeight="1" spans="1:26">
      <c r="A681" s="6"/>
      <c r="B681" s="6"/>
      <c r="C681" s="6"/>
      <c r="D681" s="6"/>
      <c r="E681" s="6"/>
      <c r="F681" s="6"/>
      <c r="G681" s="8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30.75" customHeight="1" spans="1:26">
      <c r="A682" s="6"/>
      <c r="B682" s="6"/>
      <c r="C682" s="6"/>
      <c r="D682" s="6"/>
      <c r="E682" s="6"/>
      <c r="F682" s="6"/>
      <c r="G682" s="8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30.75" customHeight="1" spans="1:26">
      <c r="A683" s="6"/>
      <c r="B683" s="6"/>
      <c r="C683" s="6"/>
      <c r="D683" s="6"/>
      <c r="E683" s="6"/>
      <c r="F683" s="6"/>
      <c r="G683" s="8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30.75" customHeight="1" spans="1:26">
      <c r="A684" s="6"/>
      <c r="B684" s="6"/>
      <c r="C684" s="6"/>
      <c r="D684" s="6"/>
      <c r="E684" s="6"/>
      <c r="F684" s="6"/>
      <c r="G684" s="8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30.75" customHeight="1" spans="1:26">
      <c r="A685" s="6"/>
      <c r="B685" s="6"/>
      <c r="C685" s="6"/>
      <c r="D685" s="6"/>
      <c r="E685" s="6"/>
      <c r="F685" s="6"/>
      <c r="G685" s="8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30.75" customHeight="1" spans="1:26">
      <c r="A686" s="6"/>
      <c r="B686" s="6"/>
      <c r="C686" s="6"/>
      <c r="D686" s="6"/>
      <c r="E686" s="6"/>
      <c r="F686" s="6"/>
      <c r="G686" s="8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30.75" customHeight="1" spans="1:26">
      <c r="A687" s="6"/>
      <c r="B687" s="6"/>
      <c r="C687" s="6"/>
      <c r="D687" s="6"/>
      <c r="E687" s="6"/>
      <c r="F687" s="6"/>
      <c r="G687" s="8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30.75" customHeight="1" spans="1:26">
      <c r="A688" s="6"/>
      <c r="B688" s="6"/>
      <c r="C688" s="6"/>
      <c r="D688" s="6"/>
      <c r="E688" s="6"/>
      <c r="F688" s="6"/>
      <c r="G688" s="8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30.75" customHeight="1" spans="1:26">
      <c r="A689" s="6"/>
      <c r="B689" s="6"/>
      <c r="C689" s="6"/>
      <c r="D689" s="6"/>
      <c r="E689" s="6"/>
      <c r="F689" s="6"/>
      <c r="G689" s="8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30.75" customHeight="1" spans="1:26">
      <c r="A690" s="6"/>
      <c r="B690" s="6"/>
      <c r="C690" s="6"/>
      <c r="D690" s="6"/>
      <c r="E690" s="6"/>
      <c r="F690" s="6"/>
      <c r="G690" s="8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30.75" customHeight="1" spans="1:26">
      <c r="A691" s="6"/>
      <c r="B691" s="6"/>
      <c r="C691" s="6"/>
      <c r="D691" s="6"/>
      <c r="E691" s="6"/>
      <c r="F691" s="6"/>
      <c r="G691" s="8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30.75" customHeight="1" spans="1:26">
      <c r="A692" s="6"/>
      <c r="B692" s="6"/>
      <c r="C692" s="6"/>
      <c r="D692" s="6"/>
      <c r="E692" s="6"/>
      <c r="F692" s="6"/>
      <c r="G692" s="8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30.75" customHeight="1" spans="1:26">
      <c r="A693" s="6"/>
      <c r="B693" s="6"/>
      <c r="C693" s="6"/>
      <c r="D693" s="6"/>
      <c r="E693" s="6"/>
      <c r="F693" s="6"/>
      <c r="G693" s="8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30.75" customHeight="1" spans="1:26">
      <c r="A694" s="6"/>
      <c r="B694" s="6"/>
      <c r="C694" s="6"/>
      <c r="D694" s="6"/>
      <c r="E694" s="6"/>
      <c r="F694" s="6"/>
      <c r="G694" s="8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30.75" customHeight="1" spans="1:26">
      <c r="A695" s="6"/>
      <c r="B695" s="6"/>
      <c r="C695" s="6"/>
      <c r="D695" s="6"/>
      <c r="E695" s="6"/>
      <c r="F695" s="6"/>
      <c r="G695" s="8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30.75" customHeight="1" spans="1:26">
      <c r="A696" s="6"/>
      <c r="B696" s="6"/>
      <c r="C696" s="6"/>
      <c r="D696" s="6"/>
      <c r="E696" s="6"/>
      <c r="F696" s="6"/>
      <c r="G696" s="8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30.75" customHeight="1" spans="1:26">
      <c r="A697" s="6"/>
      <c r="B697" s="6"/>
      <c r="C697" s="6"/>
      <c r="D697" s="6"/>
      <c r="E697" s="6"/>
      <c r="F697" s="6"/>
      <c r="G697" s="8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30.75" customHeight="1" spans="1:26">
      <c r="A698" s="6"/>
      <c r="B698" s="6"/>
      <c r="C698" s="6"/>
      <c r="D698" s="6"/>
      <c r="E698" s="6"/>
      <c r="F698" s="6"/>
      <c r="G698" s="8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30.75" customHeight="1" spans="1:26">
      <c r="A699" s="6"/>
      <c r="B699" s="6"/>
      <c r="C699" s="6"/>
      <c r="D699" s="6"/>
      <c r="E699" s="6"/>
      <c r="F699" s="6"/>
      <c r="G699" s="8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30.75" customHeight="1" spans="1:26">
      <c r="A700" s="6"/>
      <c r="B700" s="6"/>
      <c r="C700" s="6"/>
      <c r="D700" s="6"/>
      <c r="E700" s="6"/>
      <c r="F700" s="6"/>
      <c r="G700" s="8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30.75" customHeight="1" spans="1:26">
      <c r="A701" s="6"/>
      <c r="B701" s="6"/>
      <c r="C701" s="6"/>
      <c r="D701" s="6"/>
      <c r="E701" s="6"/>
      <c r="F701" s="6"/>
      <c r="G701" s="8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30.75" customHeight="1" spans="1:26">
      <c r="A702" s="6"/>
      <c r="B702" s="6"/>
      <c r="C702" s="6"/>
      <c r="D702" s="6"/>
      <c r="E702" s="6"/>
      <c r="F702" s="6"/>
      <c r="G702" s="8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30.75" customHeight="1" spans="1:26">
      <c r="A703" s="6"/>
      <c r="B703" s="6"/>
      <c r="C703" s="6"/>
      <c r="D703" s="6"/>
      <c r="E703" s="6"/>
      <c r="F703" s="6"/>
      <c r="G703" s="8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30.75" customHeight="1" spans="1:26">
      <c r="A704" s="6"/>
      <c r="B704" s="6"/>
      <c r="C704" s="6"/>
      <c r="D704" s="6"/>
      <c r="E704" s="6"/>
      <c r="F704" s="6"/>
      <c r="G704" s="8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30.75" customHeight="1" spans="1:26">
      <c r="A705" s="6"/>
      <c r="B705" s="6"/>
      <c r="C705" s="6"/>
      <c r="D705" s="6"/>
      <c r="E705" s="6"/>
      <c r="F705" s="6"/>
      <c r="G705" s="8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30.75" customHeight="1" spans="1:26">
      <c r="A706" s="6"/>
      <c r="B706" s="6"/>
      <c r="C706" s="6"/>
      <c r="D706" s="6"/>
      <c r="E706" s="6"/>
      <c r="F706" s="6"/>
      <c r="G706" s="8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30.75" customHeight="1" spans="1:26">
      <c r="A707" s="6"/>
      <c r="B707" s="6"/>
      <c r="C707" s="6"/>
      <c r="D707" s="6"/>
      <c r="E707" s="6"/>
      <c r="F707" s="6"/>
      <c r="G707" s="8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30.75" customHeight="1" spans="1:26">
      <c r="A708" s="6"/>
      <c r="B708" s="6"/>
      <c r="C708" s="6"/>
      <c r="D708" s="6"/>
      <c r="E708" s="6"/>
      <c r="F708" s="6"/>
      <c r="G708" s="8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30.75" customHeight="1" spans="1:26">
      <c r="A709" s="6"/>
      <c r="B709" s="6"/>
      <c r="C709" s="6"/>
      <c r="D709" s="6"/>
      <c r="E709" s="6"/>
      <c r="F709" s="6"/>
      <c r="G709" s="8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30.75" customHeight="1" spans="1:26">
      <c r="A710" s="6"/>
      <c r="B710" s="6"/>
      <c r="C710" s="6"/>
      <c r="D710" s="6"/>
      <c r="E710" s="6"/>
      <c r="F710" s="6"/>
      <c r="G710" s="8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30.75" customHeight="1" spans="1:26">
      <c r="A711" s="6"/>
      <c r="B711" s="6"/>
      <c r="C711" s="6"/>
      <c r="D711" s="6"/>
      <c r="E711" s="6"/>
      <c r="F711" s="6"/>
      <c r="G711" s="8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30.75" customHeight="1" spans="1:26">
      <c r="A712" s="6"/>
      <c r="B712" s="6"/>
      <c r="C712" s="6"/>
      <c r="D712" s="6"/>
      <c r="E712" s="6"/>
      <c r="F712" s="6"/>
      <c r="G712" s="8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30.75" customHeight="1" spans="1:26">
      <c r="A713" s="6"/>
      <c r="B713" s="6"/>
      <c r="C713" s="6"/>
      <c r="D713" s="6"/>
      <c r="E713" s="6"/>
      <c r="F713" s="6"/>
      <c r="G713" s="8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30.75" customHeight="1" spans="1:26">
      <c r="A714" s="6"/>
      <c r="B714" s="6"/>
      <c r="C714" s="6"/>
      <c r="D714" s="6"/>
      <c r="E714" s="6"/>
      <c r="F714" s="6"/>
      <c r="G714" s="8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30.75" customHeight="1" spans="1:26">
      <c r="A715" s="6"/>
      <c r="B715" s="6"/>
      <c r="C715" s="6"/>
      <c r="D715" s="6"/>
      <c r="E715" s="6"/>
      <c r="F715" s="6"/>
      <c r="G715" s="8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30.75" customHeight="1" spans="1:26">
      <c r="A716" s="6"/>
      <c r="B716" s="6"/>
      <c r="C716" s="6"/>
      <c r="D716" s="6"/>
      <c r="E716" s="6"/>
      <c r="F716" s="6"/>
      <c r="G716" s="8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30.75" customHeight="1" spans="1:26">
      <c r="A717" s="6"/>
      <c r="B717" s="6"/>
      <c r="C717" s="6"/>
      <c r="D717" s="6"/>
      <c r="E717" s="6"/>
      <c r="F717" s="6"/>
      <c r="G717" s="8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30.75" customHeight="1" spans="1:26">
      <c r="A718" s="6"/>
      <c r="B718" s="6"/>
      <c r="C718" s="6"/>
      <c r="D718" s="6"/>
      <c r="E718" s="6"/>
      <c r="F718" s="6"/>
      <c r="G718" s="8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30.75" customHeight="1" spans="1:26">
      <c r="A719" s="6"/>
      <c r="B719" s="6"/>
      <c r="C719" s="6"/>
      <c r="D719" s="6"/>
      <c r="E719" s="6"/>
      <c r="F719" s="6"/>
      <c r="G719" s="8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30.75" customHeight="1" spans="1:26">
      <c r="A720" s="6"/>
      <c r="B720" s="6"/>
      <c r="C720" s="6"/>
      <c r="D720" s="6"/>
      <c r="E720" s="6"/>
      <c r="F720" s="6"/>
      <c r="G720" s="8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30.75" customHeight="1" spans="1:26">
      <c r="A721" s="6"/>
      <c r="B721" s="6"/>
      <c r="C721" s="6"/>
      <c r="D721" s="6"/>
      <c r="E721" s="6"/>
      <c r="F721" s="6"/>
      <c r="G721" s="8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30.75" customHeight="1" spans="1:26">
      <c r="A722" s="6"/>
      <c r="B722" s="6"/>
      <c r="C722" s="6"/>
      <c r="D722" s="6"/>
      <c r="E722" s="6"/>
      <c r="F722" s="6"/>
      <c r="G722" s="8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30.75" customHeight="1" spans="1:26">
      <c r="A723" s="6"/>
      <c r="B723" s="6"/>
      <c r="C723" s="6"/>
      <c r="D723" s="6"/>
      <c r="E723" s="6"/>
      <c r="F723" s="6"/>
      <c r="G723" s="8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30.75" customHeight="1" spans="1:26">
      <c r="A724" s="6"/>
      <c r="B724" s="6"/>
      <c r="C724" s="6"/>
      <c r="D724" s="6"/>
      <c r="E724" s="6"/>
      <c r="F724" s="6"/>
      <c r="G724" s="8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30.75" customHeight="1" spans="1:26">
      <c r="A725" s="6"/>
      <c r="B725" s="6"/>
      <c r="C725" s="6"/>
      <c r="D725" s="6"/>
      <c r="E725" s="6"/>
      <c r="F725" s="6"/>
      <c r="G725" s="8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30.75" customHeight="1" spans="1:26">
      <c r="A726" s="6"/>
      <c r="B726" s="6"/>
      <c r="C726" s="6"/>
      <c r="D726" s="6"/>
      <c r="E726" s="6"/>
      <c r="F726" s="6"/>
      <c r="G726" s="8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30.75" customHeight="1" spans="1:26">
      <c r="A727" s="6"/>
      <c r="B727" s="6"/>
      <c r="C727" s="6"/>
      <c r="D727" s="6"/>
      <c r="E727" s="6"/>
      <c r="F727" s="6"/>
      <c r="G727" s="8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30.75" customHeight="1" spans="1:26">
      <c r="A728" s="6"/>
      <c r="B728" s="6"/>
      <c r="C728" s="6"/>
      <c r="D728" s="6"/>
      <c r="E728" s="6"/>
      <c r="F728" s="6"/>
      <c r="G728" s="8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30.75" customHeight="1" spans="1:26">
      <c r="A729" s="6"/>
      <c r="B729" s="6"/>
      <c r="C729" s="6"/>
      <c r="D729" s="6"/>
      <c r="E729" s="6"/>
      <c r="F729" s="6"/>
      <c r="G729" s="8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30.75" customHeight="1" spans="1:26">
      <c r="A730" s="6"/>
      <c r="B730" s="6"/>
      <c r="C730" s="6"/>
      <c r="D730" s="6"/>
      <c r="E730" s="6"/>
      <c r="F730" s="6"/>
      <c r="G730" s="8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30.75" customHeight="1" spans="1:26">
      <c r="A731" s="6"/>
      <c r="B731" s="6"/>
      <c r="C731" s="6"/>
      <c r="D731" s="6"/>
      <c r="E731" s="6"/>
      <c r="F731" s="6"/>
      <c r="G731" s="8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30.75" customHeight="1" spans="1:26">
      <c r="A732" s="6"/>
      <c r="B732" s="6"/>
      <c r="C732" s="6"/>
      <c r="D732" s="6"/>
      <c r="E732" s="6"/>
      <c r="F732" s="6"/>
      <c r="G732" s="8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30.75" customHeight="1" spans="1:26">
      <c r="A733" s="6"/>
      <c r="B733" s="6"/>
      <c r="C733" s="6"/>
      <c r="D733" s="6"/>
      <c r="E733" s="6"/>
      <c r="F733" s="6"/>
      <c r="G733" s="8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30.75" customHeight="1" spans="1:26">
      <c r="A734" s="6"/>
      <c r="B734" s="6"/>
      <c r="C734" s="6"/>
      <c r="D734" s="6"/>
      <c r="E734" s="6"/>
      <c r="F734" s="6"/>
      <c r="G734" s="8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30.75" customHeight="1" spans="1:26">
      <c r="A735" s="6"/>
      <c r="B735" s="6"/>
      <c r="C735" s="6"/>
      <c r="D735" s="6"/>
      <c r="E735" s="6"/>
      <c r="F735" s="6"/>
      <c r="G735" s="8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30.75" customHeight="1" spans="1:26">
      <c r="A736" s="6"/>
      <c r="B736" s="6"/>
      <c r="C736" s="6"/>
      <c r="D736" s="6"/>
      <c r="E736" s="6"/>
      <c r="F736" s="6"/>
      <c r="G736" s="8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30.75" customHeight="1" spans="1:26">
      <c r="A737" s="6"/>
      <c r="B737" s="6"/>
      <c r="C737" s="6"/>
      <c r="D737" s="6"/>
      <c r="E737" s="6"/>
      <c r="F737" s="6"/>
      <c r="G737" s="8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30.75" customHeight="1" spans="1:26">
      <c r="A738" s="6"/>
      <c r="B738" s="6"/>
      <c r="C738" s="6"/>
      <c r="D738" s="6"/>
      <c r="E738" s="6"/>
      <c r="F738" s="6"/>
      <c r="G738" s="8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30.75" customHeight="1" spans="1:26">
      <c r="A739" s="6"/>
      <c r="B739" s="6"/>
      <c r="C739" s="6"/>
      <c r="D739" s="6"/>
      <c r="E739" s="6"/>
      <c r="F739" s="6"/>
      <c r="G739" s="8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30.75" customHeight="1" spans="1:26">
      <c r="A740" s="6"/>
      <c r="B740" s="6"/>
      <c r="C740" s="6"/>
      <c r="D740" s="6"/>
      <c r="E740" s="6"/>
      <c r="F740" s="6"/>
      <c r="G740" s="8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30.75" customHeight="1" spans="1:26">
      <c r="A741" s="6"/>
      <c r="B741" s="6"/>
      <c r="C741" s="6"/>
      <c r="D741" s="6"/>
      <c r="E741" s="6"/>
      <c r="F741" s="6"/>
      <c r="G741" s="8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30.75" customHeight="1" spans="1:26">
      <c r="A742" s="6"/>
      <c r="B742" s="6"/>
      <c r="C742" s="6"/>
      <c r="D742" s="6"/>
      <c r="E742" s="6"/>
      <c r="F742" s="6"/>
      <c r="G742" s="8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30.75" customHeight="1" spans="1:26">
      <c r="A743" s="6"/>
      <c r="B743" s="6"/>
      <c r="C743" s="6"/>
      <c r="D743" s="6"/>
      <c r="E743" s="6"/>
      <c r="F743" s="6"/>
      <c r="G743" s="8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30.75" customHeight="1" spans="1:26">
      <c r="A744" s="6"/>
      <c r="B744" s="6"/>
      <c r="C744" s="6"/>
      <c r="D744" s="6"/>
      <c r="E744" s="6"/>
      <c r="F744" s="6"/>
      <c r="G744" s="8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30.75" customHeight="1" spans="1:26">
      <c r="A745" s="6"/>
      <c r="B745" s="6"/>
      <c r="C745" s="6"/>
      <c r="D745" s="6"/>
      <c r="E745" s="6"/>
      <c r="F745" s="6"/>
      <c r="G745" s="8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30.75" customHeight="1" spans="1:26">
      <c r="A746" s="6"/>
      <c r="B746" s="6"/>
      <c r="C746" s="6"/>
      <c r="D746" s="6"/>
      <c r="E746" s="6"/>
      <c r="F746" s="6"/>
      <c r="G746" s="8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30.75" customHeight="1" spans="1:26">
      <c r="A747" s="6"/>
      <c r="B747" s="6"/>
      <c r="C747" s="6"/>
      <c r="D747" s="6"/>
      <c r="E747" s="6"/>
      <c r="F747" s="6"/>
      <c r="G747" s="8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30.75" customHeight="1" spans="1:26">
      <c r="A748" s="6"/>
      <c r="B748" s="6"/>
      <c r="C748" s="6"/>
      <c r="D748" s="6"/>
      <c r="E748" s="6"/>
      <c r="F748" s="6"/>
      <c r="G748" s="8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30.75" customHeight="1" spans="1:26">
      <c r="A749" s="6"/>
      <c r="B749" s="6"/>
      <c r="C749" s="6"/>
      <c r="D749" s="6"/>
      <c r="E749" s="6"/>
      <c r="F749" s="6"/>
      <c r="G749" s="8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30.75" customHeight="1" spans="1:26">
      <c r="A750" s="6"/>
      <c r="B750" s="6"/>
      <c r="C750" s="6"/>
      <c r="D750" s="6"/>
      <c r="E750" s="6"/>
      <c r="F750" s="6"/>
      <c r="G750" s="8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30.75" customHeight="1" spans="1:26">
      <c r="A751" s="6"/>
      <c r="B751" s="6"/>
      <c r="C751" s="6"/>
      <c r="D751" s="6"/>
      <c r="E751" s="6"/>
      <c r="F751" s="6"/>
      <c r="G751" s="8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30.75" customHeight="1" spans="1:26">
      <c r="A752" s="6"/>
      <c r="B752" s="6"/>
      <c r="C752" s="6"/>
      <c r="D752" s="6"/>
      <c r="E752" s="6"/>
      <c r="F752" s="6"/>
      <c r="G752" s="8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30.75" customHeight="1" spans="1:26">
      <c r="A753" s="6"/>
      <c r="B753" s="6"/>
      <c r="C753" s="6"/>
      <c r="D753" s="6"/>
      <c r="E753" s="6"/>
      <c r="F753" s="6"/>
      <c r="G753" s="8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30.75" customHeight="1" spans="1:26">
      <c r="A754" s="6"/>
      <c r="B754" s="6"/>
      <c r="C754" s="6"/>
      <c r="D754" s="6"/>
      <c r="E754" s="6"/>
      <c r="F754" s="6"/>
      <c r="G754" s="8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30.75" customHeight="1" spans="1:26">
      <c r="A755" s="6"/>
      <c r="B755" s="6"/>
      <c r="C755" s="6"/>
      <c r="D755" s="6"/>
      <c r="E755" s="6"/>
      <c r="F755" s="6"/>
      <c r="G755" s="8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30.75" customHeight="1" spans="1:26">
      <c r="A756" s="6"/>
      <c r="B756" s="6"/>
      <c r="C756" s="6"/>
      <c r="D756" s="6"/>
      <c r="E756" s="6"/>
      <c r="F756" s="6"/>
      <c r="G756" s="8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30.75" customHeight="1" spans="1:26">
      <c r="A757" s="6"/>
      <c r="B757" s="6"/>
      <c r="C757" s="6"/>
      <c r="D757" s="6"/>
      <c r="E757" s="6"/>
      <c r="F757" s="6"/>
      <c r="G757" s="8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30.75" customHeight="1" spans="1:26">
      <c r="A758" s="6"/>
      <c r="B758" s="6"/>
      <c r="C758" s="6"/>
      <c r="D758" s="6"/>
      <c r="E758" s="6"/>
      <c r="F758" s="6"/>
      <c r="G758" s="8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30.75" customHeight="1" spans="1:26">
      <c r="A759" s="6"/>
      <c r="B759" s="6"/>
      <c r="C759" s="6"/>
      <c r="D759" s="6"/>
      <c r="E759" s="6"/>
      <c r="F759" s="6"/>
      <c r="G759" s="8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30.75" customHeight="1" spans="1:26">
      <c r="A760" s="6"/>
      <c r="B760" s="6"/>
      <c r="C760" s="6"/>
      <c r="D760" s="6"/>
      <c r="E760" s="6"/>
      <c r="F760" s="6"/>
      <c r="G760" s="8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30.75" customHeight="1" spans="1:26">
      <c r="A761" s="6"/>
      <c r="B761" s="6"/>
      <c r="C761" s="6"/>
      <c r="D761" s="6"/>
      <c r="E761" s="6"/>
      <c r="F761" s="6"/>
      <c r="G761" s="8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30.75" customHeight="1" spans="1:26">
      <c r="A762" s="6"/>
      <c r="B762" s="6"/>
      <c r="C762" s="6"/>
      <c r="D762" s="6"/>
      <c r="E762" s="6"/>
      <c r="F762" s="6"/>
      <c r="G762" s="8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30.75" customHeight="1" spans="1:26">
      <c r="A763" s="6"/>
      <c r="B763" s="6"/>
      <c r="C763" s="6"/>
      <c r="D763" s="6"/>
      <c r="E763" s="6"/>
      <c r="F763" s="6"/>
      <c r="G763" s="8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30.75" customHeight="1" spans="1:26">
      <c r="A764" s="6"/>
      <c r="B764" s="6"/>
      <c r="C764" s="6"/>
      <c r="D764" s="6"/>
      <c r="E764" s="6"/>
      <c r="F764" s="6"/>
      <c r="G764" s="8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30.75" customHeight="1" spans="1:26">
      <c r="A765" s="6"/>
      <c r="B765" s="6"/>
      <c r="C765" s="6"/>
      <c r="D765" s="6"/>
      <c r="E765" s="6"/>
      <c r="F765" s="6"/>
      <c r="G765" s="8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30.75" customHeight="1" spans="1:26">
      <c r="A766" s="6"/>
      <c r="B766" s="6"/>
      <c r="C766" s="6"/>
      <c r="D766" s="6"/>
      <c r="E766" s="6"/>
      <c r="F766" s="6"/>
      <c r="G766" s="8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30.75" customHeight="1" spans="1:26">
      <c r="A767" s="6"/>
      <c r="B767" s="6"/>
      <c r="C767" s="6"/>
      <c r="D767" s="6"/>
      <c r="E767" s="6"/>
      <c r="F767" s="6"/>
      <c r="G767" s="8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30.75" customHeight="1" spans="1:26">
      <c r="A768" s="6"/>
      <c r="B768" s="6"/>
      <c r="C768" s="6"/>
      <c r="D768" s="6"/>
      <c r="E768" s="6"/>
      <c r="F768" s="6"/>
      <c r="G768" s="8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30.75" customHeight="1" spans="1:26">
      <c r="A769" s="6"/>
      <c r="B769" s="6"/>
      <c r="C769" s="6"/>
      <c r="D769" s="6"/>
      <c r="E769" s="6"/>
      <c r="F769" s="6"/>
      <c r="G769" s="8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30.75" customHeight="1" spans="1:26">
      <c r="A770" s="6"/>
      <c r="B770" s="6"/>
      <c r="C770" s="6"/>
      <c r="D770" s="6"/>
      <c r="E770" s="6"/>
      <c r="F770" s="6"/>
      <c r="G770" s="8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30.75" customHeight="1" spans="1:26">
      <c r="A771" s="6"/>
      <c r="B771" s="6"/>
      <c r="C771" s="6"/>
      <c r="D771" s="6"/>
      <c r="E771" s="6"/>
      <c r="F771" s="6"/>
      <c r="G771" s="8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30.75" customHeight="1" spans="1:26">
      <c r="A772" s="6"/>
      <c r="B772" s="6"/>
      <c r="C772" s="6"/>
      <c r="D772" s="6"/>
      <c r="E772" s="6"/>
      <c r="F772" s="6"/>
      <c r="G772" s="8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30.75" customHeight="1" spans="1:26">
      <c r="A773" s="6"/>
      <c r="B773" s="6"/>
      <c r="C773" s="6"/>
      <c r="D773" s="6"/>
      <c r="E773" s="6"/>
      <c r="F773" s="6"/>
      <c r="G773" s="8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30.75" customHeight="1" spans="1:26">
      <c r="A774" s="6"/>
      <c r="B774" s="6"/>
      <c r="C774" s="6"/>
      <c r="D774" s="6"/>
      <c r="E774" s="6"/>
      <c r="F774" s="6"/>
      <c r="G774" s="8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30.75" customHeight="1" spans="1:26">
      <c r="A775" s="6"/>
      <c r="B775" s="6"/>
      <c r="C775" s="6"/>
      <c r="D775" s="6"/>
      <c r="E775" s="6"/>
      <c r="F775" s="6"/>
      <c r="G775" s="8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30.75" customHeight="1" spans="1:26">
      <c r="A776" s="6"/>
      <c r="B776" s="6"/>
      <c r="C776" s="6"/>
      <c r="D776" s="6"/>
      <c r="E776" s="6"/>
      <c r="F776" s="6"/>
      <c r="G776" s="8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30.75" customHeight="1" spans="1:26">
      <c r="A777" s="6"/>
      <c r="B777" s="6"/>
      <c r="C777" s="6"/>
      <c r="D777" s="6"/>
      <c r="E777" s="6"/>
      <c r="F777" s="6"/>
      <c r="G777" s="8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30.75" customHeight="1" spans="1:26">
      <c r="A778" s="6"/>
      <c r="B778" s="6"/>
      <c r="C778" s="6"/>
      <c r="D778" s="6"/>
      <c r="E778" s="6"/>
      <c r="F778" s="6"/>
      <c r="G778" s="8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30.75" customHeight="1" spans="1:26">
      <c r="A779" s="6"/>
      <c r="B779" s="6"/>
      <c r="C779" s="6"/>
      <c r="D779" s="6"/>
      <c r="E779" s="6"/>
      <c r="F779" s="6"/>
      <c r="G779" s="8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30.75" customHeight="1" spans="1:26">
      <c r="A780" s="6"/>
      <c r="B780" s="6"/>
      <c r="C780" s="6"/>
      <c r="D780" s="6"/>
      <c r="E780" s="6"/>
      <c r="F780" s="6"/>
      <c r="G780" s="8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30.75" customHeight="1" spans="1:26">
      <c r="A781" s="6"/>
      <c r="B781" s="6"/>
      <c r="C781" s="6"/>
      <c r="D781" s="6"/>
      <c r="E781" s="6"/>
      <c r="F781" s="6"/>
      <c r="G781" s="8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30.75" customHeight="1" spans="1:26">
      <c r="A782" s="6"/>
      <c r="B782" s="6"/>
      <c r="C782" s="6"/>
      <c r="D782" s="6"/>
      <c r="E782" s="6"/>
      <c r="F782" s="6"/>
      <c r="G782" s="8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30.75" customHeight="1" spans="1:26">
      <c r="A783" s="6"/>
      <c r="B783" s="6"/>
      <c r="C783" s="6"/>
      <c r="D783" s="6"/>
      <c r="E783" s="6"/>
      <c r="F783" s="6"/>
      <c r="G783" s="8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30.75" customHeight="1" spans="1:26">
      <c r="A784" s="6"/>
      <c r="B784" s="6"/>
      <c r="C784" s="6"/>
      <c r="D784" s="6"/>
      <c r="E784" s="6"/>
      <c r="F784" s="6"/>
      <c r="G784" s="8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30.75" customHeight="1" spans="1:26">
      <c r="A785" s="6"/>
      <c r="B785" s="6"/>
      <c r="C785" s="6"/>
      <c r="D785" s="6"/>
      <c r="E785" s="6"/>
      <c r="F785" s="6"/>
      <c r="G785" s="8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30.75" customHeight="1" spans="1:26">
      <c r="A786" s="6"/>
      <c r="B786" s="6"/>
      <c r="C786" s="6"/>
      <c r="D786" s="6"/>
      <c r="E786" s="6"/>
      <c r="F786" s="6"/>
      <c r="G786" s="8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30.75" customHeight="1" spans="1:26">
      <c r="A787" s="6"/>
      <c r="B787" s="6"/>
      <c r="C787" s="6"/>
      <c r="D787" s="6"/>
      <c r="E787" s="6"/>
      <c r="F787" s="6"/>
      <c r="G787" s="8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30.75" customHeight="1" spans="1:26">
      <c r="A788" s="6"/>
      <c r="B788" s="6"/>
      <c r="C788" s="6"/>
      <c r="D788" s="6"/>
      <c r="E788" s="6"/>
      <c r="F788" s="6"/>
      <c r="G788" s="8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30.75" customHeight="1" spans="1:26">
      <c r="A789" s="6"/>
      <c r="B789" s="6"/>
      <c r="C789" s="6"/>
      <c r="D789" s="6"/>
      <c r="E789" s="6"/>
      <c r="F789" s="6"/>
      <c r="G789" s="8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30.75" customHeight="1" spans="1:26">
      <c r="A790" s="6"/>
      <c r="B790" s="6"/>
      <c r="C790" s="6"/>
      <c r="D790" s="6"/>
      <c r="E790" s="6"/>
      <c r="F790" s="6"/>
      <c r="G790" s="8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30.75" customHeight="1" spans="1:26">
      <c r="A791" s="6"/>
      <c r="B791" s="6"/>
      <c r="C791" s="6"/>
      <c r="D791" s="6"/>
      <c r="E791" s="6"/>
      <c r="F791" s="6"/>
      <c r="G791" s="8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30.75" customHeight="1" spans="1:26">
      <c r="A792" s="6"/>
      <c r="B792" s="6"/>
      <c r="C792" s="6"/>
      <c r="D792" s="6"/>
      <c r="E792" s="6"/>
      <c r="F792" s="6"/>
      <c r="G792" s="8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30.75" customHeight="1" spans="1:26">
      <c r="A793" s="6"/>
      <c r="B793" s="6"/>
      <c r="C793" s="6"/>
      <c r="D793" s="6"/>
      <c r="E793" s="6"/>
      <c r="F793" s="6"/>
      <c r="G793" s="8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30.75" customHeight="1" spans="1:26">
      <c r="A794" s="6"/>
      <c r="B794" s="6"/>
      <c r="C794" s="6"/>
      <c r="D794" s="6"/>
      <c r="E794" s="6"/>
      <c r="F794" s="6"/>
      <c r="G794" s="8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30.75" customHeight="1" spans="1:26">
      <c r="A795" s="6"/>
      <c r="B795" s="6"/>
      <c r="C795" s="6"/>
      <c r="D795" s="6"/>
      <c r="E795" s="6"/>
      <c r="F795" s="6"/>
      <c r="G795" s="8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30.75" customHeight="1" spans="1:26">
      <c r="A796" s="6"/>
      <c r="B796" s="6"/>
      <c r="C796" s="6"/>
      <c r="D796" s="6"/>
      <c r="E796" s="6"/>
      <c r="F796" s="6"/>
      <c r="G796" s="8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30.75" customHeight="1" spans="1:26">
      <c r="A797" s="6"/>
      <c r="B797" s="6"/>
      <c r="C797" s="6"/>
      <c r="D797" s="6"/>
      <c r="E797" s="6"/>
      <c r="F797" s="6"/>
      <c r="G797" s="8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30.75" customHeight="1" spans="1:26">
      <c r="A798" s="6"/>
      <c r="B798" s="6"/>
      <c r="C798" s="6"/>
      <c r="D798" s="6"/>
      <c r="E798" s="6"/>
      <c r="F798" s="6"/>
      <c r="G798" s="8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30.75" customHeight="1" spans="1:26">
      <c r="A799" s="6"/>
      <c r="B799" s="6"/>
      <c r="C799" s="6"/>
      <c r="D799" s="6"/>
      <c r="E799" s="6"/>
      <c r="F799" s="6"/>
      <c r="G799" s="8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30.75" customHeight="1" spans="1:26">
      <c r="A800" s="6"/>
      <c r="B800" s="6"/>
      <c r="C800" s="6"/>
      <c r="D800" s="6"/>
      <c r="E800" s="6"/>
      <c r="F800" s="6"/>
      <c r="G800" s="8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30.75" customHeight="1" spans="1:26">
      <c r="A801" s="6"/>
      <c r="B801" s="6"/>
      <c r="C801" s="6"/>
      <c r="D801" s="6"/>
      <c r="E801" s="6"/>
      <c r="F801" s="6"/>
      <c r="G801" s="8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30.75" customHeight="1" spans="1:26">
      <c r="A802" s="6"/>
      <c r="B802" s="6"/>
      <c r="C802" s="6"/>
      <c r="D802" s="6"/>
      <c r="E802" s="6"/>
      <c r="F802" s="6"/>
      <c r="G802" s="8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30.75" customHeight="1" spans="1:26">
      <c r="A803" s="6"/>
      <c r="B803" s="6"/>
      <c r="C803" s="6"/>
      <c r="D803" s="6"/>
      <c r="E803" s="6"/>
      <c r="F803" s="6"/>
      <c r="G803" s="8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30.75" customHeight="1" spans="1:26">
      <c r="A804" s="6"/>
      <c r="B804" s="6"/>
      <c r="C804" s="6"/>
      <c r="D804" s="6"/>
      <c r="E804" s="6"/>
      <c r="F804" s="6"/>
      <c r="G804" s="8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30.75" customHeight="1" spans="1:26">
      <c r="A805" s="6"/>
      <c r="B805" s="6"/>
      <c r="C805" s="6"/>
      <c r="D805" s="6"/>
      <c r="E805" s="6"/>
      <c r="F805" s="6"/>
      <c r="G805" s="8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30.75" customHeight="1" spans="1:26">
      <c r="A806" s="6"/>
      <c r="B806" s="6"/>
      <c r="C806" s="6"/>
      <c r="D806" s="6"/>
      <c r="E806" s="6"/>
      <c r="F806" s="6"/>
      <c r="G806" s="8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30.75" customHeight="1" spans="1:26">
      <c r="A807" s="6"/>
      <c r="B807" s="6"/>
      <c r="C807" s="6"/>
      <c r="D807" s="6"/>
      <c r="E807" s="6"/>
      <c r="F807" s="6"/>
      <c r="G807" s="8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30.75" customHeight="1" spans="1:26">
      <c r="A808" s="6"/>
      <c r="B808" s="6"/>
      <c r="C808" s="6"/>
      <c r="D808" s="6"/>
      <c r="E808" s="6"/>
      <c r="F808" s="6"/>
      <c r="G808" s="8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30.75" customHeight="1" spans="1:26">
      <c r="A809" s="6"/>
      <c r="B809" s="6"/>
      <c r="C809" s="6"/>
      <c r="D809" s="6"/>
      <c r="E809" s="6"/>
      <c r="F809" s="6"/>
      <c r="G809" s="8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30.75" customHeight="1" spans="1:26">
      <c r="A810" s="6"/>
      <c r="B810" s="6"/>
      <c r="C810" s="6"/>
      <c r="D810" s="6"/>
      <c r="E810" s="6"/>
      <c r="F810" s="6"/>
      <c r="G810" s="8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30.75" customHeight="1" spans="1:26">
      <c r="A811" s="6"/>
      <c r="B811" s="6"/>
      <c r="C811" s="6"/>
      <c r="D811" s="6"/>
      <c r="E811" s="6"/>
      <c r="F811" s="6"/>
      <c r="G811" s="8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30.75" customHeight="1" spans="1:26">
      <c r="A812" s="6"/>
      <c r="B812" s="6"/>
      <c r="C812" s="6"/>
      <c r="D812" s="6"/>
      <c r="E812" s="6"/>
      <c r="F812" s="6"/>
      <c r="G812" s="8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30.75" customHeight="1" spans="1:26">
      <c r="A813" s="6"/>
      <c r="B813" s="6"/>
      <c r="C813" s="6"/>
      <c r="D813" s="6"/>
      <c r="E813" s="6"/>
      <c r="F813" s="6"/>
      <c r="G813" s="8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30.75" customHeight="1" spans="1:26">
      <c r="A814" s="6"/>
      <c r="B814" s="6"/>
      <c r="C814" s="6"/>
      <c r="D814" s="6"/>
      <c r="E814" s="6"/>
      <c r="F814" s="6"/>
      <c r="G814" s="8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30.75" customHeight="1" spans="1:26">
      <c r="A815" s="6"/>
      <c r="B815" s="6"/>
      <c r="C815" s="6"/>
      <c r="D815" s="6"/>
      <c r="E815" s="6"/>
      <c r="F815" s="6"/>
      <c r="G815" s="8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30.75" customHeight="1" spans="1:26">
      <c r="A816" s="6"/>
      <c r="B816" s="6"/>
      <c r="C816" s="6"/>
      <c r="D816" s="6"/>
      <c r="E816" s="6"/>
      <c r="F816" s="6"/>
      <c r="G816" s="8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30.75" customHeight="1" spans="1:26">
      <c r="A817" s="6"/>
      <c r="B817" s="6"/>
      <c r="C817" s="6"/>
      <c r="D817" s="6"/>
      <c r="E817" s="6"/>
      <c r="F817" s="6"/>
      <c r="G817" s="8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30.75" customHeight="1" spans="1:26">
      <c r="A818" s="6"/>
      <c r="B818" s="6"/>
      <c r="C818" s="6"/>
      <c r="D818" s="6"/>
      <c r="E818" s="6"/>
      <c r="F818" s="6"/>
      <c r="G818" s="8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30.75" customHeight="1" spans="1:26">
      <c r="A819" s="6"/>
      <c r="B819" s="6"/>
      <c r="C819" s="6"/>
      <c r="D819" s="6"/>
      <c r="E819" s="6"/>
      <c r="F819" s="6"/>
      <c r="G819" s="8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30.75" customHeight="1" spans="1:26">
      <c r="A820" s="6"/>
      <c r="B820" s="6"/>
      <c r="C820" s="6"/>
      <c r="D820" s="6"/>
      <c r="E820" s="6"/>
      <c r="F820" s="6"/>
      <c r="G820" s="8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30.75" customHeight="1" spans="1:26">
      <c r="A821" s="6"/>
      <c r="B821" s="6"/>
      <c r="C821" s="6"/>
      <c r="D821" s="6"/>
      <c r="E821" s="6"/>
      <c r="F821" s="6"/>
      <c r="G821" s="8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30.75" customHeight="1" spans="1:26">
      <c r="A822" s="6"/>
      <c r="B822" s="6"/>
      <c r="C822" s="6"/>
      <c r="D822" s="6"/>
      <c r="E822" s="6"/>
      <c r="F822" s="6"/>
      <c r="G822" s="8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30.75" customHeight="1" spans="1:26">
      <c r="A823" s="6"/>
      <c r="B823" s="6"/>
      <c r="C823" s="6"/>
      <c r="D823" s="6"/>
      <c r="E823" s="6"/>
      <c r="F823" s="6"/>
      <c r="G823" s="8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30.75" customHeight="1" spans="1:26">
      <c r="A824" s="6"/>
      <c r="B824" s="6"/>
      <c r="C824" s="6"/>
      <c r="D824" s="6"/>
      <c r="E824" s="6"/>
      <c r="F824" s="6"/>
      <c r="G824" s="8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30.75" customHeight="1" spans="1:26">
      <c r="A825" s="6"/>
      <c r="B825" s="6"/>
      <c r="C825" s="6"/>
      <c r="D825" s="6"/>
      <c r="E825" s="6"/>
      <c r="F825" s="6"/>
      <c r="G825" s="8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30.75" customHeight="1" spans="1:26">
      <c r="A826" s="6"/>
      <c r="B826" s="6"/>
      <c r="C826" s="6"/>
      <c r="D826" s="6"/>
      <c r="E826" s="6"/>
      <c r="F826" s="6"/>
      <c r="G826" s="8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30.75" customHeight="1" spans="1:26">
      <c r="A827" s="6"/>
      <c r="B827" s="6"/>
      <c r="C827" s="6"/>
      <c r="D827" s="6"/>
      <c r="E827" s="6"/>
      <c r="F827" s="6"/>
      <c r="G827" s="8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30.75" customHeight="1" spans="1:26">
      <c r="A828" s="6"/>
      <c r="B828" s="6"/>
      <c r="C828" s="6"/>
      <c r="D828" s="6"/>
      <c r="E828" s="6"/>
      <c r="F828" s="6"/>
      <c r="G828" s="8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30.75" customHeight="1" spans="1:26">
      <c r="A829" s="6"/>
      <c r="B829" s="6"/>
      <c r="C829" s="6"/>
      <c r="D829" s="6"/>
      <c r="E829" s="6"/>
      <c r="F829" s="6"/>
      <c r="G829" s="8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30.75" customHeight="1" spans="1:26">
      <c r="A830" s="6"/>
      <c r="B830" s="6"/>
      <c r="C830" s="6"/>
      <c r="D830" s="6"/>
      <c r="E830" s="6"/>
      <c r="F830" s="6"/>
      <c r="G830" s="8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30.75" customHeight="1" spans="1:26">
      <c r="A831" s="6"/>
      <c r="B831" s="6"/>
      <c r="C831" s="6"/>
      <c r="D831" s="6"/>
      <c r="E831" s="6"/>
      <c r="F831" s="6"/>
      <c r="G831" s="8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30.75" customHeight="1" spans="1:26">
      <c r="A832" s="6"/>
      <c r="B832" s="6"/>
      <c r="C832" s="6"/>
      <c r="D832" s="6"/>
      <c r="E832" s="6"/>
      <c r="F832" s="6"/>
      <c r="G832" s="8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30.75" customHeight="1" spans="1:26">
      <c r="A833" s="6"/>
      <c r="B833" s="6"/>
      <c r="C833" s="6"/>
      <c r="D833" s="6"/>
      <c r="E833" s="6"/>
      <c r="F833" s="6"/>
      <c r="G833" s="8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30.75" customHeight="1" spans="1:26">
      <c r="A834" s="6"/>
      <c r="B834" s="6"/>
      <c r="C834" s="6"/>
      <c r="D834" s="6"/>
      <c r="E834" s="6"/>
      <c r="F834" s="6"/>
      <c r="G834" s="8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30.75" customHeight="1" spans="1:26">
      <c r="A835" s="6"/>
      <c r="B835" s="6"/>
      <c r="C835" s="6"/>
      <c r="D835" s="6"/>
      <c r="E835" s="6"/>
      <c r="F835" s="6"/>
      <c r="G835" s="8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30.75" customHeight="1" spans="1:26">
      <c r="A836" s="6"/>
      <c r="B836" s="6"/>
      <c r="C836" s="6"/>
      <c r="D836" s="6"/>
      <c r="E836" s="6"/>
      <c r="F836" s="6"/>
      <c r="G836" s="8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30.75" customHeight="1" spans="1:26">
      <c r="A837" s="6"/>
      <c r="B837" s="6"/>
      <c r="C837" s="6"/>
      <c r="D837" s="6"/>
      <c r="E837" s="6"/>
      <c r="F837" s="6"/>
      <c r="G837" s="8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30.75" customHeight="1" spans="1:26">
      <c r="A838" s="6"/>
      <c r="B838" s="6"/>
      <c r="C838" s="6"/>
      <c r="D838" s="6"/>
      <c r="E838" s="6"/>
      <c r="F838" s="6"/>
      <c r="G838" s="8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30.75" customHeight="1" spans="1:26">
      <c r="A839" s="6"/>
      <c r="B839" s="6"/>
      <c r="C839" s="6"/>
      <c r="D839" s="6"/>
      <c r="E839" s="6"/>
      <c r="F839" s="6"/>
      <c r="G839" s="8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30.75" customHeight="1" spans="1:26">
      <c r="A840" s="6"/>
      <c r="B840" s="6"/>
      <c r="C840" s="6"/>
      <c r="D840" s="6"/>
      <c r="E840" s="6"/>
      <c r="F840" s="6"/>
      <c r="G840" s="8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30.75" customHeight="1" spans="1:26">
      <c r="A841" s="6"/>
      <c r="B841" s="6"/>
      <c r="C841" s="6"/>
      <c r="D841" s="6"/>
      <c r="E841" s="6"/>
      <c r="F841" s="6"/>
      <c r="G841" s="8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30.75" customHeight="1" spans="1:26">
      <c r="A842" s="6"/>
      <c r="B842" s="6"/>
      <c r="C842" s="6"/>
      <c r="D842" s="6"/>
      <c r="E842" s="6"/>
      <c r="F842" s="6"/>
      <c r="G842" s="8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30.75" customHeight="1" spans="1:26">
      <c r="A843" s="6"/>
      <c r="B843" s="6"/>
      <c r="C843" s="6"/>
      <c r="D843" s="6"/>
      <c r="E843" s="6"/>
      <c r="F843" s="6"/>
      <c r="G843" s="8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30.75" customHeight="1" spans="1:26">
      <c r="A844" s="6"/>
      <c r="B844" s="6"/>
      <c r="C844" s="6"/>
      <c r="D844" s="6"/>
      <c r="E844" s="6"/>
      <c r="F844" s="6"/>
      <c r="G844" s="8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30.75" customHeight="1" spans="1:26">
      <c r="A845" s="6"/>
      <c r="B845" s="6"/>
      <c r="C845" s="6"/>
      <c r="D845" s="6"/>
      <c r="E845" s="6"/>
      <c r="F845" s="6"/>
      <c r="G845" s="8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30.75" customHeight="1" spans="1:26">
      <c r="A846" s="6"/>
      <c r="B846" s="6"/>
      <c r="C846" s="6"/>
      <c r="D846" s="6"/>
      <c r="E846" s="6"/>
      <c r="F846" s="6"/>
      <c r="G846" s="8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30.75" customHeight="1" spans="1:26">
      <c r="A847" s="6"/>
      <c r="B847" s="6"/>
      <c r="C847" s="6"/>
      <c r="D847" s="6"/>
      <c r="E847" s="6"/>
      <c r="F847" s="6"/>
      <c r="G847" s="8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30.75" customHeight="1" spans="1:26">
      <c r="A848" s="6"/>
      <c r="B848" s="6"/>
      <c r="C848" s="6"/>
      <c r="D848" s="6"/>
      <c r="E848" s="6"/>
      <c r="F848" s="6"/>
      <c r="G848" s="8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30.75" customHeight="1" spans="1:26">
      <c r="A849" s="6"/>
      <c r="B849" s="6"/>
      <c r="C849" s="6"/>
      <c r="D849" s="6"/>
      <c r="E849" s="6"/>
      <c r="F849" s="6"/>
      <c r="G849" s="8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30.75" customHeight="1" spans="1:26">
      <c r="A850" s="6"/>
      <c r="B850" s="6"/>
      <c r="C850" s="6"/>
      <c r="D850" s="6"/>
      <c r="E850" s="6"/>
      <c r="F850" s="6"/>
      <c r="G850" s="8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30.75" customHeight="1" spans="1:26">
      <c r="A851" s="6"/>
      <c r="B851" s="6"/>
      <c r="C851" s="6"/>
      <c r="D851" s="6"/>
      <c r="E851" s="6"/>
      <c r="F851" s="6"/>
      <c r="G851" s="8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30.75" customHeight="1" spans="1:26">
      <c r="A852" s="6"/>
      <c r="B852" s="6"/>
      <c r="C852" s="6"/>
      <c r="D852" s="6"/>
      <c r="E852" s="6"/>
      <c r="F852" s="6"/>
      <c r="G852" s="8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30.75" customHeight="1" spans="1:26">
      <c r="A853" s="6"/>
      <c r="B853" s="6"/>
      <c r="C853" s="6"/>
      <c r="D853" s="6"/>
      <c r="E853" s="6"/>
      <c r="F853" s="6"/>
      <c r="G853" s="8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30.75" customHeight="1" spans="1:26">
      <c r="A854" s="6"/>
      <c r="B854" s="6"/>
      <c r="C854" s="6"/>
      <c r="D854" s="6"/>
      <c r="E854" s="6"/>
      <c r="F854" s="6"/>
      <c r="G854" s="8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30.75" customHeight="1" spans="1:26">
      <c r="A855" s="6"/>
      <c r="B855" s="6"/>
      <c r="C855" s="6"/>
      <c r="D855" s="6"/>
      <c r="E855" s="6"/>
      <c r="F855" s="6"/>
      <c r="G855" s="8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30.75" customHeight="1" spans="1:26">
      <c r="A856" s="6"/>
      <c r="B856" s="6"/>
      <c r="C856" s="6"/>
      <c r="D856" s="6"/>
      <c r="E856" s="6"/>
      <c r="F856" s="6"/>
      <c r="G856" s="8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30.75" customHeight="1" spans="1:26">
      <c r="A857" s="6"/>
      <c r="B857" s="6"/>
      <c r="C857" s="6"/>
      <c r="D857" s="6"/>
      <c r="E857" s="6"/>
      <c r="F857" s="6"/>
      <c r="G857" s="8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30.75" customHeight="1" spans="1:26">
      <c r="A858" s="6"/>
      <c r="B858" s="6"/>
      <c r="C858" s="6"/>
      <c r="D858" s="6"/>
      <c r="E858" s="6"/>
      <c r="F858" s="6"/>
      <c r="G858" s="8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30.75" customHeight="1" spans="1:26">
      <c r="A859" s="6"/>
      <c r="B859" s="6"/>
      <c r="C859" s="6"/>
      <c r="D859" s="6"/>
      <c r="E859" s="6"/>
      <c r="F859" s="6"/>
      <c r="G859" s="8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30.75" customHeight="1" spans="1:26">
      <c r="A860" s="6"/>
      <c r="B860" s="6"/>
      <c r="C860" s="6"/>
      <c r="D860" s="6"/>
      <c r="E860" s="6"/>
      <c r="F860" s="6"/>
      <c r="G860" s="8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30.75" customHeight="1" spans="1:26">
      <c r="A861" s="6"/>
      <c r="B861" s="6"/>
      <c r="C861" s="6"/>
      <c r="D861" s="6"/>
      <c r="E861" s="6"/>
      <c r="F861" s="6"/>
      <c r="G861" s="8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30.75" customHeight="1" spans="1:26">
      <c r="A862" s="6"/>
      <c r="B862" s="6"/>
      <c r="C862" s="6"/>
      <c r="D862" s="6"/>
      <c r="E862" s="6"/>
      <c r="F862" s="6"/>
      <c r="G862" s="8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30.75" customHeight="1" spans="1:26">
      <c r="A863" s="6"/>
      <c r="B863" s="6"/>
      <c r="C863" s="6"/>
      <c r="D863" s="6"/>
      <c r="E863" s="6"/>
      <c r="F863" s="6"/>
      <c r="G863" s="8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30.75" customHeight="1" spans="1:26">
      <c r="A864" s="6"/>
      <c r="B864" s="6"/>
      <c r="C864" s="6"/>
      <c r="D864" s="6"/>
      <c r="E864" s="6"/>
      <c r="F864" s="6"/>
      <c r="G864" s="8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30.75" customHeight="1" spans="1:26">
      <c r="A865" s="6"/>
      <c r="B865" s="6"/>
      <c r="C865" s="6"/>
      <c r="D865" s="6"/>
      <c r="E865" s="6"/>
      <c r="F865" s="6"/>
      <c r="G865" s="8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30.75" customHeight="1" spans="1:26">
      <c r="A866" s="6"/>
      <c r="B866" s="6"/>
      <c r="C866" s="6"/>
      <c r="D866" s="6"/>
      <c r="E866" s="6"/>
      <c r="F866" s="6"/>
      <c r="G866" s="8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30.75" customHeight="1" spans="1:26">
      <c r="A867" s="6"/>
      <c r="B867" s="6"/>
      <c r="C867" s="6"/>
      <c r="D867" s="6"/>
      <c r="E867" s="6"/>
      <c r="F867" s="6"/>
      <c r="G867" s="8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30.75" customHeight="1" spans="1:26">
      <c r="A868" s="6"/>
      <c r="B868" s="6"/>
      <c r="C868" s="6"/>
      <c r="D868" s="6"/>
      <c r="E868" s="6"/>
      <c r="F868" s="6"/>
      <c r="G868" s="8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30.75" customHeight="1" spans="1:26">
      <c r="A869" s="6"/>
      <c r="B869" s="6"/>
      <c r="C869" s="6"/>
      <c r="D869" s="6"/>
      <c r="E869" s="6"/>
      <c r="F869" s="6"/>
      <c r="G869" s="8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30.75" customHeight="1" spans="1:26">
      <c r="A870" s="6"/>
      <c r="B870" s="6"/>
      <c r="C870" s="6"/>
      <c r="D870" s="6"/>
      <c r="E870" s="6"/>
      <c r="F870" s="6"/>
      <c r="G870" s="8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30.75" customHeight="1" spans="1:26">
      <c r="A871" s="6"/>
      <c r="B871" s="6"/>
      <c r="C871" s="6"/>
      <c r="D871" s="6"/>
      <c r="E871" s="6"/>
      <c r="F871" s="6"/>
      <c r="G871" s="8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30.75" customHeight="1" spans="1:26">
      <c r="A872" s="6"/>
      <c r="B872" s="6"/>
      <c r="C872" s="6"/>
      <c r="D872" s="6"/>
      <c r="E872" s="6"/>
      <c r="F872" s="6"/>
      <c r="G872" s="8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30.75" customHeight="1" spans="1:26">
      <c r="A873" s="6"/>
      <c r="B873" s="6"/>
      <c r="C873" s="6"/>
      <c r="D873" s="6"/>
      <c r="E873" s="6"/>
      <c r="F873" s="6"/>
      <c r="G873" s="8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30.75" customHeight="1" spans="1:26">
      <c r="A874" s="6"/>
      <c r="B874" s="6"/>
      <c r="C874" s="6"/>
      <c r="D874" s="6"/>
      <c r="E874" s="6"/>
      <c r="F874" s="6"/>
      <c r="G874" s="8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30.75" customHeight="1" spans="1:26">
      <c r="A875" s="6"/>
      <c r="B875" s="6"/>
      <c r="C875" s="6"/>
      <c r="D875" s="6"/>
      <c r="E875" s="6"/>
      <c r="F875" s="6"/>
      <c r="G875" s="8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30.75" customHeight="1" spans="1:26">
      <c r="A876" s="6"/>
      <c r="B876" s="6"/>
      <c r="C876" s="6"/>
      <c r="D876" s="6"/>
      <c r="E876" s="6"/>
      <c r="F876" s="6"/>
      <c r="G876" s="8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30.75" customHeight="1" spans="1:26">
      <c r="A877" s="6"/>
      <c r="B877" s="6"/>
      <c r="C877" s="6"/>
      <c r="D877" s="6"/>
      <c r="E877" s="6"/>
      <c r="F877" s="6"/>
      <c r="G877" s="8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30.75" customHeight="1" spans="1:26">
      <c r="A878" s="6"/>
      <c r="B878" s="6"/>
      <c r="C878" s="6"/>
      <c r="D878" s="6"/>
      <c r="E878" s="6"/>
      <c r="F878" s="6"/>
      <c r="G878" s="8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30.75" customHeight="1" spans="1:26">
      <c r="A879" s="6"/>
      <c r="B879" s="6"/>
      <c r="C879" s="6"/>
      <c r="D879" s="6"/>
      <c r="E879" s="6"/>
      <c r="F879" s="6"/>
      <c r="G879" s="8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30.75" customHeight="1" spans="1:26">
      <c r="A880" s="6"/>
      <c r="B880" s="6"/>
      <c r="C880" s="6"/>
      <c r="D880" s="6"/>
      <c r="E880" s="6"/>
      <c r="F880" s="6"/>
      <c r="G880" s="8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30.75" customHeight="1" spans="1:26">
      <c r="A881" s="6"/>
      <c r="B881" s="6"/>
      <c r="C881" s="6"/>
      <c r="D881" s="6"/>
      <c r="E881" s="6"/>
      <c r="F881" s="6"/>
      <c r="G881" s="8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30.75" customHeight="1" spans="1:26">
      <c r="A882" s="6"/>
      <c r="B882" s="6"/>
      <c r="C882" s="6"/>
      <c r="D882" s="6"/>
      <c r="E882" s="6"/>
      <c r="F882" s="6"/>
      <c r="G882" s="8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30.75" customHeight="1" spans="1:26">
      <c r="A883" s="6"/>
      <c r="B883" s="6"/>
      <c r="C883" s="6"/>
      <c r="D883" s="6"/>
      <c r="E883" s="6"/>
      <c r="F883" s="6"/>
      <c r="G883" s="8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30.75" customHeight="1" spans="1:26">
      <c r="A884" s="6"/>
      <c r="B884" s="6"/>
      <c r="C884" s="6"/>
      <c r="D884" s="6"/>
      <c r="E884" s="6"/>
      <c r="F884" s="6"/>
      <c r="G884" s="8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30.75" customHeight="1" spans="1:26">
      <c r="A885" s="6"/>
      <c r="B885" s="6"/>
      <c r="C885" s="6"/>
      <c r="D885" s="6"/>
      <c r="E885" s="6"/>
      <c r="F885" s="6"/>
      <c r="G885" s="8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30.75" customHeight="1" spans="1:26">
      <c r="A886" s="6"/>
      <c r="B886" s="6"/>
      <c r="C886" s="6"/>
      <c r="D886" s="6"/>
      <c r="E886" s="6"/>
      <c r="F886" s="6"/>
      <c r="G886" s="8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30.75" customHeight="1" spans="1:26">
      <c r="A887" s="6"/>
      <c r="B887" s="6"/>
      <c r="C887" s="6"/>
      <c r="D887" s="6"/>
      <c r="E887" s="6"/>
      <c r="F887" s="6"/>
      <c r="G887" s="8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30.75" customHeight="1" spans="1:26">
      <c r="A888" s="6"/>
      <c r="B888" s="6"/>
      <c r="C888" s="6"/>
      <c r="D888" s="6"/>
      <c r="E888" s="6"/>
      <c r="F888" s="6"/>
      <c r="G888" s="8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30.75" customHeight="1" spans="1:26">
      <c r="A889" s="6"/>
      <c r="B889" s="6"/>
      <c r="C889" s="6"/>
      <c r="D889" s="6"/>
      <c r="E889" s="6"/>
      <c r="F889" s="6"/>
      <c r="G889" s="8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30.75" customHeight="1" spans="1:26">
      <c r="A890" s="6"/>
      <c r="B890" s="6"/>
      <c r="C890" s="6"/>
      <c r="D890" s="6"/>
      <c r="E890" s="6"/>
      <c r="F890" s="6"/>
      <c r="G890" s="8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30.75" customHeight="1" spans="1:26">
      <c r="A891" s="6"/>
      <c r="B891" s="6"/>
      <c r="C891" s="6"/>
      <c r="D891" s="6"/>
      <c r="E891" s="6"/>
      <c r="F891" s="6"/>
      <c r="G891" s="8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30.75" customHeight="1" spans="1:26">
      <c r="A892" s="6"/>
      <c r="B892" s="6"/>
      <c r="C892" s="6"/>
      <c r="D892" s="6"/>
      <c r="E892" s="6"/>
      <c r="F892" s="6"/>
      <c r="G892" s="8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30.75" customHeight="1" spans="1:26">
      <c r="A893" s="6"/>
      <c r="B893" s="6"/>
      <c r="C893" s="6"/>
      <c r="D893" s="6"/>
      <c r="E893" s="6"/>
      <c r="F893" s="6"/>
      <c r="G893" s="8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30.75" customHeight="1" spans="1:26">
      <c r="A894" s="6"/>
      <c r="B894" s="6"/>
      <c r="C894" s="6"/>
      <c r="D894" s="6"/>
      <c r="E894" s="6"/>
      <c r="F894" s="6"/>
      <c r="G894" s="8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30.75" customHeight="1" spans="1:26">
      <c r="A895" s="6"/>
      <c r="B895" s="6"/>
      <c r="C895" s="6"/>
      <c r="D895" s="6"/>
      <c r="E895" s="6"/>
      <c r="F895" s="6"/>
      <c r="G895" s="8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30.75" customHeight="1" spans="1:26">
      <c r="A896" s="6"/>
      <c r="B896" s="6"/>
      <c r="C896" s="6"/>
      <c r="D896" s="6"/>
      <c r="E896" s="6"/>
      <c r="F896" s="6"/>
      <c r="G896" s="8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30.75" customHeight="1" spans="1:26">
      <c r="A897" s="6"/>
      <c r="B897" s="6"/>
      <c r="C897" s="6"/>
      <c r="D897" s="6"/>
      <c r="E897" s="6"/>
      <c r="F897" s="6"/>
      <c r="G897" s="8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30.75" customHeight="1" spans="1:26">
      <c r="A898" s="6"/>
      <c r="B898" s="6"/>
      <c r="C898" s="6"/>
      <c r="D898" s="6"/>
      <c r="E898" s="6"/>
      <c r="F898" s="6"/>
      <c r="G898" s="8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30.75" customHeight="1" spans="1:26">
      <c r="A899" s="6"/>
      <c r="B899" s="6"/>
      <c r="C899" s="6"/>
      <c r="D899" s="6"/>
      <c r="E899" s="6"/>
      <c r="F899" s="6"/>
      <c r="G899" s="8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30.75" customHeight="1" spans="1:26">
      <c r="A900" s="6"/>
      <c r="B900" s="6"/>
      <c r="C900" s="6"/>
      <c r="D900" s="6"/>
      <c r="E900" s="6"/>
      <c r="F900" s="6"/>
      <c r="G900" s="8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30.75" customHeight="1" spans="1:26">
      <c r="A901" s="6"/>
      <c r="B901" s="6"/>
      <c r="C901" s="6"/>
      <c r="D901" s="6"/>
      <c r="E901" s="6"/>
      <c r="F901" s="6"/>
      <c r="G901" s="8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30.75" customHeight="1" spans="1:26">
      <c r="A902" s="6"/>
      <c r="B902" s="6"/>
      <c r="C902" s="6"/>
      <c r="D902" s="6"/>
      <c r="E902" s="6"/>
      <c r="F902" s="6"/>
      <c r="G902" s="8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30.75" customHeight="1" spans="1:26">
      <c r="A903" s="6"/>
      <c r="B903" s="6"/>
      <c r="C903" s="6"/>
      <c r="D903" s="6"/>
      <c r="E903" s="6"/>
      <c r="F903" s="6"/>
      <c r="G903" s="8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30.75" customHeight="1" spans="1:26">
      <c r="A904" s="6"/>
      <c r="B904" s="6"/>
      <c r="C904" s="6"/>
      <c r="D904" s="6"/>
      <c r="E904" s="6"/>
      <c r="F904" s="6"/>
      <c r="G904" s="8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30.75" customHeight="1" spans="1:26">
      <c r="A905" s="6"/>
      <c r="B905" s="6"/>
      <c r="C905" s="6"/>
      <c r="D905" s="6"/>
      <c r="E905" s="6"/>
      <c r="F905" s="6"/>
      <c r="G905" s="8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30.75" customHeight="1" spans="1:26">
      <c r="A906" s="6"/>
      <c r="B906" s="6"/>
      <c r="C906" s="6"/>
      <c r="D906" s="6"/>
      <c r="E906" s="6"/>
      <c r="F906" s="6"/>
      <c r="G906" s="8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30.75" customHeight="1" spans="1:26">
      <c r="A907" s="6"/>
      <c r="B907" s="6"/>
      <c r="C907" s="6"/>
      <c r="D907" s="6"/>
      <c r="E907" s="6"/>
      <c r="F907" s="6"/>
      <c r="G907" s="8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30.75" customHeight="1" spans="1:26">
      <c r="A908" s="6"/>
      <c r="B908" s="6"/>
      <c r="C908" s="6"/>
      <c r="D908" s="6"/>
      <c r="E908" s="6"/>
      <c r="F908" s="6"/>
      <c r="G908" s="8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30.75" customHeight="1" spans="1:26">
      <c r="A909" s="6"/>
      <c r="B909" s="6"/>
      <c r="C909" s="6"/>
      <c r="D909" s="6"/>
      <c r="E909" s="6"/>
      <c r="F909" s="6"/>
      <c r="G909" s="8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30.75" customHeight="1" spans="1:26">
      <c r="A910" s="6"/>
      <c r="B910" s="6"/>
      <c r="C910" s="6"/>
      <c r="D910" s="6"/>
      <c r="E910" s="6"/>
      <c r="F910" s="6"/>
      <c r="G910" s="8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30.75" customHeight="1" spans="1:26">
      <c r="A911" s="6"/>
      <c r="B911" s="6"/>
      <c r="C911" s="6"/>
      <c r="D911" s="6"/>
      <c r="E911" s="6"/>
      <c r="F911" s="6"/>
      <c r="G911" s="8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30.75" customHeight="1" spans="1:26">
      <c r="A912" s="6"/>
      <c r="B912" s="6"/>
      <c r="C912" s="6"/>
      <c r="D912" s="6"/>
      <c r="E912" s="6"/>
      <c r="F912" s="6"/>
      <c r="G912" s="8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30.75" customHeight="1" spans="1:26">
      <c r="A913" s="6"/>
      <c r="B913" s="6"/>
      <c r="C913" s="6"/>
      <c r="D913" s="6"/>
      <c r="E913" s="6"/>
      <c r="F913" s="6"/>
      <c r="G913" s="8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30.75" customHeight="1" spans="1:26">
      <c r="A914" s="6"/>
      <c r="B914" s="6"/>
      <c r="C914" s="6"/>
      <c r="D914" s="6"/>
      <c r="E914" s="6"/>
      <c r="F914" s="6"/>
      <c r="G914" s="8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30.75" customHeight="1" spans="1:26">
      <c r="A915" s="6"/>
      <c r="B915" s="6"/>
      <c r="C915" s="6"/>
      <c r="D915" s="6"/>
      <c r="E915" s="6"/>
      <c r="F915" s="6"/>
      <c r="G915" s="8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30.75" customHeight="1" spans="1:26">
      <c r="A916" s="6"/>
      <c r="B916" s="6"/>
      <c r="C916" s="6"/>
      <c r="D916" s="6"/>
      <c r="E916" s="6"/>
      <c r="F916" s="6"/>
      <c r="G916" s="8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30.75" customHeight="1" spans="1:26">
      <c r="A917" s="6"/>
      <c r="B917" s="6"/>
      <c r="C917" s="6"/>
      <c r="D917" s="6"/>
      <c r="E917" s="6"/>
      <c r="F917" s="6"/>
      <c r="G917" s="8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30.75" customHeight="1" spans="1:26">
      <c r="A918" s="6"/>
      <c r="B918" s="6"/>
      <c r="C918" s="6"/>
      <c r="D918" s="6"/>
      <c r="E918" s="6"/>
      <c r="F918" s="6"/>
      <c r="G918" s="8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30.75" customHeight="1" spans="1:26">
      <c r="A919" s="6"/>
      <c r="B919" s="6"/>
      <c r="C919" s="6"/>
      <c r="D919" s="6"/>
      <c r="E919" s="6"/>
      <c r="F919" s="6"/>
      <c r="G919" s="8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30.75" customHeight="1" spans="1:26">
      <c r="A920" s="6"/>
      <c r="B920" s="6"/>
      <c r="C920" s="6"/>
      <c r="D920" s="6"/>
      <c r="E920" s="6"/>
      <c r="F920" s="6"/>
      <c r="G920" s="8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30.75" customHeight="1" spans="1:26">
      <c r="A921" s="6"/>
      <c r="B921" s="6"/>
      <c r="C921" s="6"/>
      <c r="D921" s="6"/>
      <c r="E921" s="6"/>
      <c r="F921" s="6"/>
      <c r="G921" s="8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30.75" customHeight="1" spans="1:26">
      <c r="A922" s="6"/>
      <c r="B922" s="6"/>
      <c r="C922" s="6"/>
      <c r="D922" s="6"/>
      <c r="E922" s="6"/>
      <c r="F922" s="6"/>
      <c r="G922" s="8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30.75" customHeight="1" spans="1:26">
      <c r="A923" s="6"/>
      <c r="B923" s="6"/>
      <c r="C923" s="6"/>
      <c r="D923" s="6"/>
      <c r="E923" s="6"/>
      <c r="F923" s="6"/>
      <c r="G923" s="8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30.75" customHeight="1" spans="1:26">
      <c r="A924" s="6"/>
      <c r="B924" s="6"/>
      <c r="C924" s="6"/>
      <c r="D924" s="6"/>
      <c r="E924" s="6"/>
      <c r="F924" s="6"/>
      <c r="G924" s="8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30.75" customHeight="1" spans="1:26">
      <c r="A925" s="6"/>
      <c r="B925" s="6"/>
      <c r="C925" s="6"/>
      <c r="D925" s="6"/>
      <c r="E925" s="6"/>
      <c r="F925" s="6"/>
      <c r="G925" s="8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30.75" customHeight="1" spans="1:26">
      <c r="A926" s="6"/>
      <c r="B926" s="6"/>
      <c r="C926" s="6"/>
      <c r="D926" s="6"/>
      <c r="E926" s="6"/>
      <c r="F926" s="6"/>
      <c r="G926" s="8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30.75" customHeight="1" spans="1:26">
      <c r="A927" s="6"/>
      <c r="B927" s="6"/>
      <c r="C927" s="6"/>
      <c r="D927" s="6"/>
      <c r="E927" s="6"/>
      <c r="F927" s="6"/>
      <c r="G927" s="8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30.75" customHeight="1" spans="1:26">
      <c r="A928" s="6"/>
      <c r="B928" s="6"/>
      <c r="C928" s="6"/>
      <c r="D928" s="6"/>
      <c r="E928" s="6"/>
      <c r="F928" s="6"/>
      <c r="G928" s="8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30.75" customHeight="1" spans="1:26">
      <c r="A929" s="6"/>
      <c r="B929" s="6"/>
      <c r="C929" s="6"/>
      <c r="D929" s="6"/>
      <c r="E929" s="6"/>
      <c r="F929" s="6"/>
      <c r="G929" s="8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30.75" customHeight="1" spans="1:26">
      <c r="A930" s="6"/>
      <c r="B930" s="6"/>
      <c r="C930" s="6"/>
      <c r="D930" s="6"/>
      <c r="E930" s="6"/>
      <c r="F930" s="6"/>
      <c r="G930" s="8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30.75" customHeight="1" spans="1:26">
      <c r="A931" s="6"/>
      <c r="B931" s="6"/>
      <c r="C931" s="6"/>
      <c r="D931" s="6"/>
      <c r="E931" s="6"/>
      <c r="F931" s="6"/>
      <c r="G931" s="8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30.75" customHeight="1" spans="1:26">
      <c r="A932" s="6"/>
      <c r="B932" s="6"/>
      <c r="C932" s="6"/>
      <c r="D932" s="6"/>
      <c r="E932" s="6"/>
      <c r="F932" s="6"/>
      <c r="G932" s="8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30.75" customHeight="1" spans="1:26">
      <c r="A933" s="6"/>
      <c r="B933" s="6"/>
      <c r="C933" s="6"/>
      <c r="D933" s="6"/>
      <c r="E933" s="6"/>
      <c r="F933" s="6"/>
      <c r="G933" s="8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30.75" customHeight="1" spans="1:26">
      <c r="A934" s="6"/>
      <c r="B934" s="6"/>
      <c r="C934" s="6"/>
      <c r="D934" s="6"/>
      <c r="E934" s="6"/>
      <c r="F934" s="6"/>
      <c r="G934" s="8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30.75" customHeight="1" spans="1:26">
      <c r="A935" s="6"/>
      <c r="B935" s="6"/>
      <c r="C935" s="6"/>
      <c r="D935" s="6"/>
      <c r="E935" s="6"/>
      <c r="F935" s="6"/>
      <c r="G935" s="8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30.75" customHeight="1" spans="1:26">
      <c r="A936" s="6"/>
      <c r="B936" s="6"/>
      <c r="C936" s="6"/>
      <c r="D936" s="6"/>
      <c r="E936" s="6"/>
      <c r="F936" s="6"/>
      <c r="G936" s="8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30.75" customHeight="1" spans="1:26">
      <c r="A937" s="6"/>
      <c r="B937" s="6"/>
      <c r="C937" s="6"/>
      <c r="D937" s="6"/>
      <c r="E937" s="6"/>
      <c r="F937" s="6"/>
      <c r="G937" s="8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30.75" customHeight="1" spans="1:26">
      <c r="A938" s="6"/>
      <c r="B938" s="6"/>
      <c r="C938" s="6"/>
      <c r="D938" s="6"/>
      <c r="E938" s="6"/>
      <c r="F938" s="6"/>
      <c r="G938" s="8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30.75" customHeight="1" spans="1:26">
      <c r="A939" s="6"/>
      <c r="B939" s="6"/>
      <c r="C939" s="6"/>
      <c r="D939" s="6"/>
      <c r="E939" s="6"/>
      <c r="F939" s="6"/>
      <c r="G939" s="8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30.75" customHeight="1" spans="1:26">
      <c r="A940" s="6"/>
      <c r="B940" s="6"/>
      <c r="C940" s="6"/>
      <c r="D940" s="6"/>
      <c r="E940" s="6"/>
      <c r="F940" s="6"/>
      <c r="G940" s="8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30.75" customHeight="1" spans="1:26">
      <c r="A941" s="6"/>
      <c r="B941" s="6"/>
      <c r="C941" s="6"/>
      <c r="D941" s="6"/>
      <c r="E941" s="6"/>
      <c r="F941" s="6"/>
      <c r="G941" s="8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30.75" customHeight="1" spans="1:26">
      <c r="A942" s="6"/>
      <c r="B942" s="6"/>
      <c r="C942" s="6"/>
      <c r="D942" s="6"/>
      <c r="E942" s="6"/>
      <c r="F942" s="6"/>
      <c r="G942" s="8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30.75" customHeight="1" spans="1:26">
      <c r="A943" s="6"/>
      <c r="B943" s="6"/>
      <c r="C943" s="6"/>
      <c r="D943" s="6"/>
      <c r="E943" s="6"/>
      <c r="F943" s="6"/>
      <c r="G943" s="8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30.75" customHeight="1" spans="1:26">
      <c r="A944" s="6"/>
      <c r="B944" s="6"/>
      <c r="C944" s="6"/>
      <c r="D944" s="6"/>
      <c r="E944" s="6"/>
      <c r="F944" s="6"/>
      <c r="G944" s="8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30.75" customHeight="1" spans="1:26">
      <c r="A945" s="6"/>
      <c r="B945" s="6"/>
      <c r="C945" s="6"/>
      <c r="D945" s="6"/>
      <c r="E945" s="6"/>
      <c r="F945" s="6"/>
      <c r="G945" s="8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30.75" customHeight="1" spans="1:26">
      <c r="A946" s="6"/>
      <c r="B946" s="6"/>
      <c r="C946" s="6"/>
      <c r="D946" s="6"/>
      <c r="E946" s="6"/>
      <c r="F946" s="6"/>
      <c r="G946" s="8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30.75" customHeight="1" spans="1:26">
      <c r="A947" s="6"/>
      <c r="B947" s="6"/>
      <c r="C947" s="6"/>
      <c r="D947" s="6"/>
      <c r="E947" s="6"/>
      <c r="F947" s="6"/>
      <c r="G947" s="8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30.75" customHeight="1" spans="1:26">
      <c r="A948" s="6"/>
      <c r="B948" s="6"/>
      <c r="C948" s="6"/>
      <c r="D948" s="6"/>
      <c r="E948" s="6"/>
      <c r="F948" s="6"/>
      <c r="G948" s="8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30.75" customHeight="1" spans="1:26">
      <c r="A949" s="6"/>
      <c r="B949" s="6"/>
      <c r="C949" s="6"/>
      <c r="D949" s="6"/>
      <c r="E949" s="6"/>
      <c r="F949" s="6"/>
      <c r="G949" s="8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30.75" customHeight="1" spans="1:26">
      <c r="A950" s="6"/>
      <c r="B950" s="6"/>
      <c r="C950" s="6"/>
      <c r="D950" s="6"/>
      <c r="E950" s="6"/>
      <c r="F950" s="6"/>
      <c r="G950" s="8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30.75" customHeight="1" spans="1:26">
      <c r="A951" s="6"/>
      <c r="B951" s="6"/>
      <c r="C951" s="6"/>
      <c r="D951" s="6"/>
      <c r="E951" s="6"/>
      <c r="F951" s="6"/>
      <c r="G951" s="8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30.75" customHeight="1" spans="1:26">
      <c r="A952" s="6"/>
      <c r="B952" s="6"/>
      <c r="C952" s="6"/>
      <c r="D952" s="6"/>
      <c r="E952" s="6"/>
      <c r="F952" s="6"/>
      <c r="G952" s="8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30.75" customHeight="1" spans="1:26">
      <c r="A953" s="6"/>
      <c r="B953" s="6"/>
      <c r="C953" s="6"/>
      <c r="D953" s="6"/>
      <c r="E953" s="6"/>
      <c r="F953" s="6"/>
      <c r="G953" s="8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30.75" customHeight="1" spans="1:26">
      <c r="A954" s="6"/>
      <c r="B954" s="6"/>
      <c r="C954" s="6"/>
      <c r="D954" s="6"/>
      <c r="E954" s="6"/>
      <c r="F954" s="6"/>
      <c r="G954" s="8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30.75" customHeight="1" spans="1:26">
      <c r="A955" s="6"/>
      <c r="B955" s="6"/>
      <c r="C955" s="6"/>
      <c r="D955" s="6"/>
      <c r="E955" s="6"/>
      <c r="F955" s="6"/>
      <c r="G955" s="8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30.75" customHeight="1" spans="1:26">
      <c r="A956" s="6"/>
      <c r="B956" s="6"/>
      <c r="C956" s="6"/>
      <c r="D956" s="6"/>
      <c r="E956" s="6"/>
      <c r="F956" s="6"/>
      <c r="G956" s="8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30.75" customHeight="1" spans="1:26">
      <c r="A957" s="6"/>
      <c r="B957" s="6"/>
      <c r="C957" s="6"/>
      <c r="D957" s="6"/>
      <c r="E957" s="6"/>
      <c r="F957" s="6"/>
      <c r="G957" s="8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30.75" customHeight="1" spans="1:26">
      <c r="A958" s="6"/>
      <c r="B958" s="6"/>
      <c r="C958" s="6"/>
      <c r="D958" s="6"/>
      <c r="E958" s="6"/>
      <c r="F958" s="6"/>
      <c r="G958" s="8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30.75" customHeight="1" spans="1:26">
      <c r="A959" s="6"/>
      <c r="B959" s="6"/>
      <c r="C959" s="6"/>
      <c r="D959" s="6"/>
      <c r="E959" s="6"/>
      <c r="F959" s="6"/>
      <c r="G959" s="8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30.75" customHeight="1" spans="1:26">
      <c r="A960" s="6"/>
      <c r="B960" s="6"/>
      <c r="C960" s="6"/>
      <c r="D960" s="6"/>
      <c r="E960" s="6"/>
      <c r="F960" s="6"/>
      <c r="G960" s="8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30.75" customHeight="1" spans="1:26">
      <c r="A961" s="6"/>
      <c r="B961" s="6"/>
      <c r="C961" s="6"/>
      <c r="D961" s="6"/>
      <c r="E961" s="6"/>
      <c r="F961" s="6"/>
      <c r="G961" s="8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30.75" customHeight="1" spans="1:26">
      <c r="A962" s="6"/>
      <c r="B962" s="6"/>
      <c r="C962" s="6"/>
      <c r="D962" s="6"/>
      <c r="E962" s="6"/>
      <c r="F962" s="6"/>
      <c r="G962" s="8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30.75" customHeight="1" spans="1:26">
      <c r="A963" s="6"/>
      <c r="B963" s="6"/>
      <c r="C963" s="6"/>
      <c r="D963" s="6"/>
      <c r="E963" s="6"/>
      <c r="F963" s="6"/>
      <c r="G963" s="8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30.75" customHeight="1" spans="1:26">
      <c r="A964" s="6"/>
      <c r="B964" s="6"/>
      <c r="C964" s="6"/>
      <c r="D964" s="6"/>
      <c r="E964" s="6"/>
      <c r="F964" s="6"/>
      <c r="G964" s="8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30.75" customHeight="1" spans="1:26">
      <c r="A965" s="6"/>
      <c r="B965" s="6"/>
      <c r="C965" s="6"/>
      <c r="D965" s="6"/>
      <c r="E965" s="6"/>
      <c r="F965" s="6"/>
      <c r="G965" s="8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30.75" customHeight="1" spans="1:26">
      <c r="A966" s="6"/>
      <c r="B966" s="6"/>
      <c r="C966" s="6"/>
      <c r="D966" s="6"/>
      <c r="E966" s="6"/>
      <c r="F966" s="6"/>
      <c r="G966" s="8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30.75" customHeight="1" spans="1:26">
      <c r="A967" s="6"/>
      <c r="B967" s="6"/>
      <c r="C967" s="6"/>
      <c r="D967" s="6"/>
      <c r="E967" s="6"/>
      <c r="F967" s="6"/>
      <c r="G967" s="8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30.75" customHeight="1" spans="1:26">
      <c r="A968" s="6"/>
      <c r="B968" s="6"/>
      <c r="C968" s="6"/>
      <c r="D968" s="6"/>
      <c r="E968" s="6"/>
      <c r="F968" s="6"/>
      <c r="G968" s="8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30.75" customHeight="1" spans="1:26">
      <c r="A969" s="6"/>
      <c r="B969" s="6"/>
      <c r="C969" s="6"/>
      <c r="D969" s="6"/>
      <c r="E969" s="6"/>
      <c r="F969" s="6"/>
      <c r="G969" s="8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30.75" customHeight="1" spans="1:26">
      <c r="A970" s="6"/>
      <c r="B970" s="6"/>
      <c r="C970" s="6"/>
      <c r="D970" s="6"/>
      <c r="E970" s="6"/>
      <c r="F970" s="6"/>
      <c r="G970" s="8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30.75" customHeight="1" spans="1:26">
      <c r="A971" s="6"/>
      <c r="B971" s="6"/>
      <c r="C971" s="6"/>
      <c r="D971" s="6"/>
      <c r="E971" s="6"/>
      <c r="F971" s="6"/>
      <c r="G971" s="8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30.75" customHeight="1" spans="1:26">
      <c r="A972" s="6"/>
      <c r="B972" s="6"/>
      <c r="C972" s="6"/>
      <c r="D972" s="6"/>
      <c r="E972" s="6"/>
      <c r="F972" s="6"/>
      <c r="G972" s="8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30.75" customHeight="1" spans="1:26">
      <c r="A973" s="6"/>
      <c r="B973" s="6"/>
      <c r="C973" s="6"/>
      <c r="D973" s="6"/>
      <c r="E973" s="6"/>
      <c r="F973" s="6"/>
      <c r="G973" s="8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30.75" customHeight="1" spans="1:26">
      <c r="A974" s="6"/>
      <c r="B974" s="6"/>
      <c r="C974" s="6"/>
      <c r="D974" s="6"/>
      <c r="E974" s="6"/>
      <c r="F974" s="6"/>
      <c r="G974" s="8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30.75" customHeight="1" spans="1:26">
      <c r="A975" s="6"/>
      <c r="B975" s="6"/>
      <c r="C975" s="6"/>
      <c r="D975" s="6"/>
      <c r="E975" s="6"/>
      <c r="F975" s="6"/>
      <c r="G975" s="8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30.75" customHeight="1" spans="1:26">
      <c r="A976" s="6"/>
      <c r="B976" s="6"/>
      <c r="C976" s="6"/>
      <c r="D976" s="6"/>
      <c r="E976" s="6"/>
      <c r="F976" s="6"/>
      <c r="G976" s="8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30.75" customHeight="1" spans="1:26">
      <c r="A977" s="6"/>
      <c r="B977" s="6"/>
      <c r="C977" s="6"/>
      <c r="D977" s="6"/>
      <c r="E977" s="6"/>
      <c r="F977" s="6"/>
      <c r="G977" s="8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30.75" customHeight="1" spans="1:26">
      <c r="A978" s="6"/>
      <c r="B978" s="6"/>
      <c r="C978" s="6"/>
      <c r="D978" s="6"/>
      <c r="E978" s="6"/>
      <c r="F978" s="6"/>
      <c r="G978" s="8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30.75" customHeight="1" spans="1:26">
      <c r="A979" s="6"/>
      <c r="B979" s="6"/>
      <c r="C979" s="6"/>
      <c r="D979" s="6"/>
      <c r="E979" s="6"/>
      <c r="F979" s="6"/>
      <c r="G979" s="8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30.75" customHeight="1" spans="1:26">
      <c r="A980" s="6"/>
      <c r="B980" s="6"/>
      <c r="C980" s="6"/>
      <c r="D980" s="6"/>
      <c r="E980" s="6"/>
      <c r="F980" s="6"/>
      <c r="G980" s="8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30.75" customHeight="1" spans="1:26">
      <c r="A981" s="6"/>
      <c r="B981" s="6"/>
      <c r="C981" s="6"/>
      <c r="D981" s="6"/>
      <c r="E981" s="6"/>
      <c r="F981" s="6"/>
      <c r="G981" s="8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30.75" customHeight="1" spans="1:26">
      <c r="A982" s="6"/>
      <c r="B982" s="6"/>
      <c r="C982" s="6"/>
      <c r="D982" s="6"/>
      <c r="E982" s="6"/>
      <c r="F982" s="6"/>
      <c r="G982" s="8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30.75" customHeight="1" spans="1:26">
      <c r="A983" s="6"/>
      <c r="B983" s="6"/>
      <c r="C983" s="6"/>
      <c r="D983" s="6"/>
      <c r="E983" s="6"/>
      <c r="F983" s="6"/>
      <c r="G983" s="8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30.75" customHeight="1" spans="1:26">
      <c r="A984" s="6"/>
      <c r="B984" s="6"/>
      <c r="C984" s="6"/>
      <c r="D984" s="6"/>
      <c r="E984" s="6"/>
      <c r="F984" s="6"/>
      <c r="G984" s="8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30.75" customHeight="1" spans="1:26">
      <c r="A985" s="6"/>
      <c r="B985" s="6"/>
      <c r="C985" s="6"/>
      <c r="D985" s="6"/>
      <c r="E985" s="6"/>
      <c r="F985" s="6"/>
      <c r="G985" s="8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30.75" customHeight="1" spans="1:26">
      <c r="A986" s="6"/>
      <c r="B986" s="6"/>
      <c r="C986" s="6"/>
      <c r="D986" s="6"/>
      <c r="E986" s="6"/>
      <c r="F986" s="6"/>
      <c r="G986" s="8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30.75" customHeight="1" spans="1:26">
      <c r="A987" s="6"/>
      <c r="B987" s="6"/>
      <c r="C987" s="6"/>
      <c r="D987" s="6"/>
      <c r="E987" s="6"/>
      <c r="F987" s="6"/>
      <c r="G987" s="8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30.75" customHeight="1" spans="1:26">
      <c r="A988" s="6"/>
      <c r="B988" s="6"/>
      <c r="C988" s="6"/>
      <c r="D988" s="6"/>
      <c r="E988" s="6"/>
      <c r="F988" s="6"/>
      <c r="G988" s="8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30.75" customHeight="1" spans="1:26">
      <c r="A989" s="6"/>
      <c r="B989" s="6"/>
      <c r="C989" s="6"/>
      <c r="D989" s="6"/>
      <c r="E989" s="6"/>
      <c r="F989" s="6"/>
      <c r="G989" s="8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30.75" customHeight="1" spans="1:26">
      <c r="A990" s="6"/>
      <c r="B990" s="6"/>
      <c r="C990" s="6"/>
      <c r="D990" s="6"/>
      <c r="E990" s="6"/>
      <c r="F990" s="6"/>
      <c r="G990" s="8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30.75" customHeight="1" spans="1:26">
      <c r="A991" s="6"/>
      <c r="B991" s="6"/>
      <c r="C991" s="6"/>
      <c r="D991" s="6"/>
      <c r="E991" s="6"/>
      <c r="F991" s="6"/>
      <c r="G991" s="8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30.75" customHeight="1" spans="1:26">
      <c r="A992" s="6"/>
      <c r="B992" s="6"/>
      <c r="C992" s="6"/>
      <c r="D992" s="6"/>
      <c r="E992" s="6"/>
      <c r="F992" s="6"/>
      <c r="G992" s="8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30.75" customHeight="1" spans="1:26">
      <c r="A993" s="6"/>
      <c r="B993" s="6"/>
      <c r="C993" s="6"/>
      <c r="D993" s="6"/>
      <c r="E993" s="6"/>
      <c r="F993" s="6"/>
      <c r="G993" s="8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30.75" customHeight="1" spans="1:26">
      <c r="A994" s="6"/>
      <c r="B994" s="6"/>
      <c r="C994" s="6"/>
      <c r="D994" s="6"/>
      <c r="E994" s="6"/>
      <c r="F994" s="6"/>
      <c r="G994" s="8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30.75" customHeight="1" spans="1:26">
      <c r="A995" s="6"/>
      <c r="B995" s="6"/>
      <c r="C995" s="6"/>
      <c r="D995" s="6"/>
      <c r="E995" s="6"/>
      <c r="F995" s="6"/>
      <c r="G995" s="8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30.75" customHeight="1" spans="1:26">
      <c r="A996" s="6"/>
      <c r="B996" s="6"/>
      <c r="C996" s="6"/>
      <c r="D996" s="6"/>
      <c r="E996" s="6"/>
      <c r="F996" s="6"/>
      <c r="G996" s="8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30.75" customHeight="1" spans="1:26">
      <c r="A997" s="6"/>
      <c r="B997" s="6"/>
      <c r="C997" s="6"/>
      <c r="D997" s="6"/>
      <c r="E997" s="6"/>
      <c r="F997" s="6"/>
      <c r="G997" s="8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30.75" customHeight="1" spans="1:26">
      <c r="A998" s="6"/>
      <c r="B998" s="6"/>
      <c r="C998" s="6"/>
      <c r="D998" s="6"/>
      <c r="E998" s="6"/>
      <c r="F998" s="6"/>
      <c r="G998" s="8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30.75" customHeight="1" spans="1:26">
      <c r="A999" s="6"/>
      <c r="B999" s="6"/>
      <c r="C999" s="6"/>
      <c r="D999" s="6"/>
      <c r="E999" s="6"/>
      <c r="F999" s="6"/>
      <c r="G999" s="8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30.75" customHeight="1" spans="1:26">
      <c r="A1000" s="6"/>
      <c r="B1000" s="6"/>
      <c r="C1000" s="6"/>
      <c r="D1000" s="6"/>
      <c r="E1000" s="6"/>
      <c r="F1000" s="6"/>
      <c r="G1000" s="8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hyperlinks>
    <hyperlink ref="G116" r:id="rId1" display="=IFERROR(@__xludf.DUMMYFUNCTION(&quot;&quot;&quot;COMPUTED_VALUE&quot;&quot;&quot;),&quot;DeepLearning.AI Natural Language Processing Specialization (Coursera)&quot;)"/>
    <hyperlink ref="G148" r:id="rId2" display="=IFERROR(@__xludf.DUMMYFUNCTION(&quot;&quot;&quot;COMPUTED_VALUE&quot;&quot;&quot;),&quot;Energy Conversion Technologies (Biomass and Coal) (NPTEL)&quot;)"/>
    <hyperlink ref="G445" r:id="rId3" display="=IFERROR(@__xludf.DUMMYFUNCTION(&quot;&quot;&quot;COMPUTED_VALUE&quot;&quot;&quot;),&quot;Sustainable Power Generation Systems (NPTEL)&quot;)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R2019-CIVIL</vt:lpstr>
      <vt:lpstr>R2024-CIVIL</vt:lpstr>
      <vt:lpstr>R2019-BME</vt:lpstr>
      <vt:lpstr>R2024-BME</vt:lpstr>
      <vt:lpstr>R2019-MED</vt:lpstr>
      <vt:lpstr>R2019-ECE</vt:lpstr>
      <vt:lpstr>R2024-ECE</vt:lpstr>
      <vt:lpstr>R2019-EIE</vt:lpstr>
      <vt:lpstr>R2019-EEE</vt:lpstr>
      <vt:lpstr>R2024-EEE</vt:lpstr>
      <vt:lpstr>R2019-CHEM</vt:lpstr>
      <vt:lpstr>R2024-CHEM</vt:lpstr>
      <vt:lpstr>R2019-AGRI</vt:lpstr>
      <vt:lpstr>R2024-AGRI</vt:lpstr>
      <vt:lpstr>R2019-MECH</vt:lpstr>
      <vt:lpstr>R2024-MECH</vt:lpstr>
      <vt:lpstr>R2019-CSE</vt:lpstr>
      <vt:lpstr>2023-CSE</vt:lpstr>
      <vt:lpstr>R2024-CSE</vt:lpstr>
      <vt:lpstr>R2019-IT</vt:lpstr>
      <vt:lpstr>2023-IT</vt:lpstr>
      <vt:lpstr>R2024-IT</vt:lpstr>
      <vt:lpstr>R2019-AI&amp;DS</vt:lpstr>
      <vt:lpstr>R2024-AI&amp;DS</vt:lpstr>
      <vt:lpstr>R2019-AI&amp;ML</vt:lpstr>
      <vt:lpstr>R2024-AI&amp;ML</vt:lpstr>
      <vt:lpstr>2023-CSE(CS)</vt:lpstr>
      <vt:lpstr>R2024-CSE(CS)</vt:lpstr>
      <vt:lpstr>2023-CSE(IoT)</vt:lpstr>
      <vt:lpstr>R2024-CSE(IoT)</vt:lpstr>
      <vt:lpstr>Online Courses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2025-02-11T12:13:00Z</dcterms:created>
  <dcterms:modified xsi:type="dcterms:W3CDTF">2025-02-12T03:43:27Z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2888108CA218443B9BD231C236289C9C_12</vt:lpwstr>
  </property>
  <property fmtid="{D5CDD505-2E9C-101B-9397-08002B2CF9AE}" pid="3" name="KSOProductBuildVer">
    <vt:lpwstr>2057-12.2.0.19821</vt:lpwstr>
  </property>
</Properties>
</file>