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92ecb0ad8d3a726/Documentos/"/>
    </mc:Choice>
  </mc:AlternateContent>
  <xr:revisionPtr revIDLastSave="7" documentId="8_{F2836FF4-C4DC-475F-8F83-A7AB4D2FC68F}" xr6:coauthVersionLast="47" xr6:coauthVersionMax="47" xr10:uidLastSave="{B754E250-5550-48F6-B742-5ED67BA4750F}"/>
  <bookViews>
    <workbookView xWindow="33360" yWindow="3420" windowWidth="33900" windowHeight="15345" activeTab="2" xr2:uid="{49877405-9C2D-46A9-A1E4-DD58C2A76F4A}"/>
  </bookViews>
  <sheets>
    <sheet name="CLIENTES" sheetId="1" r:id="rId1"/>
    <sheet name="PRODUTOS" sheetId="2" r:id="rId2"/>
    <sheet name="ORCAMENTOS" sheetId="3" r:id="rId3"/>
  </sheets>
  <definedNames>
    <definedName name="_xlnm.Print_Area" localSheetId="2">ORCAMENTOS!$A$8:$F$57</definedName>
    <definedName name="Z_02CEB736_8C29_4A41_B19C_1B2F78A06244_.wvu.Cols" localSheetId="1" hidden="1">PRODUTOS!$E:$F</definedName>
    <definedName name="Z_02CEB736_8C29_4A41_B19C_1B2F78A06244_.wvu.PrintArea" localSheetId="2" hidden="1">ORCAMENTOS!$A$8:$F$57</definedName>
    <definedName name="Z_02CEB736_8C29_4A41_B19C_1B2F78A06244_.wvu.Rows" localSheetId="0" hidden="1">CLIENTES!$2:$2,CLIENTES!$5:$5</definedName>
    <definedName name="Z_02CEB736_8C29_4A41_B19C_1B2F78A06244_.wvu.Rows" localSheetId="2" hidden="1">ORCAMENTOS!#REF!</definedName>
    <definedName name="Z_02CEB736_8C29_4A41_B19C_1B2F78A06244_.wvu.Rows" localSheetId="1" hidden="1">PRODUTOS!$2:$2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3" l="1"/>
  <c r="A56" i="3"/>
  <c r="J44" i="3"/>
  <c r="H42" i="3"/>
  <c r="F42" i="3" s="1"/>
  <c r="G42" i="3"/>
  <c r="H41" i="3"/>
  <c r="E41" i="3" s="1"/>
  <c r="G41" i="3"/>
  <c r="F41" i="3"/>
  <c r="B41" i="3"/>
  <c r="H40" i="3"/>
  <c r="D40" i="3" s="1"/>
  <c r="G40" i="3"/>
  <c r="H39" i="3"/>
  <c r="B39" i="3" s="1"/>
  <c r="G39" i="3"/>
  <c r="H38" i="3"/>
  <c r="F38" i="3" s="1"/>
  <c r="G38" i="3"/>
  <c r="H37" i="3"/>
  <c r="D37" i="3" s="1"/>
  <c r="G37" i="3"/>
  <c r="F37" i="3"/>
  <c r="B37" i="3"/>
  <c r="H36" i="3"/>
  <c r="F36" i="3" s="1"/>
  <c r="G36" i="3"/>
  <c r="H35" i="3"/>
  <c r="E35" i="3" s="1"/>
  <c r="G35" i="3"/>
  <c r="H34" i="3"/>
  <c r="F34" i="3" s="1"/>
  <c r="G34" i="3"/>
  <c r="H33" i="3"/>
  <c r="G33" i="3"/>
  <c r="F33" i="3"/>
  <c r="E33" i="3"/>
  <c r="D33" i="3"/>
  <c r="B33" i="3"/>
  <c r="H32" i="3"/>
  <c r="D32" i="3" s="1"/>
  <c r="G32" i="3"/>
  <c r="N31" i="3"/>
  <c r="M31" i="3"/>
  <c r="H31" i="3"/>
  <c r="E31" i="3" s="1"/>
  <c r="G31" i="3"/>
  <c r="B31" i="3"/>
  <c r="N30" i="3"/>
  <c r="M30" i="3"/>
  <c r="H30" i="3"/>
  <c r="B30" i="3" s="1"/>
  <c r="G30" i="3"/>
  <c r="F30" i="3"/>
  <c r="E30" i="3"/>
  <c r="D30" i="3"/>
  <c r="N29" i="3"/>
  <c r="M29" i="3"/>
  <c r="H29" i="3"/>
  <c r="F29" i="3" s="1"/>
  <c r="G29" i="3"/>
  <c r="N28" i="3"/>
  <c r="M28" i="3"/>
  <c r="H28" i="3"/>
  <c r="D28" i="3" s="1"/>
  <c r="G28" i="3"/>
  <c r="F28" i="3"/>
  <c r="E28" i="3"/>
  <c r="B28" i="3"/>
  <c r="N27" i="3"/>
  <c r="M27" i="3"/>
  <c r="H27" i="3"/>
  <c r="E27" i="3" s="1"/>
  <c r="G27" i="3"/>
  <c r="N26" i="3"/>
  <c r="M26" i="3"/>
  <c r="H26" i="3"/>
  <c r="B26" i="3" s="1"/>
  <c r="G26" i="3"/>
  <c r="N25" i="3"/>
  <c r="M25" i="3"/>
  <c r="H25" i="3"/>
  <c r="D25" i="3" s="1"/>
  <c r="G25" i="3"/>
  <c r="B25" i="3"/>
  <c r="N24" i="3"/>
  <c r="M24" i="3"/>
  <c r="H24" i="3"/>
  <c r="D24" i="3" s="1"/>
  <c r="G24" i="3"/>
  <c r="N23" i="3"/>
  <c r="M23" i="3"/>
  <c r="H23" i="3"/>
  <c r="G23" i="3"/>
  <c r="D23" i="3"/>
  <c r="B23" i="3"/>
  <c r="N22" i="3"/>
  <c r="M22" i="3"/>
  <c r="H22" i="3"/>
  <c r="B22" i="3" s="1"/>
  <c r="G22" i="3"/>
  <c r="D22" i="3"/>
  <c r="N21" i="3"/>
  <c r="M21" i="3"/>
  <c r="H21" i="3"/>
  <c r="G21" i="3"/>
  <c r="D21" i="3"/>
  <c r="B21" i="3"/>
  <c r="H20" i="3"/>
  <c r="D20" i="3" s="1"/>
  <c r="G20" i="3"/>
  <c r="H19" i="3"/>
  <c r="D19" i="3" s="1"/>
  <c r="G19" i="3"/>
  <c r="N18" i="3"/>
  <c r="H18" i="3"/>
  <c r="B18" i="3" s="1"/>
  <c r="G18" i="3"/>
  <c r="A13" i="3"/>
  <c r="E12" i="3"/>
  <c r="A12" i="3"/>
  <c r="A11" i="3"/>
  <c r="C4" i="3"/>
  <c r="A53" i="3" s="1"/>
  <c r="D2" i="3"/>
  <c r="I14" i="2"/>
  <c r="F14" i="2"/>
  <c r="D14" i="2"/>
  <c r="F13" i="2"/>
  <c r="D13" i="2"/>
  <c r="F12" i="2"/>
  <c r="D12" i="2"/>
  <c r="E25" i="3" s="1"/>
  <c r="F25" i="3" s="1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35" i="3" l="1"/>
  <c r="D18" i="3"/>
  <c r="E26" i="3"/>
  <c r="F26" i="3" s="1"/>
  <c r="D26" i="3"/>
  <c r="B32" i="3"/>
  <c r="E21" i="3"/>
  <c r="F21" i="3" s="1"/>
  <c r="B19" i="3"/>
  <c r="E32" i="3"/>
  <c r="E20" i="3"/>
  <c r="F20" i="3" s="1"/>
  <c r="F32" i="3"/>
  <c r="B20" i="3"/>
  <c r="F40" i="3"/>
  <c r="E40" i="3"/>
  <c r="E37" i="3"/>
  <c r="B40" i="3"/>
  <c r="E18" i="3"/>
  <c r="F18" i="3" s="1"/>
  <c r="E22" i="3"/>
  <c r="F22" i="3" s="1"/>
  <c r="D31" i="3"/>
  <c r="F31" i="3"/>
  <c r="D38" i="3"/>
  <c r="B38" i="3"/>
  <c r="B27" i="3"/>
  <c r="E38" i="3"/>
  <c r="D27" i="3"/>
  <c r="F27" i="3"/>
  <c r="B24" i="3"/>
  <c r="B29" i="3"/>
  <c r="E24" i="3"/>
  <c r="D29" i="3"/>
  <c r="F24" i="3"/>
  <c r="E29" i="3"/>
  <c r="B35" i="3"/>
  <c r="D35" i="3"/>
  <c r="E19" i="3"/>
  <c r="F19" i="3" s="1"/>
  <c r="E23" i="3"/>
  <c r="F23" i="3" s="1"/>
  <c r="D41" i="3"/>
  <c r="B36" i="3"/>
  <c r="E36" i="3"/>
  <c r="D36" i="3"/>
  <c r="B42" i="3"/>
  <c r="D42" i="3"/>
  <c r="E42" i="3"/>
  <c r="D34" i="3"/>
  <c r="M20" i="3" s="1"/>
  <c r="N20" i="3" s="1"/>
  <c r="E39" i="3"/>
  <c r="B34" i="3"/>
  <c r="D39" i="3"/>
  <c r="E34" i="3"/>
  <c r="F39" i="3"/>
  <c r="F44" i="3" l="1"/>
  <c r="K46" i="3" s="1"/>
  <c r="M19" i="3"/>
  <c r="N19" i="3" s="1"/>
  <c r="N32" i="3" s="1"/>
  <c r="N34" i="3" s="1"/>
  <c r="F47" i="3" s="1"/>
  <c r="K44" i="3" l="1"/>
  <c r="E44" i="3"/>
  <c r="K45" i="3"/>
  <c r="F45" i="3" s="1"/>
  <c r="F46" i="3" s="1"/>
  <c r="F48" i="3"/>
</calcChain>
</file>

<file path=xl/sharedStrings.xml><?xml version="1.0" encoding="utf-8"?>
<sst xmlns="http://schemas.openxmlformats.org/spreadsheetml/2006/main" count="107" uniqueCount="74">
  <si>
    <t>COD</t>
  </si>
  <si>
    <t>DESCRIÇÃO</t>
  </si>
  <si>
    <t>DOCUMENTO (CNPJ / CPF)</t>
  </si>
  <si>
    <t>ENDEREÇO</t>
  </si>
  <si>
    <t>NOME CLIENTE</t>
  </si>
  <si>
    <t>TELEFONE</t>
  </si>
  <si>
    <t>E-MAIL</t>
  </si>
  <si>
    <t>CLI001</t>
  </si>
  <si>
    <t>CNPJ:</t>
  </si>
  <si>
    <t>54.178.539/0001-64</t>
  </si>
  <si>
    <t>Rua Tenerife, 407</t>
  </si>
  <si>
    <t>THINFORMA</t>
  </si>
  <si>
    <t>(31) 99243-1019</t>
  </si>
  <si>
    <t>thinform@gmail.com</t>
  </si>
  <si>
    <t>UNIDADE</t>
  </si>
  <si>
    <t>VALOR UNITÁRIO</t>
  </si>
  <si>
    <t>LUCRO</t>
  </si>
  <si>
    <t>VALOR CUSTO</t>
  </si>
  <si>
    <t>PÇ</t>
  </si>
  <si>
    <t>SSD 2TB M.2. NVMe</t>
  </si>
  <si>
    <t>Placa de Vídeo RTX 4090 24GB</t>
  </si>
  <si>
    <t>PRD060</t>
  </si>
  <si>
    <t>Gabinete ATX Gamer</t>
  </si>
  <si>
    <t>ML</t>
  </si>
  <si>
    <t>PRD061</t>
  </si>
  <si>
    <t>Fonte 1000W 80 Plus Real</t>
  </si>
  <si>
    <t>PRD062</t>
  </si>
  <si>
    <t>Placa Mãe Intel LGA 1700 (Z790)</t>
  </si>
  <si>
    <t>PRD063</t>
  </si>
  <si>
    <t>Processador Intel Core I9 14900K</t>
  </si>
  <si>
    <t>PRD064</t>
  </si>
  <si>
    <t xml:space="preserve">Memória Ram 64GB DDR5 </t>
  </si>
  <si>
    <t>PRD065</t>
  </si>
  <si>
    <t>PRD066</t>
  </si>
  <si>
    <t>PRD067</t>
  </si>
  <si>
    <t>PRD068</t>
  </si>
  <si>
    <t>Water Cooler 360mm</t>
  </si>
  <si>
    <t>PRD069</t>
  </si>
  <si>
    <t>DADOS PERSONALIZADOS PARA PREENCHIMENTO DO FORMULÁRIO</t>
  </si>
  <si>
    <t>&gt;&gt;</t>
  </si>
  <si>
    <t>CÓDIGO DO CLIENTE</t>
  </si>
  <si>
    <t>ASSINATURA VENDEDOR – LOCALIDADE</t>
  </si>
  <si>
    <t>Belo Horizonte</t>
  </si>
  <si>
    <t>ASSINATURA VENDEDOR – DATA DA EMISSÃO</t>
  </si>
  <si>
    <t>ASSINATURA VENDEDOR – LINHA #1</t>
  </si>
  <si>
    <t>Tonny Heringer</t>
  </si>
  <si>
    <t>ASSINATURA VENDEDOR – LINHA #2</t>
  </si>
  <si>
    <t>DADOS DO CLIENTE</t>
  </si>
  <si>
    <t>ORÇAMENTO Nº.</t>
  </si>
  <si>
    <t>UTILIZE OS CAMPOS ABAIXO PARA DEFINIR O FRETE TOTAL</t>
  </si>
  <si>
    <t>DETALHAMENTO DO PEDIDO</t>
  </si>
  <si>
    <t>DESCRIÇÃO DO PRODUTO</t>
  </si>
  <si>
    <t>QTD</t>
  </si>
  <si>
    <t>UND</t>
  </si>
  <si>
    <t>VL. TOTAL</t>
  </si>
  <si>
    <t>FRETE UNIT.</t>
  </si>
  <si>
    <t>FRETE TOTAL</t>
  </si>
  <si>
    <t>PEÇA</t>
  </si>
  <si>
    <t>KG</t>
  </si>
  <si>
    <t>KILO</t>
  </si>
  <si>
    <t>TOTAL DO FRETE PARA UNIDADES DISCRIMINADAS ACIMA</t>
  </si>
  <si>
    <t>FRETE PARA ITENS DE UNIDADES NÃO RELACIONADAS ACIMA</t>
  </si>
  <si>
    <t>Custo Fixo ML/MP</t>
  </si>
  <si>
    <t>UTILIZE O SIMULADOR DE DESCONTO ABAIXO PARA DEFINIR</t>
  </si>
  <si>
    <t>O DESCONTO POR PORCENTAGEM OU DIGITE O VALOR</t>
  </si>
  <si>
    <t>DO DESCONTO DIRETAMENTE  NA CÉLULA F48, AO LADO.</t>
  </si>
  <si>
    <t>SIMULADOR DE DESCONTO</t>
  </si>
  <si>
    <t>PAGAMENTO CARTÃO</t>
  </si>
  <si>
    <t>DESCONTO</t>
  </si>
  <si>
    <t>TOTAL PARCIAL (SEM FRETE)</t>
  </si>
  <si>
    <t>CUSTOS COM TRANSPORTE (FRETE) - FAVOR SOLICITAR COTAÇÃO</t>
  </si>
  <si>
    <t>PAGAMENTO C/ DESCONTO À VISTA</t>
  </si>
  <si>
    <t>OBSERVAÇÕES</t>
  </si>
  <si>
    <t>* O Orçamento tem validade 24 horas úteis.
* Não recebemos nada a mais pelo parcelamento.
* Caso queira fazer em outra instituição financeira, tudo bem!	
* Somos Empresa com CNPJ.
* Todas as peças tem garantia mínima de 1 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</si>
</sst>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;[Red]&quot;R$&quot;\ #,##0.00"/>
    <numFmt numFmtId="165" formatCode="&quot;R$&quot;#,##0.00;[Red]&quot;R$&quot;#,##0.00"/>
    <numFmt numFmtId="166" formatCode="0.0"/>
    <numFmt numFmtId="167" formatCode="[$R$-416]\ #,##0.00;[Red]\-[$R$-416]\ #,##0.00"/>
    <numFmt numFmtId="168" formatCode="&quot;R$&quot;#,##0.00;[Red]\-&quot;R$&quot;#,##0.00"/>
    <numFmt numFmtId="169" formatCode="&quot;R$&quot;#,##0.0;[Red]&quot;R$&quot;#,##0.0"/>
    <numFmt numFmtId="170" formatCode="0.0%"/>
  </numFmts>
  <fonts count="27" x14ac:knownFonts="1">
    <font>
      <sz val="10"/>
      <name val="Arial"/>
      <family val="2"/>
    </font>
    <font>
      <u/>
      <sz val="8"/>
      <color theme="10"/>
      <name val="Arial"/>
      <family val="2"/>
    </font>
    <font>
      <u/>
      <sz val="10"/>
      <color rgb="FF0000FF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20"/>
      <color theme="0" tint="-0.499984740745262"/>
      <name val="Arial"/>
      <family val="2"/>
    </font>
    <font>
      <b/>
      <sz val="12"/>
      <color indexed="54"/>
      <name val="Arial"/>
      <family val="2"/>
    </font>
    <font>
      <sz val="8"/>
      <color indexed="60"/>
      <name val="Arial"/>
      <family val="2"/>
    </font>
    <font>
      <sz val="9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8"/>
      <color indexed="54"/>
      <name val="Arial"/>
      <family val="2"/>
    </font>
    <font>
      <sz val="10"/>
      <color indexed="54"/>
      <name val="Arial"/>
      <family val="2"/>
    </font>
    <font>
      <b/>
      <sz val="10"/>
      <color rgb="FF008000"/>
      <name val="Arial"/>
      <family val="2"/>
    </font>
    <font>
      <b/>
      <sz val="11"/>
      <color rgb="FF008000"/>
      <name val="Arial"/>
      <family val="2"/>
    </font>
    <font>
      <i/>
      <sz val="10"/>
      <color rgb="FF008000"/>
      <name val="Arial"/>
      <family val="2"/>
    </font>
    <font>
      <sz val="10"/>
      <color indexed="55"/>
      <name val="Arial"/>
      <family val="2"/>
    </font>
    <font>
      <i/>
      <sz val="10"/>
      <color indexed="54"/>
      <name val="Arial"/>
      <family val="2"/>
    </font>
    <font>
      <i/>
      <sz val="10"/>
      <color rgb="FFFF0000"/>
      <name val="Arial"/>
      <family val="2"/>
    </font>
    <font>
      <b/>
      <sz val="10"/>
      <color indexed="54"/>
      <name val="Arial"/>
      <family val="2"/>
    </font>
    <font>
      <b/>
      <sz val="12"/>
      <color rgb="FF0070C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theme="5" tint="0.79998168889431442"/>
        <bgColor indexed="9"/>
      </patternFill>
    </fill>
    <fill>
      <patternFill patternType="solid">
        <fgColor indexed="9"/>
        <bgColor indexed="27"/>
      </patternFill>
    </fill>
    <fill>
      <patternFill patternType="solid">
        <fgColor theme="1"/>
        <bgColor indexed="27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3" tint="0.79998168889431442"/>
        <bgColor indexed="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4.9989318521683403E-2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/>
      <bottom/>
      <diagonal/>
    </border>
    <border>
      <left/>
      <right style="hair">
        <color indexed="22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hair">
        <color indexed="23"/>
      </right>
      <top/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hair">
        <color indexed="23"/>
      </left>
      <right style="thin">
        <color theme="1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right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Protection="1">
      <protection hidden="1"/>
    </xf>
    <xf numFmtId="49" fontId="0" fillId="4" borderId="1" xfId="0" applyNumberFormat="1" applyFill="1" applyBorder="1" applyAlignment="1" applyProtection="1">
      <alignment horizontal="center"/>
      <protection hidden="1"/>
    </xf>
    <xf numFmtId="0" fontId="0" fillId="5" borderId="1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1" fillId="5" borderId="1" xfId="1" applyFill="1" applyBorder="1" applyAlignment="1" applyProtection="1">
      <alignment horizontal="center"/>
      <protection locked="0"/>
    </xf>
    <xf numFmtId="165" fontId="0" fillId="2" borderId="0" xfId="0" applyNumberFormat="1" applyFill="1" applyProtection="1">
      <protection hidden="1"/>
    </xf>
    <xf numFmtId="10" fontId="0" fillId="0" borderId="0" xfId="0" applyNumberFormat="1" applyAlignment="1" applyProtection="1">
      <alignment horizontal="center"/>
      <protection hidden="1"/>
    </xf>
    <xf numFmtId="164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vertical="center"/>
      <protection hidden="1"/>
    </xf>
    <xf numFmtId="165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0" fillId="7" borderId="4" xfId="0" applyFill="1" applyBorder="1" applyAlignment="1" applyProtection="1">
      <alignment vertical="center"/>
      <protection hidden="1"/>
    </xf>
    <xf numFmtId="0" fontId="0" fillId="7" borderId="5" xfId="0" applyFill="1" applyBorder="1" applyAlignment="1" applyProtection="1">
      <alignment vertical="center"/>
      <protection hidden="1"/>
    </xf>
    <xf numFmtId="10" fontId="5" fillId="7" borderId="2" xfId="0" applyNumberFormat="1" applyFont="1" applyFill="1" applyBorder="1" applyAlignment="1" applyProtection="1">
      <alignment horizontal="center" vertical="center"/>
      <protection hidden="1"/>
    </xf>
    <xf numFmtId="164" fontId="5" fillId="7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vertical="center"/>
      <protection hidden="1"/>
    </xf>
    <xf numFmtId="165" fontId="4" fillId="2" borderId="7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7" xfId="0" applyBorder="1" applyAlignment="1" applyProtection="1">
      <alignment vertical="center"/>
      <protection hidden="1"/>
    </xf>
    <xf numFmtId="10" fontId="0" fillId="0" borderId="7" xfId="0" applyNumberFormat="1" applyBorder="1" applyAlignment="1" applyProtection="1">
      <alignment horizontal="center" vertical="center"/>
      <protection hidden="1"/>
    </xf>
    <xf numFmtId="164" fontId="4" fillId="0" borderId="7" xfId="0" applyNumberFormat="1" applyFont="1" applyBorder="1" applyAlignment="1" applyProtection="1">
      <alignment vertical="center"/>
      <protection hidden="1"/>
    </xf>
    <xf numFmtId="49" fontId="6" fillId="8" borderId="11" xfId="0" applyNumberFormat="1" applyFont="1" applyFill="1" applyBorder="1" applyAlignment="1" applyProtection="1">
      <alignment horizontal="center"/>
      <protection hidden="1"/>
    </xf>
    <xf numFmtId="0" fontId="6" fillId="5" borderId="12" xfId="0" applyFont="1" applyFill="1" applyBorder="1" applyProtection="1"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165" fontId="6" fillId="5" borderId="13" xfId="0" applyNumberFormat="1" applyFont="1" applyFill="1" applyBorder="1" applyProtection="1">
      <protection locked="0"/>
    </xf>
    <xf numFmtId="0" fontId="6" fillId="0" borderId="13" xfId="0" applyFont="1" applyBorder="1" applyProtection="1">
      <protection hidden="1"/>
    </xf>
    <xf numFmtId="10" fontId="6" fillId="9" borderId="13" xfId="0" applyNumberFormat="1" applyFont="1" applyFill="1" applyBorder="1" applyAlignment="1" applyProtection="1">
      <alignment horizontal="center"/>
      <protection hidden="1"/>
    </xf>
    <xf numFmtId="164" fontId="7" fillId="10" borderId="14" xfId="0" applyNumberFormat="1" applyFont="1" applyFill="1" applyBorder="1" applyProtection="1">
      <protection hidden="1"/>
    </xf>
    <xf numFmtId="0" fontId="6" fillId="0" borderId="15" xfId="0" applyFont="1" applyBorder="1" applyProtection="1">
      <protection hidden="1"/>
    </xf>
    <xf numFmtId="0" fontId="6" fillId="0" borderId="0" xfId="0" applyFont="1" applyProtection="1">
      <protection hidden="1"/>
    </xf>
    <xf numFmtId="0" fontId="6" fillId="5" borderId="16" xfId="0" applyFont="1" applyFill="1" applyBorder="1" applyProtection="1"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165" fontId="6" fillId="5" borderId="1" xfId="0" applyNumberFormat="1" applyFont="1" applyFill="1" applyBorder="1" applyProtection="1">
      <protection locked="0"/>
    </xf>
    <xf numFmtId="0" fontId="6" fillId="0" borderId="1" xfId="0" applyFont="1" applyBorder="1" applyProtection="1">
      <protection hidden="1"/>
    </xf>
    <xf numFmtId="164" fontId="7" fillId="10" borderId="17" xfId="0" applyNumberFormat="1" applyFont="1" applyFill="1" applyBorder="1" applyProtection="1">
      <protection hidden="1"/>
    </xf>
    <xf numFmtId="0" fontId="6" fillId="0" borderId="18" xfId="0" applyFont="1" applyBorder="1" applyProtection="1">
      <protection hidden="1"/>
    </xf>
    <xf numFmtId="0" fontId="6" fillId="5" borderId="19" xfId="0" applyFont="1" applyFill="1" applyBorder="1" applyProtection="1">
      <protection locked="0"/>
    </xf>
    <xf numFmtId="0" fontId="6" fillId="5" borderId="20" xfId="0" applyFont="1" applyFill="1" applyBorder="1" applyAlignment="1" applyProtection="1">
      <alignment horizontal="center"/>
      <protection locked="0"/>
    </xf>
    <xf numFmtId="165" fontId="6" fillId="5" borderId="20" xfId="0" applyNumberFormat="1" applyFont="1" applyFill="1" applyBorder="1" applyProtection="1">
      <protection locked="0"/>
    </xf>
    <xf numFmtId="0" fontId="6" fillId="0" borderId="20" xfId="0" applyFont="1" applyBorder="1" applyProtection="1">
      <protection hidden="1"/>
    </xf>
    <xf numFmtId="164" fontId="7" fillId="10" borderId="21" xfId="0" applyNumberFormat="1" applyFont="1" applyFill="1" applyBorder="1" applyProtection="1">
      <protection hidden="1"/>
    </xf>
    <xf numFmtId="164" fontId="6" fillId="0" borderId="22" xfId="0" applyNumberFormat="1" applyFont="1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166" fontId="0" fillId="0" borderId="0" xfId="0" applyNumberFormat="1" applyProtection="1">
      <protection hidden="1"/>
    </xf>
    <xf numFmtId="0" fontId="0" fillId="11" borderId="0" xfId="0" applyFill="1" applyProtection="1">
      <protection hidden="1"/>
    </xf>
    <xf numFmtId="0" fontId="0" fillId="11" borderId="0" xfId="0" applyFill="1" applyAlignment="1" applyProtection="1">
      <alignment horizontal="left"/>
      <protection hidden="1"/>
    </xf>
    <xf numFmtId="166" fontId="0" fillId="11" borderId="0" xfId="0" applyNumberFormat="1" applyFill="1" applyProtection="1">
      <protection hidden="1"/>
    </xf>
    <xf numFmtId="0" fontId="10" fillId="4" borderId="27" xfId="0" applyFont="1" applyFill="1" applyBorder="1" applyAlignment="1" applyProtection="1">
      <alignment horizontal="right" vertical="center"/>
      <protection hidden="1"/>
    </xf>
    <xf numFmtId="0" fontId="0" fillId="4" borderId="0" xfId="0" applyFill="1" applyAlignment="1" applyProtection="1">
      <alignment horizontal="left"/>
      <protection hidden="1"/>
    </xf>
    <xf numFmtId="49" fontId="0" fillId="12" borderId="0" xfId="0" applyNumberFormat="1" applyFill="1" applyProtection="1">
      <protection locked="0"/>
    </xf>
    <xf numFmtId="0" fontId="0" fillId="4" borderId="0" xfId="0" applyFill="1" applyProtection="1">
      <protection hidden="1"/>
    </xf>
    <xf numFmtId="0" fontId="0" fillId="4" borderId="27" xfId="0" applyFill="1" applyBorder="1" applyProtection="1">
      <protection hidden="1"/>
    </xf>
    <xf numFmtId="166" fontId="0" fillId="4" borderId="0" xfId="0" applyNumberFormat="1" applyFill="1" applyProtection="1">
      <protection hidden="1"/>
    </xf>
    <xf numFmtId="0" fontId="0" fillId="4" borderId="28" xfId="0" applyFill="1" applyBorder="1" applyProtection="1"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/>
      <protection hidden="1"/>
    </xf>
    <xf numFmtId="166" fontId="13" fillId="0" borderId="0" xfId="0" applyNumberFormat="1" applyFont="1" applyProtection="1">
      <protection hidden="1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left" vertical="center"/>
      <protection hidden="1"/>
    </xf>
    <xf numFmtId="166" fontId="13" fillId="0" borderId="0" xfId="0" applyNumberFormat="1" applyFont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166" fontId="4" fillId="8" borderId="8" xfId="0" applyNumberFormat="1" applyFont="1" applyFill="1" applyBorder="1" applyAlignment="1" applyProtection="1">
      <alignment horizontal="center" vertical="center"/>
      <protection hidden="1"/>
    </xf>
    <xf numFmtId="0" fontId="4" fillId="8" borderId="15" xfId="0" applyFont="1" applyFill="1" applyBorder="1" applyAlignment="1" applyProtection="1">
      <alignment horizontal="center" vertical="center"/>
      <protection hidden="1"/>
    </xf>
    <xf numFmtId="0" fontId="4" fillId="11" borderId="31" xfId="0" applyFont="1" applyFill="1" applyBorder="1" applyAlignment="1" applyProtection="1">
      <alignment horizontal="center"/>
      <protection hidden="1"/>
    </xf>
    <xf numFmtId="0" fontId="4" fillId="11" borderId="0" xfId="0" applyFont="1" applyFill="1" applyAlignment="1" applyProtection="1">
      <alignment horizontal="center"/>
      <protection hidden="1"/>
    </xf>
    <xf numFmtId="166" fontId="4" fillId="11" borderId="0" xfId="0" applyNumberFormat="1" applyFont="1" applyFill="1" applyAlignment="1" applyProtection="1">
      <alignment horizontal="center"/>
      <protection hidden="1"/>
    </xf>
    <xf numFmtId="0" fontId="4" fillId="11" borderId="0" xfId="0" applyFont="1" applyFill="1" applyAlignment="1" applyProtection="1">
      <alignment horizontal="left"/>
      <protection hidden="1"/>
    </xf>
    <xf numFmtId="0" fontId="4" fillId="11" borderId="18" xfId="0" applyFont="1" applyFill="1" applyBorder="1" applyAlignment="1" applyProtection="1">
      <alignment horizontal="center"/>
      <protection hidden="1"/>
    </xf>
    <xf numFmtId="0" fontId="4" fillId="11" borderId="32" xfId="0" applyFont="1" applyFill="1" applyBorder="1" applyAlignment="1" applyProtection="1">
      <alignment horizontal="center"/>
      <protection hidden="1"/>
    </xf>
    <xf numFmtId="0" fontId="4" fillId="11" borderId="33" xfId="0" applyFont="1" applyFill="1" applyBorder="1" applyAlignment="1" applyProtection="1">
      <alignment horizontal="center"/>
      <protection hidden="1"/>
    </xf>
    <xf numFmtId="0" fontId="4" fillId="11" borderId="34" xfId="0" applyFont="1" applyFill="1" applyBorder="1" applyAlignment="1" applyProtection="1">
      <alignment horizontal="center"/>
      <protection hidden="1"/>
    </xf>
    <xf numFmtId="49" fontId="0" fillId="12" borderId="35" xfId="0" applyNumberFormat="1" applyFill="1" applyBorder="1" applyAlignment="1" applyProtection="1">
      <alignment horizontal="center"/>
      <protection locked="0"/>
    </xf>
    <xf numFmtId="0" fontId="0" fillId="13" borderId="36" xfId="0" applyFill="1" applyBorder="1" applyAlignment="1" applyProtection="1">
      <alignment horizontal="left"/>
      <protection hidden="1"/>
    </xf>
    <xf numFmtId="1" fontId="0" fillId="12" borderId="36" xfId="0" applyNumberFormat="1" applyFill="1" applyBorder="1" applyAlignment="1" applyProtection="1">
      <alignment horizontal="center"/>
      <protection locked="0"/>
    </xf>
    <xf numFmtId="0" fontId="0" fillId="13" borderId="36" xfId="0" applyFill="1" applyBorder="1" applyAlignment="1" applyProtection="1">
      <alignment horizontal="center"/>
      <protection hidden="1"/>
    </xf>
    <xf numFmtId="167" fontId="15" fillId="13" borderId="36" xfId="0" applyNumberFormat="1" applyFont="1" applyFill="1" applyBorder="1" applyProtection="1">
      <protection hidden="1"/>
    </xf>
    <xf numFmtId="167" fontId="15" fillId="13" borderId="37" xfId="0" applyNumberFormat="1" applyFont="1" applyFill="1" applyBorder="1" applyProtection="1">
      <protection hidden="1"/>
    </xf>
    <xf numFmtId="0" fontId="2" fillId="0" borderId="0" xfId="1" applyFont="1" applyFill="1" applyAlignment="1" applyProtection="1">
      <alignment horizontal="center" vertical="center" wrapText="1"/>
      <protection hidden="1"/>
    </xf>
    <xf numFmtId="0" fontId="0" fillId="12" borderId="38" xfId="0" applyFill="1" applyBorder="1" applyAlignment="1" applyProtection="1">
      <alignment horizontal="center"/>
      <protection locked="0"/>
    </xf>
    <xf numFmtId="0" fontId="0" fillId="12" borderId="0" xfId="0" applyFill="1" applyProtection="1">
      <protection locked="0"/>
    </xf>
    <xf numFmtId="167" fontId="0" fillId="12" borderId="0" xfId="0" applyNumberFormat="1" applyFill="1" applyProtection="1">
      <protection locked="0"/>
    </xf>
    <xf numFmtId="167" fontId="0" fillId="0" borderId="39" xfId="0" applyNumberFormat="1" applyBorder="1" applyProtection="1">
      <protection hidden="1"/>
    </xf>
    <xf numFmtId="167" fontId="4" fillId="8" borderId="34" xfId="0" applyNumberFormat="1" applyFont="1" applyFill="1" applyBorder="1" applyAlignment="1" applyProtection="1">
      <alignment vertical="center"/>
      <protection hidden="1"/>
    </xf>
    <xf numFmtId="167" fontId="18" fillId="12" borderId="42" xfId="0" applyNumberFormat="1" applyFont="1" applyFill="1" applyBorder="1" applyAlignment="1" applyProtection="1">
      <alignment vertical="center"/>
      <protection locked="0"/>
    </xf>
    <xf numFmtId="0" fontId="4" fillId="8" borderId="43" xfId="0" applyFont="1" applyFill="1" applyBorder="1" applyAlignment="1" applyProtection="1">
      <alignment vertical="center"/>
      <protection hidden="1"/>
    </xf>
    <xf numFmtId="0" fontId="4" fillId="8" borderId="44" xfId="0" applyFont="1" applyFill="1" applyBorder="1" applyProtection="1">
      <protection hidden="1"/>
    </xf>
    <xf numFmtId="167" fontId="4" fillId="8" borderId="45" xfId="0" applyNumberFormat="1" applyFont="1" applyFill="1" applyBorder="1" applyAlignment="1" applyProtection="1">
      <alignment vertical="center"/>
      <protection hidden="1"/>
    </xf>
    <xf numFmtId="168" fontId="0" fillId="0" borderId="0" xfId="0" applyNumberFormat="1" applyProtection="1">
      <protection hidden="1"/>
    </xf>
    <xf numFmtId="0" fontId="0" fillId="11" borderId="31" xfId="0" applyFill="1" applyBorder="1" applyProtection="1">
      <protection hidden="1"/>
    </xf>
    <xf numFmtId="0" fontId="0" fillId="11" borderId="18" xfId="0" applyFill="1" applyBorder="1" applyProtection="1">
      <protection hidden="1"/>
    </xf>
    <xf numFmtId="0" fontId="0" fillId="11" borderId="32" xfId="0" applyFill="1" applyBorder="1" applyProtection="1">
      <protection hidden="1"/>
    </xf>
    <xf numFmtId="0" fontId="0" fillId="11" borderId="34" xfId="0" applyFill="1" applyBorder="1" applyProtection="1">
      <protection hidden="1"/>
    </xf>
    <xf numFmtId="0" fontId="19" fillId="8" borderId="10" xfId="0" applyFont="1" applyFill="1" applyBorder="1" applyProtection="1">
      <protection hidden="1"/>
    </xf>
    <xf numFmtId="0" fontId="19" fillId="8" borderId="47" xfId="0" applyFont="1" applyFill="1" applyBorder="1" applyAlignment="1" applyProtection="1">
      <alignment horizontal="left"/>
      <protection hidden="1"/>
    </xf>
    <xf numFmtId="166" fontId="19" fillId="8" borderId="47" xfId="0" applyNumberFormat="1" applyFont="1" applyFill="1" applyBorder="1" applyProtection="1">
      <protection hidden="1"/>
    </xf>
    <xf numFmtId="169" fontId="20" fillId="8" borderId="47" xfId="0" applyNumberFormat="1" applyFont="1" applyFill="1" applyBorder="1" applyProtection="1">
      <protection hidden="1"/>
    </xf>
    <xf numFmtId="167" fontId="21" fillId="14" borderId="22" xfId="0" applyNumberFormat="1" applyFont="1" applyFill="1" applyBorder="1" applyProtection="1">
      <protection hidden="1"/>
    </xf>
    <xf numFmtId="170" fontId="22" fillId="0" borderId="32" xfId="0" applyNumberFormat="1" applyFont="1" applyBorder="1" applyAlignment="1" applyProtection="1">
      <alignment horizontal="right"/>
      <protection hidden="1"/>
    </xf>
    <xf numFmtId="167" fontId="22" fillId="0" borderId="34" xfId="0" applyNumberFormat="1" applyFont="1" applyBorder="1" applyProtection="1">
      <protection hidden="1"/>
    </xf>
    <xf numFmtId="0" fontId="23" fillId="0" borderId="31" xfId="0" applyFont="1" applyBorder="1" applyProtection="1">
      <protection hidden="1"/>
    </xf>
    <xf numFmtId="0" fontId="23" fillId="0" borderId="0" xfId="0" applyFont="1" applyAlignment="1" applyProtection="1">
      <alignment horizontal="left"/>
      <protection hidden="1"/>
    </xf>
    <xf numFmtId="166" fontId="23" fillId="0" borderId="0" xfId="0" applyNumberFormat="1" applyFont="1" applyProtection="1">
      <protection hidden="1"/>
    </xf>
    <xf numFmtId="170" fontId="23" fillId="0" borderId="0" xfId="0" applyNumberFormat="1" applyFont="1" applyProtection="1">
      <protection hidden="1"/>
    </xf>
    <xf numFmtId="167" fontId="24" fillId="12" borderId="6" xfId="0" applyNumberFormat="1" applyFont="1" applyFill="1" applyBorder="1" applyProtection="1">
      <protection locked="0"/>
    </xf>
    <xf numFmtId="170" fontId="0" fillId="12" borderId="42" xfId="0" applyNumberFormat="1" applyFill="1" applyBorder="1" applyAlignment="1" applyProtection="1">
      <alignment horizontal="right"/>
      <protection locked="0"/>
    </xf>
    <xf numFmtId="167" fontId="0" fillId="0" borderId="34" xfId="0" applyNumberFormat="1" applyBorder="1" applyProtection="1">
      <protection hidden="1"/>
    </xf>
    <xf numFmtId="10" fontId="23" fillId="0" borderId="0" xfId="0" applyNumberFormat="1" applyFont="1" applyProtection="1">
      <protection hidden="1"/>
    </xf>
    <xf numFmtId="167" fontId="23" fillId="0" borderId="6" xfId="0" applyNumberFormat="1" applyFont="1" applyBorder="1" applyProtection="1">
      <protection hidden="1"/>
    </xf>
    <xf numFmtId="0" fontId="25" fillId="0" borderId="10" xfId="0" applyFont="1" applyBorder="1" applyProtection="1">
      <protection hidden="1"/>
    </xf>
    <xf numFmtId="0" fontId="25" fillId="0" borderId="47" xfId="0" applyFont="1" applyBorder="1" applyAlignment="1" applyProtection="1">
      <alignment horizontal="left"/>
      <protection hidden="1"/>
    </xf>
    <xf numFmtId="166" fontId="25" fillId="0" borderId="47" xfId="0" applyNumberFormat="1" applyFont="1" applyBorder="1" applyProtection="1">
      <protection hidden="1"/>
    </xf>
    <xf numFmtId="0" fontId="25" fillId="0" borderId="22" xfId="0" applyFont="1" applyBorder="1" applyProtection="1">
      <protection hidden="1"/>
    </xf>
    <xf numFmtId="167" fontId="25" fillId="12" borderId="30" xfId="0" applyNumberFormat="1" applyFont="1" applyFill="1" applyBorder="1" applyProtection="1">
      <protection locked="0"/>
    </xf>
    <xf numFmtId="0" fontId="12" fillId="15" borderId="29" xfId="0" applyFont="1" applyFill="1" applyBorder="1" applyAlignment="1" applyProtection="1">
      <alignment vertical="center"/>
      <protection hidden="1"/>
    </xf>
    <xf numFmtId="0" fontId="12" fillId="15" borderId="48" xfId="0" applyFont="1" applyFill="1" applyBorder="1" applyAlignment="1" applyProtection="1">
      <alignment horizontal="left" vertical="center"/>
      <protection hidden="1"/>
    </xf>
    <xf numFmtId="166" fontId="12" fillId="15" borderId="48" xfId="0" applyNumberFormat="1" applyFont="1" applyFill="1" applyBorder="1" applyAlignment="1" applyProtection="1">
      <alignment vertical="center"/>
      <protection hidden="1"/>
    </xf>
    <xf numFmtId="0" fontId="12" fillId="15" borderId="48" xfId="0" applyFont="1" applyFill="1" applyBorder="1" applyAlignment="1" applyProtection="1">
      <alignment vertical="center"/>
      <protection hidden="1"/>
    </xf>
    <xf numFmtId="167" fontId="26" fillId="15" borderId="30" xfId="0" applyNumberFormat="1" applyFont="1" applyFill="1" applyBorder="1" applyAlignment="1" applyProtection="1">
      <alignment vertical="center"/>
      <protection hidden="1"/>
    </xf>
    <xf numFmtId="0" fontId="0" fillId="0" borderId="48" xfId="0" applyBorder="1" applyProtection="1">
      <protection hidden="1"/>
    </xf>
    <xf numFmtId="0" fontId="0" fillId="0" borderId="48" xfId="0" applyBorder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8" fillId="0" borderId="23" xfId="0" applyFont="1" applyBorder="1" applyAlignment="1" applyProtection="1">
      <alignment horizontal="center" vertical="center" textRotation="255"/>
      <protection hidden="1"/>
    </xf>
    <xf numFmtId="0" fontId="8" fillId="0" borderId="24" xfId="0" applyFont="1" applyBorder="1" applyAlignment="1" applyProtection="1">
      <alignment horizontal="center" vertical="center" textRotation="255"/>
      <protection hidden="1"/>
    </xf>
    <xf numFmtId="0" fontId="8" fillId="0" borderId="25" xfId="0" applyFont="1" applyBorder="1" applyAlignment="1" applyProtection="1">
      <alignment horizontal="center" vertical="center" textRotation="255"/>
      <protection hidden="1"/>
    </xf>
    <xf numFmtId="0" fontId="11" fillId="3" borderId="26" xfId="0" applyFont="1" applyFill="1" applyBorder="1" applyAlignment="1" applyProtection="1">
      <alignment horizontal="center" vertical="center" wrapText="1"/>
      <protection hidden="1"/>
    </xf>
    <xf numFmtId="0" fontId="4" fillId="8" borderId="46" xfId="0" applyFont="1" applyFill="1" applyBorder="1" applyAlignment="1" applyProtection="1">
      <alignment horizontal="center"/>
      <protection hidden="1"/>
    </xf>
    <xf numFmtId="0" fontId="4" fillId="8" borderId="41" xfId="0" applyFont="1" applyFill="1" applyBorder="1" applyAlignment="1" applyProtection="1">
      <alignment horizontal="center"/>
      <protection hidden="1"/>
    </xf>
    <xf numFmtId="0" fontId="0" fillId="16" borderId="46" xfId="0" applyFill="1" applyBorder="1" applyAlignment="1" applyProtection="1">
      <alignment horizontal="left" vertical="top" wrapText="1"/>
      <protection locked="0"/>
    </xf>
    <xf numFmtId="0" fontId="0" fillId="16" borderId="49" xfId="0" applyFill="1" applyBorder="1" applyAlignment="1" applyProtection="1">
      <alignment horizontal="left" vertical="top" wrapText="1"/>
      <protection locked="0"/>
    </xf>
    <xf numFmtId="0" fontId="0" fillId="16" borderId="41" xfId="0" applyFill="1" applyBorder="1" applyAlignment="1" applyProtection="1">
      <alignment horizontal="left" vertical="top" wrapText="1"/>
      <protection locked="0"/>
    </xf>
    <xf numFmtId="0" fontId="14" fillId="12" borderId="9" xfId="0" applyFont="1" applyFill="1" applyBorder="1" applyAlignment="1" applyProtection="1">
      <alignment horizontal="center" vertical="center"/>
      <protection locked="0"/>
    </xf>
    <xf numFmtId="0" fontId="14" fillId="12" borderId="15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6" fillId="8" borderId="32" xfId="0" applyFont="1" applyFill="1" applyBorder="1" applyAlignment="1" applyProtection="1">
      <alignment vertical="center"/>
      <protection hidden="1"/>
    </xf>
    <xf numFmtId="0" fontId="16" fillId="8" borderId="40" xfId="0" applyFont="1" applyFill="1" applyBorder="1" applyAlignment="1" applyProtection="1">
      <alignment vertical="center"/>
      <protection hidden="1"/>
    </xf>
    <xf numFmtId="0" fontId="17" fillId="13" borderId="32" xfId="0" applyFont="1" applyFill="1" applyBorder="1" applyAlignment="1" applyProtection="1">
      <alignment vertical="center"/>
      <protection hidden="1"/>
    </xf>
    <xf numFmtId="0" fontId="17" fillId="13" borderId="40" xfId="0" applyFont="1" applyFill="1" applyBorder="1" applyAlignment="1" applyProtection="1">
      <alignment vertical="center"/>
      <protection hidden="1"/>
    </xf>
    <xf numFmtId="0" fontId="17" fillId="13" borderId="41" xfId="0" applyFont="1" applyFill="1" applyBorder="1" applyAlignment="1" applyProtection="1">
      <alignment vertical="center"/>
      <protection hidden="1"/>
    </xf>
    <xf numFmtId="166" fontId="1" fillId="12" borderId="28" xfId="1" applyNumberFormat="1" applyFill="1" applyBorder="1" applyAlignment="1" applyProtection="1">
      <protection locked="0"/>
    </xf>
    <xf numFmtId="166" fontId="0" fillId="12" borderId="28" xfId="0" applyNumberFormat="1" applyFill="1" applyBorder="1" applyProtection="1">
      <protection locked="0"/>
    </xf>
    <xf numFmtId="0" fontId="12" fillId="0" borderId="0" xfId="0" applyFont="1" applyAlignment="1" applyProtection="1">
      <alignment horizontal="center" vertical="center"/>
      <protection hidden="1"/>
    </xf>
    <xf numFmtId="0" fontId="9" fillId="4" borderId="26" xfId="0" applyFont="1" applyFill="1" applyBorder="1" applyAlignment="1" applyProtection="1">
      <alignment horizontal="left" vertical="center"/>
      <protection hidden="1"/>
    </xf>
    <xf numFmtId="0" fontId="2" fillId="13" borderId="0" xfId="1" applyFont="1" applyFill="1" applyAlignment="1" applyProtection="1">
      <alignment horizontal="center"/>
      <protection hidden="1"/>
    </xf>
    <xf numFmtId="0" fontId="2" fillId="13" borderId="0" xfId="0" applyFont="1" applyFill="1" applyAlignment="1" applyProtection="1">
      <alignment horizontal="center"/>
      <protection hidden="1"/>
    </xf>
    <xf numFmtId="14" fontId="0" fillId="12" borderId="28" xfId="0" applyNumberForma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43</xdr:row>
      <xdr:rowOff>200025</xdr:rowOff>
    </xdr:from>
    <xdr:to>
      <xdr:col>8</xdr:col>
      <xdr:colOff>76200</xdr:colOff>
      <xdr:row>45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AD9DF26-0B49-46CD-8351-2FBBBE622FB5}"/>
            </a:ext>
          </a:extLst>
        </xdr:cNvPr>
        <xdr:cNvSpPr>
          <a:spLocks noChangeArrowheads="1"/>
        </xdr:cNvSpPr>
      </xdr:nvSpPr>
      <xdr:spPr bwMode="auto">
        <a:xfrm>
          <a:off x="7877175" y="10267950"/>
          <a:ext cx="1057275" cy="219075"/>
        </a:xfrm>
        <a:prstGeom prst="leftArrow">
          <a:avLst>
            <a:gd name="adj1" fmla="val 45546"/>
            <a:gd name="adj2" fmla="val 149767"/>
          </a:avLst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190500</xdr:colOff>
      <xdr:row>46</xdr:row>
      <xdr:rowOff>9525</xdr:rowOff>
    </xdr:from>
    <xdr:to>
      <xdr:col>13</xdr:col>
      <xdr:colOff>1076325</xdr:colOff>
      <xdr:row>47</xdr:row>
      <xdr:rowOff>19050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FF27C2-AAEF-4E57-B799-6296A5CAEB05}"/>
            </a:ext>
          </a:extLst>
        </xdr:cNvPr>
        <xdr:cNvSpPr>
          <a:spLocks noChangeArrowheads="1"/>
        </xdr:cNvSpPr>
      </xdr:nvSpPr>
      <xdr:spPr bwMode="auto">
        <a:xfrm>
          <a:off x="7877175" y="10706100"/>
          <a:ext cx="6629400" cy="219075"/>
        </a:xfrm>
        <a:prstGeom prst="leftArrow">
          <a:avLst>
            <a:gd name="adj1" fmla="val 45222"/>
            <a:gd name="adj2" fmla="val 128452"/>
          </a:avLst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971550</xdr:colOff>
      <xdr:row>34</xdr:row>
      <xdr:rowOff>123825</xdr:rowOff>
    </xdr:from>
    <xdr:to>
      <xdr:col>13</xdr:col>
      <xdr:colOff>1076325</xdr:colOff>
      <xdr:row>46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917F7DA-0AEB-415E-8BBD-171FFE11A3E8}"/>
            </a:ext>
          </a:extLst>
        </xdr:cNvPr>
        <xdr:cNvSpPr>
          <a:spLocks noChangeArrowheads="1"/>
        </xdr:cNvSpPr>
      </xdr:nvSpPr>
      <xdr:spPr bwMode="auto">
        <a:xfrm>
          <a:off x="14401800" y="8448675"/>
          <a:ext cx="104775" cy="24193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583406</xdr:colOff>
      <xdr:row>51</xdr:row>
      <xdr:rowOff>226219</xdr:rowOff>
    </xdr:from>
    <xdr:to>
      <xdr:col>1</xdr:col>
      <xdr:colOff>2104267</xdr:colOff>
      <xdr:row>56</xdr:row>
      <xdr:rowOff>2383</xdr:rowOff>
    </xdr:to>
    <xdr:pic>
      <xdr:nvPicPr>
        <xdr:cNvPr id="25" name="Imagem 24" descr="Tonny 00001.png">
          <a:extLst>
            <a:ext uri="{FF2B5EF4-FFF2-40B4-BE49-F238E27FC236}">
              <a16:creationId xmlns:a16="http://schemas.microsoft.com/office/drawing/2014/main" id="{C513DECA-BA6F-461E-B352-B8E9555BA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406" y="12884944"/>
          <a:ext cx="2149511" cy="900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nfor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hinfor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F64D-010B-45A5-8F59-0360A44CFDA7}">
  <sheetPr codeName="Planilha1">
    <tabColor theme="6" tint="0.39997558519241921"/>
  </sheetPr>
  <dimension ref="A1:G6"/>
  <sheetViews>
    <sheetView defaultGridColor="0" colorId="41" zoomScale="80" zoomScaleNormal="80" workbookViewId="0">
      <pane ySplit="3" topLeftCell="A4" activePane="bottomLeft" state="frozen"/>
      <selection activeCell="N16" sqref="N16"/>
      <selection pane="bottomLeft"/>
    </sheetView>
  </sheetViews>
  <sheetFormatPr defaultColWidth="11.5703125" defaultRowHeight="12.75" x14ac:dyDescent="0.2"/>
  <cols>
    <col min="1" max="1" width="10.140625" style="4" customWidth="1"/>
    <col min="2" max="2" width="31.28515625" style="3" customWidth="1"/>
    <col min="3" max="3" width="32" style="3" customWidth="1"/>
    <col min="4" max="4" width="61.28515625" style="3" customWidth="1"/>
    <col min="5" max="5" width="25" style="3" customWidth="1"/>
    <col min="6" max="6" width="17.85546875" style="4" customWidth="1"/>
    <col min="7" max="7" width="35" style="3" customWidth="1"/>
    <col min="8" max="16384" width="11.5703125" style="3"/>
  </cols>
  <sheetData>
    <row r="1" spans="1:7" ht="2.85" customHeight="1" x14ac:dyDescent="0.2">
      <c r="A1" s="1"/>
      <c r="B1" s="2"/>
      <c r="C1" s="1"/>
      <c r="D1" s="2"/>
      <c r="E1" s="2"/>
      <c r="F1" s="1"/>
      <c r="G1" s="1"/>
    </row>
    <row r="2" spans="1:7" hidden="1" x14ac:dyDescent="0.2">
      <c r="C2" s="4"/>
      <c r="G2" s="4"/>
    </row>
    <row r="3" spans="1:7" s="10" customFormat="1" ht="28.35" customHeight="1" x14ac:dyDescent="0.2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 t="s">
        <v>6</v>
      </c>
    </row>
    <row r="4" spans="1:7" s="10" customFormat="1" ht="2.85" customHeight="1" x14ac:dyDescent="0.2">
      <c r="A4" s="11"/>
      <c r="B4" s="12"/>
      <c r="C4" s="11"/>
      <c r="D4" s="13"/>
      <c r="E4" s="13"/>
      <c r="F4" s="14"/>
      <c r="G4" s="14"/>
    </row>
    <row r="5" spans="1:7" hidden="1" x14ac:dyDescent="0.2">
      <c r="A5" s="15"/>
      <c r="B5" s="16"/>
      <c r="C5" s="16"/>
      <c r="D5" s="16"/>
      <c r="E5" s="16"/>
      <c r="F5" s="15"/>
      <c r="G5" s="15"/>
    </row>
    <row r="6" spans="1:7" x14ac:dyDescent="0.2">
      <c r="A6" s="17" t="s">
        <v>7</v>
      </c>
      <c r="B6" s="18" t="s">
        <v>8</v>
      </c>
      <c r="C6" s="18" t="s">
        <v>9</v>
      </c>
      <c r="D6" s="18" t="s">
        <v>10</v>
      </c>
      <c r="E6" s="18" t="s">
        <v>11</v>
      </c>
      <c r="F6" s="19" t="s">
        <v>12</v>
      </c>
      <c r="G6" s="20" t="s">
        <v>13</v>
      </c>
    </row>
  </sheetData>
  <hyperlinks>
    <hyperlink ref="G6" r:id="rId1" xr:uid="{1B67A384-D77B-4639-B5BB-BC4F95DA98C0}"/>
  </hyperlinks>
  <pageMargins left="0.59027777777777779" right="0.59027777777777779" top="1.1625000000000001" bottom="0.39374999999999999" header="0.39374999999999999" footer="0.51180555555555551"/>
  <pageSetup paperSize="9" scale="83" orientation="portrait" useFirstPageNumber="1" horizontalDpi="300" verticalDpi="300" r:id="rId2"/>
  <headerFooter alignWithMargins="0">
    <oddHeader>&amp;L&amp;"Arial,Negrito"&amp;24NOME DA SUA EMPRESA
&amp;"Arial,Normal"&amp;10ENDEREÇO DA EMPRESA, Nº 123, SL. 408 - 4º ANDAR - BAIRRO
00000-000, CIDADE, UF - FONE: (11) 9999-9999 - SITE: http://www.reidasplanilhas.com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EC40-5679-401F-ADD3-AFA455509BC7}">
  <sheetPr codeName="Planilha2">
    <tabColor theme="8" tint="0.39997558519241921"/>
  </sheetPr>
  <dimension ref="A1:J14"/>
  <sheetViews>
    <sheetView defaultGridColor="0" colorId="41" zoomScale="80" zoomScaleNormal="80" workbookViewId="0">
      <pane ySplit="3" topLeftCell="A4" activePane="bottomLeft" state="frozen"/>
      <selection activeCell="N16" sqref="N16"/>
      <selection pane="bottomLeft" activeCell="P25" sqref="P25"/>
    </sheetView>
  </sheetViews>
  <sheetFormatPr defaultColWidth="11.5703125" defaultRowHeight="12.75" x14ac:dyDescent="0.2"/>
  <cols>
    <col min="1" max="1" width="10.140625" style="4" customWidth="1"/>
    <col min="2" max="2" width="54.42578125" style="3" bestFit="1" customWidth="1"/>
    <col min="3" max="3" width="15.28515625" style="4" customWidth="1"/>
    <col min="4" max="4" width="20.42578125" style="24" customWidth="1"/>
    <col min="5" max="6" width="11.5703125" style="3" hidden="1" customWidth="1"/>
    <col min="7" max="7" width="9.42578125" style="22" customWidth="1"/>
    <col min="8" max="8" width="19" style="23" customWidth="1"/>
    <col min="9" max="9" width="13.7109375" style="3" bestFit="1" customWidth="1"/>
    <col min="10" max="16384" width="11.5703125" style="3"/>
  </cols>
  <sheetData>
    <row r="1" spans="1:10" ht="2.85" customHeight="1" thickBot="1" x14ac:dyDescent="0.25">
      <c r="A1" s="1"/>
      <c r="B1" s="2"/>
      <c r="C1" s="1"/>
      <c r="D1" s="21"/>
    </row>
    <row r="2" spans="1:10" ht="13.5" hidden="1" thickBot="1" x14ac:dyDescent="0.25"/>
    <row r="3" spans="1:10" s="10" customFormat="1" ht="28.35" customHeight="1" thickBot="1" x14ac:dyDescent="0.25">
      <c r="A3" s="25" t="s">
        <v>0</v>
      </c>
      <c r="B3" s="26" t="s">
        <v>1</v>
      </c>
      <c r="C3" s="25" t="s">
        <v>14</v>
      </c>
      <c r="D3" s="27" t="s">
        <v>15</v>
      </c>
      <c r="E3" s="28"/>
      <c r="F3" s="29"/>
      <c r="G3" s="30" t="s">
        <v>16</v>
      </c>
      <c r="H3" s="31" t="s">
        <v>17</v>
      </c>
    </row>
    <row r="4" spans="1:10" s="10" customFormat="1" ht="2.85" customHeight="1" x14ac:dyDescent="0.2">
      <c r="A4" s="32"/>
      <c r="B4" s="33"/>
      <c r="C4" s="32"/>
      <c r="D4" s="34"/>
      <c r="E4" s="35"/>
      <c r="F4" s="35"/>
      <c r="G4" s="36"/>
      <c r="H4" s="37"/>
    </row>
    <row r="5" spans="1:10" s="46" customFormat="1" x14ac:dyDescent="0.2">
      <c r="A5" s="38" t="s">
        <v>21</v>
      </c>
      <c r="B5" s="39" t="s">
        <v>22</v>
      </c>
      <c r="C5" s="40" t="s">
        <v>18</v>
      </c>
      <c r="D5" s="41">
        <f t="shared" ref="D5:D14" si="0">(H5/(100%-G5))</f>
        <v>625</v>
      </c>
      <c r="E5" s="42"/>
      <c r="F5" s="42">
        <f t="shared" ref="F5:F14" si="1">IF(TRIM(B5)&lt;&gt;"",1,0)</f>
        <v>1</v>
      </c>
      <c r="G5" s="43">
        <v>0.2</v>
      </c>
      <c r="H5" s="44">
        <v>500</v>
      </c>
      <c r="I5" s="45"/>
      <c r="J5" s="140" t="s">
        <v>23</v>
      </c>
    </row>
    <row r="6" spans="1:10" s="46" customFormat="1" x14ac:dyDescent="0.2">
      <c r="A6" s="38" t="s">
        <v>24</v>
      </c>
      <c r="B6" s="47" t="s">
        <v>25</v>
      </c>
      <c r="C6" s="48" t="s">
        <v>18</v>
      </c>
      <c r="D6" s="49">
        <f t="shared" si="0"/>
        <v>1529.4117647058824</v>
      </c>
      <c r="E6" s="50"/>
      <c r="F6" s="50">
        <f t="shared" si="1"/>
        <v>1</v>
      </c>
      <c r="G6" s="43">
        <v>0.15</v>
      </c>
      <c r="H6" s="51">
        <v>1300</v>
      </c>
      <c r="I6" s="52"/>
      <c r="J6" s="141"/>
    </row>
    <row r="7" spans="1:10" s="46" customFormat="1" x14ac:dyDescent="0.2">
      <c r="A7" s="38" t="s">
        <v>26</v>
      </c>
      <c r="B7" s="47" t="s">
        <v>27</v>
      </c>
      <c r="C7" s="48" t="s">
        <v>18</v>
      </c>
      <c r="D7" s="49">
        <f t="shared" si="0"/>
        <v>2294.1176470588234</v>
      </c>
      <c r="E7" s="50"/>
      <c r="F7" s="50">
        <f t="shared" si="1"/>
        <v>1</v>
      </c>
      <c r="G7" s="43">
        <v>0.15</v>
      </c>
      <c r="H7" s="51">
        <v>1950</v>
      </c>
      <c r="I7" s="52"/>
      <c r="J7" s="141"/>
    </row>
    <row r="8" spans="1:10" s="46" customFormat="1" x14ac:dyDescent="0.2">
      <c r="A8" s="38" t="s">
        <v>28</v>
      </c>
      <c r="B8" s="47" t="s">
        <v>29</v>
      </c>
      <c r="C8" s="48" t="s">
        <v>18</v>
      </c>
      <c r="D8" s="49">
        <f t="shared" si="0"/>
        <v>4470.588235294118</v>
      </c>
      <c r="E8" s="50"/>
      <c r="F8" s="50">
        <f t="shared" si="1"/>
        <v>1</v>
      </c>
      <c r="G8" s="43">
        <v>0.15</v>
      </c>
      <c r="H8" s="51">
        <v>3800</v>
      </c>
      <c r="I8" s="52"/>
      <c r="J8" s="141"/>
    </row>
    <row r="9" spans="1:10" s="46" customFormat="1" x14ac:dyDescent="0.2">
      <c r="A9" s="38" t="s">
        <v>30</v>
      </c>
      <c r="B9" s="47" t="s">
        <v>31</v>
      </c>
      <c r="C9" s="48" t="s">
        <v>18</v>
      </c>
      <c r="D9" s="49">
        <f t="shared" si="0"/>
        <v>2000</v>
      </c>
      <c r="E9" s="50"/>
      <c r="F9" s="50">
        <f t="shared" si="1"/>
        <v>1</v>
      </c>
      <c r="G9" s="43">
        <v>0.15</v>
      </c>
      <c r="H9" s="51">
        <v>1700</v>
      </c>
      <c r="I9" s="52"/>
      <c r="J9" s="141"/>
    </row>
    <row r="10" spans="1:10" s="46" customFormat="1" x14ac:dyDescent="0.2">
      <c r="A10" s="38" t="s">
        <v>32</v>
      </c>
      <c r="B10" s="47" t="s">
        <v>19</v>
      </c>
      <c r="C10" s="48" t="s">
        <v>18</v>
      </c>
      <c r="D10" s="49">
        <f t="shared" si="0"/>
        <v>1176.4705882352941</v>
      </c>
      <c r="E10" s="50"/>
      <c r="F10" s="50">
        <f t="shared" si="1"/>
        <v>1</v>
      </c>
      <c r="G10" s="43">
        <v>0.15</v>
      </c>
      <c r="H10" s="51">
        <v>1000</v>
      </c>
      <c r="I10" s="52"/>
      <c r="J10" s="141"/>
    </row>
    <row r="11" spans="1:10" s="46" customFormat="1" x14ac:dyDescent="0.2">
      <c r="A11" s="38" t="s">
        <v>33</v>
      </c>
      <c r="B11" s="47"/>
      <c r="C11" s="48" t="s">
        <v>18</v>
      </c>
      <c r="D11" s="49">
        <f t="shared" si="0"/>
        <v>0</v>
      </c>
      <c r="E11" s="50"/>
      <c r="F11" s="50">
        <f t="shared" si="1"/>
        <v>0</v>
      </c>
      <c r="G11" s="43">
        <v>0.15</v>
      </c>
      <c r="H11" s="51">
        <v>0</v>
      </c>
      <c r="I11" s="52"/>
      <c r="J11" s="141"/>
    </row>
    <row r="12" spans="1:10" s="46" customFormat="1" x14ac:dyDescent="0.2">
      <c r="A12" s="38" t="s">
        <v>34</v>
      </c>
      <c r="B12" s="47" t="s">
        <v>20</v>
      </c>
      <c r="C12" s="48" t="s">
        <v>18</v>
      </c>
      <c r="D12" s="49">
        <f t="shared" si="0"/>
        <v>17647.058823529413</v>
      </c>
      <c r="E12" s="50"/>
      <c r="F12" s="50">
        <f t="shared" si="1"/>
        <v>1</v>
      </c>
      <c r="G12" s="43">
        <v>0.15</v>
      </c>
      <c r="H12" s="51">
        <v>15000</v>
      </c>
      <c r="I12" s="52"/>
      <c r="J12" s="141"/>
    </row>
    <row r="13" spans="1:10" s="46" customFormat="1" x14ac:dyDescent="0.2">
      <c r="A13" s="38" t="s">
        <v>35</v>
      </c>
      <c r="B13" s="47" t="s">
        <v>36</v>
      </c>
      <c r="C13" s="48" t="s">
        <v>18</v>
      </c>
      <c r="D13" s="49">
        <f t="shared" si="0"/>
        <v>1176.4705882352941</v>
      </c>
      <c r="E13" s="50"/>
      <c r="F13" s="50">
        <f t="shared" si="1"/>
        <v>1</v>
      </c>
      <c r="G13" s="43">
        <v>0.15</v>
      </c>
      <c r="H13" s="51">
        <v>1000</v>
      </c>
      <c r="I13" s="52"/>
      <c r="J13" s="141"/>
    </row>
    <row r="14" spans="1:10" s="46" customFormat="1" x14ac:dyDescent="0.2">
      <c r="A14" s="38" t="s">
        <v>37</v>
      </c>
      <c r="B14" s="53"/>
      <c r="C14" s="54" t="s">
        <v>18</v>
      </c>
      <c r="D14" s="55">
        <f t="shared" si="0"/>
        <v>0</v>
      </c>
      <c r="E14" s="56"/>
      <c r="F14" s="56">
        <f t="shared" si="1"/>
        <v>0</v>
      </c>
      <c r="G14" s="43">
        <v>0.15</v>
      </c>
      <c r="H14" s="57">
        <v>0</v>
      </c>
      <c r="I14" s="58">
        <f>SUM(H5:H14)</f>
        <v>26250</v>
      </c>
      <c r="J14" s="142"/>
    </row>
  </sheetData>
  <mergeCells count="1">
    <mergeCell ref="J5:J14"/>
  </mergeCells>
  <pageMargins left="0.59027777777777779" right="0.59027777777777779" top="1.1625000000000001" bottom="0.39374999999999999" header="0.39374999999999999" footer="0.51180555555555551"/>
  <pageSetup paperSize="9" scale="83" orientation="portrait" horizontalDpi="300" verticalDpi="300" r:id="rId1"/>
  <headerFooter alignWithMargins="0">
    <oddHeader>&amp;L&amp;"Arial,Negrito"&amp;24NOME DA SUA EMPRESA
&amp;"Arial,Normal"&amp;10ENDEREÇO DA EMPRESA, Nº 123, SL. 408 - 4º ANDAR - BAIRRO
00000-000, CIDADE, UF - FONE: (11) 9999-9999 - SITE: http://www.reidasplanilhas.com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3085-4456-4B75-8CD9-62E14E1EC124}">
  <sheetPr codeName="Planilha6">
    <tabColor theme="1" tint="0.499984740745262"/>
    <pageSetUpPr fitToPage="1"/>
  </sheetPr>
  <dimension ref="A1:N57"/>
  <sheetViews>
    <sheetView tabSelected="1" defaultGridColor="0" colorId="41" zoomScale="80" zoomScaleNormal="80" workbookViewId="0">
      <selection activeCell="P31" sqref="P31"/>
    </sheetView>
  </sheetViews>
  <sheetFormatPr defaultColWidth="11.5703125" defaultRowHeight="12.75" x14ac:dyDescent="0.2"/>
  <cols>
    <col min="1" max="1" width="9.42578125" style="3" customWidth="1"/>
    <col min="2" max="2" width="51.7109375" style="59" customWidth="1"/>
    <col min="3" max="3" width="7.7109375" style="60" customWidth="1"/>
    <col min="4" max="4" width="6.42578125" style="59" customWidth="1"/>
    <col min="5" max="5" width="19.5703125" style="3" bestFit="1" customWidth="1"/>
    <col min="6" max="6" width="20.42578125" style="3" customWidth="1"/>
    <col min="7" max="7" width="15.28515625" style="3" customWidth="1"/>
    <col min="8" max="8" width="2.28515625" style="3" bestFit="1" customWidth="1"/>
    <col min="9" max="9" width="3.140625" style="3" customWidth="1"/>
    <col min="10" max="10" width="14.28515625" style="3" bestFit="1" customWidth="1"/>
    <col min="11" max="11" width="25.7109375" style="3" customWidth="1"/>
    <col min="12" max="12" width="15.28515625" style="3" customWidth="1"/>
    <col min="13" max="13" width="10.140625" style="3" customWidth="1"/>
    <col min="14" max="14" width="20.42578125" style="3" customWidth="1"/>
    <col min="15" max="16384" width="11.5703125" style="3"/>
  </cols>
  <sheetData>
    <row r="1" spans="1:14" s="10" customFormat="1" ht="25.5" customHeight="1" x14ac:dyDescent="0.2">
      <c r="A1" s="161" t="s">
        <v>38</v>
      </c>
      <c r="B1" s="161"/>
      <c r="C1" s="161"/>
      <c r="D1" s="161"/>
      <c r="E1" s="161"/>
      <c r="F1" s="161"/>
    </row>
    <row r="2" spans="1:14" x14ac:dyDescent="0.2">
      <c r="A2" s="64" t="s">
        <v>39</v>
      </c>
      <c r="B2" s="65" t="s">
        <v>40</v>
      </c>
      <c r="C2" s="66" t="s">
        <v>7</v>
      </c>
      <c r="D2" s="162" t="str">
        <f>HYPERLINK("#CLIENTES!A1","CLIQUE PARA LISTAR TODOS OS CLIENTES")</f>
        <v>CLIQUE PARA LISTAR TODOS OS CLIENTES</v>
      </c>
      <c r="E2" s="163"/>
      <c r="F2" s="163"/>
    </row>
    <row r="3" spans="1:14" x14ac:dyDescent="0.2">
      <c r="A3" s="64" t="s">
        <v>39</v>
      </c>
      <c r="B3" s="67" t="s">
        <v>41</v>
      </c>
      <c r="C3" s="159" t="s">
        <v>42</v>
      </c>
      <c r="D3" s="159"/>
      <c r="E3" s="159"/>
      <c r="F3" s="159"/>
    </row>
    <row r="4" spans="1:14" x14ac:dyDescent="0.2">
      <c r="A4" s="64" t="s">
        <v>39</v>
      </c>
      <c r="B4" s="65" t="s">
        <v>43</v>
      </c>
      <c r="C4" s="164">
        <f ca="1">NOW()</f>
        <v>45746.769853124999</v>
      </c>
      <c r="D4" s="164"/>
      <c r="E4" s="164"/>
      <c r="F4" s="164"/>
    </row>
    <row r="5" spans="1:14" x14ac:dyDescent="0.2">
      <c r="A5" s="64" t="s">
        <v>39</v>
      </c>
      <c r="B5" s="65" t="s">
        <v>44</v>
      </c>
      <c r="C5" s="159" t="s">
        <v>45</v>
      </c>
      <c r="D5" s="159"/>
      <c r="E5" s="159"/>
      <c r="F5" s="159"/>
    </row>
    <row r="6" spans="1:14" x14ac:dyDescent="0.2">
      <c r="A6" s="64" t="s">
        <v>39</v>
      </c>
      <c r="B6" s="65" t="s">
        <v>46</v>
      </c>
      <c r="C6" s="158" t="s">
        <v>13</v>
      </c>
      <c r="D6" s="159"/>
      <c r="E6" s="159"/>
      <c r="F6" s="159"/>
    </row>
    <row r="7" spans="1:14" x14ac:dyDescent="0.2">
      <c r="A7" s="68"/>
      <c r="B7" s="65"/>
      <c r="C7" s="69"/>
      <c r="D7" s="65"/>
      <c r="E7" s="67"/>
      <c r="F7" s="70"/>
    </row>
    <row r="8" spans="1:14" ht="3.95" customHeight="1" x14ac:dyDescent="0.2">
      <c r="A8" s="61"/>
      <c r="B8" s="62"/>
      <c r="C8" s="63"/>
      <c r="D8" s="62"/>
      <c r="E8" s="61"/>
      <c r="F8" s="61"/>
    </row>
    <row r="9" spans="1:14" ht="12" customHeight="1" x14ac:dyDescent="0.2">
      <c r="B9" s="3"/>
      <c r="C9" s="3"/>
      <c r="D9" s="3"/>
    </row>
    <row r="10" spans="1:14" s="74" customFormat="1" ht="15.75" x14ac:dyDescent="0.2">
      <c r="A10" s="71" t="s">
        <v>47</v>
      </c>
      <c r="B10" s="72"/>
      <c r="C10" s="73"/>
      <c r="D10" s="72"/>
      <c r="E10" s="160"/>
      <c r="F10" s="160"/>
    </row>
    <row r="11" spans="1:14" ht="12.75" customHeight="1" x14ac:dyDescent="0.2">
      <c r="A11" s="59" t="str">
        <f>UPPER(TRIM(LOOKUP($C$2,CLIENTES!$A$6:$A$6,CLIENTES!$E$6:$E$6)&amp;" - "&amp;LOOKUP($C$2,CLIENTES!$A$6:$A$6,CLIENTES!$F$6:$F$6)&amp;" - "&amp;LOOKUP($C$2,CLIENTES!$A$6:$A$6,CLIENTES!$G$6:$G$6)))</f>
        <v>THINFORMA - (31) 99243-1019 - THINFORM@GMAIL.COM</v>
      </c>
      <c r="B11" s="3"/>
      <c r="E11" s="160" t="s">
        <v>48</v>
      </c>
      <c r="F11" s="160"/>
    </row>
    <row r="12" spans="1:14" ht="12.75" customHeight="1" x14ac:dyDescent="0.2">
      <c r="A12" s="59" t="str">
        <f>UPPER(TRIM(LOOKUP($C$2,CLIENTES!$A$6:$A$6,CLIENTES!$D$6:$D$6)))</f>
        <v>RUA TENERIFE, 407</v>
      </c>
      <c r="B12" s="3"/>
      <c r="C12" s="3"/>
      <c r="E12" s="149" t="str">
        <f ca="1">TEXT(NOW(),"AAAAMMDDHHMMSS")</f>
        <v>20250330182835</v>
      </c>
      <c r="F12" s="150"/>
    </row>
    <row r="13" spans="1:14" ht="12.75" customHeight="1" x14ac:dyDescent="0.2">
      <c r="A13" s="59" t="str">
        <f>UPPER(TRIM(LOOKUP($C$2,CLIENTES!$A$6:$A$6,CLIENTES!$B$6:$B$6)&amp;" ("&amp;LOOKUP($C$2,CLIENTES!$A$6:$A$6,CLIENTES!$C$6:$C$6)&amp;")"))</f>
        <v>CNPJ: (54.178.539/0001-64)</v>
      </c>
      <c r="B13" s="3"/>
      <c r="C13" s="3"/>
      <c r="E13" s="151"/>
      <c r="F13" s="152"/>
    </row>
    <row r="14" spans="1:14" ht="22.7" customHeight="1" x14ac:dyDescent="0.2">
      <c r="J14" s="143" t="s">
        <v>49</v>
      </c>
      <c r="K14" s="143"/>
      <c r="L14" s="143"/>
      <c r="M14" s="143"/>
      <c r="N14" s="143"/>
    </row>
    <row r="15" spans="1:14" s="77" customFormat="1" ht="22.7" customHeight="1" x14ac:dyDescent="0.2">
      <c r="A15" s="71" t="s">
        <v>50</v>
      </c>
      <c r="B15" s="75"/>
      <c r="C15" s="76"/>
      <c r="D15" s="75"/>
    </row>
    <row r="16" spans="1:14" ht="17.100000000000001" customHeight="1" x14ac:dyDescent="0.2">
      <c r="A16" s="78" t="s">
        <v>0</v>
      </c>
      <c r="B16" s="79" t="s">
        <v>51</v>
      </c>
      <c r="C16" s="80" t="s">
        <v>52</v>
      </c>
      <c r="D16" s="79" t="s">
        <v>53</v>
      </c>
      <c r="E16" s="79"/>
      <c r="F16" s="81" t="s">
        <v>54</v>
      </c>
      <c r="J16" s="78" t="s">
        <v>53</v>
      </c>
      <c r="K16" s="79" t="s">
        <v>1</v>
      </c>
      <c r="L16" s="79" t="s">
        <v>55</v>
      </c>
      <c r="M16" s="79" t="s">
        <v>52</v>
      </c>
      <c r="N16" s="81" t="s">
        <v>56</v>
      </c>
    </row>
    <row r="17" spans="1:14" ht="5.65" customHeight="1" x14ac:dyDescent="0.2">
      <c r="A17" s="82"/>
      <c r="B17" s="83"/>
      <c r="C17" s="84"/>
      <c r="D17" s="85"/>
      <c r="E17" s="83"/>
      <c r="F17" s="86"/>
      <c r="J17" s="87"/>
      <c r="K17" s="88"/>
      <c r="L17" s="88"/>
      <c r="M17" s="88"/>
      <c r="N17" s="89"/>
    </row>
    <row r="18" spans="1:14" ht="17.100000000000001" customHeight="1" x14ac:dyDescent="0.2">
      <c r="A18" s="90" t="s">
        <v>21</v>
      </c>
      <c r="B18" s="91" t="str">
        <f>IF(H18,LOOKUP($A18,PRODUTOS!A$5:A$14,PRODUTOS!B$5:B$14),"")</f>
        <v>Gabinete ATX Gamer</v>
      </c>
      <c r="C18" s="92">
        <v>1</v>
      </c>
      <c r="D18" s="93" t="str">
        <f>IF(H18,LOOKUP($A18,PRODUTOS!A$5:A$14,PRODUTOS!C$5:C$14),"")</f>
        <v>PÇ</v>
      </c>
      <c r="E18" s="94">
        <f>IF(H18,LOOKUP($A18,PRODUTOS!A$5:A$14,PRODUTOS!D$5:D$14),"")</f>
        <v>625</v>
      </c>
      <c r="F18" s="95">
        <f t="shared" ref="F18:F42" si="0">IF(H18,C18*E18,"")</f>
        <v>625</v>
      </c>
      <c r="G18" s="96" t="str">
        <f>HYPERLINK("#PRODUTOS!A1","LISTAR MAIS")</f>
        <v>LISTAR MAIS</v>
      </c>
      <c r="H18" s="3">
        <f t="shared" ref="H18:H42" si="1">IF(TRIM(A18)&lt;&gt;"",1,0)</f>
        <v>1</v>
      </c>
      <c r="J18" s="97" t="s">
        <v>18</v>
      </c>
      <c r="K18" s="98" t="s">
        <v>57</v>
      </c>
      <c r="L18" s="99">
        <v>10</v>
      </c>
      <c r="M18" s="60">
        <v>0</v>
      </c>
      <c r="N18" s="100">
        <f t="shared" ref="N18:N31" si="2">IF(J18&lt;&gt;"",M18*L18,"")</f>
        <v>0</v>
      </c>
    </row>
    <row r="19" spans="1:14" ht="17.100000000000001" customHeight="1" x14ac:dyDescent="0.2">
      <c r="A19" s="90" t="s">
        <v>24</v>
      </c>
      <c r="B19" s="91" t="str">
        <f>IF(H19,LOOKUP($A19,PRODUTOS!A$5:A$14,PRODUTOS!B$5:B$14),"")</f>
        <v>Fonte 1000W 80 Plus Real</v>
      </c>
      <c r="C19" s="92">
        <v>1</v>
      </c>
      <c r="D19" s="93" t="str">
        <f>IF(H19,LOOKUP($A19,PRODUTOS!A$5:A$14,PRODUTOS!C$5:C$14),"")</f>
        <v>PÇ</v>
      </c>
      <c r="E19" s="94">
        <f>IF(H19,LOOKUP($A19,PRODUTOS!A$5:A$14,PRODUTOS!D$5:D$14),"")</f>
        <v>1529.4117647058824</v>
      </c>
      <c r="F19" s="95">
        <f t="shared" si="0"/>
        <v>1529.4117647058824</v>
      </c>
      <c r="G19" s="96" t="str">
        <f t="shared" ref="G19:G42" si="3">HYPERLINK("#PRODUTOS!A1","LISTAR MAIS")</f>
        <v>LISTAR MAIS</v>
      </c>
      <c r="H19" s="3">
        <f t="shared" si="1"/>
        <v>1</v>
      </c>
      <c r="J19" s="97" t="s">
        <v>58</v>
      </c>
      <c r="K19" s="98" t="s">
        <v>59</v>
      </c>
      <c r="L19" s="99">
        <v>2</v>
      </c>
      <c r="M19" s="60">
        <f t="shared" ref="M19:M31" si="4">IF(J19&lt;&gt;"",SUMIF(D$18:D$42,$J19,C$18:C$42),"")</f>
        <v>0</v>
      </c>
      <c r="N19" s="100">
        <f t="shared" si="2"/>
        <v>0</v>
      </c>
    </row>
    <row r="20" spans="1:14" ht="17.100000000000001" customHeight="1" x14ac:dyDescent="0.2">
      <c r="A20" s="90" t="s">
        <v>26</v>
      </c>
      <c r="B20" s="91" t="str">
        <f>IF(H20,LOOKUP($A20,PRODUTOS!A$5:A$14,PRODUTOS!B$5:B$14),"")</f>
        <v>Placa Mãe Intel LGA 1700 (Z790)</v>
      </c>
      <c r="C20" s="92">
        <v>1</v>
      </c>
      <c r="D20" s="93" t="str">
        <f>IF(H20,LOOKUP($A20,PRODUTOS!A$5:A$14,PRODUTOS!C$5:C$14),"")</f>
        <v>PÇ</v>
      </c>
      <c r="E20" s="94">
        <f>IF(H20,LOOKUP($A20,PRODUTOS!A$5:A$14,PRODUTOS!D$5:D$14),"")</f>
        <v>2294.1176470588234</v>
      </c>
      <c r="F20" s="95">
        <f t="shared" si="0"/>
        <v>2294.1176470588234</v>
      </c>
      <c r="G20" s="96" t="str">
        <f t="shared" si="3"/>
        <v>LISTAR MAIS</v>
      </c>
      <c r="H20" s="3">
        <f t="shared" si="1"/>
        <v>1</v>
      </c>
      <c r="J20" s="97" t="s">
        <v>53</v>
      </c>
      <c r="K20" s="98" t="s">
        <v>14</v>
      </c>
      <c r="L20" s="99">
        <v>80</v>
      </c>
      <c r="M20" s="60">
        <f t="shared" si="4"/>
        <v>0</v>
      </c>
      <c r="N20" s="100">
        <f t="shared" si="2"/>
        <v>0</v>
      </c>
    </row>
    <row r="21" spans="1:14" ht="17.100000000000001" customHeight="1" x14ac:dyDescent="0.2">
      <c r="A21" s="90" t="s">
        <v>28</v>
      </c>
      <c r="B21" s="91" t="str">
        <f>IF(H21,LOOKUP($A21,PRODUTOS!A$5:A$14,PRODUTOS!B$5:B$14),"")</f>
        <v>Processador Intel Core I9 14900K</v>
      </c>
      <c r="C21" s="92">
        <v>1</v>
      </c>
      <c r="D21" s="93" t="str">
        <f>IF(H21,LOOKUP($A21,PRODUTOS!A$5:A$14,PRODUTOS!C$5:C$14),"")</f>
        <v>PÇ</v>
      </c>
      <c r="E21" s="94">
        <f>IF(H21,LOOKUP($A21,PRODUTOS!A$5:A$14,PRODUTOS!D$5:D$14),"")</f>
        <v>4470.588235294118</v>
      </c>
      <c r="F21" s="95">
        <f t="shared" si="0"/>
        <v>4470.588235294118</v>
      </c>
      <c r="G21" s="96" t="str">
        <f t="shared" si="3"/>
        <v>LISTAR MAIS</v>
      </c>
      <c r="H21" s="3">
        <f t="shared" si="1"/>
        <v>1</v>
      </c>
      <c r="J21" s="97"/>
      <c r="K21" s="98"/>
      <c r="L21" s="99"/>
      <c r="M21" s="60" t="str">
        <f t="shared" si="4"/>
        <v/>
      </c>
      <c r="N21" s="100" t="str">
        <f t="shared" si="2"/>
        <v/>
      </c>
    </row>
    <row r="22" spans="1:14" ht="17.100000000000001" customHeight="1" x14ac:dyDescent="0.2">
      <c r="A22" s="90" t="s">
        <v>30</v>
      </c>
      <c r="B22" s="91" t="str">
        <f>IF(H22,LOOKUP($A22,PRODUTOS!A$5:A$14,PRODUTOS!B$5:B$14),"")</f>
        <v xml:space="preserve">Memória Ram 64GB DDR5 </v>
      </c>
      <c r="C22" s="92">
        <v>1</v>
      </c>
      <c r="D22" s="93" t="str">
        <f>IF(H22,LOOKUP($A22,PRODUTOS!A$5:A$14,PRODUTOS!C$5:C$14),"")</f>
        <v>PÇ</v>
      </c>
      <c r="E22" s="94">
        <f>IF(H22,LOOKUP($A22,PRODUTOS!A$5:A$14,PRODUTOS!D$5:D$14),"")</f>
        <v>2000</v>
      </c>
      <c r="F22" s="95">
        <f t="shared" si="0"/>
        <v>2000</v>
      </c>
      <c r="G22" s="96" t="str">
        <f t="shared" si="3"/>
        <v>LISTAR MAIS</v>
      </c>
      <c r="H22" s="3">
        <f t="shared" si="1"/>
        <v>1</v>
      </c>
      <c r="J22" s="97"/>
      <c r="K22" s="98"/>
      <c r="L22" s="99"/>
      <c r="M22" s="60" t="str">
        <f t="shared" si="4"/>
        <v/>
      </c>
      <c r="N22" s="100" t="str">
        <f t="shared" si="2"/>
        <v/>
      </c>
    </row>
    <row r="23" spans="1:14" ht="17.100000000000001" customHeight="1" x14ac:dyDescent="0.2">
      <c r="A23" s="90" t="s">
        <v>32</v>
      </c>
      <c r="B23" s="91" t="str">
        <f>IF(H23,LOOKUP($A23,PRODUTOS!A$5:A$14,PRODUTOS!B$5:B$14),"")</f>
        <v>SSD 2TB M.2. NVMe</v>
      </c>
      <c r="C23" s="92">
        <v>1</v>
      </c>
      <c r="D23" s="93" t="str">
        <f>IF(H23,LOOKUP($A23,PRODUTOS!A$5:A$14,PRODUTOS!C$5:C$14),"")</f>
        <v>PÇ</v>
      </c>
      <c r="E23" s="94">
        <f>IF(H23,LOOKUP($A23,PRODUTOS!A$5:A$14,PRODUTOS!D$5:D$14),"")</f>
        <v>1176.4705882352941</v>
      </c>
      <c r="F23" s="95">
        <f t="shared" si="0"/>
        <v>1176.4705882352941</v>
      </c>
      <c r="G23" s="96" t="str">
        <f t="shared" si="3"/>
        <v>LISTAR MAIS</v>
      </c>
      <c r="H23" s="3">
        <f t="shared" si="1"/>
        <v>1</v>
      </c>
      <c r="J23" s="97"/>
      <c r="K23" s="98"/>
      <c r="L23" s="99"/>
      <c r="M23" s="60" t="str">
        <f t="shared" si="4"/>
        <v/>
      </c>
      <c r="N23" s="100" t="str">
        <f t="shared" si="2"/>
        <v/>
      </c>
    </row>
    <row r="24" spans="1:14" ht="17.100000000000001" customHeight="1" x14ac:dyDescent="0.2">
      <c r="A24" s="90"/>
      <c r="B24" s="91" t="str">
        <f>IF(H24,LOOKUP($A24,PRODUTOS!A$5:A$14,PRODUTOS!B$5:B$14),"")</f>
        <v/>
      </c>
      <c r="C24" s="92"/>
      <c r="D24" s="93" t="str">
        <f>IF(H24,LOOKUP($A24,PRODUTOS!A$5:A$14,PRODUTOS!C$5:C$14),"")</f>
        <v/>
      </c>
      <c r="E24" s="94" t="str">
        <f>IF(H24,LOOKUP($A24,PRODUTOS!A$5:A$14,PRODUTOS!D$5:D$14),"")</f>
        <v/>
      </c>
      <c r="F24" s="95" t="str">
        <f t="shared" si="0"/>
        <v/>
      </c>
      <c r="G24" s="96" t="str">
        <f t="shared" si="3"/>
        <v>LISTAR MAIS</v>
      </c>
      <c r="H24" s="3">
        <f t="shared" si="1"/>
        <v>0</v>
      </c>
      <c r="J24" s="97"/>
      <c r="K24" s="98"/>
      <c r="L24" s="99"/>
      <c r="M24" s="60" t="str">
        <f t="shared" si="4"/>
        <v/>
      </c>
      <c r="N24" s="100" t="str">
        <f t="shared" si="2"/>
        <v/>
      </c>
    </row>
    <row r="25" spans="1:14" ht="17.100000000000001" customHeight="1" x14ac:dyDescent="0.2">
      <c r="A25" s="90" t="s">
        <v>34</v>
      </c>
      <c r="B25" s="91" t="str">
        <f>IF(H25,LOOKUP($A25,PRODUTOS!A$5:A$14,PRODUTOS!B$5:B$14),"")</f>
        <v>Placa de Vídeo RTX 4090 24GB</v>
      </c>
      <c r="C25" s="92">
        <v>1</v>
      </c>
      <c r="D25" s="93" t="str">
        <f>IF(H25,LOOKUP($A25,PRODUTOS!A$5:A$14,PRODUTOS!C$5:C$14),"")</f>
        <v>PÇ</v>
      </c>
      <c r="E25" s="94">
        <f>IF(H25,LOOKUP($A25,PRODUTOS!A$5:A$14,PRODUTOS!D$5:D$14),"")</f>
        <v>17647.058823529413</v>
      </c>
      <c r="F25" s="95">
        <f t="shared" si="0"/>
        <v>17647.058823529413</v>
      </c>
      <c r="G25" s="96" t="str">
        <f t="shared" si="3"/>
        <v>LISTAR MAIS</v>
      </c>
      <c r="H25" s="3">
        <f t="shared" si="1"/>
        <v>1</v>
      </c>
      <c r="J25" s="97"/>
      <c r="K25" s="98"/>
      <c r="L25" s="99"/>
      <c r="M25" s="60" t="str">
        <f t="shared" si="4"/>
        <v/>
      </c>
      <c r="N25" s="100" t="str">
        <f t="shared" si="2"/>
        <v/>
      </c>
    </row>
    <row r="26" spans="1:14" ht="16.5" customHeight="1" x14ac:dyDescent="0.2">
      <c r="A26" s="90" t="s">
        <v>35</v>
      </c>
      <c r="B26" s="91" t="str">
        <f>IF(H26,LOOKUP($A26,PRODUTOS!A$5:A$14,PRODUTOS!B$5:B$14),"")</f>
        <v>Water Cooler 360mm</v>
      </c>
      <c r="C26" s="92">
        <v>1</v>
      </c>
      <c r="D26" s="93" t="str">
        <f>IF(H26,LOOKUP($A26,PRODUTOS!A$5:A$14,PRODUTOS!C$5:C$14),"")</f>
        <v>PÇ</v>
      </c>
      <c r="E26" s="94">
        <f>IF(H26,LOOKUP($A26,PRODUTOS!A$5:A$14,PRODUTOS!D$5:D$14),"")</f>
        <v>1176.4705882352941</v>
      </c>
      <c r="F26" s="95">
        <f t="shared" si="0"/>
        <v>1176.4705882352941</v>
      </c>
      <c r="G26" s="96" t="str">
        <f t="shared" si="3"/>
        <v>LISTAR MAIS</v>
      </c>
      <c r="H26" s="3">
        <f t="shared" si="1"/>
        <v>1</v>
      </c>
      <c r="J26" s="97"/>
      <c r="K26" s="98"/>
      <c r="L26" s="99"/>
      <c r="M26" s="60" t="str">
        <f t="shared" si="4"/>
        <v/>
      </c>
      <c r="N26" s="100" t="str">
        <f t="shared" si="2"/>
        <v/>
      </c>
    </row>
    <row r="27" spans="1:14" ht="17.100000000000001" customHeight="1" x14ac:dyDescent="0.2">
      <c r="A27" s="90"/>
      <c r="B27" s="91" t="str">
        <f>IF(H27,LOOKUP($A27,PRODUTOS!A$5:A$14,PRODUTOS!B$5:B$14),"")</f>
        <v/>
      </c>
      <c r="C27" s="92"/>
      <c r="D27" s="93" t="str">
        <f>IF(H27,LOOKUP($A27,PRODUTOS!A$5:A$14,PRODUTOS!C$5:C$14),"")</f>
        <v/>
      </c>
      <c r="E27" s="94" t="str">
        <f>IF(H27,LOOKUP($A27,PRODUTOS!A$5:A$14,PRODUTOS!D$5:D$14),"")</f>
        <v/>
      </c>
      <c r="F27" s="95" t="str">
        <f t="shared" si="0"/>
        <v/>
      </c>
      <c r="G27" s="96" t="str">
        <f t="shared" si="3"/>
        <v>LISTAR MAIS</v>
      </c>
      <c r="H27" s="3">
        <f t="shared" si="1"/>
        <v>0</v>
      </c>
      <c r="J27" s="97"/>
      <c r="K27" s="98"/>
      <c r="L27" s="99"/>
      <c r="M27" s="60" t="str">
        <f t="shared" si="4"/>
        <v/>
      </c>
      <c r="N27" s="100" t="str">
        <f t="shared" si="2"/>
        <v/>
      </c>
    </row>
    <row r="28" spans="1:14" ht="17.100000000000001" customHeight="1" x14ac:dyDescent="0.2">
      <c r="A28" s="90"/>
      <c r="B28" s="91" t="str">
        <f>IF(H28,LOOKUP($A28,PRODUTOS!A$5:A$14,PRODUTOS!B$5:B$14),"")</f>
        <v/>
      </c>
      <c r="C28" s="92"/>
      <c r="D28" s="93" t="str">
        <f>IF(H28,LOOKUP($A28,PRODUTOS!A$5:A$14,PRODUTOS!C$5:C$14),"")</f>
        <v/>
      </c>
      <c r="E28" s="94" t="str">
        <f>IF(H28,LOOKUP($A28,PRODUTOS!A$5:A$14,PRODUTOS!D$5:D$14),"")</f>
        <v/>
      </c>
      <c r="F28" s="95" t="str">
        <f t="shared" si="0"/>
        <v/>
      </c>
      <c r="G28" s="96" t="str">
        <f t="shared" si="3"/>
        <v>LISTAR MAIS</v>
      </c>
      <c r="H28" s="3">
        <f t="shared" si="1"/>
        <v>0</v>
      </c>
      <c r="J28" s="97"/>
      <c r="K28" s="98"/>
      <c r="L28" s="99"/>
      <c r="M28" s="60" t="str">
        <f t="shared" si="4"/>
        <v/>
      </c>
      <c r="N28" s="100" t="str">
        <f t="shared" si="2"/>
        <v/>
      </c>
    </row>
    <row r="29" spans="1:14" ht="17.100000000000001" customHeight="1" x14ac:dyDescent="0.2">
      <c r="A29" s="90"/>
      <c r="B29" s="91" t="str">
        <f>IF(H29,LOOKUP($A29,PRODUTOS!A$5:A$14,PRODUTOS!B$5:B$14),"")</f>
        <v/>
      </c>
      <c r="C29" s="92"/>
      <c r="D29" s="93" t="str">
        <f>IF(H29,LOOKUP($A29,PRODUTOS!A$5:A$14,PRODUTOS!C$5:C$14),"")</f>
        <v/>
      </c>
      <c r="E29" s="94" t="str">
        <f>IF(H29,LOOKUP($A29,PRODUTOS!A$5:A$14,PRODUTOS!D$5:D$14),"")</f>
        <v/>
      </c>
      <c r="F29" s="95" t="str">
        <f t="shared" si="0"/>
        <v/>
      </c>
      <c r="G29" s="96" t="str">
        <f t="shared" si="3"/>
        <v>LISTAR MAIS</v>
      </c>
      <c r="H29" s="3">
        <f t="shared" si="1"/>
        <v>0</v>
      </c>
      <c r="J29" s="97"/>
      <c r="K29" s="98"/>
      <c r="L29" s="99"/>
      <c r="M29" s="60" t="str">
        <f t="shared" si="4"/>
        <v/>
      </c>
      <c r="N29" s="100" t="str">
        <f t="shared" si="2"/>
        <v/>
      </c>
    </row>
    <row r="30" spans="1:14" ht="17.100000000000001" customHeight="1" x14ac:dyDescent="0.2">
      <c r="A30" s="90"/>
      <c r="B30" s="91" t="str">
        <f>IF(H30,LOOKUP($A30,PRODUTOS!A$5:A$14,PRODUTOS!B$5:B$14),"")</f>
        <v/>
      </c>
      <c r="C30" s="92"/>
      <c r="D30" s="93" t="str">
        <f>IF(H30,LOOKUP($A30,PRODUTOS!A$5:A$14,PRODUTOS!C$5:C$14),"")</f>
        <v/>
      </c>
      <c r="E30" s="94" t="str">
        <f>IF(H30,LOOKUP($A30,PRODUTOS!A$5:A$14,PRODUTOS!D$5:D$14),"")</f>
        <v/>
      </c>
      <c r="F30" s="95" t="str">
        <f t="shared" si="0"/>
        <v/>
      </c>
      <c r="G30" s="96" t="str">
        <f t="shared" si="3"/>
        <v>LISTAR MAIS</v>
      </c>
      <c r="H30" s="3">
        <f t="shared" si="1"/>
        <v>0</v>
      </c>
      <c r="J30" s="97"/>
      <c r="K30" s="98"/>
      <c r="L30" s="99"/>
      <c r="M30" s="60" t="str">
        <f t="shared" si="4"/>
        <v/>
      </c>
      <c r="N30" s="100" t="str">
        <f t="shared" si="2"/>
        <v/>
      </c>
    </row>
    <row r="31" spans="1:14" ht="17.100000000000001" customHeight="1" x14ac:dyDescent="0.2">
      <c r="A31" s="90"/>
      <c r="B31" s="91" t="str">
        <f>IF(H31,LOOKUP($A31,PRODUTOS!A$5:A$14,PRODUTOS!B$5:B$14),"")</f>
        <v/>
      </c>
      <c r="C31" s="92"/>
      <c r="D31" s="93" t="str">
        <f>IF(H31,LOOKUP($A31,PRODUTOS!A$5:A$14,PRODUTOS!C$5:C$14),"")</f>
        <v/>
      </c>
      <c r="E31" s="94" t="str">
        <f>IF(H31,LOOKUP($A31,PRODUTOS!A$5:A$14,PRODUTOS!D$5:D$14),"")</f>
        <v/>
      </c>
      <c r="F31" s="95" t="str">
        <f t="shared" si="0"/>
        <v/>
      </c>
      <c r="G31" s="96" t="str">
        <f t="shared" si="3"/>
        <v>LISTAR MAIS</v>
      </c>
      <c r="H31" s="3">
        <f t="shared" si="1"/>
        <v>0</v>
      </c>
      <c r="J31" s="97"/>
      <c r="K31" s="98"/>
      <c r="L31" s="99"/>
      <c r="M31" s="60" t="str">
        <f t="shared" si="4"/>
        <v/>
      </c>
      <c r="N31" s="100" t="str">
        <f t="shared" si="2"/>
        <v/>
      </c>
    </row>
    <row r="32" spans="1:14" ht="17.100000000000001" customHeight="1" x14ac:dyDescent="0.2">
      <c r="A32" s="90"/>
      <c r="B32" s="91" t="str">
        <f>IF(H32,LOOKUP($A32,PRODUTOS!A$5:A$14,PRODUTOS!B$5:B$14),"")</f>
        <v/>
      </c>
      <c r="C32" s="92"/>
      <c r="D32" s="93" t="str">
        <f>IF(H32,LOOKUP($A32,PRODUTOS!A$5:A$14,PRODUTOS!C$5:C$14),"")</f>
        <v/>
      </c>
      <c r="E32" s="94" t="str">
        <f>IF(H32,LOOKUP($A32,PRODUTOS!A$5:A$14,PRODUTOS!D$5:D$14),"")</f>
        <v/>
      </c>
      <c r="F32" s="95" t="str">
        <f t="shared" si="0"/>
        <v/>
      </c>
      <c r="G32" s="96" t="str">
        <f t="shared" si="3"/>
        <v>LISTAR MAIS</v>
      </c>
      <c r="H32" s="3">
        <f t="shared" si="1"/>
        <v>0</v>
      </c>
      <c r="J32" s="153" t="s">
        <v>60</v>
      </c>
      <c r="K32" s="154"/>
      <c r="L32" s="154"/>
      <c r="M32" s="154"/>
      <c r="N32" s="101">
        <f>SUM(N18:N31)</f>
        <v>0</v>
      </c>
    </row>
    <row r="33" spans="1:14" ht="17.100000000000001" customHeight="1" x14ac:dyDescent="0.2">
      <c r="A33" s="90"/>
      <c r="B33" s="91" t="str">
        <f>IF(H33,LOOKUP($A33,PRODUTOS!A$5:A$14,PRODUTOS!B$5:B$14),"")</f>
        <v/>
      </c>
      <c r="C33" s="92"/>
      <c r="D33" s="93" t="str">
        <f>IF(H33,LOOKUP($A33,PRODUTOS!A$5:A$14,PRODUTOS!C$5:C$14),"")</f>
        <v/>
      </c>
      <c r="E33" s="94" t="str">
        <f>IF(H33,LOOKUP($A33,PRODUTOS!A$5:A$14,PRODUTOS!D$5:D$14),"")</f>
        <v/>
      </c>
      <c r="F33" s="95" t="str">
        <f t="shared" si="0"/>
        <v/>
      </c>
      <c r="G33" s="96" t="str">
        <f t="shared" si="3"/>
        <v>LISTAR MAIS</v>
      </c>
      <c r="H33" s="3">
        <f t="shared" si="1"/>
        <v>0</v>
      </c>
      <c r="J33" s="155" t="s">
        <v>61</v>
      </c>
      <c r="K33" s="156"/>
      <c r="L33" s="156"/>
      <c r="M33" s="157"/>
      <c r="N33" s="102">
        <v>0</v>
      </c>
    </row>
    <row r="34" spans="1:14" ht="17.100000000000001" customHeight="1" x14ac:dyDescent="0.2">
      <c r="A34" s="90"/>
      <c r="B34" s="91" t="str">
        <f>IF(H34,LOOKUP($A34,PRODUTOS!A$5:A$14,PRODUTOS!B$5:B$14),"")</f>
        <v/>
      </c>
      <c r="C34" s="92"/>
      <c r="D34" s="93" t="str">
        <f>IF(H34,LOOKUP($A34,PRODUTOS!A$5:A$14,PRODUTOS!C$5:C$14),"")</f>
        <v/>
      </c>
      <c r="E34" s="94" t="str">
        <f>IF(H34,LOOKUP($A34,PRODUTOS!A$5:A$14,PRODUTOS!D$5:D$14),"")</f>
        <v/>
      </c>
      <c r="F34" s="95" t="str">
        <f t="shared" si="0"/>
        <v/>
      </c>
      <c r="G34" s="96" t="str">
        <f t="shared" si="3"/>
        <v>LISTAR MAIS</v>
      </c>
      <c r="H34" s="3">
        <f t="shared" si="1"/>
        <v>0</v>
      </c>
      <c r="J34" s="103" t="s">
        <v>56</v>
      </c>
      <c r="K34" s="104"/>
      <c r="L34" s="104"/>
      <c r="M34" s="104"/>
      <c r="N34" s="105">
        <f>N33+N32</f>
        <v>0</v>
      </c>
    </row>
    <row r="35" spans="1:14" ht="17.100000000000001" customHeight="1" x14ac:dyDescent="0.2">
      <c r="A35" s="90"/>
      <c r="B35" s="91" t="str">
        <f>IF(H35,LOOKUP($A35,PRODUTOS!A$5:A$14,PRODUTOS!B$5:B$14),"")</f>
        <v/>
      </c>
      <c r="C35" s="92"/>
      <c r="D35" s="93" t="str">
        <f>IF(H35,LOOKUP($A35,PRODUTOS!A$5:A$14,PRODUTOS!C$5:C$14),"")</f>
        <v/>
      </c>
      <c r="E35" s="94" t="str">
        <f>IF(H35,LOOKUP($A35,PRODUTOS!A$5:A$14,PRODUTOS!D$5:D$14),"")</f>
        <v/>
      </c>
      <c r="F35" s="95" t="str">
        <f t="shared" si="0"/>
        <v/>
      </c>
      <c r="G35" s="96" t="str">
        <f t="shared" si="3"/>
        <v>LISTAR MAIS</v>
      </c>
      <c r="H35" s="3">
        <f t="shared" si="1"/>
        <v>0</v>
      </c>
    </row>
    <row r="36" spans="1:14" ht="17.100000000000001" customHeight="1" x14ac:dyDescent="0.2">
      <c r="A36" s="90"/>
      <c r="B36" s="91" t="str">
        <f>IF(H36,LOOKUP($A36,PRODUTOS!A$5:A$14,PRODUTOS!B$5:B$14),"")</f>
        <v/>
      </c>
      <c r="C36" s="92"/>
      <c r="D36" s="93" t="str">
        <f>IF(H36,LOOKUP($A36,PRODUTOS!A$5:A$14,PRODUTOS!C$5:C$14),"")</f>
        <v/>
      </c>
      <c r="E36" s="94" t="str">
        <f>IF(H36,LOOKUP($A36,PRODUTOS!A$5:A$14,PRODUTOS!D$5:D$14),"")</f>
        <v/>
      </c>
      <c r="F36" s="95" t="str">
        <f t="shared" si="0"/>
        <v/>
      </c>
      <c r="G36" s="96" t="str">
        <f t="shared" si="3"/>
        <v>LISTAR MAIS</v>
      </c>
      <c r="H36" s="3">
        <f t="shared" si="1"/>
        <v>0</v>
      </c>
      <c r="J36" s="106">
        <v>0</v>
      </c>
      <c r="K36" s="4" t="s">
        <v>62</v>
      </c>
    </row>
    <row r="37" spans="1:14" ht="17.100000000000001" customHeight="1" x14ac:dyDescent="0.2">
      <c r="A37" s="90"/>
      <c r="B37" s="91" t="str">
        <f>IF(H37,LOOKUP($A37,PRODUTOS!A$5:A$14,PRODUTOS!B$5:B$14),"")</f>
        <v/>
      </c>
      <c r="C37" s="92"/>
      <c r="D37" s="93" t="str">
        <f>IF(H37,LOOKUP($A37,PRODUTOS!A$5:A$14,PRODUTOS!C$5:C$14),"")</f>
        <v/>
      </c>
      <c r="E37" s="94" t="str">
        <f>IF(H37,LOOKUP($A37,PRODUTOS!A$5:A$14,PRODUTOS!D$5:D$14),"")</f>
        <v/>
      </c>
      <c r="F37" s="95" t="str">
        <f t="shared" si="0"/>
        <v/>
      </c>
      <c r="G37" s="96" t="str">
        <f t="shared" si="3"/>
        <v>LISTAR MAIS</v>
      </c>
      <c r="H37" s="3">
        <f t="shared" si="1"/>
        <v>0</v>
      </c>
    </row>
    <row r="38" spans="1:14" ht="17.100000000000001" customHeight="1" x14ac:dyDescent="0.2">
      <c r="A38" s="90"/>
      <c r="B38" s="91" t="str">
        <f>IF(H38,LOOKUP($A38,PRODUTOS!A$5:A$14,PRODUTOS!B$5:B$14),"")</f>
        <v/>
      </c>
      <c r="C38" s="92"/>
      <c r="D38" s="93" t="str">
        <f>IF(H38,LOOKUP($A38,PRODUTOS!A$5:A$14,PRODUTOS!C$5:C$14),"")</f>
        <v/>
      </c>
      <c r="E38" s="94" t="str">
        <f>IF(H38,LOOKUP($A38,PRODUTOS!A$5:A$14,PRODUTOS!D$5:D$14),"")</f>
        <v/>
      </c>
      <c r="F38" s="95" t="str">
        <f t="shared" si="0"/>
        <v/>
      </c>
      <c r="G38" s="96" t="str">
        <f t="shared" si="3"/>
        <v>LISTAR MAIS</v>
      </c>
      <c r="H38" s="3">
        <f t="shared" si="1"/>
        <v>0</v>
      </c>
      <c r="J38" s="143" t="s">
        <v>63</v>
      </c>
      <c r="K38" s="143"/>
      <c r="L38" s="143"/>
      <c r="M38" s="143"/>
    </row>
    <row r="39" spans="1:14" ht="17.100000000000001" customHeight="1" x14ac:dyDescent="0.2">
      <c r="A39" s="90"/>
      <c r="B39" s="91" t="str">
        <f>IF(H39,LOOKUP($A39,PRODUTOS!A$5:A$14,PRODUTOS!B$5:B$14),"")</f>
        <v/>
      </c>
      <c r="C39" s="92"/>
      <c r="D39" s="93" t="str">
        <f>IF(H39,LOOKUP($A39,PRODUTOS!A$5:A$14,PRODUTOS!C$5:C$14),"")</f>
        <v/>
      </c>
      <c r="E39" s="94" t="str">
        <f>IF(H39,LOOKUP($A39,PRODUTOS!A$5:A$14,PRODUTOS!D$5:D$14),"")</f>
        <v/>
      </c>
      <c r="F39" s="95" t="str">
        <f t="shared" si="0"/>
        <v/>
      </c>
      <c r="G39" s="96" t="str">
        <f t="shared" si="3"/>
        <v>LISTAR MAIS</v>
      </c>
      <c r="H39" s="3">
        <f t="shared" si="1"/>
        <v>0</v>
      </c>
      <c r="J39" s="143" t="s">
        <v>64</v>
      </c>
      <c r="K39" s="143"/>
      <c r="L39" s="143"/>
      <c r="M39" s="143"/>
    </row>
    <row r="40" spans="1:14" ht="17.100000000000001" customHeight="1" x14ac:dyDescent="0.2">
      <c r="A40" s="90"/>
      <c r="B40" s="91" t="str">
        <f>IF(H40,LOOKUP($A40,PRODUTOS!A$5:A$14,PRODUTOS!B$5:B$14),"")</f>
        <v/>
      </c>
      <c r="C40" s="92"/>
      <c r="D40" s="93" t="str">
        <f>IF(H40,LOOKUP($A40,PRODUTOS!A$5:A$14,PRODUTOS!C$5:C$14),"")</f>
        <v/>
      </c>
      <c r="E40" s="94" t="str">
        <f>IF(H40,LOOKUP($A40,PRODUTOS!A$5:A$14,PRODUTOS!D$5:D$14),"")</f>
        <v/>
      </c>
      <c r="F40" s="95" t="str">
        <f t="shared" si="0"/>
        <v/>
      </c>
      <c r="G40" s="96" t="str">
        <f t="shared" si="3"/>
        <v>LISTAR MAIS</v>
      </c>
      <c r="H40" s="3">
        <f t="shared" si="1"/>
        <v>0</v>
      </c>
      <c r="J40" s="143" t="s">
        <v>65</v>
      </c>
      <c r="K40" s="143"/>
      <c r="L40" s="143"/>
      <c r="M40" s="143"/>
    </row>
    <row r="41" spans="1:14" ht="17.100000000000001" customHeight="1" x14ac:dyDescent="0.2">
      <c r="A41" s="90"/>
      <c r="B41" s="91" t="str">
        <f>IF(H41,LOOKUP($A41,PRODUTOS!A$5:A$14,PRODUTOS!B$5:B$14),"")</f>
        <v/>
      </c>
      <c r="C41" s="92"/>
      <c r="D41" s="93" t="str">
        <f>IF(H41,LOOKUP($A41,PRODUTOS!A$5:A$14,PRODUTOS!C$5:C$14),"")</f>
        <v/>
      </c>
      <c r="E41" s="94" t="str">
        <f>IF(H41,LOOKUP($A41,PRODUTOS!A$5:A$14,PRODUTOS!D$5:D$14),"")</f>
        <v/>
      </c>
      <c r="F41" s="95" t="str">
        <f t="shared" si="0"/>
        <v/>
      </c>
      <c r="G41" s="96" t="str">
        <f t="shared" si="3"/>
        <v>LISTAR MAIS</v>
      </c>
      <c r="H41" s="3">
        <f t="shared" si="1"/>
        <v>0</v>
      </c>
    </row>
    <row r="42" spans="1:14" ht="16.5" customHeight="1" x14ac:dyDescent="0.2">
      <c r="A42" s="90"/>
      <c r="B42" s="91" t="str">
        <f>IF(H42,LOOKUP($A42,PRODUTOS!A$5:A$14,PRODUTOS!B$5:B$14),"")</f>
        <v/>
      </c>
      <c r="C42" s="92"/>
      <c r="D42" s="93" t="str">
        <f>IF(H42,LOOKUP($A42,PRODUTOS!A$5:A$14,PRODUTOS!C$5:C$14),"")</f>
        <v/>
      </c>
      <c r="E42" s="94" t="str">
        <f>IF(H42,LOOKUP($A42,PRODUTOS!A$5:A$14,PRODUTOS!D$5:D$14),"")</f>
        <v/>
      </c>
      <c r="F42" s="95" t="str">
        <f t="shared" si="0"/>
        <v/>
      </c>
      <c r="G42" s="96" t="str">
        <f t="shared" si="3"/>
        <v>LISTAR MAIS</v>
      </c>
      <c r="H42" s="3">
        <f t="shared" si="1"/>
        <v>0</v>
      </c>
      <c r="J42" s="144" t="s">
        <v>66</v>
      </c>
      <c r="K42" s="145"/>
    </row>
    <row r="43" spans="1:14" ht="5.65" customHeight="1" x14ac:dyDescent="0.2">
      <c r="A43" s="107"/>
      <c r="B43" s="62"/>
      <c r="C43" s="63"/>
      <c r="D43" s="62"/>
      <c r="E43" s="61"/>
      <c r="F43" s="108"/>
      <c r="J43" s="109"/>
      <c r="K43" s="110"/>
    </row>
    <row r="44" spans="1:14" ht="17.100000000000001" customHeight="1" x14ac:dyDescent="0.25">
      <c r="A44" s="111" t="s">
        <v>67</v>
      </c>
      <c r="B44" s="112"/>
      <c r="C44" s="113"/>
      <c r="D44" s="113"/>
      <c r="E44" s="114" t="str">
        <f>_xlfn.CONCAT("12x de R$", ROUND((((F44+J36))/12), 2))</f>
        <v>12x de R$3346,22</v>
      </c>
      <c r="F44" s="115">
        <f>SUM(F18:F42)/77%</f>
        <v>40154.69824293354</v>
      </c>
      <c r="J44" s="116">
        <f>J45/2</f>
        <v>0.115</v>
      </c>
      <c r="K44" s="117">
        <f>J44*F$44</f>
        <v>4617.7902979373575</v>
      </c>
    </row>
    <row r="45" spans="1:14" ht="17.100000000000001" customHeight="1" x14ac:dyDescent="0.2">
      <c r="A45" s="118" t="s">
        <v>68</v>
      </c>
      <c r="B45" s="119"/>
      <c r="C45" s="120"/>
      <c r="D45" s="119"/>
      <c r="E45" s="121"/>
      <c r="F45" s="122">
        <f>K45</f>
        <v>9235.5805958747151</v>
      </c>
      <c r="J45" s="123">
        <v>0.23</v>
      </c>
      <c r="K45" s="124">
        <f>J45*F$44</f>
        <v>9235.5805958747151</v>
      </c>
    </row>
    <row r="46" spans="1:14" ht="17.100000000000001" customHeight="1" x14ac:dyDescent="0.2">
      <c r="A46" s="118" t="s">
        <v>69</v>
      </c>
      <c r="B46" s="119"/>
      <c r="C46" s="120"/>
      <c r="D46" s="119"/>
      <c r="E46" s="125"/>
      <c r="F46" s="126">
        <f>F44-F45</f>
        <v>30919.117647058825</v>
      </c>
      <c r="J46" s="116">
        <v>0.05</v>
      </c>
      <c r="K46" s="117">
        <f>J46*F$44</f>
        <v>2007.7349121466771</v>
      </c>
    </row>
    <row r="47" spans="1:14" ht="17.100000000000001" customHeight="1" x14ac:dyDescent="0.2">
      <c r="A47" s="127" t="s">
        <v>70</v>
      </c>
      <c r="B47" s="128"/>
      <c r="C47" s="129"/>
      <c r="D47" s="128"/>
      <c r="E47" s="130"/>
      <c r="F47" s="131">
        <f>N34</f>
        <v>0</v>
      </c>
    </row>
    <row r="48" spans="1:14" s="10" customFormat="1" ht="22.7" customHeight="1" x14ac:dyDescent="0.2">
      <c r="A48" s="132" t="s">
        <v>71</v>
      </c>
      <c r="B48" s="133"/>
      <c r="C48" s="134"/>
      <c r="D48" s="133"/>
      <c r="E48" s="135"/>
      <c r="F48" s="136">
        <f>SUM(F46:F47)</f>
        <v>30919.117647058825</v>
      </c>
      <c r="J48" s="3"/>
      <c r="K48" s="3"/>
    </row>
    <row r="49" spans="1:6" ht="22.7" customHeight="1" x14ac:dyDescent="0.2"/>
    <row r="50" spans="1:6" s="77" customFormat="1" ht="22.7" customHeight="1" x14ac:dyDescent="0.2">
      <c r="A50" s="71" t="s">
        <v>72</v>
      </c>
      <c r="B50" s="75"/>
      <c r="C50" s="76"/>
      <c r="D50" s="75"/>
    </row>
    <row r="51" spans="1:6" ht="70.900000000000006" customHeight="1" x14ac:dyDescent="0.2">
      <c r="A51" s="146" t="s">
        <v>73</v>
      </c>
      <c r="B51" s="147"/>
      <c r="C51" s="147"/>
      <c r="D51" s="147"/>
      <c r="E51" s="147"/>
      <c r="F51" s="148"/>
    </row>
    <row r="52" spans="1:6" ht="22.7" customHeight="1" x14ac:dyDescent="0.2"/>
    <row r="53" spans="1:6" ht="17.100000000000001" customHeight="1" x14ac:dyDescent="0.2">
      <c r="A53" s="3" t="str">
        <f ca="1">C3&amp;", "&amp;LOWER(TEXT(C4,"DD"" de ""MMMM"" de ""AAAA"))&amp;"."</f>
        <v>Belo Horizonte, 30 de março de 2025.</v>
      </c>
    </row>
    <row r="54" spans="1:6" ht="17.100000000000001" customHeight="1" x14ac:dyDescent="0.2"/>
    <row r="55" spans="1:6" ht="17.100000000000001" customHeight="1" x14ac:dyDescent="0.2">
      <c r="A55" s="137"/>
      <c r="B55" s="138"/>
    </row>
    <row r="56" spans="1:6" ht="17.100000000000001" customHeight="1" x14ac:dyDescent="0.2">
      <c r="A56" s="139" t="str">
        <f>TRIM(C5)</f>
        <v>Tonny Heringer</v>
      </c>
    </row>
    <row r="57" spans="1:6" ht="12.75" customHeight="1" x14ac:dyDescent="0.2">
      <c r="A57" s="3" t="str">
        <f>TRIM(C6)</f>
        <v>thinform@gmail.com</v>
      </c>
    </row>
  </sheetData>
  <mergeCells count="17">
    <mergeCell ref="C6:F6"/>
    <mergeCell ref="E10:F10"/>
    <mergeCell ref="E11:F11"/>
    <mergeCell ref="A1:F1"/>
    <mergeCell ref="D2:F2"/>
    <mergeCell ref="C3:F3"/>
    <mergeCell ref="C4:F4"/>
    <mergeCell ref="C5:F5"/>
    <mergeCell ref="J40:M40"/>
    <mergeCell ref="J42:K42"/>
    <mergeCell ref="A51:F51"/>
    <mergeCell ref="E12:F13"/>
    <mergeCell ref="J14:N14"/>
    <mergeCell ref="J32:M32"/>
    <mergeCell ref="J33:M33"/>
    <mergeCell ref="J38:M38"/>
    <mergeCell ref="J39:M39"/>
  </mergeCells>
  <hyperlinks>
    <hyperlink ref="C6" r:id="rId1" xr:uid="{69A7885D-DDFB-4EA3-8641-5F2EEC1CE263}"/>
  </hyperlinks>
  <pageMargins left="0.59055118110236227" right="0.59055118110236227" top="1.2204724409448819" bottom="0.39370078740157483" header="0.59055118110236227" footer="0.51181102362204722"/>
  <pageSetup paperSize="9" scale="78" orientation="portrait" horizontalDpi="300" verticalDpi="300" r:id="rId2"/>
  <headerFooter scaleWithDoc="0">
    <oddHeader>&amp;L&amp;"Arial,Negrito"&amp;20THINFORMA - &amp;16CNPJ: 49.347.548/0001-00 &amp;8
&amp;"Arial,Normal"Rua Tenerife, Nº 407 - JARDIM ATLÂNTICO
31.550-220, BELO HORIZONTE, MG - WHATSAPP: (31) 99243-1019 - SITE: http://www.thinforma.com.br</oddHeader>
  </headerFooter>
  <colBreaks count="1" manualBreakCount="1">
    <brk id="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CLIENTES</vt:lpstr>
      <vt:lpstr>PRODUTOS</vt:lpstr>
      <vt:lpstr>ORCAMENTOS</vt:lpstr>
      <vt:lpstr>ORCAMENTOS!Area_de_impressao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 Carlos Sanglard Heringer</dc:creator>
  <cp:lastModifiedBy>Antônio Carlos Sanglard Heringer</cp:lastModifiedBy>
  <cp:lastPrinted>2025-03-30T21:10:25Z</cp:lastPrinted>
  <dcterms:created xsi:type="dcterms:W3CDTF">2025-03-30T21:04:44Z</dcterms:created>
  <dcterms:modified xsi:type="dcterms:W3CDTF">2025-03-30T21:28:36Z</dcterms:modified>
</cp:coreProperties>
</file>