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codeName="ThisWorkbook" defaultThemeVersion="166925"/>
  <mc:AlternateContent xmlns:mc="http://schemas.openxmlformats.org/markup-compatibility/2006">
    <mc:Choice Requires="x15">
      <x15ac:absPath xmlns:x15ac="http://schemas.microsoft.com/office/spreadsheetml/2010/11/ac" url="C:\Users\pooja\COURSES_COLLEGE\FINC_525_financial_modelling\project\"/>
    </mc:Choice>
  </mc:AlternateContent>
  <xr:revisionPtr revIDLastSave="0" documentId="8_{6EFFB684-5C2A-4AF6-A4B3-F32A603ABDF7}" xr6:coauthVersionLast="47" xr6:coauthVersionMax="47" xr10:uidLastSave="{00000000-0000-0000-0000-000000000000}"/>
  <bookViews>
    <workbookView xWindow="-108" yWindow="-108" windowWidth="23256" windowHeight="12576" xr2:uid="{8A13886B-644D-4EF6-BA32-43EF04ACF84E}"/>
  </bookViews>
  <sheets>
    <sheet name="BAC__Balance sheet " sheetId="1" r:id="rId1"/>
    <sheet name="BAC_Income_statement" sheetId="2" r:id="rId2"/>
    <sheet name="Ratio_valuation" sheetId="15" r:id="rId3"/>
    <sheet name="CITI_PE10 YEARS" sheetId="16" r:id="rId4"/>
    <sheet name="BAC_Cash_flow_statement" sheetId="3" r:id="rId5"/>
    <sheet name="VALUATION_OF BAC _ON_CF" sheetId="11" r:id="rId6"/>
    <sheet name="EV_to_mktcap" sheetId="13" r:id="rId7"/>
    <sheet name="CITI_blance sheet" sheetId="4" r:id="rId8"/>
    <sheet name="CITI_net_debt" sheetId="17" r:id="rId9"/>
    <sheet name="CITI_statement_of_income" sheetId="5" r:id="rId10"/>
    <sheet name="CITI_cash_flow" sheetId="6" r:id="rId11"/>
    <sheet name="CITI_Valuation_FCF" sheetId="14" r:id="rId12"/>
    <sheet name="task1_wacc_final" sheetId="8" r:id="rId13"/>
    <sheet name="task1_rf" sheetId="9" r:id="rId14"/>
    <sheet name="task1_erm" sheetId="10"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K2" i="11" l="1"/>
  <c r="B2" i="11"/>
  <c r="B8" i="11" s="1"/>
  <c r="H28" i="3"/>
  <c r="I28" i="3"/>
  <c r="G28" i="3"/>
  <c r="K3" i="14"/>
  <c r="B3" i="14"/>
  <c r="N28" i="6"/>
  <c r="O28" i="6"/>
  <c r="M28" i="6"/>
  <c r="L30" i="6" s="1"/>
  <c r="L32" i="6" s="1"/>
  <c r="K9" i="14" s="1"/>
  <c r="K5" i="11"/>
  <c r="N29" i="6"/>
  <c r="O29" i="6"/>
  <c r="M29" i="6"/>
  <c r="D24" i="17"/>
  <c r="D22" i="17"/>
  <c r="C22" i="17"/>
  <c r="C24" i="17" s="1"/>
  <c r="B22" i="17"/>
  <c r="D11" i="17"/>
  <c r="C11" i="17"/>
  <c r="B11" i="17"/>
  <c r="F4" i="8"/>
  <c r="F36" i="8"/>
  <c r="R52" i="8"/>
  <c r="B52" i="8"/>
  <c r="R19" i="8"/>
  <c r="B19" i="8"/>
  <c r="J13" i="15"/>
  <c r="C13" i="15"/>
  <c r="J15" i="15"/>
  <c r="C15" i="15"/>
  <c r="U2" i="16"/>
  <c r="S2" i="16"/>
  <c r="J34" i="15"/>
  <c r="H2" i="16"/>
  <c r="J32" i="15"/>
  <c r="C34" i="15"/>
  <c r="E1" i="16"/>
  <c r="C32" i="15"/>
  <c r="J4" i="15"/>
  <c r="C4" i="15"/>
  <c r="C63" i="8"/>
  <c r="P11" i="14"/>
  <c r="O11" i="14"/>
  <c r="N11" i="14"/>
  <c r="M11" i="14"/>
  <c r="L11" i="14"/>
  <c r="G11" i="14"/>
  <c r="F11" i="14"/>
  <c r="E11" i="14"/>
  <c r="D11" i="14"/>
  <c r="C11" i="14"/>
  <c r="L31" i="6"/>
  <c r="M30" i="6"/>
  <c r="N30" i="6"/>
  <c r="N32" i="6" s="1"/>
  <c r="M32" i="6"/>
  <c r="M31" i="6"/>
  <c r="N31" i="6"/>
  <c r="D64" i="6"/>
  <c r="E64" i="6"/>
  <c r="C64" i="6"/>
  <c r="B6" i="13"/>
  <c r="B5" i="13"/>
  <c r="K17" i="11"/>
  <c r="K16" i="11"/>
  <c r="H30" i="3"/>
  <c r="I30" i="3"/>
  <c r="G30" i="3"/>
  <c r="K8" i="11" s="1"/>
  <c r="H29" i="3"/>
  <c r="I29" i="3"/>
  <c r="G29" i="3"/>
  <c r="D65" i="3"/>
  <c r="D64" i="3"/>
  <c r="C64" i="3"/>
  <c r="B64" i="3"/>
  <c r="D63" i="3"/>
  <c r="C63" i="3"/>
  <c r="C65" i="3" s="1"/>
  <c r="B63" i="3"/>
  <c r="B65" i="3" s="1"/>
  <c r="B24" i="17" l="1"/>
  <c r="C17" i="15"/>
  <c r="J17" i="15"/>
  <c r="J36" i="15"/>
  <c r="C36" i="15"/>
  <c r="L9" i="14"/>
  <c r="L14" i="14" s="1"/>
  <c r="B9" i="14"/>
  <c r="C9" i="14" s="1"/>
  <c r="C12" i="14" s="1"/>
  <c r="L8" i="11"/>
  <c r="C14" i="14" l="1"/>
  <c r="D9" i="14"/>
  <c r="E9" i="14" s="1"/>
  <c r="M9" i="14"/>
  <c r="N9" i="14" s="1"/>
  <c r="L12" i="14"/>
  <c r="L13" i="11"/>
  <c r="M8" i="11"/>
  <c r="N8" i="11" s="1"/>
  <c r="M13" i="11" l="1"/>
  <c r="D14" i="14"/>
  <c r="D12" i="14"/>
  <c r="M14" i="14"/>
  <c r="M12" i="14"/>
  <c r="F9" i="14"/>
  <c r="E14" i="14"/>
  <c r="E12" i="14"/>
  <c r="N12" i="14"/>
  <c r="O9" i="14"/>
  <c r="N14" i="14"/>
  <c r="N13" i="11"/>
  <c r="O8" i="11"/>
  <c r="O12" i="14" l="1"/>
  <c r="P9" i="14"/>
  <c r="O14" i="14"/>
  <c r="F14" i="14"/>
  <c r="G9" i="14"/>
  <c r="F12" i="14"/>
  <c r="P8" i="11"/>
  <c r="O13" i="11"/>
  <c r="P12" i="14" l="1"/>
  <c r="G12" i="14"/>
  <c r="P12" i="11"/>
  <c r="P13" i="11" s="1"/>
  <c r="K15" i="11" s="1"/>
  <c r="C6" i="13" l="1"/>
  <c r="D6" i="13" s="1"/>
  <c r="K18" i="11"/>
  <c r="K19" i="11" s="1"/>
  <c r="E20" i="3" l="1"/>
  <c r="C8" i="11"/>
  <c r="C13" i="11" s="1"/>
  <c r="C60" i="3"/>
  <c r="D60" i="3"/>
  <c r="B60" i="3"/>
  <c r="E51" i="3"/>
  <c r="D8" i="11" l="1"/>
  <c r="D13" i="11" s="1"/>
  <c r="E8" i="11" l="1"/>
  <c r="E13" i="11" s="1"/>
  <c r="F8" i="11" l="1"/>
  <c r="F13" i="11" s="1"/>
  <c r="G8" i="11" l="1"/>
  <c r="R62" i="8" l="1"/>
  <c r="R61" i="8"/>
  <c r="R60" i="8"/>
  <c r="R55" i="8"/>
  <c r="R53" i="8"/>
  <c r="R54" i="8" s="1"/>
  <c r="R38" i="8"/>
  <c r="R37" i="8"/>
  <c r="V36" i="8"/>
  <c r="S44" i="8"/>
  <c r="R44" i="8"/>
  <c r="S42" i="8"/>
  <c r="R42" i="8"/>
  <c r="B62" i="8"/>
  <c r="B60" i="8"/>
  <c r="B55" i="8"/>
  <c r="B53" i="8"/>
  <c r="B54" i="8" s="1"/>
  <c r="I22" i="4"/>
  <c r="I24" i="4" s="1"/>
  <c r="B18" i="14" s="1"/>
  <c r="J22" i="4"/>
  <c r="J24" i="4" s="1"/>
  <c r="H22" i="4"/>
  <c r="H24" i="4" s="1"/>
  <c r="K18" i="14" s="1"/>
  <c r="I11" i="4"/>
  <c r="B17" i="14" s="1"/>
  <c r="J11" i="4"/>
  <c r="H11" i="4"/>
  <c r="K17" i="14" s="1"/>
  <c r="C44" i="8"/>
  <c r="B44" i="8"/>
  <c r="C42" i="8"/>
  <c r="B42" i="8"/>
  <c r="B37" i="8"/>
  <c r="B61" i="8" s="1"/>
  <c r="R56" i="8" l="1"/>
  <c r="R63" i="8" s="1"/>
  <c r="B56" i="8"/>
  <c r="B63" i="8" s="1"/>
  <c r="G70" i="8" l="1"/>
  <c r="J25" i="15" s="1"/>
  <c r="J27" i="15" s="1"/>
  <c r="K6" i="14"/>
  <c r="P13" i="14" s="1"/>
  <c r="P14" i="14" s="1"/>
  <c r="K16" i="14" s="1"/>
  <c r="K19" i="14" s="1"/>
  <c r="K20" i="14" s="1"/>
  <c r="B6" i="14"/>
  <c r="F70" i="8"/>
  <c r="C25" i="15" s="1"/>
  <c r="C27" i="15" s="1"/>
  <c r="R23" i="8"/>
  <c r="R22" i="8"/>
  <c r="R21" i="8"/>
  <c r="R20" i="8"/>
  <c r="S11" i="8"/>
  <c r="R11" i="8"/>
  <c r="S9" i="8"/>
  <c r="R9" i="8"/>
  <c r="R13" i="8" s="1"/>
  <c r="R5" i="8"/>
  <c r="R28" i="8" s="1"/>
  <c r="R4" i="8"/>
  <c r="W4" i="8"/>
  <c r="U3" i="8" s="1"/>
  <c r="F3" i="8"/>
  <c r="B22" i="8"/>
  <c r="B20" i="8"/>
  <c r="B21" i="8" s="1"/>
  <c r="B23" i="8" s="1"/>
  <c r="O11" i="10"/>
  <c r="O10" i="10"/>
  <c r="K253" i="10"/>
  <c r="J253" i="10"/>
  <c r="I253" i="10"/>
  <c r="H253" i="10"/>
  <c r="G253" i="10"/>
  <c r="F253" i="10"/>
  <c r="K252" i="10"/>
  <c r="J252" i="10"/>
  <c r="I252" i="10"/>
  <c r="H252" i="10"/>
  <c r="G252" i="10"/>
  <c r="F252" i="10"/>
  <c r="K251" i="10"/>
  <c r="J251" i="10"/>
  <c r="I251" i="10"/>
  <c r="H251" i="10"/>
  <c r="G251" i="10"/>
  <c r="F251" i="10"/>
  <c r="K250" i="10"/>
  <c r="J250" i="10"/>
  <c r="I250" i="10"/>
  <c r="H250" i="10"/>
  <c r="G250" i="10"/>
  <c r="F250" i="10"/>
  <c r="K249" i="10"/>
  <c r="J249" i="10"/>
  <c r="I249" i="10"/>
  <c r="H249" i="10"/>
  <c r="G249" i="10"/>
  <c r="F249" i="10"/>
  <c r="K248" i="10"/>
  <c r="J248" i="10"/>
  <c r="I248" i="10"/>
  <c r="H248" i="10"/>
  <c r="G248" i="10"/>
  <c r="F248" i="10"/>
  <c r="K247" i="10"/>
  <c r="J247" i="10"/>
  <c r="I247" i="10"/>
  <c r="H247" i="10"/>
  <c r="G247" i="10"/>
  <c r="F247" i="10"/>
  <c r="K246" i="10"/>
  <c r="J246" i="10"/>
  <c r="I246" i="10"/>
  <c r="H246" i="10"/>
  <c r="G246" i="10"/>
  <c r="F246" i="10"/>
  <c r="K245" i="10"/>
  <c r="J245" i="10"/>
  <c r="I245" i="10"/>
  <c r="H245" i="10"/>
  <c r="G245" i="10"/>
  <c r="F245" i="10"/>
  <c r="K244" i="10"/>
  <c r="J244" i="10"/>
  <c r="I244" i="10"/>
  <c r="H244" i="10"/>
  <c r="G244" i="10"/>
  <c r="F244" i="10"/>
  <c r="K243" i="10"/>
  <c r="J243" i="10"/>
  <c r="I243" i="10"/>
  <c r="H243" i="10"/>
  <c r="G243" i="10"/>
  <c r="F243" i="10"/>
  <c r="K242" i="10"/>
  <c r="J242" i="10"/>
  <c r="I242" i="10"/>
  <c r="H242" i="10"/>
  <c r="G242" i="10"/>
  <c r="F242" i="10"/>
  <c r="K241" i="10"/>
  <c r="J241" i="10"/>
  <c r="I241" i="10"/>
  <c r="H241" i="10"/>
  <c r="G241" i="10"/>
  <c r="F241" i="10"/>
  <c r="K240" i="10"/>
  <c r="J240" i="10"/>
  <c r="I240" i="10"/>
  <c r="H240" i="10"/>
  <c r="G240" i="10"/>
  <c r="F240" i="10"/>
  <c r="K239" i="10"/>
  <c r="J239" i="10"/>
  <c r="I239" i="10"/>
  <c r="H239" i="10"/>
  <c r="G239" i="10"/>
  <c r="F239" i="10"/>
  <c r="K238" i="10"/>
  <c r="J238" i="10"/>
  <c r="I238" i="10"/>
  <c r="H238" i="10"/>
  <c r="G238" i="10"/>
  <c r="F238" i="10"/>
  <c r="K237" i="10"/>
  <c r="J237" i="10"/>
  <c r="I237" i="10"/>
  <c r="H237" i="10"/>
  <c r="G237" i="10"/>
  <c r="F237" i="10"/>
  <c r="K236" i="10"/>
  <c r="J236" i="10"/>
  <c r="I236" i="10"/>
  <c r="H236" i="10"/>
  <c r="G236" i="10"/>
  <c r="F236" i="10"/>
  <c r="K235" i="10"/>
  <c r="J235" i="10"/>
  <c r="I235" i="10"/>
  <c r="H235" i="10"/>
  <c r="G235" i="10"/>
  <c r="F235" i="10"/>
  <c r="K234" i="10"/>
  <c r="J234" i="10"/>
  <c r="I234" i="10"/>
  <c r="H234" i="10"/>
  <c r="G234" i="10"/>
  <c r="F234" i="10"/>
  <c r="K233" i="10"/>
  <c r="J233" i="10"/>
  <c r="I233" i="10"/>
  <c r="H233" i="10"/>
  <c r="G233" i="10"/>
  <c r="F233" i="10"/>
  <c r="K232" i="10"/>
  <c r="J232" i="10"/>
  <c r="I232" i="10"/>
  <c r="H232" i="10"/>
  <c r="G232" i="10"/>
  <c r="F232" i="10"/>
  <c r="K231" i="10"/>
  <c r="J231" i="10"/>
  <c r="I231" i="10"/>
  <c r="H231" i="10"/>
  <c r="G231" i="10"/>
  <c r="F231" i="10"/>
  <c r="K230" i="10"/>
  <c r="J230" i="10"/>
  <c r="I230" i="10"/>
  <c r="H230" i="10"/>
  <c r="G230" i="10"/>
  <c r="F230" i="10"/>
  <c r="K229" i="10"/>
  <c r="J229" i="10"/>
  <c r="I229" i="10"/>
  <c r="H229" i="10"/>
  <c r="G229" i="10"/>
  <c r="F229" i="10"/>
  <c r="K228" i="10"/>
  <c r="J228" i="10"/>
  <c r="I228" i="10"/>
  <c r="H228" i="10"/>
  <c r="G228" i="10"/>
  <c r="F228" i="10"/>
  <c r="K227" i="10"/>
  <c r="J227" i="10"/>
  <c r="I227" i="10"/>
  <c r="H227" i="10"/>
  <c r="G227" i="10"/>
  <c r="F227" i="10"/>
  <c r="K226" i="10"/>
  <c r="J226" i="10"/>
  <c r="I226" i="10"/>
  <c r="H226" i="10"/>
  <c r="G226" i="10"/>
  <c r="F226" i="10"/>
  <c r="K225" i="10"/>
  <c r="J225" i="10"/>
  <c r="I225" i="10"/>
  <c r="H225" i="10"/>
  <c r="G225" i="10"/>
  <c r="F225" i="10"/>
  <c r="K224" i="10"/>
  <c r="J224" i="10"/>
  <c r="I224" i="10"/>
  <c r="H224" i="10"/>
  <c r="G224" i="10"/>
  <c r="F224" i="10"/>
  <c r="K223" i="10"/>
  <c r="J223" i="10"/>
  <c r="I223" i="10"/>
  <c r="H223" i="10"/>
  <c r="G223" i="10"/>
  <c r="F223" i="10"/>
  <c r="K222" i="10"/>
  <c r="J222" i="10"/>
  <c r="I222" i="10"/>
  <c r="H222" i="10"/>
  <c r="G222" i="10"/>
  <c r="F222" i="10"/>
  <c r="K221" i="10"/>
  <c r="J221" i="10"/>
  <c r="I221" i="10"/>
  <c r="H221" i="10"/>
  <c r="G221" i="10"/>
  <c r="F221" i="10"/>
  <c r="K220" i="10"/>
  <c r="J220" i="10"/>
  <c r="I220" i="10"/>
  <c r="H220" i="10"/>
  <c r="G220" i="10"/>
  <c r="F220" i="10"/>
  <c r="K219" i="10"/>
  <c r="J219" i="10"/>
  <c r="I219" i="10"/>
  <c r="H219" i="10"/>
  <c r="G219" i="10"/>
  <c r="F219" i="10"/>
  <c r="K218" i="10"/>
  <c r="J218" i="10"/>
  <c r="I218" i="10"/>
  <c r="H218" i="10"/>
  <c r="G218" i="10"/>
  <c r="F218" i="10"/>
  <c r="K217" i="10"/>
  <c r="J217" i="10"/>
  <c r="I217" i="10"/>
  <c r="H217" i="10"/>
  <c r="G217" i="10"/>
  <c r="F217" i="10"/>
  <c r="K216" i="10"/>
  <c r="J216" i="10"/>
  <c r="I216" i="10"/>
  <c r="H216" i="10"/>
  <c r="G216" i="10"/>
  <c r="F216" i="10"/>
  <c r="K215" i="10"/>
  <c r="J215" i="10"/>
  <c r="I215" i="10"/>
  <c r="H215" i="10"/>
  <c r="G215" i="10"/>
  <c r="F215" i="10"/>
  <c r="K214" i="10"/>
  <c r="J214" i="10"/>
  <c r="I214" i="10"/>
  <c r="H214" i="10"/>
  <c r="G214" i="10"/>
  <c r="F214" i="10"/>
  <c r="K213" i="10"/>
  <c r="J213" i="10"/>
  <c r="I213" i="10"/>
  <c r="H213" i="10"/>
  <c r="G213" i="10"/>
  <c r="F213" i="10"/>
  <c r="K212" i="10"/>
  <c r="J212" i="10"/>
  <c r="I212" i="10"/>
  <c r="H212" i="10"/>
  <c r="G212" i="10"/>
  <c r="F212" i="10"/>
  <c r="K211" i="10"/>
  <c r="J211" i="10"/>
  <c r="I211" i="10"/>
  <c r="H211" i="10"/>
  <c r="G211" i="10"/>
  <c r="F211" i="10"/>
  <c r="K210" i="10"/>
  <c r="J210" i="10"/>
  <c r="I210" i="10"/>
  <c r="H210" i="10"/>
  <c r="G210" i="10"/>
  <c r="F210" i="10"/>
  <c r="K209" i="10"/>
  <c r="J209" i="10"/>
  <c r="I209" i="10"/>
  <c r="H209" i="10"/>
  <c r="G209" i="10"/>
  <c r="F209" i="10"/>
  <c r="K208" i="10"/>
  <c r="J208" i="10"/>
  <c r="I208" i="10"/>
  <c r="H208" i="10"/>
  <c r="G208" i="10"/>
  <c r="F208" i="10"/>
  <c r="K207" i="10"/>
  <c r="J207" i="10"/>
  <c r="I207" i="10"/>
  <c r="H207" i="10"/>
  <c r="G207" i="10"/>
  <c r="F207" i="10"/>
  <c r="K206" i="10"/>
  <c r="J206" i="10"/>
  <c r="I206" i="10"/>
  <c r="H206" i="10"/>
  <c r="G206" i="10"/>
  <c r="F206" i="10"/>
  <c r="K205" i="10"/>
  <c r="J205" i="10"/>
  <c r="I205" i="10"/>
  <c r="H205" i="10"/>
  <c r="G205" i="10"/>
  <c r="F205" i="10"/>
  <c r="K204" i="10"/>
  <c r="J204" i="10"/>
  <c r="I204" i="10"/>
  <c r="H204" i="10"/>
  <c r="G204" i="10"/>
  <c r="F204" i="10"/>
  <c r="K203" i="10"/>
  <c r="J203" i="10"/>
  <c r="I203" i="10"/>
  <c r="H203" i="10"/>
  <c r="G203" i="10"/>
  <c r="F203" i="10"/>
  <c r="K202" i="10"/>
  <c r="J202" i="10"/>
  <c r="I202" i="10"/>
  <c r="H202" i="10"/>
  <c r="G202" i="10"/>
  <c r="F202" i="10"/>
  <c r="K201" i="10"/>
  <c r="J201" i="10"/>
  <c r="I201" i="10"/>
  <c r="H201" i="10"/>
  <c r="G201" i="10"/>
  <c r="F201" i="10"/>
  <c r="K200" i="10"/>
  <c r="J200" i="10"/>
  <c r="I200" i="10"/>
  <c r="H200" i="10"/>
  <c r="G200" i="10"/>
  <c r="F200" i="10"/>
  <c r="K199" i="10"/>
  <c r="J199" i="10"/>
  <c r="I199" i="10"/>
  <c r="H199" i="10"/>
  <c r="G199" i="10"/>
  <c r="F199" i="10"/>
  <c r="K198" i="10"/>
  <c r="J198" i="10"/>
  <c r="I198" i="10"/>
  <c r="H198" i="10"/>
  <c r="G198" i="10"/>
  <c r="F198" i="10"/>
  <c r="K197" i="10"/>
  <c r="J197" i="10"/>
  <c r="I197" i="10"/>
  <c r="H197" i="10"/>
  <c r="G197" i="10"/>
  <c r="F197" i="10"/>
  <c r="K196" i="10"/>
  <c r="J196" i="10"/>
  <c r="I196" i="10"/>
  <c r="H196" i="10"/>
  <c r="G196" i="10"/>
  <c r="F196" i="10"/>
  <c r="K195" i="10"/>
  <c r="J195" i="10"/>
  <c r="I195" i="10"/>
  <c r="H195" i="10"/>
  <c r="G195" i="10"/>
  <c r="F195" i="10"/>
  <c r="K194" i="10"/>
  <c r="J194" i="10"/>
  <c r="I194" i="10"/>
  <c r="H194" i="10"/>
  <c r="G194" i="10"/>
  <c r="F194" i="10"/>
  <c r="K193" i="10"/>
  <c r="J193" i="10"/>
  <c r="I193" i="10"/>
  <c r="H193" i="10"/>
  <c r="G193" i="10"/>
  <c r="F193" i="10"/>
  <c r="K192" i="10"/>
  <c r="J192" i="10"/>
  <c r="I192" i="10"/>
  <c r="H192" i="10"/>
  <c r="G192" i="10"/>
  <c r="F192" i="10"/>
  <c r="K191" i="10"/>
  <c r="J191" i="10"/>
  <c r="I191" i="10"/>
  <c r="H191" i="10"/>
  <c r="G191" i="10"/>
  <c r="F191" i="10"/>
  <c r="K190" i="10"/>
  <c r="J190" i="10"/>
  <c r="I190" i="10"/>
  <c r="H190" i="10"/>
  <c r="G190" i="10"/>
  <c r="F190" i="10"/>
  <c r="K189" i="10"/>
  <c r="J189" i="10"/>
  <c r="I189" i="10"/>
  <c r="H189" i="10"/>
  <c r="G189" i="10"/>
  <c r="F189" i="10"/>
  <c r="K188" i="10"/>
  <c r="J188" i="10"/>
  <c r="I188" i="10"/>
  <c r="H188" i="10"/>
  <c r="G188" i="10"/>
  <c r="F188" i="10"/>
  <c r="K187" i="10"/>
  <c r="J187" i="10"/>
  <c r="I187" i="10"/>
  <c r="H187" i="10"/>
  <c r="G187" i="10"/>
  <c r="F187" i="10"/>
  <c r="K186" i="10"/>
  <c r="J186" i="10"/>
  <c r="I186" i="10"/>
  <c r="H186" i="10"/>
  <c r="G186" i="10"/>
  <c r="F186" i="10"/>
  <c r="K185" i="10"/>
  <c r="J185" i="10"/>
  <c r="I185" i="10"/>
  <c r="H185" i="10"/>
  <c r="G185" i="10"/>
  <c r="F185" i="10"/>
  <c r="K184" i="10"/>
  <c r="J184" i="10"/>
  <c r="I184" i="10"/>
  <c r="H184" i="10"/>
  <c r="G184" i="10"/>
  <c r="F184" i="10"/>
  <c r="K183" i="10"/>
  <c r="J183" i="10"/>
  <c r="I183" i="10"/>
  <c r="H183" i="10"/>
  <c r="G183" i="10"/>
  <c r="F183" i="10"/>
  <c r="K182" i="10"/>
  <c r="J182" i="10"/>
  <c r="I182" i="10"/>
  <c r="H182" i="10"/>
  <c r="G182" i="10"/>
  <c r="F182" i="10"/>
  <c r="K181" i="10"/>
  <c r="J181" i="10"/>
  <c r="I181" i="10"/>
  <c r="H181" i="10"/>
  <c r="G181" i="10"/>
  <c r="F181" i="10"/>
  <c r="K180" i="10"/>
  <c r="J180" i="10"/>
  <c r="I180" i="10"/>
  <c r="H180" i="10"/>
  <c r="G180" i="10"/>
  <c r="F180" i="10"/>
  <c r="K179" i="10"/>
  <c r="J179" i="10"/>
  <c r="I179" i="10"/>
  <c r="H179" i="10"/>
  <c r="G179" i="10"/>
  <c r="F179" i="10"/>
  <c r="K178" i="10"/>
  <c r="J178" i="10"/>
  <c r="I178" i="10"/>
  <c r="H178" i="10"/>
  <c r="G178" i="10"/>
  <c r="F178" i="10"/>
  <c r="K177" i="10"/>
  <c r="J177" i="10"/>
  <c r="I177" i="10"/>
  <c r="H177" i="10"/>
  <c r="G177" i="10"/>
  <c r="F177" i="10"/>
  <c r="K176" i="10"/>
  <c r="J176" i="10"/>
  <c r="I176" i="10"/>
  <c r="H176" i="10"/>
  <c r="G176" i="10"/>
  <c r="F176" i="10"/>
  <c r="K175" i="10"/>
  <c r="J175" i="10"/>
  <c r="I175" i="10"/>
  <c r="H175" i="10"/>
  <c r="G175" i="10"/>
  <c r="F175" i="10"/>
  <c r="K174" i="10"/>
  <c r="J174" i="10"/>
  <c r="I174" i="10"/>
  <c r="H174" i="10"/>
  <c r="G174" i="10"/>
  <c r="F174" i="10"/>
  <c r="K173" i="10"/>
  <c r="J173" i="10"/>
  <c r="I173" i="10"/>
  <c r="H173" i="10"/>
  <c r="G173" i="10"/>
  <c r="F173" i="10"/>
  <c r="K172" i="10"/>
  <c r="J172" i="10"/>
  <c r="I172" i="10"/>
  <c r="H172" i="10"/>
  <c r="G172" i="10"/>
  <c r="F172" i="10"/>
  <c r="K171" i="10"/>
  <c r="J171" i="10"/>
  <c r="I171" i="10"/>
  <c r="H171" i="10"/>
  <c r="G171" i="10"/>
  <c r="F171" i="10"/>
  <c r="K170" i="10"/>
  <c r="J170" i="10"/>
  <c r="I170" i="10"/>
  <c r="H170" i="10"/>
  <c r="G170" i="10"/>
  <c r="F170" i="10"/>
  <c r="K169" i="10"/>
  <c r="J169" i="10"/>
  <c r="I169" i="10"/>
  <c r="H169" i="10"/>
  <c r="G169" i="10"/>
  <c r="F169" i="10"/>
  <c r="K168" i="10"/>
  <c r="J168" i="10"/>
  <c r="I168" i="10"/>
  <c r="H168" i="10"/>
  <c r="G168" i="10"/>
  <c r="F168" i="10"/>
  <c r="K167" i="10"/>
  <c r="J167" i="10"/>
  <c r="I167" i="10"/>
  <c r="H167" i="10"/>
  <c r="G167" i="10"/>
  <c r="F167" i="10"/>
  <c r="K166" i="10"/>
  <c r="J166" i="10"/>
  <c r="I166" i="10"/>
  <c r="H166" i="10"/>
  <c r="G166" i="10"/>
  <c r="F166" i="10"/>
  <c r="K165" i="10"/>
  <c r="J165" i="10"/>
  <c r="I165" i="10"/>
  <c r="H165" i="10"/>
  <c r="G165" i="10"/>
  <c r="F165" i="10"/>
  <c r="K164" i="10"/>
  <c r="J164" i="10"/>
  <c r="I164" i="10"/>
  <c r="H164" i="10"/>
  <c r="G164" i="10"/>
  <c r="F164" i="10"/>
  <c r="K163" i="10"/>
  <c r="J163" i="10"/>
  <c r="I163" i="10"/>
  <c r="H163" i="10"/>
  <c r="G163" i="10"/>
  <c r="F163" i="10"/>
  <c r="K162" i="10"/>
  <c r="J162" i="10"/>
  <c r="I162" i="10"/>
  <c r="H162" i="10"/>
  <c r="G162" i="10"/>
  <c r="F162" i="10"/>
  <c r="K161" i="10"/>
  <c r="J161" i="10"/>
  <c r="I161" i="10"/>
  <c r="H161" i="10"/>
  <c r="G161" i="10"/>
  <c r="F161" i="10"/>
  <c r="K160" i="10"/>
  <c r="J160" i="10"/>
  <c r="I160" i="10"/>
  <c r="H160" i="10"/>
  <c r="G160" i="10"/>
  <c r="F160" i="10"/>
  <c r="K159" i="10"/>
  <c r="J159" i="10"/>
  <c r="I159" i="10"/>
  <c r="H159" i="10"/>
  <c r="G159" i="10"/>
  <c r="F159" i="10"/>
  <c r="K158" i="10"/>
  <c r="J158" i="10"/>
  <c r="I158" i="10"/>
  <c r="H158" i="10"/>
  <c r="G158" i="10"/>
  <c r="F158" i="10"/>
  <c r="K157" i="10"/>
  <c r="J157" i="10"/>
  <c r="I157" i="10"/>
  <c r="H157" i="10"/>
  <c r="G157" i="10"/>
  <c r="F157" i="10"/>
  <c r="K156" i="10"/>
  <c r="J156" i="10"/>
  <c r="I156" i="10"/>
  <c r="H156" i="10"/>
  <c r="G156" i="10"/>
  <c r="F156" i="10"/>
  <c r="K155" i="10"/>
  <c r="J155" i="10"/>
  <c r="I155" i="10"/>
  <c r="H155" i="10"/>
  <c r="G155" i="10"/>
  <c r="F155" i="10"/>
  <c r="K154" i="10"/>
  <c r="J154" i="10"/>
  <c r="I154" i="10"/>
  <c r="H154" i="10"/>
  <c r="G154" i="10"/>
  <c r="F154" i="10"/>
  <c r="K153" i="10"/>
  <c r="J153" i="10"/>
  <c r="I153" i="10"/>
  <c r="H153" i="10"/>
  <c r="G153" i="10"/>
  <c r="F153" i="10"/>
  <c r="K152" i="10"/>
  <c r="J152" i="10"/>
  <c r="I152" i="10"/>
  <c r="H152" i="10"/>
  <c r="G152" i="10"/>
  <c r="F152" i="10"/>
  <c r="K151" i="10"/>
  <c r="J151" i="10"/>
  <c r="I151" i="10"/>
  <c r="H151" i="10"/>
  <c r="G151" i="10"/>
  <c r="F151" i="10"/>
  <c r="K150" i="10"/>
  <c r="J150" i="10"/>
  <c r="I150" i="10"/>
  <c r="H150" i="10"/>
  <c r="G150" i="10"/>
  <c r="F150" i="10"/>
  <c r="K149" i="10"/>
  <c r="J149" i="10"/>
  <c r="I149" i="10"/>
  <c r="H149" i="10"/>
  <c r="G149" i="10"/>
  <c r="F149" i="10"/>
  <c r="K148" i="10"/>
  <c r="J148" i="10"/>
  <c r="I148" i="10"/>
  <c r="H148" i="10"/>
  <c r="G148" i="10"/>
  <c r="F148" i="10"/>
  <c r="K147" i="10"/>
  <c r="J147" i="10"/>
  <c r="I147" i="10"/>
  <c r="H147" i="10"/>
  <c r="G147" i="10"/>
  <c r="F147" i="10"/>
  <c r="K146" i="10"/>
  <c r="J146" i="10"/>
  <c r="I146" i="10"/>
  <c r="H146" i="10"/>
  <c r="G146" i="10"/>
  <c r="F146" i="10"/>
  <c r="K145" i="10"/>
  <c r="J145" i="10"/>
  <c r="I145" i="10"/>
  <c r="H145" i="10"/>
  <c r="G145" i="10"/>
  <c r="F145" i="10"/>
  <c r="K144" i="10"/>
  <c r="J144" i="10"/>
  <c r="I144" i="10"/>
  <c r="H144" i="10"/>
  <c r="G144" i="10"/>
  <c r="F144" i="10"/>
  <c r="K143" i="10"/>
  <c r="J143" i="10"/>
  <c r="I143" i="10"/>
  <c r="H143" i="10"/>
  <c r="G143" i="10"/>
  <c r="F143" i="10"/>
  <c r="K142" i="10"/>
  <c r="J142" i="10"/>
  <c r="I142" i="10"/>
  <c r="H142" i="10"/>
  <c r="G142" i="10"/>
  <c r="F142" i="10"/>
  <c r="K141" i="10"/>
  <c r="J141" i="10"/>
  <c r="I141" i="10"/>
  <c r="H141" i="10"/>
  <c r="G141" i="10"/>
  <c r="F141" i="10"/>
  <c r="K140" i="10"/>
  <c r="J140" i="10"/>
  <c r="I140" i="10"/>
  <c r="H140" i="10"/>
  <c r="G140" i="10"/>
  <c r="F140" i="10"/>
  <c r="K139" i="10"/>
  <c r="J139" i="10"/>
  <c r="I139" i="10"/>
  <c r="H139" i="10"/>
  <c r="G139" i="10"/>
  <c r="F139" i="10"/>
  <c r="K138" i="10"/>
  <c r="J138" i="10"/>
  <c r="I138" i="10"/>
  <c r="H138" i="10"/>
  <c r="G138" i="10"/>
  <c r="F138" i="10"/>
  <c r="K137" i="10"/>
  <c r="J137" i="10"/>
  <c r="I137" i="10"/>
  <c r="H137" i="10"/>
  <c r="G137" i="10"/>
  <c r="F137" i="10"/>
  <c r="K136" i="10"/>
  <c r="J136" i="10"/>
  <c r="I136" i="10"/>
  <c r="H136" i="10"/>
  <c r="G136" i="10"/>
  <c r="F136" i="10"/>
  <c r="K135" i="10"/>
  <c r="J135" i="10"/>
  <c r="I135" i="10"/>
  <c r="H135" i="10"/>
  <c r="G135" i="10"/>
  <c r="F135" i="10"/>
  <c r="K134" i="10"/>
  <c r="J134" i="10"/>
  <c r="I134" i="10"/>
  <c r="H134" i="10"/>
  <c r="G134" i="10"/>
  <c r="F134" i="10"/>
  <c r="K133" i="10"/>
  <c r="J133" i="10"/>
  <c r="I133" i="10"/>
  <c r="H133" i="10"/>
  <c r="G133" i="10"/>
  <c r="F133" i="10"/>
  <c r="K132" i="10"/>
  <c r="J132" i="10"/>
  <c r="I132" i="10"/>
  <c r="H132" i="10"/>
  <c r="G132" i="10"/>
  <c r="F132" i="10"/>
  <c r="K131" i="10"/>
  <c r="J131" i="10"/>
  <c r="I131" i="10"/>
  <c r="H131" i="10"/>
  <c r="G131" i="10"/>
  <c r="F131" i="10"/>
  <c r="K130" i="10"/>
  <c r="J130" i="10"/>
  <c r="I130" i="10"/>
  <c r="H130" i="10"/>
  <c r="G130" i="10"/>
  <c r="F130" i="10"/>
  <c r="K129" i="10"/>
  <c r="J129" i="10"/>
  <c r="I129" i="10"/>
  <c r="H129" i="10"/>
  <c r="G129" i="10"/>
  <c r="F129" i="10"/>
  <c r="K128" i="10"/>
  <c r="J128" i="10"/>
  <c r="I128" i="10"/>
  <c r="H128" i="10"/>
  <c r="G128" i="10"/>
  <c r="F128" i="10"/>
  <c r="K127" i="10"/>
  <c r="J127" i="10"/>
  <c r="I127" i="10"/>
  <c r="H127" i="10"/>
  <c r="G127" i="10"/>
  <c r="F127" i="10"/>
  <c r="K126" i="10"/>
  <c r="J126" i="10"/>
  <c r="I126" i="10"/>
  <c r="H126" i="10"/>
  <c r="G126" i="10"/>
  <c r="F126" i="10"/>
  <c r="K125" i="10"/>
  <c r="J125" i="10"/>
  <c r="I125" i="10"/>
  <c r="H125" i="10"/>
  <c r="G125" i="10"/>
  <c r="F125" i="10"/>
  <c r="K124" i="10"/>
  <c r="J124" i="10"/>
  <c r="I124" i="10"/>
  <c r="H124" i="10"/>
  <c r="G124" i="10"/>
  <c r="F124" i="10"/>
  <c r="K123" i="10"/>
  <c r="J123" i="10"/>
  <c r="I123" i="10"/>
  <c r="H123" i="10"/>
  <c r="G123" i="10"/>
  <c r="F123" i="10"/>
  <c r="K122" i="10"/>
  <c r="J122" i="10"/>
  <c r="I122" i="10"/>
  <c r="H122" i="10"/>
  <c r="G122" i="10"/>
  <c r="F122" i="10"/>
  <c r="K121" i="10"/>
  <c r="J121" i="10"/>
  <c r="I121" i="10"/>
  <c r="H121" i="10"/>
  <c r="G121" i="10"/>
  <c r="F121" i="10"/>
  <c r="K120" i="10"/>
  <c r="J120" i="10"/>
  <c r="I120" i="10"/>
  <c r="H120" i="10"/>
  <c r="G120" i="10"/>
  <c r="F120" i="10"/>
  <c r="K119" i="10"/>
  <c r="J119" i="10"/>
  <c r="I119" i="10"/>
  <c r="H119" i="10"/>
  <c r="G119" i="10"/>
  <c r="F119" i="10"/>
  <c r="K118" i="10"/>
  <c r="J118" i="10"/>
  <c r="I118" i="10"/>
  <c r="H118" i="10"/>
  <c r="G118" i="10"/>
  <c r="F118" i="10"/>
  <c r="K117" i="10"/>
  <c r="J117" i="10"/>
  <c r="I117" i="10"/>
  <c r="H117" i="10"/>
  <c r="G117" i="10"/>
  <c r="F117" i="10"/>
  <c r="K116" i="10"/>
  <c r="J116" i="10"/>
  <c r="I116" i="10"/>
  <c r="H116" i="10"/>
  <c r="G116" i="10"/>
  <c r="F116" i="10"/>
  <c r="K115" i="10"/>
  <c r="J115" i="10"/>
  <c r="I115" i="10"/>
  <c r="H115" i="10"/>
  <c r="G115" i="10"/>
  <c r="F115" i="10"/>
  <c r="K114" i="10"/>
  <c r="J114" i="10"/>
  <c r="I114" i="10"/>
  <c r="H114" i="10"/>
  <c r="G114" i="10"/>
  <c r="F114" i="10"/>
  <c r="K113" i="10"/>
  <c r="J113" i="10"/>
  <c r="I113" i="10"/>
  <c r="H113" i="10"/>
  <c r="G113" i="10"/>
  <c r="F113" i="10"/>
  <c r="K112" i="10"/>
  <c r="J112" i="10"/>
  <c r="I112" i="10"/>
  <c r="H112" i="10"/>
  <c r="G112" i="10"/>
  <c r="F112" i="10"/>
  <c r="K111" i="10"/>
  <c r="J111" i="10"/>
  <c r="I111" i="10"/>
  <c r="H111" i="10"/>
  <c r="G111" i="10"/>
  <c r="F111" i="10"/>
  <c r="K110" i="10"/>
  <c r="J110" i="10"/>
  <c r="I110" i="10"/>
  <c r="H110" i="10"/>
  <c r="G110" i="10"/>
  <c r="F110" i="10"/>
  <c r="K109" i="10"/>
  <c r="J109" i="10"/>
  <c r="I109" i="10"/>
  <c r="H109" i="10"/>
  <c r="G109" i="10"/>
  <c r="F109" i="10"/>
  <c r="K108" i="10"/>
  <c r="J108" i="10"/>
  <c r="I108" i="10"/>
  <c r="H108" i="10"/>
  <c r="G108" i="10"/>
  <c r="F108" i="10"/>
  <c r="K107" i="10"/>
  <c r="J107" i="10"/>
  <c r="I107" i="10"/>
  <c r="H107" i="10"/>
  <c r="G107" i="10"/>
  <c r="F107" i="10"/>
  <c r="K106" i="10"/>
  <c r="J106" i="10"/>
  <c r="I106" i="10"/>
  <c r="H106" i="10"/>
  <c r="G106" i="10"/>
  <c r="F106" i="10"/>
  <c r="K105" i="10"/>
  <c r="J105" i="10"/>
  <c r="I105" i="10"/>
  <c r="H105" i="10"/>
  <c r="G105" i="10"/>
  <c r="F105" i="10"/>
  <c r="K104" i="10"/>
  <c r="J104" i="10"/>
  <c r="I104" i="10"/>
  <c r="H104" i="10"/>
  <c r="G104" i="10"/>
  <c r="F104" i="10"/>
  <c r="K103" i="10"/>
  <c r="J103" i="10"/>
  <c r="I103" i="10"/>
  <c r="H103" i="10"/>
  <c r="G103" i="10"/>
  <c r="F103" i="10"/>
  <c r="K102" i="10"/>
  <c r="J102" i="10"/>
  <c r="I102" i="10"/>
  <c r="H102" i="10"/>
  <c r="G102" i="10"/>
  <c r="F102" i="10"/>
  <c r="K101" i="10"/>
  <c r="J101" i="10"/>
  <c r="I101" i="10"/>
  <c r="H101" i="10"/>
  <c r="G101" i="10"/>
  <c r="F101" i="10"/>
  <c r="K100" i="10"/>
  <c r="J100" i="10"/>
  <c r="I100" i="10"/>
  <c r="H100" i="10"/>
  <c r="G100" i="10"/>
  <c r="F100" i="10"/>
  <c r="K99" i="10"/>
  <c r="J99" i="10"/>
  <c r="I99" i="10"/>
  <c r="H99" i="10"/>
  <c r="G99" i="10"/>
  <c r="F99" i="10"/>
  <c r="K98" i="10"/>
  <c r="J98" i="10"/>
  <c r="I98" i="10"/>
  <c r="H98" i="10"/>
  <c r="G98" i="10"/>
  <c r="F98" i="10"/>
  <c r="K97" i="10"/>
  <c r="J97" i="10"/>
  <c r="I97" i="10"/>
  <c r="H97" i="10"/>
  <c r="G97" i="10"/>
  <c r="F97" i="10"/>
  <c r="K96" i="10"/>
  <c r="J96" i="10"/>
  <c r="I96" i="10"/>
  <c r="H96" i="10"/>
  <c r="G96" i="10"/>
  <c r="F96" i="10"/>
  <c r="K95" i="10"/>
  <c r="J95" i="10"/>
  <c r="I95" i="10"/>
  <c r="H95" i="10"/>
  <c r="G95" i="10"/>
  <c r="F95" i="10"/>
  <c r="K94" i="10"/>
  <c r="J94" i="10"/>
  <c r="I94" i="10"/>
  <c r="H94" i="10"/>
  <c r="G94" i="10"/>
  <c r="F94" i="10"/>
  <c r="K93" i="10"/>
  <c r="J93" i="10"/>
  <c r="I93" i="10"/>
  <c r="H93" i="10"/>
  <c r="G93" i="10"/>
  <c r="F93" i="10"/>
  <c r="K92" i="10"/>
  <c r="J92" i="10"/>
  <c r="I92" i="10"/>
  <c r="H92" i="10"/>
  <c r="G92" i="10"/>
  <c r="F92" i="10"/>
  <c r="K91" i="10"/>
  <c r="J91" i="10"/>
  <c r="I91" i="10"/>
  <c r="H91" i="10"/>
  <c r="G91" i="10"/>
  <c r="F91" i="10"/>
  <c r="K90" i="10"/>
  <c r="J90" i="10"/>
  <c r="I90" i="10"/>
  <c r="H90" i="10"/>
  <c r="G90" i="10"/>
  <c r="F90" i="10"/>
  <c r="K89" i="10"/>
  <c r="J89" i="10"/>
  <c r="I89" i="10"/>
  <c r="H89" i="10"/>
  <c r="G89" i="10"/>
  <c r="F89" i="10"/>
  <c r="K88" i="10"/>
  <c r="J88" i="10"/>
  <c r="I88" i="10"/>
  <c r="H88" i="10"/>
  <c r="G88" i="10"/>
  <c r="F88" i="10"/>
  <c r="K87" i="10"/>
  <c r="J87" i="10"/>
  <c r="I87" i="10"/>
  <c r="H87" i="10"/>
  <c r="G87" i="10"/>
  <c r="F87" i="10"/>
  <c r="K86" i="10"/>
  <c r="J86" i="10"/>
  <c r="I86" i="10"/>
  <c r="H86" i="10"/>
  <c r="G86" i="10"/>
  <c r="F86" i="10"/>
  <c r="K85" i="10"/>
  <c r="J85" i="10"/>
  <c r="I85" i="10"/>
  <c r="H85" i="10"/>
  <c r="G85" i="10"/>
  <c r="F85" i="10"/>
  <c r="K84" i="10"/>
  <c r="J84" i="10"/>
  <c r="I84" i="10"/>
  <c r="H84" i="10"/>
  <c r="G84" i="10"/>
  <c r="F84" i="10"/>
  <c r="K83" i="10"/>
  <c r="J83" i="10"/>
  <c r="I83" i="10"/>
  <c r="H83" i="10"/>
  <c r="G83" i="10"/>
  <c r="F83" i="10"/>
  <c r="K82" i="10"/>
  <c r="J82" i="10"/>
  <c r="I82" i="10"/>
  <c r="H82" i="10"/>
  <c r="G82" i="10"/>
  <c r="F82" i="10"/>
  <c r="K81" i="10"/>
  <c r="J81" i="10"/>
  <c r="I81" i="10"/>
  <c r="H81" i="10"/>
  <c r="G81" i="10"/>
  <c r="F81" i="10"/>
  <c r="K80" i="10"/>
  <c r="J80" i="10"/>
  <c r="I80" i="10"/>
  <c r="H80" i="10"/>
  <c r="G80" i="10"/>
  <c r="F80" i="10"/>
  <c r="K79" i="10"/>
  <c r="J79" i="10"/>
  <c r="I79" i="10"/>
  <c r="H79" i="10"/>
  <c r="G79" i="10"/>
  <c r="F79" i="10"/>
  <c r="K78" i="10"/>
  <c r="J78" i="10"/>
  <c r="I78" i="10"/>
  <c r="H78" i="10"/>
  <c r="G78" i="10"/>
  <c r="F78" i="10"/>
  <c r="K77" i="10"/>
  <c r="J77" i="10"/>
  <c r="I77" i="10"/>
  <c r="H77" i="10"/>
  <c r="G77" i="10"/>
  <c r="F77" i="10"/>
  <c r="K76" i="10"/>
  <c r="J76" i="10"/>
  <c r="I76" i="10"/>
  <c r="H76" i="10"/>
  <c r="G76" i="10"/>
  <c r="F76" i="10"/>
  <c r="K75" i="10"/>
  <c r="J75" i="10"/>
  <c r="I75" i="10"/>
  <c r="H75" i="10"/>
  <c r="G75" i="10"/>
  <c r="F75" i="10"/>
  <c r="K74" i="10"/>
  <c r="J74" i="10"/>
  <c r="I74" i="10"/>
  <c r="H74" i="10"/>
  <c r="G74" i="10"/>
  <c r="F74" i="10"/>
  <c r="K73" i="10"/>
  <c r="J73" i="10"/>
  <c r="I73" i="10"/>
  <c r="H73" i="10"/>
  <c r="G73" i="10"/>
  <c r="F73" i="10"/>
  <c r="K72" i="10"/>
  <c r="J72" i="10"/>
  <c r="I72" i="10"/>
  <c r="H72" i="10"/>
  <c r="G72" i="10"/>
  <c r="F72" i="10"/>
  <c r="K71" i="10"/>
  <c r="J71" i="10"/>
  <c r="I71" i="10"/>
  <c r="H71" i="10"/>
  <c r="G71" i="10"/>
  <c r="F71" i="10"/>
  <c r="K70" i="10"/>
  <c r="J70" i="10"/>
  <c r="I70" i="10"/>
  <c r="H70" i="10"/>
  <c r="G70" i="10"/>
  <c r="F70" i="10"/>
  <c r="K69" i="10"/>
  <c r="J69" i="10"/>
  <c r="I69" i="10"/>
  <c r="H69" i="10"/>
  <c r="G69" i="10"/>
  <c r="F69" i="10"/>
  <c r="K68" i="10"/>
  <c r="J68" i="10"/>
  <c r="I68" i="10"/>
  <c r="H68" i="10"/>
  <c r="G68" i="10"/>
  <c r="F68" i="10"/>
  <c r="K67" i="10"/>
  <c r="J67" i="10"/>
  <c r="I67" i="10"/>
  <c r="H67" i="10"/>
  <c r="G67" i="10"/>
  <c r="F67" i="10"/>
  <c r="K66" i="10"/>
  <c r="J66" i="10"/>
  <c r="I66" i="10"/>
  <c r="H66" i="10"/>
  <c r="G66" i="10"/>
  <c r="F66" i="10"/>
  <c r="K65" i="10"/>
  <c r="J65" i="10"/>
  <c r="I65" i="10"/>
  <c r="H65" i="10"/>
  <c r="G65" i="10"/>
  <c r="F65" i="10"/>
  <c r="K64" i="10"/>
  <c r="J64" i="10"/>
  <c r="I64" i="10"/>
  <c r="H64" i="10"/>
  <c r="G64" i="10"/>
  <c r="F64" i="10"/>
  <c r="K63" i="10"/>
  <c r="J63" i="10"/>
  <c r="I63" i="10"/>
  <c r="H63" i="10"/>
  <c r="G63" i="10"/>
  <c r="F63" i="10"/>
  <c r="K62" i="10"/>
  <c r="J62" i="10"/>
  <c r="I62" i="10"/>
  <c r="H62" i="10"/>
  <c r="G62" i="10"/>
  <c r="F62" i="10"/>
  <c r="K61" i="10"/>
  <c r="J61" i="10"/>
  <c r="I61" i="10"/>
  <c r="H61" i="10"/>
  <c r="G61" i="10"/>
  <c r="F61" i="10"/>
  <c r="K60" i="10"/>
  <c r="J60" i="10"/>
  <c r="I60" i="10"/>
  <c r="H60" i="10"/>
  <c r="G60" i="10"/>
  <c r="F60" i="10"/>
  <c r="K59" i="10"/>
  <c r="J59" i="10"/>
  <c r="I59" i="10"/>
  <c r="H59" i="10"/>
  <c r="G59" i="10"/>
  <c r="F59" i="10"/>
  <c r="K58" i="10"/>
  <c r="J58" i="10"/>
  <c r="I58" i="10"/>
  <c r="H58" i="10"/>
  <c r="G58" i="10"/>
  <c r="F58" i="10"/>
  <c r="K57" i="10"/>
  <c r="J57" i="10"/>
  <c r="I57" i="10"/>
  <c r="H57" i="10"/>
  <c r="G57" i="10"/>
  <c r="F57" i="10"/>
  <c r="K56" i="10"/>
  <c r="J56" i="10"/>
  <c r="I56" i="10"/>
  <c r="H56" i="10"/>
  <c r="G56" i="10"/>
  <c r="F56" i="10"/>
  <c r="K55" i="10"/>
  <c r="J55" i="10"/>
  <c r="I55" i="10"/>
  <c r="H55" i="10"/>
  <c r="G55" i="10"/>
  <c r="F55" i="10"/>
  <c r="K54" i="10"/>
  <c r="J54" i="10"/>
  <c r="I54" i="10"/>
  <c r="H54" i="10"/>
  <c r="G54" i="10"/>
  <c r="F54" i="10"/>
  <c r="K53" i="10"/>
  <c r="J53" i="10"/>
  <c r="I53" i="10"/>
  <c r="H53" i="10"/>
  <c r="G53" i="10"/>
  <c r="F53" i="10"/>
  <c r="K52" i="10"/>
  <c r="J52" i="10"/>
  <c r="I52" i="10"/>
  <c r="H52" i="10"/>
  <c r="G52" i="10"/>
  <c r="F52" i="10"/>
  <c r="K51" i="10"/>
  <c r="J51" i="10"/>
  <c r="I51" i="10"/>
  <c r="H51" i="10"/>
  <c r="G51" i="10"/>
  <c r="F51" i="10"/>
  <c r="K50" i="10"/>
  <c r="J50" i="10"/>
  <c r="I50" i="10"/>
  <c r="H50" i="10"/>
  <c r="G50" i="10"/>
  <c r="F50" i="10"/>
  <c r="K49" i="10"/>
  <c r="J49" i="10"/>
  <c r="I49" i="10"/>
  <c r="H49" i="10"/>
  <c r="G49" i="10"/>
  <c r="F49" i="10"/>
  <c r="K48" i="10"/>
  <c r="J48" i="10"/>
  <c r="I48" i="10"/>
  <c r="H48" i="10"/>
  <c r="G48" i="10"/>
  <c r="F48" i="10"/>
  <c r="K47" i="10"/>
  <c r="J47" i="10"/>
  <c r="I47" i="10"/>
  <c r="H47" i="10"/>
  <c r="G47" i="10"/>
  <c r="F47" i="10"/>
  <c r="K46" i="10"/>
  <c r="J46" i="10"/>
  <c r="I46" i="10"/>
  <c r="H46" i="10"/>
  <c r="G46" i="10"/>
  <c r="F46" i="10"/>
  <c r="K45" i="10"/>
  <c r="J45" i="10"/>
  <c r="I45" i="10"/>
  <c r="H45" i="10"/>
  <c r="G45" i="10"/>
  <c r="F45" i="10"/>
  <c r="K44" i="10"/>
  <c r="J44" i="10"/>
  <c r="I44" i="10"/>
  <c r="H44" i="10"/>
  <c r="G44" i="10"/>
  <c r="F44" i="10"/>
  <c r="K43" i="10"/>
  <c r="J43" i="10"/>
  <c r="I43" i="10"/>
  <c r="H43" i="10"/>
  <c r="G43" i="10"/>
  <c r="F43" i="10"/>
  <c r="K42" i="10"/>
  <c r="J42" i="10"/>
  <c r="I42" i="10"/>
  <c r="H42" i="10"/>
  <c r="G42" i="10"/>
  <c r="F42" i="10"/>
  <c r="K41" i="10"/>
  <c r="J41" i="10"/>
  <c r="I41" i="10"/>
  <c r="H41" i="10"/>
  <c r="G41" i="10"/>
  <c r="F41" i="10"/>
  <c r="K40" i="10"/>
  <c r="J40" i="10"/>
  <c r="I40" i="10"/>
  <c r="H40" i="10"/>
  <c r="G40" i="10"/>
  <c r="F40" i="10"/>
  <c r="K39" i="10"/>
  <c r="J39" i="10"/>
  <c r="I39" i="10"/>
  <c r="H39" i="10"/>
  <c r="G39" i="10"/>
  <c r="F39" i="10"/>
  <c r="K38" i="10"/>
  <c r="J38" i="10"/>
  <c r="I38" i="10"/>
  <c r="H38" i="10"/>
  <c r="G38" i="10"/>
  <c r="F38" i="10"/>
  <c r="K37" i="10"/>
  <c r="J37" i="10"/>
  <c r="I37" i="10"/>
  <c r="H37" i="10"/>
  <c r="G37" i="10"/>
  <c r="F37" i="10"/>
  <c r="K36" i="10"/>
  <c r="J36" i="10"/>
  <c r="I36" i="10"/>
  <c r="H36" i="10"/>
  <c r="G36" i="10"/>
  <c r="F36" i="10"/>
  <c r="K35" i="10"/>
  <c r="J35" i="10"/>
  <c r="I35" i="10"/>
  <c r="H35" i="10"/>
  <c r="G35" i="10"/>
  <c r="F35" i="10"/>
  <c r="K34" i="10"/>
  <c r="J34" i="10"/>
  <c r="I34" i="10"/>
  <c r="H34" i="10"/>
  <c r="G34" i="10"/>
  <c r="F34" i="10"/>
  <c r="K33" i="10"/>
  <c r="J33" i="10"/>
  <c r="I33" i="10"/>
  <c r="H33" i="10"/>
  <c r="G33" i="10"/>
  <c r="F33" i="10"/>
  <c r="K32" i="10"/>
  <c r="J32" i="10"/>
  <c r="I32" i="10"/>
  <c r="H32" i="10"/>
  <c r="G32" i="10"/>
  <c r="F32" i="10"/>
  <c r="K31" i="10"/>
  <c r="J31" i="10"/>
  <c r="I31" i="10"/>
  <c r="H31" i="10"/>
  <c r="G31" i="10"/>
  <c r="F31" i="10"/>
  <c r="K30" i="10"/>
  <c r="J30" i="10"/>
  <c r="I30" i="10"/>
  <c r="H30" i="10"/>
  <c r="G30" i="10"/>
  <c r="F30" i="10"/>
  <c r="K29" i="10"/>
  <c r="J29" i="10"/>
  <c r="I29" i="10"/>
  <c r="H29" i="10"/>
  <c r="G29" i="10"/>
  <c r="F29" i="10"/>
  <c r="K28" i="10"/>
  <c r="J28" i="10"/>
  <c r="I28" i="10"/>
  <c r="H28" i="10"/>
  <c r="G28" i="10"/>
  <c r="F28" i="10"/>
  <c r="K27" i="10"/>
  <c r="J27" i="10"/>
  <c r="I27" i="10"/>
  <c r="H27" i="10"/>
  <c r="G27" i="10"/>
  <c r="F27" i="10"/>
  <c r="K26" i="10"/>
  <c r="J26" i="10"/>
  <c r="I26" i="10"/>
  <c r="H26" i="10"/>
  <c r="G26" i="10"/>
  <c r="F26" i="10"/>
  <c r="K25" i="10"/>
  <c r="J25" i="10"/>
  <c r="I25" i="10"/>
  <c r="H25" i="10"/>
  <c r="G25" i="10"/>
  <c r="F25" i="10"/>
  <c r="K24" i="10"/>
  <c r="J24" i="10"/>
  <c r="I24" i="10"/>
  <c r="H24" i="10"/>
  <c r="G24" i="10"/>
  <c r="F24" i="10"/>
  <c r="K23" i="10"/>
  <c r="J23" i="10"/>
  <c r="I23" i="10"/>
  <c r="H23" i="10"/>
  <c r="G23" i="10"/>
  <c r="F23" i="10"/>
  <c r="K22" i="10"/>
  <c r="J22" i="10"/>
  <c r="I22" i="10"/>
  <c r="H22" i="10"/>
  <c r="G22" i="10"/>
  <c r="F22" i="10"/>
  <c r="K21" i="10"/>
  <c r="J21" i="10"/>
  <c r="I21" i="10"/>
  <c r="H21" i="10"/>
  <c r="G21" i="10"/>
  <c r="F21" i="10"/>
  <c r="K20" i="10"/>
  <c r="J20" i="10"/>
  <c r="I20" i="10"/>
  <c r="H20" i="10"/>
  <c r="G20" i="10"/>
  <c r="F20" i="10"/>
  <c r="K19" i="10"/>
  <c r="J19" i="10"/>
  <c r="I19" i="10"/>
  <c r="H19" i="10"/>
  <c r="G19" i="10"/>
  <c r="F19" i="10"/>
  <c r="K18" i="10"/>
  <c r="J18" i="10"/>
  <c r="I18" i="10"/>
  <c r="H18" i="10"/>
  <c r="G18" i="10"/>
  <c r="F18" i="10"/>
  <c r="K17" i="10"/>
  <c r="J17" i="10"/>
  <c r="I17" i="10"/>
  <c r="H17" i="10"/>
  <c r="G17" i="10"/>
  <c r="F17" i="10"/>
  <c r="K16" i="10"/>
  <c r="J16" i="10"/>
  <c r="I16" i="10"/>
  <c r="H16" i="10"/>
  <c r="G16" i="10"/>
  <c r="F16" i="10"/>
  <c r="K15" i="10"/>
  <c r="J15" i="10"/>
  <c r="I15" i="10"/>
  <c r="H15" i="10"/>
  <c r="G15" i="10"/>
  <c r="F15" i="10"/>
  <c r="K14" i="10"/>
  <c r="J14" i="10"/>
  <c r="I14" i="10"/>
  <c r="H14" i="10"/>
  <c r="G14" i="10"/>
  <c r="F14" i="10"/>
  <c r="K13" i="10"/>
  <c r="J13" i="10"/>
  <c r="I13" i="10"/>
  <c r="H13" i="10"/>
  <c r="G13" i="10"/>
  <c r="F13" i="10"/>
  <c r="K12" i="10"/>
  <c r="J12" i="10"/>
  <c r="I12" i="10"/>
  <c r="H12" i="10"/>
  <c r="G12" i="10"/>
  <c r="F12" i="10"/>
  <c r="K11" i="10"/>
  <c r="J11" i="10"/>
  <c r="I11" i="10"/>
  <c r="H11" i="10"/>
  <c r="G11" i="10"/>
  <c r="F11" i="10"/>
  <c r="K10" i="10"/>
  <c r="J10" i="10"/>
  <c r="I10" i="10"/>
  <c r="H10" i="10"/>
  <c r="G10" i="10"/>
  <c r="F10" i="10"/>
  <c r="K9" i="10"/>
  <c r="J9" i="10"/>
  <c r="I9" i="10"/>
  <c r="H9" i="10"/>
  <c r="G9" i="10"/>
  <c r="F9" i="10"/>
  <c r="K8" i="10"/>
  <c r="J8" i="10"/>
  <c r="I8" i="10"/>
  <c r="H8" i="10"/>
  <c r="G8" i="10"/>
  <c r="F8" i="10"/>
  <c r="K7" i="10"/>
  <c r="J7" i="10"/>
  <c r="I7" i="10"/>
  <c r="H7" i="10"/>
  <c r="G7" i="10"/>
  <c r="F7" i="10"/>
  <c r="K6" i="10"/>
  <c r="J6" i="10"/>
  <c r="I6" i="10"/>
  <c r="H6" i="10"/>
  <c r="G6" i="10"/>
  <c r="F6" i="10"/>
  <c r="U5" i="10"/>
  <c r="K5" i="10"/>
  <c r="J5" i="10"/>
  <c r="I5" i="10"/>
  <c r="H5" i="10"/>
  <c r="G5" i="10"/>
  <c r="M2" i="10" s="1"/>
  <c r="T5" i="10" s="1"/>
  <c r="F5" i="10"/>
  <c r="K4" i="10"/>
  <c r="J4" i="10"/>
  <c r="I4" i="10"/>
  <c r="H4" i="10"/>
  <c r="G4" i="10"/>
  <c r="F4" i="10"/>
  <c r="O6" i="10" s="1"/>
  <c r="K3" i="10"/>
  <c r="J3" i="10"/>
  <c r="I3" i="10"/>
  <c r="H3" i="10"/>
  <c r="G3" i="10"/>
  <c r="F3" i="10"/>
  <c r="K2" i="10"/>
  <c r="V6" i="10" s="1"/>
  <c r="J2" i="10"/>
  <c r="U6" i="10" s="1"/>
  <c r="I2" i="10"/>
  <c r="Q6" i="10" s="1"/>
  <c r="H2" i="10"/>
  <c r="P7" i="10" s="1"/>
  <c r="G2" i="10"/>
  <c r="T6" i="10" s="1"/>
  <c r="F2" i="10"/>
  <c r="O7" i="10" s="1"/>
  <c r="F1" i="9"/>
  <c r="I2" i="9" s="1"/>
  <c r="E1" i="9"/>
  <c r="A1" i="9"/>
  <c r="I1" i="9" s="1"/>
  <c r="C11" i="8"/>
  <c r="B11" i="8"/>
  <c r="B13" i="8" s="1"/>
  <c r="C9" i="8"/>
  <c r="B9" i="8"/>
  <c r="B5" i="8"/>
  <c r="B28" i="8" s="1"/>
  <c r="B4" i="8"/>
  <c r="I20" i="1"/>
  <c r="H20" i="1"/>
  <c r="G20" i="1"/>
  <c r="I19" i="1"/>
  <c r="H19" i="1"/>
  <c r="G19" i="1"/>
  <c r="I18" i="1"/>
  <c r="H18" i="1"/>
  <c r="G18" i="1"/>
  <c r="I17" i="1"/>
  <c r="H17" i="1"/>
  <c r="G17" i="1"/>
  <c r="I16" i="1"/>
  <c r="H16" i="1"/>
  <c r="G16" i="1"/>
  <c r="I15" i="1"/>
  <c r="H15" i="1"/>
  <c r="G15" i="1"/>
  <c r="I14" i="1"/>
  <c r="H14" i="1"/>
  <c r="G14" i="1"/>
  <c r="I13" i="1"/>
  <c r="I21" i="1" s="1"/>
  <c r="I23" i="1" s="1"/>
  <c r="H13" i="1"/>
  <c r="H21" i="1" s="1"/>
  <c r="G13" i="1"/>
  <c r="I12" i="1"/>
  <c r="H12" i="1"/>
  <c r="G12" i="1"/>
  <c r="G21" i="1" s="1"/>
  <c r="G23" i="1" s="1"/>
  <c r="I8" i="1"/>
  <c r="I7" i="1"/>
  <c r="H7" i="1"/>
  <c r="G7" i="1"/>
  <c r="I5" i="1"/>
  <c r="H5" i="1"/>
  <c r="H8" i="1" s="1"/>
  <c r="G5" i="1"/>
  <c r="G8" i="1" s="1"/>
  <c r="I4" i="1"/>
  <c r="H4" i="1"/>
  <c r="G4" i="1"/>
  <c r="R27" i="8" l="1"/>
  <c r="R26" i="8"/>
  <c r="R29" i="8"/>
  <c r="C70" i="8" s="1"/>
  <c r="G13" i="14"/>
  <c r="G14" i="14" s="1"/>
  <c r="B16" i="14" s="1"/>
  <c r="B19" i="14" s="1"/>
  <c r="B20" i="14" s="1"/>
  <c r="J6" i="15"/>
  <c r="J8" i="15" s="1"/>
  <c r="B26" i="8"/>
  <c r="B27" i="8"/>
  <c r="B29" i="8" s="1"/>
  <c r="Q5" i="10"/>
  <c r="Q7" i="10"/>
  <c r="T7" i="10"/>
  <c r="U7" i="10"/>
  <c r="L2" i="10"/>
  <c r="O5" i="10" s="1"/>
  <c r="V7" i="10"/>
  <c r="P6" i="10"/>
  <c r="V5" i="10"/>
  <c r="P5" i="10"/>
  <c r="H23" i="1"/>
  <c r="B70" i="8" l="1"/>
  <c r="B5" i="11"/>
  <c r="C6" i="15"/>
  <c r="C8" i="15" s="1"/>
  <c r="M10" i="11"/>
  <c r="M11" i="11" s="1"/>
  <c r="L10" i="11"/>
  <c r="L11" i="11" s="1"/>
  <c r="P10" i="11"/>
  <c r="P11" i="11" s="1"/>
  <c r="N10" i="11"/>
  <c r="N11" i="11" s="1"/>
  <c r="O10" i="11"/>
  <c r="O11" i="11" s="1"/>
  <c r="C10" i="11"/>
  <c r="C11" i="11" s="1"/>
  <c r="D10" i="11"/>
  <c r="D11" i="11" s="1"/>
  <c r="E10" i="11"/>
  <c r="E11" i="11" s="1"/>
  <c r="F10" i="11"/>
  <c r="F11" i="11" s="1"/>
  <c r="G10" i="11"/>
  <c r="G11" i="11" s="1"/>
  <c r="G12" i="11"/>
  <c r="G13" i="11" s="1"/>
  <c r="B15" i="11" s="1"/>
  <c r="C5" i="13" s="1"/>
  <c r="D5" i="13" s="1"/>
</calcChain>
</file>

<file path=xl/sharedStrings.xml><?xml version="1.0" encoding="utf-8"?>
<sst xmlns="http://schemas.openxmlformats.org/spreadsheetml/2006/main" count="821" uniqueCount="473">
  <si>
    <t>Consolidated Balance Sheet - USD ($) $ in Millions</t>
  </si>
  <si>
    <t>Dec. 31, 2020</t>
  </si>
  <si>
    <t>Dec. 31, 2019</t>
  </si>
  <si>
    <t>Dec. 31, 2018</t>
  </si>
  <si>
    <t>Assets</t>
  </si>
  <si>
    <t>Cash and due from banks</t>
  </si>
  <si>
    <t>EXCESS ASSETS</t>
  </si>
  <si>
    <t>Interest-bearing deposits with the Federal Reserve, non-U.S. central banks and other banks</t>
  </si>
  <si>
    <t>federal funds and securities</t>
  </si>
  <si>
    <t>Cash and cash equivalents</t>
  </si>
  <si>
    <t>Time deposits placed and other short-term investments</t>
  </si>
  <si>
    <t>Federal funds sold and securities borrowed or purchased under agreements to resell (includes $108,856 and $50,364 measured at fair value)</t>
  </si>
  <si>
    <t>Trading account assets (includes $91,510 and $90,946 pledged as collateral)</t>
  </si>
  <si>
    <t>TOTAL</t>
  </si>
  <si>
    <t>Derivative assets</t>
  </si>
  <si>
    <t>Debt securities:</t>
  </si>
  <si>
    <t>LIABILITIES</t>
  </si>
  <si>
    <t>Carried at fair value</t>
  </si>
  <si>
    <t>debt securities</t>
  </si>
  <si>
    <t>Held-to-maturity, at cost (fair value – $448,180 and $219,821)</t>
  </si>
  <si>
    <t>held at maturity</t>
  </si>
  <si>
    <t>Total debt securities</t>
  </si>
  <si>
    <t>loans and leases</t>
  </si>
  <si>
    <t>Loans and leases (includes $6,681 and $8,335 measured at fair value)</t>
  </si>
  <si>
    <t>st borrow</t>
  </si>
  <si>
    <t>Allowance for loan and lease losses</t>
  </si>
  <si>
    <t>Accuered</t>
  </si>
  <si>
    <t>Loans and leases, net of allowance</t>
  </si>
  <si>
    <t>long term debt</t>
  </si>
  <si>
    <t>Premises and equipment, net</t>
  </si>
  <si>
    <t>Goodwill</t>
  </si>
  <si>
    <t>Loans held-for-sale (includes $1,585 and $3,709 measured at fair value)</t>
  </si>
  <si>
    <t>lt borrow</t>
  </si>
  <si>
    <t>Customer and other receivables</t>
  </si>
  <si>
    <t>other liabilities</t>
  </si>
  <si>
    <t>Other assets (includes $15,718 and $15,518 measured at fair value)</t>
  </si>
  <si>
    <t>Total assets</t>
  </si>
  <si>
    <t>Deposits in U.S. offices:</t>
  </si>
  <si>
    <t xml:space="preserve">NET DEBT </t>
  </si>
  <si>
    <t>Noninterest-bearing</t>
  </si>
  <si>
    <t>net debt in millions</t>
  </si>
  <si>
    <t>Interest-bearing (includes $481 and $508 measured at fair value)</t>
  </si>
  <si>
    <t>Deposits in non-U.S. offices:</t>
  </si>
  <si>
    <t>Interest-bearing</t>
  </si>
  <si>
    <t>Total deposits</t>
  </si>
  <si>
    <t>Federal funds purchased and securities loaned or sold under agreements to repurchase (includes $135,391 and $16,008 measured at fair value)</t>
  </si>
  <si>
    <t>Trading account liabilities</t>
  </si>
  <si>
    <t>Derivative liabilities</t>
  </si>
  <si>
    <t>Short-term borrowings (includes $5,874 and $3,941 measured at fair value)</t>
  </si>
  <si>
    <t>Accrued expenses and other liabilities (includes $16,311 and $15,434 measured at fair value and $1,878 and $813 of reserve for unfunded lending commitments)</t>
  </si>
  <si>
    <t>Long-term debt (includes $32,200 and $34,975 measured at fair value)</t>
  </si>
  <si>
    <t>Total liabilities</t>
  </si>
  <si>
    <t>Commitments and contingencies (Note 6 – Securitizations and Other Variable Interest Entities and Note 12 – Commitments and Contingencies)</t>
  </si>
  <si>
    <t xml:space="preserve"> </t>
  </si>
  <si>
    <t>Shareholders’ equity</t>
  </si>
  <si>
    <t>Preferred stock, $0.01 par value; authorized – 100,000,000 shares; issued and outstanding – 3,931,440 and 3,887,440 shares</t>
  </si>
  <si>
    <t>Common stock and additional paid-in capital, $0.01  par value; authorized – 12,800,000,000 shares; issued and outstanding – 8,650,814,105 and 8,836,148,954 shares</t>
  </si>
  <si>
    <t>Retained earnings</t>
  </si>
  <si>
    <t>Accumulated other comprehensive income (loss)</t>
  </si>
  <si>
    <t>Total shareholders’ equity</t>
  </si>
  <si>
    <t>Total liabilities and shareholders’ equity</t>
  </si>
  <si>
    <t>Consolidated VIEs</t>
  </si>
  <si>
    <t>All other liabilities (includes $16 and $19 of non-recourse liabilities)</t>
  </si>
  <si>
    <t>Consolidated Statement of Income - USD ($) shares in Millions, $ in Millions</t>
  </si>
  <si>
    <t>12 Months Ended</t>
  </si>
  <si>
    <t>Net interest income</t>
  </si>
  <si>
    <t>Interest income</t>
  </si>
  <si>
    <t>Interest expense</t>
  </si>
  <si>
    <t>Noninterest income</t>
  </si>
  <si>
    <t>Fees and commissions</t>
  </si>
  <si>
    <t>Market making and similar activities</t>
  </si>
  <si>
    <t>Other income</t>
  </si>
  <si>
    <t>Total noninterest income</t>
  </si>
  <si>
    <t>Total revenue, net of interest expense</t>
  </si>
  <si>
    <t>Provision for credit losses</t>
  </si>
  <si>
    <t>Noninterest expense</t>
  </si>
  <si>
    <t>Compensation and benefits</t>
  </si>
  <si>
    <t>Occupancy and equipment</t>
  </si>
  <si>
    <t>Information processing and communications</t>
  </si>
  <si>
    <t>Product delivery and transaction related</t>
  </si>
  <si>
    <t>Marketing</t>
  </si>
  <si>
    <t>Professional fees</t>
  </si>
  <si>
    <t>Other general operating</t>
  </si>
  <si>
    <t>Total noninterest expense</t>
  </si>
  <si>
    <t>Income before income taxes</t>
  </si>
  <si>
    <t>Income tax expense</t>
  </si>
  <si>
    <t>Net income</t>
  </si>
  <si>
    <t>Preferred stock dividends</t>
  </si>
  <si>
    <t>Net income applicable to common shareholders</t>
  </si>
  <si>
    <t>Per common share information</t>
  </si>
  <si>
    <t>Earnings (in dollars per share)</t>
  </si>
  <si>
    <t>Diluted earnings (in dollars per share)</t>
  </si>
  <si>
    <t>Average common shares issued and outstanding (in shares)</t>
  </si>
  <si>
    <t>Average diluted common shares issued and outstanding (in shares)</t>
  </si>
  <si>
    <t>Consolidated Statement of Cash Flows - USD ($) $ in Millions</t>
  </si>
  <si>
    <t>Operating activities</t>
  </si>
  <si>
    <t>Adjustments to reconcile net income to net cash provided by operating activities:</t>
  </si>
  <si>
    <t>Gains on sales of debt securities</t>
  </si>
  <si>
    <t>Depreciation and amortization</t>
  </si>
  <si>
    <t>Net amortization of premium/discount on debt securities</t>
  </si>
  <si>
    <t>Deferred income taxes</t>
  </si>
  <si>
    <t>Stock-based compensation</t>
  </si>
  <si>
    <t>Impairment of equity method investment</t>
  </si>
  <si>
    <t>Loans held-for-sale:</t>
  </si>
  <si>
    <t>Originations and purchases</t>
  </si>
  <si>
    <t>Proceeds from sales and paydowns of loans originally classified as held for sale and instruments from related securitization activities</t>
  </si>
  <si>
    <t>Net change in:</t>
  </si>
  <si>
    <t>Trading and derivative assets/liabilities</t>
  </si>
  <si>
    <t>Other assets</t>
  </si>
  <si>
    <t>Accrued expenses and other liabilities</t>
  </si>
  <si>
    <t>Other operating activities, net</t>
  </si>
  <si>
    <t>Investing activities</t>
  </si>
  <si>
    <t>Federal funds sold and securities borrowed or purchased under agreements to resell</t>
  </si>
  <si>
    <t>Debt securities carried at fair value:</t>
  </si>
  <si>
    <t>Proceeds from sales</t>
  </si>
  <si>
    <t>Proceeds from paydowns and maturities</t>
  </si>
  <si>
    <t>Purchases</t>
  </si>
  <si>
    <t>Held-to-maturity debt securities:</t>
  </si>
  <si>
    <t>Loans and leases:</t>
  </si>
  <si>
    <t>Proceeds from sales of loans originally classified as held for investment and instruments from related securitization activities</t>
  </si>
  <si>
    <t>Other changes in loans and leases, net</t>
  </si>
  <si>
    <t>Other investing activities, net</t>
  </si>
  <si>
    <t>Net cash used in investing activities</t>
  </si>
  <si>
    <t>Financing activities</t>
  </si>
  <si>
    <t>Deposits</t>
  </si>
  <si>
    <t>Federal funds purchased and securities loaned or sold under agreements to repurchase</t>
  </si>
  <si>
    <t>Short-term borrowings</t>
  </si>
  <si>
    <t>Long-term debt:</t>
  </si>
  <si>
    <t>Proceeds from issuance</t>
  </si>
  <si>
    <t>Retirement</t>
  </si>
  <si>
    <t>Preferred stock:</t>
  </si>
  <si>
    <t>Redemption</t>
  </si>
  <si>
    <t>Common stock repurchased</t>
  </si>
  <si>
    <t>Cash dividends paid</t>
  </si>
  <si>
    <t>Other financing activities, net</t>
  </si>
  <si>
    <t>Net cash provided by financing activities</t>
  </si>
  <si>
    <t>Effect of exchange rate changes on cash and cash equivalents</t>
  </si>
  <si>
    <t>Net increase (decrease) in cash and cash equivalents</t>
  </si>
  <si>
    <t>Cash and cash equivalents at January 1</t>
  </si>
  <si>
    <t>Cash and cash equivalents at December 31</t>
  </si>
  <si>
    <t>Supplemental cash flow disclosures</t>
  </si>
  <si>
    <t>Interest paid</t>
  </si>
  <si>
    <t>Income taxes paid, net</t>
  </si>
  <si>
    <t>CONSOLIDATED BALANCE SHEET - USD ($) $ in Millions</t>
  </si>
  <si>
    <t>Cash and due from banks (including segregated cash and other deposits)</t>
  </si>
  <si>
    <t>Deposits with banks, net of allowance</t>
  </si>
  <si>
    <t>Securities borrowed and purchased under agreements to resell (including $185,204 and $153,193 as of December 31, 2020 and 2019, respectively, at fair value), net of allowance</t>
  </si>
  <si>
    <t>Trading account assets (including $168,967 and $120,236 pledged to creditors at December 31, 2020 and 2019, respectively)</t>
  </si>
  <si>
    <t>Investments:</t>
  </si>
  <si>
    <t>Available-for-sale debt securities (including $5,921 and $8,721 pledged to creditors as of December 31, 2020 and 2019, respectively), net of allowance</t>
  </si>
  <si>
    <t>Held-to-maturity debt securities (including $547 and $1,923 pledged to creditors as of December 31, 2020 and 2019, respectively), net of allowance</t>
  </si>
  <si>
    <t>Equity securities (including $1,066 and $1,162 as of December 31, 2020 and 2019, respectively, at fair value)</t>
  </si>
  <si>
    <t>Total investments</t>
  </si>
  <si>
    <t>Loans:</t>
  </si>
  <si>
    <t>Loans, net of unearned income</t>
  </si>
  <si>
    <t>Allowance for credit losses on loans (ACLL)</t>
  </si>
  <si>
    <t>Total loans, net</t>
  </si>
  <si>
    <t>Intangible assets (including MSRs of $336 and $495 as of December 31, 2020 and 2019, respectively, at fair value)</t>
  </si>
  <si>
    <t>Liabilities</t>
  </si>
  <si>
    <t>Non-interest-bearing deposits in U.S. offices</t>
  </si>
  <si>
    <t>Interest-bearing deposits in U.S. offices (including $879 and $1,624 as of December 31, 2020 and 2019, respectively, at fair value)</t>
  </si>
  <si>
    <t>Non-interest-bearing deposits in offices outside the U.S.</t>
  </si>
  <si>
    <t>Interest-bearing deposits in offices outside the U.S. (including $1,079 and $695 as of December 31, 2020 and 2019, respectively, at fair value)</t>
  </si>
  <si>
    <t>Securities loaned and sold under agreements to repurchase (including $60,206 and $40,651 as of December 31, 2020 and 2019, respectively, at fair value)</t>
  </si>
  <si>
    <t>Brokerage payables</t>
  </si>
  <si>
    <t>Short-term borrowings (including $4,683 and $4,946 as of December 31, 2020 and 2019, respectively, at fair value)</t>
  </si>
  <si>
    <t>Long-term debt (including $67,063 and $55,783 as of December 31, 2020 and 2019, respectively, at fair value)</t>
  </si>
  <si>
    <t>Other liabilities (including $6,835 and $6,343 as of December 31, 2020 and 2019, respectively, at fair value), including allowance</t>
  </si>
  <si>
    <t>Stockholders’ equity</t>
  </si>
  <si>
    <t>Preferred stock ($1.00 par value; authorized shares: 30 million), issued shares: 779,200 as of December 31, 2020 and 719,200 as of December 31, 2019, at aggregate liquidation value</t>
  </si>
  <si>
    <t>Common stock ($0.01 par value; authorized shares: 6 billion), issued shares: 3,099,763,661 as of December 31, 2020 and 3,099,602,856 as of December 31, 2019</t>
  </si>
  <si>
    <t>Additional paid-in capital</t>
  </si>
  <si>
    <t>Treasury stock, at cost: 1,017,674,452 shares as of December 31, 2020 and 985,479,501 shares as of December 31, 2019</t>
  </si>
  <si>
    <t>Accumulated other comprehensive income (loss) (AOCI)</t>
  </si>
  <si>
    <t>Total Citigroup stockholders’ equity</t>
  </si>
  <si>
    <t>Noncontrolling interests</t>
  </si>
  <si>
    <t>Total equity</t>
  </si>
  <si>
    <t>Total liabilities and equity</t>
  </si>
  <si>
    <t>Variable Interest Entity, Primary Beneficiary</t>
  </si>
  <si>
    <t>Consumer</t>
  </si>
  <si>
    <t>Consumer | Variable Interest Entity, Primary Beneficiary</t>
  </si>
  <si>
    <t>Corporate</t>
  </si>
  <si>
    <t>Corporate | Variable Interest Entity, Primary Beneficiary</t>
  </si>
  <si>
    <t>CONSOLIDATED STATEMENT OF INCOME - USD ($) shares in Millions, $ in Millions</t>
  </si>
  <si>
    <t>Revenues</t>
  </si>
  <si>
    <t>Interest revenue</t>
  </si>
  <si>
    <t>Net interest revenue</t>
  </si>
  <si>
    <t>Commissions and fees</t>
  </si>
  <si>
    <t>Principal transactions</t>
  </si>
  <si>
    <t>Administration and other fiduciary fees</t>
  </si>
  <si>
    <t>Realized gains on sales of investments, net</t>
  </si>
  <si>
    <t>Impairment losses on investments:</t>
  </si>
  <si>
    <t>Impairment losses on investments and other assets</t>
  </si>
  <si>
    <t>Provision for credit losses on AFS debt securities</t>
  </si>
  <si>
    <t>[1]</t>
  </si>
  <si>
    <t>Net impairment losses recognized in earnings</t>
  </si>
  <si>
    <t>Other revenue</t>
  </si>
  <si>
    <t>Total non-interest revenues</t>
  </si>
  <si>
    <t>Total revenues, net of interest expense</t>
  </si>
  <si>
    <t>Provisions for credit losses and for benefits and claims</t>
  </si>
  <si>
    <t>Provision for credit losses on loans</t>
  </si>
  <si>
    <t>Provision for credit losses on held-to-maturity (HTM) debt securities</t>
  </si>
  <si>
    <t>Provision for credit losses on other assets</t>
  </si>
  <si>
    <t>Policyholder benefits and claims</t>
  </si>
  <si>
    <t>Provision for credit losses on unfunded lending commitments</t>
  </si>
  <si>
    <t>Total provisions for credit losses and for benefits and claims</t>
  </si>
  <si>
    <t>Operating expenses</t>
  </si>
  <si>
    <t>Premises and equipment</t>
  </si>
  <si>
    <t>Technology/communication</t>
  </si>
  <si>
    <t>Advertising and marketing</t>
  </si>
  <si>
    <t>Other operating</t>
  </si>
  <si>
    <t>Total operating expenses</t>
  </si>
  <si>
    <t>Income from continuing operations before income taxes</t>
  </si>
  <si>
    <t>Provision for income taxes</t>
  </si>
  <si>
    <t>Income from continuing operations</t>
  </si>
  <si>
    <t>Discontinued operations</t>
  </si>
  <si>
    <t>Loss from discontinued operations</t>
  </si>
  <si>
    <t>Provision (benefit) for income taxes</t>
  </si>
  <si>
    <t>Loss from discontinued operations, net of taxes</t>
  </si>
  <si>
    <t>Net income before attribution of noncontrolling interests</t>
  </si>
  <si>
    <t>Citigroup’s net income</t>
  </si>
  <si>
    <t>Basic earnings per share</t>
  </si>
  <si>
    <t>Income from continuing operations (in dollars per share)</t>
  </si>
  <si>
    <t>[2]</t>
  </si>
  <si>
    <t>Loss from discontinued operations, net of taxes (in dollars per share)</t>
  </si>
  <si>
    <t>Net income (in dollars per share)</t>
  </si>
  <si>
    <t>Weighted average common shares outstanding (in shares)</t>
  </si>
  <si>
    <t>Diluted earnings per share</t>
  </si>
  <si>
    <t>Income (loss) from discontinued operations, net of taxes (in dollars per share)</t>
  </si>
  <si>
    <t>Adjusted weighted average common shares outstanding (in shares)</t>
  </si>
  <si>
    <t>In accordance with ASC 326.</t>
  </si>
  <si>
    <t>Due to rounding, earnings per share on continuing operations and discontinued operations may not sum to earnings per share on net income.</t>
  </si>
  <si>
    <t>CONSOLIDATED STATEMENT OF CASH FLOWS - USD ($) $ in Millions</t>
  </si>
  <si>
    <t>Cash flows from operating activities of continuing operations</t>
  </si>
  <si>
    <t>Net income attributable to noncontrolling interests</t>
  </si>
  <si>
    <t>Income from continuing operations—excluding noncontrolling interests</t>
  </si>
  <si>
    <t>Adjustments to reconcile net income to net cash provided by (used in) operating activities of continuing operations</t>
  </si>
  <si>
    <t>Net gains on significant disposals</t>
  </si>
  <si>
    <t>Provision for credit losses on loans and unfunded lending commitments</t>
  </si>
  <si>
    <t>Realized gains from sales of investments</t>
  </si>
  <si>
    <t>Change in trading account assets</t>
  </si>
  <si>
    <t>Change in trading account liabilities</t>
  </si>
  <si>
    <t>Change in brokerage receivables net of brokerage payables</t>
  </si>
  <si>
    <t>Change in loans HFS</t>
  </si>
  <si>
    <t>Change in other assets</t>
  </si>
  <si>
    <t>Change in other liabilities</t>
  </si>
  <si>
    <t>Other, net</t>
  </si>
  <si>
    <t>Total adjustments</t>
  </si>
  <si>
    <t>Net cash provided by (used in) operating activities of continuing operations</t>
  </si>
  <si>
    <t>Cash flows from investing activities of continuing operations</t>
  </si>
  <si>
    <t>Change in securities borrowed and purchased under agreements to resell</t>
  </si>
  <si>
    <t>Change in loans</t>
  </si>
  <si>
    <t>Proceeds from sales and securitizations of loans</t>
  </si>
  <si>
    <t>Purchases of investments</t>
  </si>
  <si>
    <t>Proceeds from sales of investments</t>
  </si>
  <si>
    <t>Proceeds from maturities of investments</t>
  </si>
  <si>
    <t>Proceeds from significant disposals</t>
  </si>
  <si>
    <t>Capital expenditures on premises and equipment and capitalized software</t>
  </si>
  <si>
    <t>Proceeds from sales of premises and equipment, subsidiaries and affiliates and repossessed assets</t>
  </si>
  <si>
    <t>Net cash used in investing activities of continuing operations</t>
  </si>
  <si>
    <t>Cash flows from financing activities of continuing operations</t>
  </si>
  <si>
    <t>Dividends paid</t>
  </si>
  <si>
    <t>Issuance of preferred stock</t>
  </si>
  <si>
    <t>Redemption of preferred stock</t>
  </si>
  <si>
    <t>Treasury stock acquired</t>
  </si>
  <si>
    <t>Stock tendered for payment of withholding taxes</t>
  </si>
  <si>
    <t>Change in securities loaned and sold under agreements to repurchase</t>
  </si>
  <si>
    <t>Issuance of long-term debt</t>
  </si>
  <si>
    <t>Payments and redemptions of long-term debt</t>
  </si>
  <si>
    <t>Change in deposits</t>
  </si>
  <si>
    <t>Change in short-term borrowings</t>
  </si>
  <si>
    <t>Net cash provided by financing activities of continuing operations</t>
  </si>
  <si>
    <t>Effect of exchange rate changes on cash and due from banks</t>
  </si>
  <si>
    <t>Change in cash, due from banks and deposits with banks</t>
  </si>
  <si>
    <t>Cash, due from banks and deposits with banks at beginning of year</t>
  </si>
  <si>
    <t>Cash, due from banks and deposits with banks at end of year</t>
  </si>
  <si>
    <t>Cash, due from banks and deposits with banks at end of period</t>
  </si>
  <si>
    <t>Supplemental disclosure of cash flow information for continuing operations</t>
  </si>
  <si>
    <t>Cash paid during the year for income taxes</t>
  </si>
  <si>
    <t>Cash paid during the year for interest</t>
  </si>
  <si>
    <t>Non-cash investing activities</t>
  </si>
  <si>
    <t>Transfers to loans HFS (Other assets) from loans</t>
  </si>
  <si>
    <t>See Note 2 to the Consolidated Financial Statements for further information on significant disposals.</t>
  </si>
  <si>
    <t>Operating and finance lease right-of-use assets and lease liabilities represent non-cash investing and financing activities, respectively, and are not included in the non-cash investing activities presented here. See Note 26 to the Consolidated Financial Statements for more information and balances as of December 31, 2020 and 2019.</t>
  </si>
  <si>
    <t>$311.20 B</t>
  </si>
  <si>
    <t xml:space="preserve">tax rate(tc) </t>
  </si>
  <si>
    <t>calculation of cost of debt rate(bac)</t>
  </si>
  <si>
    <t>Net Debt</t>
  </si>
  <si>
    <r>
      <rPr>
        <b/>
        <sz val="11"/>
        <color theme="1"/>
        <rFont val="Calibri"/>
        <family val="2"/>
        <scheme val="minor"/>
      </rPr>
      <t>interest expence</t>
    </r>
    <r>
      <rPr>
        <sz val="11"/>
        <color theme="1"/>
        <rFont val="Calibri"/>
        <family val="2"/>
        <scheme val="minor"/>
      </rPr>
      <t xml:space="preserve"> (income statement)</t>
    </r>
  </si>
  <si>
    <t>cost of debt (rd)</t>
  </si>
  <si>
    <t>$262.20 B</t>
  </si>
  <si>
    <t>CITI</t>
  </si>
  <si>
    <t>year 2019</t>
  </si>
  <si>
    <t>Market value of firms equity(2019)€(mcap)</t>
  </si>
  <si>
    <t>google</t>
  </si>
  <si>
    <t>Market value of firms DEBT(2019) D (Net Debt)</t>
  </si>
  <si>
    <t>balance sheet</t>
  </si>
  <si>
    <t>income statemnt</t>
  </si>
  <si>
    <t>Cost of debt(weight on cost of capital) interest rate paid mu cmpny</t>
  </si>
  <si>
    <t>incme statmnt</t>
  </si>
  <si>
    <t xml:space="preserve">Cost of Capital(debt and equity): </t>
  </si>
  <si>
    <t>Cost of equity(rate of return on equity) (CAPM)re(Expected return)</t>
  </si>
  <si>
    <t>RATE(2019)</t>
  </si>
  <si>
    <t>RATE(2020)</t>
  </si>
  <si>
    <t>TREASURY RATE (DAILY)</t>
  </si>
  <si>
    <t>Year(2020)</t>
  </si>
  <si>
    <t>The government bond is theoritically considered    as risk free which is actually minimum return from any asset. So we use them as to calculate rf. Rf obtained will be in years. Rf for 2019 for both bac and citi is same. And similarly for 2020 for both companies. rf2019 &gt; rf2020</t>
  </si>
  <si>
    <t>rf(2019)</t>
  </si>
  <si>
    <t>rf(2020)</t>
  </si>
  <si>
    <t>Date</t>
  </si>
  <si>
    <t>spy_price</t>
  </si>
  <si>
    <t>BAC_PRICE</t>
  </si>
  <si>
    <t>CITI_PRICE</t>
  </si>
  <si>
    <t>RETRN_SPY(2019)</t>
  </si>
  <si>
    <t>RTRN_SPY_2020</t>
  </si>
  <si>
    <t>RETRN_BAC_2019</t>
  </si>
  <si>
    <t>RETRN_CITI_2019</t>
  </si>
  <si>
    <t>RETRN_BAC_2020</t>
  </si>
  <si>
    <t>RETRN_CITI_2020</t>
  </si>
  <si>
    <t>E(RM)(2019)</t>
  </si>
  <si>
    <t>E(RM)(2020)</t>
  </si>
  <si>
    <t>CMPNY</t>
  </si>
  <si>
    <t>SPY</t>
  </si>
  <si>
    <t>BAC</t>
  </si>
  <si>
    <t>Mean return</t>
  </si>
  <si>
    <t>Alpha</t>
  </si>
  <si>
    <t>Beta(risk)</t>
  </si>
  <si>
    <t>E(rm)(2019)</t>
  </si>
  <si>
    <t>E(rm)(2020)</t>
  </si>
  <si>
    <t>MARKET RETURN</t>
  </si>
  <si>
    <t>E(rm)(2019)Yearly</t>
  </si>
  <si>
    <t>(google says arnd 31.2%</t>
  </si>
  <si>
    <t>E(rm)(2019)expected Daily return</t>
  </si>
  <si>
    <t>beta(systematic risk which changes expected retrn if all other same)</t>
  </si>
  <si>
    <t>year :2019(BAC)</t>
  </si>
  <si>
    <t xml:space="preserve">(beta positive means exp retrn for bac more than mkt retrn </t>
  </si>
  <si>
    <t xml:space="preserve">WEIGHT ON DEBT </t>
  </si>
  <si>
    <t>WEIGHT ON EQUITY</t>
  </si>
  <si>
    <t>WACC(2019)</t>
  </si>
  <si>
    <t>IN MILLION</t>
  </si>
  <si>
    <t>M</t>
  </si>
  <si>
    <t>1 - TC</t>
  </si>
  <si>
    <t xml:space="preserve">MCAP IN BILLION </t>
  </si>
  <si>
    <t>Mcap in million</t>
  </si>
  <si>
    <t xml:space="preserve">mcap in million </t>
  </si>
  <si>
    <t xml:space="preserve">                         YEAR - 2020(BAC)</t>
  </si>
  <si>
    <t>Reference</t>
  </si>
  <si>
    <t>Values</t>
  </si>
  <si>
    <t>Cost of debt(weight on cost of capital) interest rate paid by cmpny</t>
  </si>
  <si>
    <t>year :2020(BAC)</t>
  </si>
  <si>
    <t>E(rm)(2020)expected Daily return</t>
  </si>
  <si>
    <t>E(rm)(2020)Yearly</t>
  </si>
  <si>
    <t>Weight on Debt</t>
  </si>
  <si>
    <t>Weight on equity</t>
  </si>
  <si>
    <t>1 - tc</t>
  </si>
  <si>
    <t xml:space="preserve">                                                                                                                                                                                                                                              CALCULATION (WACC FOR BAC) :  WEIGHTED AVERAGE FOR COST OF DEBT AND EQUITY</t>
  </si>
  <si>
    <t>WACC(2020)(BAC)</t>
  </si>
  <si>
    <r>
      <t xml:space="preserve">                                                                                                                                                          </t>
    </r>
    <r>
      <rPr>
        <b/>
        <sz val="14"/>
        <color theme="1"/>
        <rFont val="Calibri"/>
        <family val="2"/>
        <scheme val="minor"/>
      </rPr>
      <t>CALCULATION OF WACC(CITY - 2019 AND 2020)</t>
    </r>
  </si>
  <si>
    <t xml:space="preserve">Calculation of total debt </t>
  </si>
  <si>
    <t>EXCESS ASSET</t>
  </si>
  <si>
    <t>LIABILITIES(8NVESTEMNT(ST, LT)</t>
  </si>
  <si>
    <t>Total</t>
  </si>
  <si>
    <t>https://www.macrotrends.net/2016/10-year-treasury-bond-rate-yield-chart</t>
  </si>
  <si>
    <t>ASSUMPTION : Since the net debt is negative, so we will just consider equity re not cost of debt.</t>
  </si>
  <si>
    <t>cost of debt (rd)(net debt negative)</t>
  </si>
  <si>
    <t xml:space="preserve">Net Debt(-ve) </t>
  </si>
  <si>
    <t>google one</t>
  </si>
  <si>
    <t>https://csimarket.com/stocks/singleProfitabilityRatiosy.php?code=C&amp;itx</t>
  </si>
  <si>
    <t>reference : effective annual tax rate (citi)</t>
  </si>
  <si>
    <t xml:space="preserve">  </t>
  </si>
  <si>
    <r>
      <rPr>
        <b/>
        <sz val="11"/>
        <color theme="1"/>
        <rFont val="Calibri"/>
        <family val="2"/>
        <scheme val="minor"/>
      </rPr>
      <t xml:space="preserve">references </t>
    </r>
    <r>
      <rPr>
        <sz val="11"/>
        <color theme="1"/>
        <rFont val="Calibri"/>
        <family val="2"/>
        <scheme val="minor"/>
      </rPr>
      <t>: mcap (citi) : https://companiesmarketcap.com/citigroup/marketcap/</t>
    </r>
  </si>
  <si>
    <t>YEAR: 2019</t>
  </si>
  <si>
    <t>YEAR : 2020</t>
  </si>
  <si>
    <t>Reference mcap (citi) : https://companiesmarketcap.com/citigroup/marketcap/</t>
  </si>
  <si>
    <t>https://companiesmarketcap.com/citigroup/marketcap/</t>
  </si>
  <si>
    <t>$128.37 B</t>
  </si>
  <si>
    <t>mcap in billions</t>
  </si>
  <si>
    <t>mcap in million</t>
  </si>
  <si>
    <t>Market value of firms equity(2020)€(mcap)</t>
  </si>
  <si>
    <t>Market value of firms DEBT(2020) D (Net Debt)</t>
  </si>
  <si>
    <t>year :2020(citi)</t>
  </si>
  <si>
    <t>Net cash provided by operating activities</t>
  </si>
  <si>
    <t>Income tax rate</t>
  </si>
  <si>
    <t>free cash flow before interest</t>
  </si>
  <si>
    <t>after interest</t>
  </si>
  <si>
    <t>FCF</t>
  </si>
  <si>
    <r>
      <t xml:space="preserve">                                                                                                                                                                                                        </t>
    </r>
    <r>
      <rPr>
        <b/>
        <sz val="18"/>
        <color theme="1"/>
        <rFont val="Calibri"/>
        <family val="2"/>
        <scheme val="minor"/>
      </rPr>
      <t xml:space="preserve">          BAC CORP VALUATION BASED ON CF</t>
    </r>
  </si>
  <si>
    <t>Short term investment growth rate gst</t>
  </si>
  <si>
    <t>long term investemet growth rate glt</t>
  </si>
  <si>
    <t>)wacc(dic rate)</t>
  </si>
  <si>
    <t>year</t>
  </si>
  <si>
    <t>discounting period</t>
  </si>
  <si>
    <t>df(discounting factor)</t>
  </si>
  <si>
    <t>discounted fcf</t>
  </si>
  <si>
    <t>EV</t>
  </si>
  <si>
    <t>FCF(2019)</t>
  </si>
  <si>
    <t>terminak vslue</t>
  </si>
  <si>
    <t>total</t>
  </si>
  <si>
    <t>Subtract 2020 financial liabilities</t>
  </si>
  <si>
    <t>Equity value</t>
  </si>
  <si>
    <t>Per share (1 million shares outstanding)</t>
  </si>
  <si>
    <t>Add back initial cash and marketable securities(excess asset added)</t>
  </si>
  <si>
    <t>After interest</t>
  </si>
  <si>
    <t>(BAC)FREE CASH FLOW STATEMENT - USD ($) $ in Millions</t>
  </si>
  <si>
    <t>Subtract 2019 financial liabilities</t>
  </si>
  <si>
    <t>FCF(2020)</t>
  </si>
  <si>
    <t xml:space="preserve">                                                                                                                                   BAC and CITI  EV TO MCAP RATIO</t>
  </si>
  <si>
    <t>YEAR</t>
  </si>
  <si>
    <t>MCAP</t>
  </si>
  <si>
    <t>EV/MCAP</t>
  </si>
  <si>
    <t>BAC(RATIO)</t>
  </si>
  <si>
    <t>LESS RISKY LESS DEBT</t>
  </si>
  <si>
    <t>MORE RISKY MORE DEBT</t>
  </si>
  <si>
    <t>INVESTING ACTIVITIES</t>
  </si>
  <si>
    <t xml:space="preserve">FCF </t>
  </si>
  <si>
    <t xml:space="preserve">FCF tax  before </t>
  </si>
  <si>
    <t xml:space="preserve">TOTAL </t>
  </si>
  <si>
    <r>
      <t xml:space="preserve">                                                                                                                           </t>
    </r>
    <r>
      <rPr>
        <sz val="14"/>
        <color theme="1"/>
        <rFont val="Calibri"/>
        <family val="2"/>
        <scheme val="minor"/>
      </rPr>
      <t xml:space="preserve">            </t>
    </r>
    <r>
      <rPr>
        <b/>
        <sz val="14"/>
        <color theme="1"/>
        <rFont val="Calibri"/>
        <family val="2"/>
        <scheme val="minor"/>
      </rPr>
      <t>CITI  VALUATION USING FCF( 2019 AND 2020)</t>
    </r>
  </si>
  <si>
    <t>WACC(2020)</t>
  </si>
  <si>
    <t>year :2019(CITI)</t>
  </si>
  <si>
    <t xml:space="preserve">                                                                                                                                         VALUES OF WACC FOR BOTH YEARS AND COMPANY</t>
  </si>
  <si>
    <t xml:space="preserve">                                 WACC    FOR CTI </t>
  </si>
  <si>
    <t xml:space="preserve">                      WACC (BAC)                                              </t>
  </si>
  <si>
    <t xml:space="preserve">                                                                                                                                                         VALUATION USING MULTIPLE RATIOS</t>
  </si>
  <si>
    <t>Adjusted Earning(last year)</t>
  </si>
  <si>
    <t>R (WACC)</t>
  </si>
  <si>
    <t>BAC EPV</t>
  </si>
  <si>
    <t>3 Years average EPS</t>
  </si>
  <si>
    <t>Last 10 years average PE ratio</t>
  </si>
  <si>
    <t xml:space="preserve">calculatesd </t>
  </si>
  <si>
    <t>income statement</t>
  </si>
  <si>
    <r>
      <t xml:space="preserve">                         </t>
    </r>
    <r>
      <rPr>
        <b/>
        <sz val="11"/>
        <rFont val="Calibri"/>
        <family val="2"/>
        <scheme val="minor"/>
      </rPr>
      <t xml:space="preserve">     PE RATIOS</t>
    </r>
    <r>
      <rPr>
        <sz val="11"/>
        <rFont val="Calibri"/>
        <family val="2"/>
        <scheme val="minor"/>
      </rPr>
      <t xml:space="preserve">(2019)                 </t>
    </r>
    <r>
      <rPr>
        <b/>
        <sz val="11"/>
        <rFont val="Calibri"/>
        <family val="2"/>
        <scheme val="minor"/>
      </rPr>
      <t xml:space="preserve"> VALUE  </t>
    </r>
    <r>
      <rPr>
        <sz val="11"/>
        <rFont val="Calibri"/>
        <family val="2"/>
        <scheme val="minor"/>
      </rPr>
      <t xml:space="preserve">       </t>
    </r>
    <r>
      <rPr>
        <b/>
        <sz val="11"/>
        <rFont val="Calibri"/>
        <family val="2"/>
        <scheme val="minor"/>
      </rPr>
      <t xml:space="preserve">   SOURCE</t>
    </r>
  </si>
  <si>
    <r>
      <t xml:space="preserve">           </t>
    </r>
    <r>
      <rPr>
        <b/>
        <sz val="11"/>
        <rFont val="Calibri"/>
        <family val="2"/>
        <scheme val="minor"/>
      </rPr>
      <t>EARNING POWER VALUE</t>
    </r>
    <r>
      <rPr>
        <sz val="11"/>
        <rFont val="Calibri"/>
        <family val="2"/>
        <scheme val="minor"/>
      </rPr>
      <t xml:space="preserve">(2019)     </t>
    </r>
    <r>
      <rPr>
        <b/>
        <sz val="11"/>
        <rFont val="Calibri"/>
        <family val="2"/>
        <scheme val="minor"/>
      </rPr>
      <t xml:space="preserve"> VALUES     </t>
    </r>
    <r>
      <rPr>
        <sz val="11"/>
        <rFont val="Calibri"/>
        <family val="2"/>
        <scheme val="minor"/>
      </rPr>
      <t xml:space="preserve">        </t>
    </r>
    <r>
      <rPr>
        <b/>
        <sz val="11"/>
        <rFont val="Calibri"/>
        <family val="2"/>
        <scheme val="minor"/>
      </rPr>
      <t xml:space="preserve"> SOURCE</t>
    </r>
  </si>
  <si>
    <t>https://www.macrotrends.net/stocks/charts/BAC/bank-of-america/pe-ratio</t>
  </si>
  <si>
    <t>BAC PE VALUE(2019)</t>
  </si>
  <si>
    <t>BAC PE VALUE(2020)</t>
  </si>
  <si>
    <t xml:space="preserve">                                          CITI (2019)                                                                                                                                                                                                               CITI(2020)</t>
  </si>
  <si>
    <t>Adjusted Earning(last year)(EPS)</t>
  </si>
  <si>
    <t>https://www.macrotrends.net/stocks/charts/C/citigroup/eps-earnings-per-share-diluted</t>
  </si>
  <si>
    <t>CITI( EPV)</t>
  </si>
  <si>
    <t>CITI EPV</t>
  </si>
  <si>
    <r>
      <t xml:space="preserve">           </t>
    </r>
    <r>
      <rPr>
        <b/>
        <sz val="11"/>
        <rFont val="Calibri"/>
        <family val="2"/>
        <scheme val="minor"/>
      </rPr>
      <t>EARNING POWER VALUE(2020)      VALUES              SOURCE</t>
    </r>
  </si>
  <si>
    <r>
      <t xml:space="preserve">           </t>
    </r>
    <r>
      <rPr>
        <b/>
        <sz val="11"/>
        <rFont val="Calibri"/>
        <family val="2"/>
        <scheme val="minor"/>
      </rPr>
      <t>EARNING POWER VALUE(2019)</t>
    </r>
    <r>
      <rPr>
        <sz val="11"/>
        <rFont val="Calibri"/>
        <family val="2"/>
        <scheme val="minor"/>
      </rPr>
      <t xml:space="preserve">     </t>
    </r>
    <r>
      <rPr>
        <b/>
        <sz val="11"/>
        <rFont val="Calibri"/>
        <family val="2"/>
        <scheme val="minor"/>
      </rPr>
      <t xml:space="preserve"> VALUES     </t>
    </r>
    <r>
      <rPr>
        <sz val="11"/>
        <rFont val="Calibri"/>
        <family val="2"/>
        <scheme val="minor"/>
      </rPr>
      <t xml:space="preserve">        </t>
    </r>
    <r>
      <rPr>
        <b/>
        <sz val="11"/>
        <rFont val="Calibri"/>
        <family val="2"/>
        <scheme val="minor"/>
      </rPr>
      <t xml:space="preserve"> SOURCE</t>
    </r>
  </si>
  <si>
    <t>Adjusted Earning(last year)(2019)</t>
  </si>
  <si>
    <t>website</t>
  </si>
  <si>
    <t>https://www.macrotrends.net/stocks/charts/C/citigroup/pe-ratio</t>
  </si>
  <si>
    <t>CITI PE VALUE(2019)</t>
  </si>
  <si>
    <t>CITI PE VALUE(2020)</t>
  </si>
  <si>
    <t xml:space="preserve">https://www.macrotrends.net/stocks/charts/C/citigroup/eps-earnings-per-share-diluted </t>
  </si>
  <si>
    <r>
      <t xml:space="preserve">                         </t>
    </r>
    <r>
      <rPr>
        <b/>
        <sz val="11"/>
        <rFont val="Calibri"/>
        <family val="2"/>
        <scheme val="minor"/>
      </rPr>
      <t xml:space="preserve">     PE RATIOS</t>
    </r>
    <r>
      <rPr>
        <sz val="11"/>
        <rFont val="Calibri"/>
        <family val="2"/>
        <scheme val="minor"/>
      </rPr>
      <t>(</t>
    </r>
    <r>
      <rPr>
        <b/>
        <sz val="11"/>
        <rFont val="Calibri"/>
        <family val="2"/>
        <scheme val="minor"/>
      </rPr>
      <t>2020</t>
    </r>
    <r>
      <rPr>
        <sz val="11"/>
        <rFont val="Calibri"/>
        <family val="2"/>
        <scheme val="minor"/>
      </rPr>
      <t xml:space="preserve">)                 </t>
    </r>
    <r>
      <rPr>
        <b/>
        <sz val="11"/>
        <rFont val="Calibri"/>
        <family val="2"/>
        <scheme val="minor"/>
      </rPr>
      <t xml:space="preserve"> VALUE  </t>
    </r>
    <r>
      <rPr>
        <sz val="11"/>
        <rFont val="Calibri"/>
        <family val="2"/>
        <scheme val="minor"/>
      </rPr>
      <t xml:space="preserve">       </t>
    </r>
    <r>
      <rPr>
        <b/>
        <sz val="11"/>
        <rFont val="Calibri"/>
        <family val="2"/>
        <scheme val="minor"/>
      </rPr>
      <t xml:space="preserve">   SOURCE</t>
    </r>
  </si>
  <si>
    <t>AVGOF 10 YEARS (2019)</t>
  </si>
  <si>
    <t>AVERAGE OF 10 FOR 2020</t>
  </si>
  <si>
    <t>BAC_AVG_10 YEAR(2019)</t>
  </si>
  <si>
    <t>BAC_AVG_10 (2020)</t>
  </si>
  <si>
    <t>https://www.macrotrends.net/stocks/charts/BAC/bank-of-america/eps-earnings-per-share-diluted</t>
  </si>
  <si>
    <t xml:space="preserve">https://www.macrotrends.net/stocks/charts/BAC/bank-of-america/eps-earnings-per-share-diluted </t>
  </si>
  <si>
    <r>
      <t xml:space="preserve">                                                  </t>
    </r>
    <r>
      <rPr>
        <b/>
        <sz val="14"/>
        <rFont val="Calibri"/>
        <family val="2"/>
        <scheme val="minor"/>
      </rPr>
      <t xml:space="preserve">    BAC(2019)  </t>
    </r>
    <r>
      <rPr>
        <sz val="14"/>
        <rFont val="Calibri"/>
        <family val="2"/>
        <scheme val="minor"/>
      </rPr>
      <t xml:space="preserve">                                                                                                                                        </t>
    </r>
    <r>
      <rPr>
        <b/>
        <sz val="14"/>
        <rFont val="Calibri"/>
        <family val="2"/>
        <scheme val="minor"/>
      </rPr>
      <t xml:space="preserve">   BAC (2020)</t>
    </r>
  </si>
  <si>
    <t>CALC OF TOTAL DEBT(BAC)</t>
  </si>
  <si>
    <t>$168.89 B</t>
  </si>
  <si>
    <t>https://companiesmarketcap.com/bank-of-america/marketcap/</t>
  </si>
  <si>
    <t xml:space="preserve">                                                                                                                                                                                              WACC(BAC - 2019 AND 2020)</t>
  </si>
  <si>
    <t>Market value of firms equity(2019)(mcap) E</t>
  </si>
  <si>
    <t>RISK FREE RATE(RF) USED IN THE CALCULATION</t>
  </si>
  <si>
    <t>RF(2019)(Calculated)</t>
  </si>
  <si>
    <t>RF(2020)(calculated)</t>
  </si>
  <si>
    <t>assumption: Using the rf from macrotend site rater than calculated one for more precision resulta</t>
  </si>
  <si>
    <t>TOTAL LIABILITY</t>
  </si>
  <si>
    <t>SOURCE</t>
  </si>
  <si>
    <t>ANNUAL EFFECTIVE TAX RATE (TC) USED ( FOR CITI)</t>
  </si>
  <si>
    <t>Citigroup Inc Annual Effective Tax Rate Trends, Business Profitability Ranking, Fundamental Ratios - CSIMarket</t>
  </si>
  <si>
    <t>sum</t>
  </si>
  <si>
    <t xml:space="preserve">FCF tax  after tax </t>
  </si>
  <si>
    <t>terminak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</si>
</sst>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164" formatCode="_(&quot;$ &quot;#,##0_);_(&quot;$ &quot;\(#,##0\)"/>
    <numFmt numFmtId="165" formatCode="_(&quot;$ &quot;#,##0.00_);_(&quot;$ &quot;\(#,##0.00\)"/>
    <numFmt numFmtId="166" formatCode="#,##0.0_);\(#,##0.0\)"/>
    <numFmt numFmtId="167" formatCode="0.000%"/>
  </numFmts>
  <fonts count="33" x14ac:knownFonts="1">
    <font>
      <sz val="11"/>
      <color theme="1"/>
      <name val="Calibri"/>
      <family val="2"/>
      <scheme val="minor"/>
    </font>
    <font>
      <sz val="11"/>
      <color theme="1"/>
      <name val="Calibri"/>
      <family val="2"/>
      <scheme val="minor"/>
    </font>
    <font>
      <b/>
      <sz val="11"/>
      <color theme="1"/>
      <name val="Calibri"/>
      <family val="2"/>
      <scheme val="minor"/>
    </font>
    <font>
      <b/>
      <sz val="11"/>
      <name val="Calibri"/>
      <family val="2"/>
    </font>
    <font>
      <b/>
      <sz val="11"/>
      <color theme="7"/>
      <name val="Calibri"/>
      <family val="2"/>
    </font>
    <font>
      <sz val="11"/>
      <name val="Calibri"/>
      <family val="2"/>
    </font>
    <font>
      <sz val="11"/>
      <color theme="7"/>
      <name val="Calibri"/>
      <family val="2"/>
      <scheme val="minor"/>
    </font>
    <font>
      <sz val="11"/>
      <color theme="1"/>
      <name val="Calibri"/>
      <family val="2"/>
    </font>
    <font>
      <sz val="11"/>
      <color theme="5"/>
      <name val="Calibri"/>
      <family val="2"/>
    </font>
    <font>
      <sz val="11"/>
      <color theme="7"/>
      <name val="Calibri"/>
      <family val="2"/>
    </font>
    <font>
      <u/>
      <sz val="11"/>
      <color theme="10"/>
      <name val="Calibri"/>
      <family val="2"/>
      <scheme val="minor"/>
    </font>
    <font>
      <b/>
      <sz val="12"/>
      <color theme="1"/>
      <name val="Calibri"/>
      <family val="2"/>
      <scheme val="minor"/>
    </font>
    <font>
      <b/>
      <sz val="14"/>
      <color theme="1"/>
      <name val="Calibri"/>
      <family val="2"/>
      <scheme val="minor"/>
    </font>
    <font>
      <sz val="11"/>
      <color rgb="FF393B3E"/>
      <name val="Source Sans Pro"/>
      <family val="2"/>
    </font>
    <font>
      <sz val="11"/>
      <color theme="9"/>
      <name val="Calibri"/>
      <family val="2"/>
    </font>
    <font>
      <sz val="11"/>
      <color theme="5" tint="0.39997558519241921"/>
      <name val="Calibri"/>
      <family val="2"/>
    </font>
    <font>
      <sz val="11"/>
      <color rgb="FFFF0000"/>
      <name val="Calibri"/>
      <family val="2"/>
    </font>
    <font>
      <sz val="11"/>
      <color rgb="FF00B050"/>
      <name val="Calibri"/>
      <family val="2"/>
    </font>
    <font>
      <b/>
      <sz val="11"/>
      <color theme="5"/>
      <name val="Calibri"/>
      <family val="2"/>
    </font>
    <font>
      <sz val="11"/>
      <color theme="5"/>
      <name val="Calibri"/>
      <family val="2"/>
      <scheme val="minor"/>
    </font>
    <font>
      <b/>
      <sz val="8"/>
      <color rgb="FF000000"/>
      <name val="Nunito"/>
    </font>
    <font>
      <b/>
      <sz val="16"/>
      <color theme="1"/>
      <name val="Calibri"/>
      <family val="2"/>
      <scheme val="minor"/>
    </font>
    <font>
      <b/>
      <sz val="18"/>
      <color theme="1"/>
      <name val="Calibri"/>
      <family val="2"/>
      <scheme val="minor"/>
    </font>
    <font>
      <sz val="11"/>
      <name val="Arial"/>
      <family val="2"/>
    </font>
    <font>
      <sz val="11"/>
      <name val="Calibri"/>
      <family val="2"/>
      <scheme val="minor"/>
    </font>
    <font>
      <b/>
      <sz val="11"/>
      <name val="Calibri"/>
      <family val="2"/>
      <scheme val="minor"/>
    </font>
    <font>
      <b/>
      <sz val="12"/>
      <name val="Calibri"/>
      <family val="2"/>
      <scheme val="minor"/>
    </font>
    <font>
      <b/>
      <sz val="14"/>
      <name val="Calibri"/>
      <family val="2"/>
      <scheme val="minor"/>
    </font>
    <font>
      <b/>
      <sz val="12"/>
      <name val="Calibri"/>
      <family val="2"/>
    </font>
    <font>
      <sz val="14"/>
      <color theme="1"/>
      <name val="Calibri"/>
      <family val="2"/>
      <scheme val="minor"/>
    </font>
    <font>
      <sz val="8"/>
      <color rgb="FF444444"/>
      <name val="Roboto"/>
    </font>
    <font>
      <sz val="14"/>
      <name val="Calibri"/>
      <family val="2"/>
      <scheme val="minor"/>
    </font>
    <font>
      <sz val="11"/>
      <name val="Source Sans Pro"/>
      <family val="2"/>
    </font>
  </fonts>
  <fills count="7">
    <fill>
      <patternFill patternType="none"/>
    </fill>
    <fill>
      <patternFill patternType="gray125"/>
    </fill>
    <fill>
      <patternFill patternType="solid">
        <fgColor theme="4" tint="0.59999389629810485"/>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5"/>
        <bgColor indexed="64"/>
      </patternFill>
    </fill>
    <fill>
      <patternFill patternType="solid">
        <fgColor theme="0"/>
        <bgColor indexed="64"/>
      </patternFill>
    </fill>
  </fills>
  <borders count="2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rgb="FFE3E3E3"/>
      </top>
      <bottom style="medium">
        <color rgb="FFE3E3E3"/>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rgb="FFDDDDDD"/>
      </top>
      <bottom/>
      <diagonal/>
    </border>
    <border>
      <left style="medium">
        <color indexed="64"/>
      </left>
      <right/>
      <top style="medium">
        <color rgb="FFE3E3E3"/>
      </top>
      <bottom style="medium">
        <color rgb="FFE3E3E3"/>
      </bottom>
      <diagonal/>
    </border>
    <border>
      <left/>
      <right style="medium">
        <color indexed="64"/>
      </right>
      <top style="medium">
        <color rgb="FFE3E3E3"/>
      </top>
      <bottom style="medium">
        <color rgb="FFE3E3E3"/>
      </bottom>
      <diagonal/>
    </border>
    <border>
      <left style="medium">
        <color indexed="64"/>
      </left>
      <right/>
      <top style="medium">
        <color rgb="FFE3E3E3"/>
      </top>
      <bottom style="medium">
        <color indexed="64"/>
      </bottom>
      <diagonal/>
    </border>
    <border>
      <left/>
      <right/>
      <top style="medium">
        <color rgb="FFE3E3E3"/>
      </top>
      <bottom style="medium">
        <color indexed="64"/>
      </bottom>
      <diagonal/>
    </border>
    <border>
      <left/>
      <right style="medium">
        <color indexed="64"/>
      </right>
      <top style="medium">
        <color rgb="FFE3E3E3"/>
      </top>
      <bottom style="medium">
        <color indexed="64"/>
      </bottom>
      <diagonal/>
    </border>
  </borders>
  <cellStyleXfs count="3">
    <xf numFmtId="0" fontId="0" fillId="0" borderId="0"/>
    <xf numFmtId="9" fontId="1" fillId="0" borderId="0" applyFont="0" applyFill="0" applyBorder="0" applyAlignment="0" applyProtection="0"/>
    <xf numFmtId="0" fontId="10" fillId="0" borderId="0" applyNumberFormat="0" applyFill="0" applyBorder="0" applyAlignment="0" applyProtection="0"/>
  </cellStyleXfs>
  <cellXfs count="297">
    <xf numFmtId="0" fontId="0" fillId="0" borderId="0" xfId="0"/>
    <xf numFmtId="0" fontId="3" fillId="0" borderId="0" xfId="0" applyFont="1" applyAlignment="1">
      <alignment horizontal="center" vertical="center" wrapText="1"/>
    </xf>
    <xf numFmtId="0" fontId="3" fillId="2" borderId="0" xfId="0" applyFont="1" applyFill="1" applyAlignment="1">
      <alignment horizontal="center" vertical="center" wrapText="1"/>
    </xf>
    <xf numFmtId="0" fontId="3" fillId="0" borderId="0" xfId="0" applyFont="1" applyAlignment="1">
      <alignment vertical="top" wrapText="1"/>
    </xf>
    <xf numFmtId="0" fontId="4" fillId="0" borderId="0" xfId="0" applyFont="1" applyAlignment="1">
      <alignment vertical="top" wrapText="1"/>
    </xf>
    <xf numFmtId="164" fontId="5" fillId="0" borderId="0" xfId="0" applyNumberFormat="1" applyFont="1" applyAlignment="1">
      <alignment horizontal="right" vertical="top"/>
    </xf>
    <xf numFmtId="0" fontId="2" fillId="0" borderId="1" xfId="0" applyFont="1" applyBorder="1"/>
    <xf numFmtId="0" fontId="2" fillId="0" borderId="2" xfId="0" applyFont="1" applyBorder="1"/>
    <xf numFmtId="0" fontId="2" fillId="0" borderId="3" xfId="0" applyFont="1" applyBorder="1"/>
    <xf numFmtId="0" fontId="5" fillId="0" borderId="0" xfId="0" applyFont="1" applyAlignment="1">
      <alignment vertical="top" wrapText="1"/>
    </xf>
    <xf numFmtId="37" fontId="5" fillId="0" borderId="0" xfId="0" applyNumberFormat="1" applyFont="1" applyAlignment="1">
      <alignment horizontal="right" vertical="top"/>
    </xf>
    <xf numFmtId="0" fontId="6" fillId="0" borderId="4" xfId="0" applyFont="1" applyBorder="1"/>
    <xf numFmtId="37" fontId="0" fillId="0" borderId="0" xfId="0" applyNumberFormat="1"/>
    <xf numFmtId="0" fontId="4" fillId="0" borderId="4" xfId="0" applyFont="1" applyBorder="1" applyAlignment="1">
      <alignment vertical="top" wrapText="1"/>
    </xf>
    <xf numFmtId="37" fontId="7" fillId="0" borderId="0" xfId="0" applyNumberFormat="1" applyFont="1" applyAlignment="1">
      <alignment horizontal="right" vertical="top"/>
    </xf>
    <xf numFmtId="0" fontId="0" fillId="0" borderId="5" xfId="0" applyBorder="1"/>
    <xf numFmtId="0" fontId="2" fillId="0" borderId="6" xfId="0" applyFont="1" applyBorder="1"/>
    <xf numFmtId="37" fontId="2" fillId="0" borderId="7" xfId="0" applyNumberFormat="1" applyFont="1" applyBorder="1"/>
    <xf numFmtId="37" fontId="2" fillId="0" borderId="8" xfId="0" applyNumberFormat="1" applyFont="1" applyBorder="1"/>
    <xf numFmtId="0" fontId="2" fillId="0" borderId="0" xfId="0" applyFont="1"/>
    <xf numFmtId="0" fontId="0" fillId="0" borderId="4" xfId="0" applyBorder="1"/>
    <xf numFmtId="37" fontId="0" fillId="0" borderId="5" xfId="0" applyNumberFormat="1" applyBorder="1"/>
    <xf numFmtId="0" fontId="9" fillId="0" borderId="0" xfId="0" applyFont="1" applyAlignment="1">
      <alignment vertical="top" wrapText="1"/>
    </xf>
    <xf numFmtId="0" fontId="3" fillId="2" borderId="0" xfId="0" applyFont="1" applyFill="1" applyAlignment="1">
      <alignment horizontal="center" vertical="center" wrapText="1"/>
    </xf>
    <xf numFmtId="0" fontId="2" fillId="2" borderId="0" xfId="0" applyFont="1" applyFill="1"/>
    <xf numFmtId="37" fontId="3" fillId="0" borderId="0" xfId="0" applyNumberFormat="1" applyFont="1" applyAlignment="1">
      <alignment horizontal="right" vertical="top"/>
    </xf>
    <xf numFmtId="0" fontId="3" fillId="2" borderId="0" xfId="0" applyFont="1" applyFill="1" applyAlignment="1">
      <alignment vertical="top" wrapText="1"/>
    </xf>
    <xf numFmtId="37" fontId="5" fillId="2" borderId="0" xfId="0" applyNumberFormat="1" applyFont="1" applyFill="1" applyAlignment="1">
      <alignment horizontal="right" vertical="top"/>
    </xf>
    <xf numFmtId="165" fontId="5" fillId="0" borderId="0" xfId="0" applyNumberFormat="1" applyFont="1" applyAlignment="1">
      <alignment horizontal="right" vertical="top"/>
    </xf>
    <xf numFmtId="166" fontId="5" fillId="0" borderId="0" xfId="0" applyNumberFormat="1" applyFont="1" applyAlignment="1">
      <alignment horizontal="right" vertical="top"/>
    </xf>
    <xf numFmtId="0" fontId="5" fillId="0" borderId="0" xfId="0" applyFont="1" applyAlignment="1">
      <alignment horizontal="center" vertical="center" wrapText="1"/>
    </xf>
    <xf numFmtId="39" fontId="5" fillId="0" borderId="0" xfId="0" applyNumberFormat="1" applyFont="1" applyAlignment="1">
      <alignment horizontal="right" vertical="top"/>
    </xf>
    <xf numFmtId="0" fontId="0" fillId="0" borderId="0" xfId="0"/>
    <xf numFmtId="0" fontId="5" fillId="0" borderId="0" xfId="0" applyFont="1" applyAlignment="1">
      <alignment vertical="top" wrapText="1"/>
    </xf>
    <xf numFmtId="37" fontId="5" fillId="0" borderId="0" xfId="0" applyNumberFormat="1" applyFont="1" applyAlignment="1">
      <alignment horizontal="right" vertical="top"/>
    </xf>
    <xf numFmtId="164" fontId="5" fillId="0" borderId="0" xfId="0" applyNumberFormat="1" applyFont="1" applyAlignment="1">
      <alignment horizontal="right" vertical="top"/>
    </xf>
    <xf numFmtId="3" fontId="0" fillId="0" borderId="0" xfId="0" applyNumberFormat="1"/>
    <xf numFmtId="0" fontId="10" fillId="0" borderId="0" xfId="2"/>
    <xf numFmtId="0" fontId="2" fillId="0" borderId="9" xfId="0" applyFont="1" applyBorder="1"/>
    <xf numFmtId="0" fontId="2" fillId="0" borderId="4" xfId="0" applyFont="1" applyBorder="1"/>
    <xf numFmtId="4" fontId="0" fillId="0" borderId="5" xfId="0" applyNumberFormat="1" applyBorder="1"/>
    <xf numFmtId="37" fontId="0" fillId="0" borderId="10" xfId="0" applyNumberFormat="1" applyBorder="1"/>
    <xf numFmtId="0" fontId="0" fillId="0" borderId="10" xfId="0" applyBorder="1"/>
    <xf numFmtId="10" fontId="2" fillId="0" borderId="10" xfId="1" applyNumberFormat="1" applyFont="1" applyBorder="1"/>
    <xf numFmtId="0" fontId="0" fillId="0" borderId="6" xfId="0" applyBorder="1"/>
    <xf numFmtId="0" fontId="0" fillId="0" borderId="8" xfId="0" applyBorder="1"/>
    <xf numFmtId="0" fontId="0" fillId="0" borderId="11" xfId="0" applyBorder="1"/>
    <xf numFmtId="0" fontId="0" fillId="2" borderId="0" xfId="0" applyFill="1"/>
    <xf numFmtId="10" fontId="0" fillId="0" borderId="0" xfId="1" applyNumberFormat="1" applyFont="1"/>
    <xf numFmtId="0" fontId="0" fillId="3" borderId="0" xfId="0" applyFill="1"/>
    <xf numFmtId="0" fontId="0" fillId="3" borderId="0" xfId="0" applyFill="1" applyAlignment="1">
      <alignment vertical="center"/>
    </xf>
    <xf numFmtId="4" fontId="0" fillId="0" borderId="0" xfId="0" applyNumberFormat="1" applyAlignment="1">
      <alignment horizontal="right"/>
    </xf>
    <xf numFmtId="37" fontId="0" fillId="0" borderId="0" xfId="0" applyNumberFormat="1" applyAlignment="1">
      <alignment horizontal="right"/>
    </xf>
    <xf numFmtId="9" fontId="0" fillId="0" borderId="0" xfId="1" applyFont="1"/>
    <xf numFmtId="3" fontId="0" fillId="0" borderId="5" xfId="0" applyNumberFormat="1" applyBorder="1"/>
    <xf numFmtId="37" fontId="0" fillId="0" borderId="10" xfId="0" applyNumberFormat="1" applyBorder="1" applyAlignment="1">
      <alignment horizontal="right"/>
    </xf>
    <xf numFmtId="0" fontId="2" fillId="4" borderId="4" xfId="0" applyFont="1" applyFill="1" applyBorder="1"/>
    <xf numFmtId="10" fontId="2" fillId="4" borderId="5" xfId="0" applyNumberFormat="1" applyFont="1" applyFill="1" applyBorder="1"/>
    <xf numFmtId="0" fontId="13" fillId="0" borderId="0" xfId="0" applyFont="1" applyAlignment="1">
      <alignment vertical="center" wrapText="1"/>
    </xf>
    <xf numFmtId="0" fontId="0" fillId="0" borderId="1" xfId="0" applyFont="1" applyBorder="1"/>
    <xf numFmtId="0" fontId="0" fillId="0" borderId="3" xfId="0" applyFont="1" applyBorder="1"/>
    <xf numFmtId="0" fontId="0" fillId="0" borderId="6" xfId="0" applyFont="1" applyBorder="1"/>
    <xf numFmtId="0" fontId="0" fillId="0" borderId="8" xfId="0" applyFont="1" applyBorder="1"/>
    <xf numFmtId="0" fontId="0" fillId="0" borderId="0" xfId="0" applyAlignment="1">
      <alignment vertical="top"/>
    </xf>
    <xf numFmtId="10" fontId="0" fillId="0" borderId="7" xfId="0" applyNumberFormat="1" applyFont="1" applyBorder="1" applyAlignment="1">
      <alignment vertical="top"/>
    </xf>
    <xf numFmtId="0" fontId="0" fillId="0" borderId="8" xfId="0" applyFont="1" applyBorder="1" applyAlignment="1">
      <alignment vertical="top"/>
    </xf>
    <xf numFmtId="0" fontId="2" fillId="0" borderId="4" xfId="0" applyFont="1" applyBorder="1" applyAlignment="1">
      <alignment vertical="top"/>
    </xf>
    <xf numFmtId="0" fontId="2" fillId="0" borderId="6" xfId="0" applyFont="1" applyBorder="1" applyAlignment="1">
      <alignment vertical="top"/>
    </xf>
    <xf numFmtId="14" fontId="0" fillId="0" borderId="0" xfId="0" applyNumberFormat="1"/>
    <xf numFmtId="0" fontId="0" fillId="2" borderId="3" xfId="0" applyFill="1" applyBorder="1"/>
    <xf numFmtId="0" fontId="0" fillId="2" borderId="4" xfId="0" applyFill="1" applyBorder="1"/>
    <xf numFmtId="0" fontId="0" fillId="2" borderId="5" xfId="0" applyFill="1" applyBorder="1"/>
    <xf numFmtId="0" fontId="0" fillId="0" borderId="7" xfId="0" applyBorder="1"/>
    <xf numFmtId="167" fontId="0" fillId="0" borderId="0" xfId="1" applyNumberFormat="1" applyFont="1"/>
    <xf numFmtId="10" fontId="0" fillId="0" borderId="5" xfId="1" applyNumberFormat="1" applyFont="1" applyBorder="1"/>
    <xf numFmtId="167" fontId="0" fillId="0" borderId="5" xfId="1" applyNumberFormat="1" applyFont="1" applyBorder="1"/>
    <xf numFmtId="0" fontId="0" fillId="0" borderId="2" xfId="0" applyFont="1" applyBorder="1"/>
    <xf numFmtId="0" fontId="0" fillId="0" borderId="7" xfId="0" applyFont="1" applyBorder="1"/>
    <xf numFmtId="10" fontId="2" fillId="0" borderId="2" xfId="0" applyNumberFormat="1" applyFont="1" applyBorder="1"/>
    <xf numFmtId="167" fontId="2" fillId="0" borderId="7" xfId="0" applyNumberFormat="1" applyFont="1" applyBorder="1"/>
    <xf numFmtId="10" fontId="0" fillId="0" borderId="0" xfId="1" applyNumberFormat="1" applyFont="1" applyBorder="1"/>
    <xf numFmtId="0" fontId="0" fillId="0" borderId="0" xfId="0" applyFont="1" applyBorder="1"/>
    <xf numFmtId="0" fontId="0" fillId="0" borderId="5" xfId="0" applyFont="1" applyBorder="1"/>
    <xf numFmtId="0" fontId="0" fillId="0" borderId="4" xfId="0" applyFont="1" applyBorder="1"/>
    <xf numFmtId="9" fontId="0" fillId="0" borderId="0" xfId="0" applyNumberFormat="1" applyFont="1" applyBorder="1"/>
    <xf numFmtId="10" fontId="0" fillId="0" borderId="0" xfId="0" applyNumberFormat="1" applyFont="1" applyBorder="1"/>
    <xf numFmtId="0" fontId="2" fillId="4" borderId="1" xfId="0" applyFont="1" applyFill="1" applyBorder="1"/>
    <xf numFmtId="0" fontId="0" fillId="4" borderId="2" xfId="0" applyFont="1" applyFill="1" applyBorder="1"/>
    <xf numFmtId="0" fontId="0" fillId="4" borderId="3" xfId="0" applyFont="1" applyFill="1" applyBorder="1"/>
    <xf numFmtId="0" fontId="2" fillId="4" borderId="0" xfId="0" applyFont="1" applyFill="1"/>
    <xf numFmtId="0" fontId="2" fillId="4" borderId="6" xfId="0" applyFont="1" applyFill="1" applyBorder="1"/>
    <xf numFmtId="10" fontId="0" fillId="4" borderId="7" xfId="0" applyNumberFormat="1" applyFont="1" applyFill="1" applyBorder="1"/>
    <xf numFmtId="0" fontId="2" fillId="3" borderId="0" xfId="0" applyFont="1" applyFill="1"/>
    <xf numFmtId="167" fontId="0" fillId="0" borderId="0" xfId="0" applyNumberFormat="1" applyFont="1" applyBorder="1"/>
    <xf numFmtId="4" fontId="0" fillId="0" borderId="2" xfId="0" applyNumberFormat="1" applyFont="1" applyBorder="1" applyAlignment="1">
      <alignment horizontal="right"/>
    </xf>
    <xf numFmtId="3" fontId="0" fillId="0" borderId="2" xfId="0" applyNumberFormat="1" applyFont="1" applyBorder="1"/>
    <xf numFmtId="37" fontId="0" fillId="0" borderId="0" xfId="0" applyNumberFormat="1" applyFont="1" applyBorder="1" applyAlignment="1">
      <alignment horizontal="right"/>
    </xf>
    <xf numFmtId="0" fontId="0" fillId="0" borderId="10" xfId="0" applyFont="1" applyBorder="1"/>
    <xf numFmtId="0" fontId="0" fillId="0" borderId="11" xfId="0" applyFont="1" applyBorder="1"/>
    <xf numFmtId="0" fontId="2" fillId="3" borderId="4" xfId="0" applyFont="1" applyFill="1" applyBorder="1"/>
    <xf numFmtId="0" fontId="2" fillId="3" borderId="5" xfId="0" applyFont="1" applyFill="1" applyBorder="1"/>
    <xf numFmtId="0" fontId="2" fillId="3" borderId="10" xfId="0" applyFont="1" applyFill="1" applyBorder="1"/>
    <xf numFmtId="0" fontId="2" fillId="3" borderId="9" xfId="0" applyFont="1" applyFill="1" applyBorder="1"/>
    <xf numFmtId="0" fontId="2" fillId="3" borderId="1" xfId="0" applyFont="1" applyFill="1" applyBorder="1"/>
    <xf numFmtId="0" fontId="0" fillId="3" borderId="2" xfId="0" applyFont="1" applyFill="1" applyBorder="1"/>
    <xf numFmtId="0" fontId="0" fillId="3" borderId="3" xfId="0" applyFont="1" applyFill="1" applyBorder="1"/>
    <xf numFmtId="10" fontId="0" fillId="0" borderId="5" xfId="0" applyNumberFormat="1" applyFont="1" applyBorder="1"/>
    <xf numFmtId="0" fontId="2" fillId="3" borderId="6" xfId="0" applyFont="1" applyFill="1" applyBorder="1"/>
    <xf numFmtId="10" fontId="2" fillId="3" borderId="8" xfId="1" applyNumberFormat="1" applyFont="1" applyFill="1" applyBorder="1"/>
    <xf numFmtId="0" fontId="14" fillId="0" borderId="0" xfId="0" applyFont="1" applyAlignment="1">
      <alignment vertical="top" wrapText="1"/>
    </xf>
    <xf numFmtId="37" fontId="14" fillId="0" borderId="0" xfId="0" applyNumberFormat="1" applyFont="1" applyAlignment="1">
      <alignment horizontal="right" vertical="top"/>
    </xf>
    <xf numFmtId="0" fontId="15" fillId="0" borderId="0" xfId="0" applyFont="1" applyAlignment="1">
      <alignment vertical="top" wrapText="1"/>
    </xf>
    <xf numFmtId="0" fontId="17" fillId="0" borderId="0" xfId="0" applyFont="1" applyAlignment="1">
      <alignment vertical="top" wrapText="1"/>
    </xf>
    <xf numFmtId="0" fontId="5" fillId="2" borderId="0" xfId="0" applyFont="1" applyFill="1" applyAlignment="1">
      <alignment vertical="top" wrapText="1"/>
    </xf>
    <xf numFmtId="10" fontId="0" fillId="0" borderId="4" xfId="0" applyNumberFormat="1" applyFont="1" applyBorder="1"/>
    <xf numFmtId="10" fontId="20" fillId="0" borderId="0" xfId="0" applyNumberFormat="1" applyFont="1" applyBorder="1" applyAlignment="1">
      <alignment vertical="center" wrapText="1"/>
    </xf>
    <xf numFmtId="0" fontId="0" fillId="0" borderId="0" xfId="0"/>
    <xf numFmtId="10" fontId="10" fillId="0" borderId="0" xfId="2" applyNumberFormat="1" applyBorder="1" applyAlignment="1">
      <alignment vertical="center" wrapText="1"/>
    </xf>
    <xf numFmtId="0" fontId="2" fillId="0" borderId="5" xfId="0" applyFont="1" applyBorder="1"/>
    <xf numFmtId="0" fontId="2" fillId="0" borderId="10" xfId="0" applyFont="1" applyBorder="1"/>
    <xf numFmtId="0" fontId="0" fillId="0" borderId="0" xfId="0" applyBorder="1"/>
    <xf numFmtId="164" fontId="3" fillId="2" borderId="0" xfId="0" applyNumberFormat="1" applyFont="1" applyFill="1" applyAlignment="1">
      <alignment horizontal="right" vertical="top"/>
    </xf>
    <xf numFmtId="37" fontId="3" fillId="2" borderId="0" xfId="0" applyNumberFormat="1" applyFont="1" applyFill="1" applyAlignment="1">
      <alignment horizontal="right" vertical="top"/>
    </xf>
    <xf numFmtId="37" fontId="2" fillId="2" borderId="0" xfId="0" applyNumberFormat="1" applyFont="1" applyFill="1"/>
    <xf numFmtId="10" fontId="2" fillId="2" borderId="0" xfId="1" applyNumberFormat="1" applyFont="1" applyFill="1"/>
    <xf numFmtId="37" fontId="0" fillId="2" borderId="0" xfId="0" applyNumberFormat="1" applyFont="1" applyFill="1"/>
    <xf numFmtId="0" fontId="5" fillId="5" borderId="0" xfId="0" applyFont="1" applyFill="1" applyAlignment="1">
      <alignment vertical="top" wrapText="1"/>
    </xf>
    <xf numFmtId="37" fontId="5" fillId="5" borderId="0" xfId="0" applyNumberFormat="1" applyFont="1" applyFill="1" applyAlignment="1">
      <alignment horizontal="right" vertical="top"/>
    </xf>
    <xf numFmtId="0" fontId="3" fillId="5" borderId="0" xfId="0" applyFont="1" applyFill="1" applyAlignment="1">
      <alignment vertical="top" wrapText="1"/>
    </xf>
    <xf numFmtId="0" fontId="2" fillId="0" borderId="0" xfId="0" applyFont="1" applyBorder="1"/>
    <xf numFmtId="0" fontId="2" fillId="4" borderId="3" xfId="0" applyFont="1" applyFill="1" applyBorder="1"/>
    <xf numFmtId="37" fontId="2" fillId="4" borderId="0" xfId="0" applyNumberFormat="1" applyFont="1" applyFill="1" applyBorder="1"/>
    <xf numFmtId="0" fontId="0" fillId="4" borderId="9" xfId="0" applyFont="1" applyFill="1" applyBorder="1"/>
    <xf numFmtId="0" fontId="0" fillId="4" borderId="10" xfId="0" applyFont="1" applyFill="1" applyBorder="1"/>
    <xf numFmtId="0" fontId="23" fillId="4" borderId="10" xfId="0" applyFont="1" applyFill="1" applyBorder="1" applyAlignment="1">
      <alignment wrapText="1"/>
    </xf>
    <xf numFmtId="0" fontId="23" fillId="4" borderId="10" xfId="0" applyFont="1" applyFill="1" applyBorder="1"/>
    <xf numFmtId="0" fontId="0" fillId="4" borderId="11" xfId="0" applyFont="1" applyFill="1" applyBorder="1"/>
    <xf numFmtId="37" fontId="0" fillId="4" borderId="9" xfId="0" applyNumberFormat="1" applyFont="1" applyFill="1" applyBorder="1"/>
    <xf numFmtId="9" fontId="0" fillId="4" borderId="10" xfId="0" applyNumberFormat="1" applyFont="1" applyFill="1" applyBorder="1"/>
    <xf numFmtId="10" fontId="0" fillId="4" borderId="10" xfId="0" applyNumberFormat="1" applyFont="1" applyFill="1" applyBorder="1"/>
    <xf numFmtId="37" fontId="0" fillId="4" borderId="10" xfId="0" applyNumberFormat="1" applyFont="1" applyFill="1" applyBorder="1"/>
    <xf numFmtId="0" fontId="2" fillId="4" borderId="10" xfId="0" applyFont="1" applyFill="1" applyBorder="1"/>
    <xf numFmtId="0" fontId="2" fillId="4" borderId="13" xfId="0" applyFont="1" applyFill="1" applyBorder="1"/>
    <xf numFmtId="37" fontId="2" fillId="4" borderId="13" xfId="0" applyNumberFormat="1" applyFont="1" applyFill="1" applyBorder="1"/>
    <xf numFmtId="0" fontId="2" fillId="4" borderId="9" xfId="0" applyFont="1" applyFill="1" applyBorder="1"/>
    <xf numFmtId="37" fontId="2" fillId="4" borderId="9" xfId="0" applyNumberFormat="1" applyFont="1" applyFill="1" applyBorder="1"/>
    <xf numFmtId="9" fontId="2" fillId="4" borderId="10" xfId="0" applyNumberFormat="1" applyFont="1" applyFill="1" applyBorder="1"/>
    <xf numFmtId="10" fontId="2" fillId="4" borderId="10" xfId="0" applyNumberFormat="1" applyFont="1" applyFill="1" applyBorder="1"/>
    <xf numFmtId="0" fontId="24" fillId="0" borderId="4" xfId="0" applyFont="1" applyBorder="1" applyAlignment="1"/>
    <xf numFmtId="0" fontId="24" fillId="0" borderId="0" xfId="0" applyFont="1" applyBorder="1" applyAlignment="1"/>
    <xf numFmtId="0" fontId="24" fillId="0" borderId="5" xfId="0" applyFont="1" applyBorder="1" applyAlignment="1"/>
    <xf numFmtId="0" fontId="24" fillId="0" borderId="6" xfId="0" applyFont="1" applyBorder="1" applyAlignment="1"/>
    <xf numFmtId="0" fontId="24" fillId="0" borderId="7" xfId="0" applyFont="1" applyBorder="1" applyAlignment="1"/>
    <xf numFmtId="0" fontId="24" fillId="0" borderId="8" xfId="0" applyFont="1" applyBorder="1" applyAlignment="1"/>
    <xf numFmtId="0" fontId="3" fillId="4" borderId="0" xfId="0" applyFont="1" applyFill="1" applyAlignment="1">
      <alignment vertical="top" wrapText="1"/>
    </xf>
    <xf numFmtId="37" fontId="3" fillId="4" borderId="0" xfId="0" applyNumberFormat="1" applyFont="1" applyFill="1" applyAlignment="1">
      <alignment horizontal="right" vertical="top"/>
    </xf>
    <xf numFmtId="0" fontId="5" fillId="3" borderId="0" xfId="0" applyFont="1" applyFill="1" applyAlignment="1">
      <alignment horizontal="center" vertical="center" wrapText="1"/>
    </xf>
    <xf numFmtId="0" fontId="3" fillId="3" borderId="0" xfId="0" applyFont="1" applyFill="1" applyAlignment="1">
      <alignment vertical="top" wrapText="1"/>
    </xf>
    <xf numFmtId="37" fontId="0" fillId="3" borderId="0" xfId="0" applyNumberFormat="1" applyFill="1"/>
    <xf numFmtId="37" fontId="3" fillId="3" borderId="0" xfId="0" applyNumberFormat="1" applyFont="1" applyFill="1" applyAlignment="1">
      <alignment horizontal="right" vertical="top"/>
    </xf>
    <xf numFmtId="0" fontId="0" fillId="4" borderId="0" xfId="0" applyFill="1"/>
    <xf numFmtId="0" fontId="5" fillId="4" borderId="0" xfId="0" applyFont="1" applyFill="1" applyAlignment="1">
      <alignment vertical="top" wrapText="1"/>
    </xf>
    <xf numFmtId="164" fontId="5" fillId="4" borderId="0" xfId="0" applyNumberFormat="1" applyFont="1" applyFill="1" applyAlignment="1">
      <alignment horizontal="right" vertical="top"/>
    </xf>
    <xf numFmtId="37" fontId="5" fillId="4" borderId="0" xfId="0" applyNumberFormat="1" applyFont="1" applyFill="1" applyAlignment="1">
      <alignment horizontal="right" vertical="top"/>
    </xf>
    <xf numFmtId="167" fontId="2" fillId="4" borderId="0" xfId="1" applyNumberFormat="1" applyFont="1" applyFill="1"/>
    <xf numFmtId="0" fontId="2" fillId="3" borderId="14" xfId="0" applyFont="1" applyFill="1" applyBorder="1"/>
    <xf numFmtId="37" fontId="2" fillId="3" borderId="15" xfId="0" applyNumberFormat="1" applyFont="1" applyFill="1" applyBorder="1"/>
    <xf numFmtId="37" fontId="2" fillId="3" borderId="16" xfId="0" applyNumberFormat="1" applyFont="1" applyFill="1" applyBorder="1"/>
    <xf numFmtId="0" fontId="23" fillId="4" borderId="13" xfId="0" applyFont="1" applyFill="1" applyBorder="1" applyAlignment="1">
      <alignment wrapText="1"/>
    </xf>
    <xf numFmtId="37" fontId="24" fillId="4" borderId="13" xfId="0" applyNumberFormat="1" applyFont="1" applyFill="1" applyBorder="1"/>
    <xf numFmtId="0" fontId="24" fillId="4" borderId="13" xfId="0" applyFont="1" applyFill="1" applyBorder="1"/>
    <xf numFmtId="0" fontId="23" fillId="4" borderId="13" xfId="0" applyFont="1" applyFill="1" applyBorder="1"/>
    <xf numFmtId="0" fontId="23" fillId="4" borderId="11" xfId="0" applyFont="1" applyFill="1" applyBorder="1"/>
    <xf numFmtId="37" fontId="24" fillId="4" borderId="11" xfId="0" applyNumberFormat="1" applyFont="1" applyFill="1" applyBorder="1"/>
    <xf numFmtId="0" fontId="24" fillId="4" borderId="11" xfId="0" applyFont="1" applyFill="1" applyBorder="1"/>
    <xf numFmtId="0" fontId="25" fillId="0" borderId="15" xfId="0" applyFont="1" applyBorder="1"/>
    <xf numFmtId="0" fontId="25" fillId="0" borderId="16" xfId="0" applyFont="1" applyBorder="1"/>
    <xf numFmtId="0" fontId="24" fillId="0" borderId="1" xfId="0" applyFont="1" applyBorder="1"/>
    <xf numFmtId="0" fontId="24" fillId="0" borderId="2" xfId="0" applyFont="1" applyBorder="1"/>
    <xf numFmtId="0" fontId="24" fillId="0" borderId="3" xfId="0" applyFont="1" applyBorder="1"/>
    <xf numFmtId="0" fontId="24" fillId="0" borderId="6" xfId="0" applyFont="1" applyBorder="1"/>
    <xf numFmtId="0" fontId="24" fillId="0" borderId="7" xfId="0" applyFont="1" applyBorder="1"/>
    <xf numFmtId="0" fontId="24" fillId="0" borderId="8" xfId="0" applyFont="1" applyBorder="1"/>
    <xf numFmtId="0" fontId="25" fillId="0" borderId="13" xfId="0" applyFont="1" applyBorder="1"/>
    <xf numFmtId="10" fontId="24" fillId="0" borderId="2" xfId="0" applyNumberFormat="1" applyFont="1" applyBorder="1"/>
    <xf numFmtId="10" fontId="24" fillId="0" borderId="3" xfId="0" applyNumberFormat="1" applyFont="1" applyBorder="1"/>
    <xf numFmtId="0" fontId="24" fillId="0" borderId="4" xfId="0" applyFont="1" applyBorder="1"/>
    <xf numFmtId="0" fontId="24" fillId="0" borderId="0" xfId="0" applyFont="1" applyBorder="1"/>
    <xf numFmtId="0" fontId="24" fillId="0" borderId="5" xfId="0" applyFont="1" applyBorder="1"/>
    <xf numFmtId="10" fontId="24" fillId="0" borderId="0" xfId="0" applyNumberFormat="1" applyFont="1" applyBorder="1"/>
    <xf numFmtId="0" fontId="25" fillId="0" borderId="4" xfId="0" applyFont="1" applyBorder="1"/>
    <xf numFmtId="0" fontId="25" fillId="0" borderId="0" xfId="0" applyFont="1" applyBorder="1"/>
    <xf numFmtId="0" fontId="10" fillId="0" borderId="0" xfId="2" applyBorder="1" applyAlignment="1">
      <alignment wrapText="1"/>
    </xf>
    <xf numFmtId="0" fontId="10" fillId="0" borderId="2" xfId="2" applyBorder="1"/>
    <xf numFmtId="14" fontId="30" fillId="0" borderId="17" xfId="0" applyNumberFormat="1" applyFont="1" applyBorder="1" applyAlignment="1">
      <alignment horizontal="center" vertical="top" wrapText="1"/>
    </xf>
    <xf numFmtId="0" fontId="30" fillId="0" borderId="17" xfId="0" applyFont="1" applyBorder="1" applyAlignment="1">
      <alignment horizontal="center" vertical="top" wrapText="1"/>
    </xf>
    <xf numFmtId="8" fontId="30" fillId="0" borderId="17" xfId="0" applyNumberFormat="1" applyFont="1" applyBorder="1" applyAlignment="1">
      <alignment horizontal="center" vertical="top" wrapText="1"/>
    </xf>
    <xf numFmtId="0" fontId="29" fillId="0" borderId="0" xfId="0" applyFont="1"/>
    <xf numFmtId="0" fontId="2" fillId="6" borderId="0" xfId="0" applyFont="1" applyFill="1"/>
    <xf numFmtId="10" fontId="0" fillId="0" borderId="0" xfId="0" applyNumberFormat="1" applyFont="1" applyBorder="1" applyAlignment="1">
      <alignment vertical="top"/>
    </xf>
    <xf numFmtId="0" fontId="10" fillId="0" borderId="5" xfId="2" applyBorder="1" applyAlignment="1">
      <alignment vertical="top" wrapText="1"/>
    </xf>
    <xf numFmtId="0" fontId="0" fillId="4" borderId="0" xfId="0" applyNumberFormat="1" applyFill="1"/>
    <xf numFmtId="0" fontId="10" fillId="0" borderId="0" xfId="2" applyAlignment="1">
      <alignment wrapText="1"/>
    </xf>
    <xf numFmtId="0" fontId="25" fillId="4" borderId="1" xfId="0" applyFont="1" applyFill="1" applyBorder="1"/>
    <xf numFmtId="0" fontId="25" fillId="4" borderId="2" xfId="0" applyFont="1" applyFill="1" applyBorder="1"/>
    <xf numFmtId="0" fontId="24" fillId="4" borderId="2" xfId="0" applyFont="1" applyFill="1" applyBorder="1"/>
    <xf numFmtId="0" fontId="25" fillId="4" borderId="3" xfId="0" applyFont="1" applyFill="1" applyBorder="1"/>
    <xf numFmtId="14" fontId="32" fillId="4" borderId="4" xfId="0" applyNumberFormat="1" applyFont="1" applyFill="1" applyBorder="1" applyAlignment="1">
      <alignment vertical="center" wrapText="1"/>
    </xf>
    <xf numFmtId="0" fontId="32" fillId="4" borderId="0" xfId="0" applyFont="1" applyFill="1" applyBorder="1" applyAlignment="1">
      <alignment vertical="center" wrapText="1"/>
    </xf>
    <xf numFmtId="14" fontId="32" fillId="4" borderId="0" xfId="0" applyNumberFormat="1" applyFont="1" applyFill="1" applyBorder="1" applyAlignment="1">
      <alignment vertical="center" wrapText="1"/>
    </xf>
    <xf numFmtId="0" fontId="32" fillId="4" borderId="5" xfId="0" applyFont="1" applyFill="1" applyBorder="1" applyAlignment="1">
      <alignment vertical="center" wrapText="1"/>
    </xf>
    <xf numFmtId="14" fontId="32" fillId="4" borderId="18" xfId="0" applyNumberFormat="1" applyFont="1" applyFill="1" applyBorder="1" applyAlignment="1">
      <alignment vertical="center" wrapText="1"/>
    </xf>
    <xf numFmtId="0" fontId="32" fillId="4" borderId="12" xfId="0" applyFont="1" applyFill="1" applyBorder="1" applyAlignment="1">
      <alignment vertical="center" wrapText="1"/>
    </xf>
    <xf numFmtId="0" fontId="32" fillId="4" borderId="19" xfId="0" applyFont="1" applyFill="1" applyBorder="1" applyAlignment="1">
      <alignment vertical="center" wrapText="1"/>
    </xf>
    <xf numFmtId="0" fontId="24" fillId="4" borderId="0" xfId="0" applyFont="1" applyFill="1" applyBorder="1"/>
    <xf numFmtId="14" fontId="32" fillId="4" borderId="20" xfId="0" applyNumberFormat="1" applyFont="1" applyFill="1" applyBorder="1" applyAlignment="1">
      <alignment vertical="center" wrapText="1"/>
    </xf>
    <xf numFmtId="0" fontId="32" fillId="4" borderId="21" xfId="0" applyFont="1" applyFill="1" applyBorder="1" applyAlignment="1">
      <alignment vertical="center" wrapText="1"/>
    </xf>
    <xf numFmtId="0" fontId="24" fillId="4" borderId="7" xfId="0" applyFont="1" applyFill="1" applyBorder="1"/>
    <xf numFmtId="0" fontId="32" fillId="4" borderId="22" xfId="0" applyFont="1" applyFill="1" applyBorder="1" applyAlignment="1">
      <alignment vertical="center" wrapText="1"/>
    </xf>
    <xf numFmtId="0" fontId="3" fillId="0" borderId="1" xfId="0" applyFont="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0" borderId="4" xfId="0" applyFont="1" applyBorder="1" applyAlignment="1">
      <alignment vertical="top" wrapText="1"/>
    </xf>
    <xf numFmtId="164" fontId="5" fillId="0" borderId="0" xfId="0" applyNumberFormat="1" applyFont="1" applyBorder="1" applyAlignment="1">
      <alignment horizontal="right" vertical="top"/>
    </xf>
    <xf numFmtId="164" fontId="5" fillId="0" borderId="5" xfId="0" applyNumberFormat="1" applyFont="1" applyBorder="1" applyAlignment="1">
      <alignment horizontal="right" vertical="top"/>
    </xf>
    <xf numFmtId="0" fontId="5" fillId="0" borderId="4" xfId="0" applyFont="1" applyBorder="1" applyAlignment="1">
      <alignment vertical="top" wrapText="1"/>
    </xf>
    <xf numFmtId="37" fontId="5" fillId="0" borderId="0" xfId="0" applyNumberFormat="1" applyFont="1" applyBorder="1" applyAlignment="1">
      <alignment horizontal="right" vertical="top"/>
    </xf>
    <xf numFmtId="37" fontId="5" fillId="0" borderId="5" xfId="0" applyNumberFormat="1" applyFont="1" applyBorder="1" applyAlignment="1">
      <alignment horizontal="right" vertical="top"/>
    </xf>
    <xf numFmtId="0" fontId="8" fillId="0" borderId="4" xfId="0" applyFont="1" applyBorder="1" applyAlignment="1">
      <alignment vertical="top" wrapText="1"/>
    </xf>
    <xf numFmtId="0" fontId="9" fillId="0" borderId="4" xfId="0" applyFont="1" applyBorder="1" applyAlignment="1">
      <alignment vertical="top" wrapText="1"/>
    </xf>
    <xf numFmtId="0" fontId="5" fillId="0" borderId="0" xfId="0" applyFont="1" applyBorder="1" applyAlignment="1">
      <alignment vertical="top" wrapText="1"/>
    </xf>
    <xf numFmtId="0" fontId="5" fillId="0" borderId="5" xfId="0" applyFont="1" applyBorder="1" applyAlignment="1">
      <alignment vertical="top" wrapText="1"/>
    </xf>
    <xf numFmtId="0" fontId="3" fillId="0" borderId="6" xfId="0" applyFont="1" applyBorder="1" applyAlignment="1">
      <alignment vertical="top" wrapText="1"/>
    </xf>
    <xf numFmtId="37" fontId="5" fillId="0" borderId="7" xfId="0" applyNumberFormat="1" applyFont="1" applyBorder="1" applyAlignment="1">
      <alignment horizontal="right" vertical="top"/>
    </xf>
    <xf numFmtId="37" fontId="5" fillId="0" borderId="8" xfId="0" applyNumberFormat="1" applyFont="1" applyBorder="1" applyAlignment="1">
      <alignment horizontal="right" vertical="top"/>
    </xf>
    <xf numFmtId="37" fontId="2" fillId="4" borderId="0" xfId="0" applyNumberFormat="1" applyFont="1" applyFill="1"/>
    <xf numFmtId="0" fontId="19" fillId="0" borderId="4" xfId="0" applyFont="1" applyBorder="1"/>
    <xf numFmtId="37" fontId="16" fillId="0" borderId="0" xfId="0" applyNumberFormat="1" applyFont="1" applyBorder="1" applyAlignment="1">
      <alignment horizontal="right" vertical="top"/>
    </xf>
    <xf numFmtId="0" fontId="14" fillId="0" borderId="4" xfId="0" applyFont="1" applyBorder="1" applyAlignment="1">
      <alignment vertical="top" wrapText="1"/>
    </xf>
    <xf numFmtId="37" fontId="14" fillId="0" borderId="0" xfId="0" applyNumberFormat="1" applyFont="1" applyBorder="1" applyAlignment="1">
      <alignment horizontal="right" vertical="top"/>
    </xf>
    <xf numFmtId="0" fontId="17" fillId="0" borderId="4" xfId="0" applyFont="1" applyBorder="1" applyAlignment="1">
      <alignment vertical="top" wrapText="1"/>
    </xf>
    <xf numFmtId="37" fontId="0" fillId="4" borderId="7" xfId="0" applyNumberFormat="1" applyFill="1" applyBorder="1"/>
    <xf numFmtId="0" fontId="18" fillId="4" borderId="4" xfId="0" applyFont="1" applyFill="1" applyBorder="1" applyAlignment="1">
      <alignment vertical="top" wrapText="1"/>
    </xf>
    <xf numFmtId="37" fontId="3" fillId="4" borderId="0" xfId="0" applyNumberFormat="1" applyFont="1" applyFill="1" applyBorder="1" applyAlignment="1">
      <alignment horizontal="right" vertical="top"/>
    </xf>
    <xf numFmtId="0" fontId="24" fillId="0" borderId="11" xfId="0" applyFont="1" applyBorder="1"/>
    <xf numFmtId="0" fontId="24" fillId="4" borderId="9" xfId="0" applyFont="1" applyFill="1" applyBorder="1"/>
    <xf numFmtId="0" fontId="10" fillId="0" borderId="10" xfId="2" applyBorder="1" applyAlignment="1">
      <alignment wrapText="1"/>
    </xf>
    <xf numFmtId="37" fontId="2" fillId="4" borderId="10" xfId="0" applyNumberFormat="1" applyFont="1" applyFill="1" applyBorder="1"/>
    <xf numFmtId="0" fontId="2" fillId="0" borderId="0" xfId="0" applyFont="1"/>
    <xf numFmtId="0" fontId="3" fillId="0" borderId="0" xfId="0" applyFont="1" applyAlignment="1">
      <alignment horizontal="center" vertical="center" wrapText="1"/>
    </xf>
    <xf numFmtId="0" fontId="0" fillId="0" borderId="0" xfId="0"/>
    <xf numFmtId="0" fontId="3" fillId="2" borderId="0" xfId="0" applyFont="1" applyFill="1" applyAlignment="1">
      <alignment horizontal="center" vertical="center" wrapText="1"/>
    </xf>
    <xf numFmtId="0" fontId="2" fillId="2" borderId="0" xfId="0" applyFont="1" applyFill="1"/>
    <xf numFmtId="0" fontId="27" fillId="4" borderId="14" xfId="0" applyFont="1" applyFill="1" applyBorder="1" applyAlignment="1">
      <alignment vertical="top"/>
    </xf>
    <xf numFmtId="0" fontId="24" fillId="4" borderId="15" xfId="0" applyFont="1" applyFill="1" applyBorder="1" applyAlignment="1">
      <alignment vertical="top"/>
    </xf>
    <xf numFmtId="0" fontId="24" fillId="0" borderId="4" xfId="0" applyFont="1" applyBorder="1" applyAlignment="1">
      <alignment vertical="top"/>
    </xf>
    <xf numFmtId="0" fontId="24" fillId="0" borderId="0" xfId="0" applyFont="1" applyBorder="1" applyAlignment="1">
      <alignment vertical="top"/>
    </xf>
    <xf numFmtId="0" fontId="24" fillId="0" borderId="5" xfId="0" applyFont="1" applyBorder="1" applyAlignment="1">
      <alignment vertical="top"/>
    </xf>
    <xf numFmtId="0" fontId="31" fillId="3" borderId="14" xfId="0" applyFont="1" applyFill="1" applyBorder="1" applyAlignment="1">
      <alignment vertical="top"/>
    </xf>
    <xf numFmtId="0" fontId="31" fillId="3" borderId="15" xfId="0" applyFont="1" applyFill="1" applyBorder="1" applyAlignment="1">
      <alignment vertical="top"/>
    </xf>
    <xf numFmtId="0" fontId="31" fillId="3" borderId="16" xfId="0" applyFont="1" applyFill="1" applyBorder="1" applyAlignment="1">
      <alignment vertical="top"/>
    </xf>
    <xf numFmtId="0" fontId="24" fillId="0" borderId="14" xfId="0" applyFont="1" applyBorder="1" applyAlignment="1">
      <alignment vertical="top"/>
    </xf>
    <xf numFmtId="0" fontId="24" fillId="0" borderId="15" xfId="0" applyFont="1" applyBorder="1" applyAlignment="1">
      <alignment vertical="top"/>
    </xf>
    <xf numFmtId="0" fontId="24" fillId="0" borderId="16" xfId="0" applyFont="1" applyBorder="1" applyAlignment="1">
      <alignment vertical="top"/>
    </xf>
    <xf numFmtId="0" fontId="27" fillId="3" borderId="14" xfId="0" applyFont="1" applyFill="1" applyBorder="1" applyAlignment="1">
      <alignment vertical="top"/>
    </xf>
    <xf numFmtId="0" fontId="0" fillId="2" borderId="0" xfId="0" applyFill="1"/>
    <xf numFmtId="0" fontId="5" fillId="0" borderId="0" xfId="0" applyFont="1" applyAlignment="1">
      <alignment horizontal="center" vertical="center" wrapText="1"/>
    </xf>
    <xf numFmtId="0" fontId="2" fillId="0" borderId="0" xfId="0" applyFont="1" applyAlignment="1">
      <alignment vertical="top"/>
    </xf>
    <xf numFmtId="0" fontId="0" fillId="0" borderId="0" xfId="0" applyAlignment="1">
      <alignment vertical="top"/>
    </xf>
    <xf numFmtId="0" fontId="12" fillId="0" borderId="0" xfId="0" applyFont="1" applyAlignment="1">
      <alignment vertical="top"/>
    </xf>
    <xf numFmtId="0" fontId="26" fillId="0" borderId="1" xfId="0" applyFont="1" applyBorder="1" applyAlignment="1">
      <alignment vertical="top"/>
    </xf>
    <xf numFmtId="0" fontId="24" fillId="0" borderId="2" xfId="0" applyFont="1" applyBorder="1" applyAlignment="1">
      <alignment vertical="top"/>
    </xf>
    <xf numFmtId="0" fontId="24" fillId="0" borderId="3" xfId="0" applyFont="1" applyBorder="1" applyAlignment="1">
      <alignment vertical="top"/>
    </xf>
    <xf numFmtId="0" fontId="11" fillId="4" borderId="1" xfId="0" applyFont="1" applyFill="1" applyBorder="1" applyAlignment="1">
      <alignment horizontal="center" vertical="top"/>
    </xf>
    <xf numFmtId="0" fontId="0" fillId="4" borderId="2" xfId="0" applyFill="1" applyBorder="1" applyAlignment="1">
      <alignment horizontal="center" vertical="top"/>
    </xf>
    <xf numFmtId="0" fontId="0" fillId="4" borderId="3" xfId="0" applyFill="1" applyBorder="1" applyAlignment="1">
      <alignment horizontal="center" vertical="top"/>
    </xf>
    <xf numFmtId="0" fontId="2" fillId="4" borderId="0" xfId="0" applyFont="1" applyFill="1" applyAlignment="1">
      <alignment vertical="top"/>
    </xf>
    <xf numFmtId="0" fontId="5" fillId="0" borderId="0" xfId="0" applyFont="1" applyAlignment="1">
      <alignment vertical="top" wrapText="1"/>
    </xf>
    <xf numFmtId="0" fontId="3" fillId="3" borderId="0" xfId="0" applyFont="1" applyFill="1" applyAlignment="1">
      <alignment horizontal="center" vertical="center" wrapText="1"/>
    </xf>
    <xf numFmtId="0" fontId="0" fillId="3" borderId="0" xfId="0" applyFill="1"/>
    <xf numFmtId="0" fontId="5" fillId="3" borderId="0" xfId="0" applyFont="1" applyFill="1" applyAlignment="1">
      <alignment horizontal="center" vertical="center" wrapText="1"/>
    </xf>
    <xf numFmtId="0" fontId="28" fillId="0" borderId="0" xfId="0" applyFont="1" applyAlignment="1">
      <alignment vertical="top" wrapText="1"/>
    </xf>
    <xf numFmtId="0" fontId="12" fillId="3" borderId="0" xfId="0" applyFont="1" applyFill="1" applyAlignment="1">
      <alignment vertical="center"/>
    </xf>
    <xf numFmtId="0" fontId="0" fillId="3" borderId="0" xfId="0" applyFill="1" applyAlignment="1">
      <alignment vertical="center"/>
    </xf>
    <xf numFmtId="0" fontId="0" fillId="4" borderId="0" xfId="0" applyFill="1" applyAlignment="1">
      <alignment vertical="top"/>
    </xf>
    <xf numFmtId="0" fontId="11" fillId="3" borderId="0" xfId="0" applyFont="1" applyFill="1" applyAlignment="1">
      <alignment vertical="center"/>
    </xf>
    <xf numFmtId="0" fontId="2" fillId="2" borderId="0" xfId="0" applyFont="1" applyFill="1" applyAlignment="1">
      <alignment vertical="top"/>
    </xf>
    <xf numFmtId="0" fontId="21" fillId="3" borderId="0" xfId="0" applyFont="1" applyFill="1" applyAlignment="1">
      <alignment vertical="center"/>
    </xf>
    <xf numFmtId="0" fontId="25" fillId="4" borderId="14" xfId="0" applyFont="1" applyFill="1" applyBorder="1" applyAlignment="1">
      <alignment horizontal="center"/>
    </xf>
    <xf numFmtId="0" fontId="25" fillId="4" borderId="16" xfId="0" applyFont="1" applyFill="1" applyBorder="1" applyAlignment="1">
      <alignment horizontal="center"/>
    </xf>
    <xf numFmtId="0" fontId="25" fillId="4" borderId="14" xfId="0" applyFont="1" applyFill="1" applyBorder="1" applyAlignment="1">
      <alignment vertical="top"/>
    </xf>
    <xf numFmtId="0" fontId="25" fillId="4" borderId="16" xfId="0" applyFont="1" applyFill="1" applyBorder="1" applyAlignment="1">
      <alignment vertical="top"/>
    </xf>
    <xf numFmtId="0" fontId="12" fillId="4" borderId="1" xfId="0" applyFont="1" applyFill="1" applyBorder="1" applyAlignment="1">
      <alignment vertical="top"/>
    </xf>
    <xf numFmtId="0" fontId="29" fillId="4" borderId="2" xfId="0" applyFont="1" applyFill="1" applyBorder="1" applyAlignment="1">
      <alignment vertical="top"/>
    </xf>
    <xf numFmtId="0" fontId="29" fillId="4" borderId="3" xfId="0" applyFont="1" applyFill="1" applyBorder="1" applyAlignment="1">
      <alignment vertical="top"/>
    </xf>
    <xf numFmtId="0" fontId="0" fillId="2" borderId="1" xfId="0" applyFill="1" applyBorder="1" applyAlignment="1">
      <alignment vertical="top"/>
    </xf>
    <xf numFmtId="0" fontId="0" fillId="2" borderId="2" xfId="0" applyFill="1" applyBorder="1" applyAlignment="1">
      <alignment vertical="top"/>
    </xf>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8" Type="http://schemas.openxmlformats.org/officeDocument/2006/relationships/hyperlink" Target="https://www.macrotrends.net/stocks/charts/C/citigroup/eps-earnings-per-share-diluted" TargetMode="External"/><Relationship Id="rId3" Type="http://schemas.openxmlformats.org/officeDocument/2006/relationships/hyperlink" Target="https://www.macrotrends.net/stocks/charts/BAC/bank-of-america/pe-ratio" TargetMode="External"/><Relationship Id="rId7" Type="http://schemas.openxmlformats.org/officeDocument/2006/relationships/hyperlink" Target="https://www.macrotrends.net/stocks/charts/C/citigroup/pe-ratio" TargetMode="External"/><Relationship Id="rId2" Type="http://schemas.openxmlformats.org/officeDocument/2006/relationships/hyperlink" Target="https://www.macrotrends.net/stocks/charts/BAC/bank-of-america/pe-ratio" TargetMode="External"/><Relationship Id="rId1" Type="http://schemas.openxmlformats.org/officeDocument/2006/relationships/hyperlink" Target="https://www.macrotrends.net/stocks/charts/BAC/bank-of-america/pe-ratio" TargetMode="External"/><Relationship Id="rId6" Type="http://schemas.openxmlformats.org/officeDocument/2006/relationships/hyperlink" Target="https://www.macrotrends.net/stocks/charts/C/citigroup/eps-earnings-per-share-diluted" TargetMode="External"/><Relationship Id="rId5" Type="http://schemas.openxmlformats.org/officeDocument/2006/relationships/hyperlink" Target="https://www.macrotrends.net/stocks/charts/C/citigroup/eps-earnings-per-share-diluted" TargetMode="External"/><Relationship Id="rId10" Type="http://schemas.openxmlformats.org/officeDocument/2006/relationships/hyperlink" Target="https://www.macrotrends.net/stocks/charts/BAC/bank-of-america/eps-earnings-per-share-diluted" TargetMode="External"/><Relationship Id="rId4" Type="http://schemas.openxmlformats.org/officeDocument/2006/relationships/hyperlink" Target="https://www.macrotrends.net/stocks/charts/BAC/bank-of-america/pe-ratio" TargetMode="External"/><Relationship Id="rId9" Type="http://schemas.openxmlformats.org/officeDocument/2006/relationships/hyperlink" Target="https://www.macrotrends.net/stocks/charts/BAC/bank-of-america/eps-earnings-per-share-diluted"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companiesmarketcap.com/citigroup/marketcap/" TargetMode="External"/><Relationship Id="rId2" Type="http://schemas.openxmlformats.org/officeDocument/2006/relationships/hyperlink" Target="https://companiesmarketcap.com/citigroup/marketcap/" TargetMode="External"/><Relationship Id="rId1" Type="http://schemas.openxmlformats.org/officeDocument/2006/relationships/hyperlink" Target="https://csimarket.com/stocks/singleProfitabilityRatiosy.php?code=C&amp;itx" TargetMode="External"/><Relationship Id="rId5" Type="http://schemas.openxmlformats.org/officeDocument/2006/relationships/hyperlink" Target="https://csimarket.com/stocks/singleProfitabilityRatiosy.php?code=C&amp;itx" TargetMode="External"/><Relationship Id="rId4" Type="http://schemas.openxmlformats.org/officeDocument/2006/relationships/hyperlink" Target="https://companiesmarketcap.com/bank-of-america/marketcap/"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www.macrotrends.net/2016/10-year-treasury-bond-rate-yield-char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1C304-5176-46FA-A116-5D01ABEB887A}">
  <sheetPr codeName="Sheet1"/>
  <dimension ref="A1:I58"/>
  <sheetViews>
    <sheetView tabSelected="1" workbookViewId="0">
      <selection activeCell="G23" sqref="G23"/>
    </sheetView>
  </sheetViews>
  <sheetFormatPr defaultRowHeight="14.4" x14ac:dyDescent="0.3"/>
  <cols>
    <col min="1" max="1" width="80" customWidth="1"/>
    <col min="2" max="3" width="14" customWidth="1"/>
    <col min="4" max="4" width="11.6640625" customWidth="1"/>
    <col min="5" max="5" width="9.44140625" bestFit="1" customWidth="1"/>
    <col min="6" max="6" width="24" customWidth="1"/>
    <col min="7" max="7" width="11.5546875" customWidth="1"/>
    <col min="8" max="8" width="16" customWidth="1"/>
    <col min="9" max="9" width="13.6640625" customWidth="1"/>
    <col min="10" max="10" width="43.5546875" customWidth="1"/>
  </cols>
  <sheetData>
    <row r="1" spans="1:9" ht="28.8" x14ac:dyDescent="0.3">
      <c r="A1" s="219" t="s">
        <v>0</v>
      </c>
      <c r="B1" s="220" t="s">
        <v>1</v>
      </c>
      <c r="C1" s="220" t="s">
        <v>2</v>
      </c>
      <c r="D1" s="221" t="s">
        <v>3</v>
      </c>
      <c r="F1" s="248" t="s">
        <v>457</v>
      </c>
      <c r="G1" s="248"/>
    </row>
    <row r="2" spans="1:9" ht="15" thickBot="1" x14ac:dyDescent="0.35">
      <c r="A2" s="222" t="s">
        <v>4</v>
      </c>
      <c r="B2" s="120"/>
      <c r="C2" s="120"/>
      <c r="D2" s="15"/>
    </row>
    <row r="3" spans="1:9" x14ac:dyDescent="0.3">
      <c r="A3" s="13" t="s">
        <v>5</v>
      </c>
      <c r="B3" s="223">
        <v>36430</v>
      </c>
      <c r="C3" s="223">
        <v>30152</v>
      </c>
      <c r="D3" s="224">
        <v>29063</v>
      </c>
      <c r="F3" s="6" t="s">
        <v>6</v>
      </c>
      <c r="G3" s="7">
        <v>2020</v>
      </c>
      <c r="H3" s="8">
        <v>2019</v>
      </c>
      <c r="I3" s="8">
        <v>2018</v>
      </c>
    </row>
    <row r="4" spans="1:9" x14ac:dyDescent="0.3">
      <c r="A4" s="225" t="s">
        <v>7</v>
      </c>
      <c r="B4" s="226">
        <v>344033</v>
      </c>
      <c r="C4" s="226">
        <v>131408</v>
      </c>
      <c r="D4" s="227">
        <v>148341</v>
      </c>
      <c r="F4" s="11" t="s">
        <v>8</v>
      </c>
      <c r="G4" s="12">
        <f>B30</f>
        <v>170323</v>
      </c>
      <c r="H4" s="12">
        <f>C30</f>
        <v>165109</v>
      </c>
      <c r="I4" s="12">
        <f>D30</f>
        <v>186988</v>
      </c>
    </row>
    <row r="5" spans="1:9" x14ac:dyDescent="0.3">
      <c r="A5" s="13" t="s">
        <v>9</v>
      </c>
      <c r="B5" s="226">
        <v>380463</v>
      </c>
      <c r="C5" s="226">
        <v>161560</v>
      </c>
      <c r="D5" s="227">
        <v>177404</v>
      </c>
      <c r="F5" s="13" t="s">
        <v>9</v>
      </c>
      <c r="G5" s="14">
        <f>B5</f>
        <v>380463</v>
      </c>
      <c r="H5" s="14">
        <f>C5</f>
        <v>161560</v>
      </c>
      <c r="I5" s="14">
        <f>D5</f>
        <v>177404</v>
      </c>
    </row>
    <row r="6" spans="1:9" x14ac:dyDescent="0.3">
      <c r="A6" s="225" t="s">
        <v>10</v>
      </c>
      <c r="B6" s="226">
        <v>6546</v>
      </c>
      <c r="C6" s="226">
        <v>7107</v>
      </c>
      <c r="D6" s="227">
        <v>7494</v>
      </c>
      <c r="F6" s="11"/>
      <c r="H6" s="15"/>
    </row>
    <row r="7" spans="1:9" ht="100.8" x14ac:dyDescent="0.3">
      <c r="A7" s="13" t="s">
        <v>11</v>
      </c>
      <c r="B7" s="226">
        <v>304058</v>
      </c>
      <c r="C7" s="226">
        <v>274597</v>
      </c>
      <c r="D7" s="227">
        <v>261131</v>
      </c>
      <c r="F7" s="13" t="s">
        <v>11</v>
      </c>
      <c r="G7" s="14">
        <f>B7</f>
        <v>304058</v>
      </c>
      <c r="H7" s="14">
        <f>C7</f>
        <v>274597</v>
      </c>
      <c r="I7" s="14">
        <f>D7</f>
        <v>261131</v>
      </c>
    </row>
    <row r="8" spans="1:9" ht="15" thickBot="1" x14ac:dyDescent="0.35">
      <c r="A8" s="225" t="s">
        <v>12</v>
      </c>
      <c r="B8" s="226">
        <v>198854</v>
      </c>
      <c r="C8" s="226">
        <v>229826</v>
      </c>
      <c r="D8" s="227">
        <v>214348</v>
      </c>
      <c r="F8" s="16" t="s">
        <v>13</v>
      </c>
      <c r="G8" s="17">
        <f>SUM(G5:G7)</f>
        <v>684521</v>
      </c>
      <c r="H8" s="18">
        <f>SUM(H5:H7)</f>
        <v>436157</v>
      </c>
      <c r="I8" s="18">
        <f>SUM(I5:I7)</f>
        <v>438535</v>
      </c>
    </row>
    <row r="9" spans="1:9" ht="15" thickBot="1" x14ac:dyDescent="0.35">
      <c r="A9" s="225" t="s">
        <v>14</v>
      </c>
      <c r="B9" s="226">
        <v>47179</v>
      </c>
      <c r="C9" s="226">
        <v>40485</v>
      </c>
      <c r="D9" s="227">
        <v>43725</v>
      </c>
    </row>
    <row r="10" spans="1:9" x14ac:dyDescent="0.3">
      <c r="A10" s="222" t="s">
        <v>15</v>
      </c>
      <c r="B10" s="120"/>
      <c r="C10" s="120"/>
      <c r="D10" s="15"/>
      <c r="F10" s="6" t="s">
        <v>16</v>
      </c>
      <c r="G10" s="7">
        <v>2020</v>
      </c>
      <c r="H10" s="8">
        <v>2019</v>
      </c>
      <c r="I10" s="19">
        <v>2018</v>
      </c>
    </row>
    <row r="11" spans="1:9" x14ac:dyDescent="0.3">
      <c r="A11" s="225" t="s">
        <v>17</v>
      </c>
      <c r="B11" s="226">
        <v>246601</v>
      </c>
      <c r="C11" s="226">
        <v>256467</v>
      </c>
      <c r="D11" s="227">
        <v>238101</v>
      </c>
      <c r="F11" s="20" t="s">
        <v>18</v>
      </c>
      <c r="H11" s="15"/>
    </row>
    <row r="12" spans="1:9" x14ac:dyDescent="0.3">
      <c r="A12" s="222" t="s">
        <v>19</v>
      </c>
      <c r="B12" s="226">
        <v>438249</v>
      </c>
      <c r="C12" s="226">
        <v>215730</v>
      </c>
      <c r="D12" s="227">
        <v>203652</v>
      </c>
      <c r="F12" s="20" t="s">
        <v>20</v>
      </c>
      <c r="G12" s="12">
        <f>B12</f>
        <v>438249</v>
      </c>
      <c r="H12" s="21">
        <f>C12</f>
        <v>215730</v>
      </c>
      <c r="I12" s="21">
        <f>D12</f>
        <v>203652</v>
      </c>
    </row>
    <row r="13" spans="1:9" x14ac:dyDescent="0.3">
      <c r="A13" s="225" t="s">
        <v>21</v>
      </c>
      <c r="B13" s="226">
        <v>684850</v>
      </c>
      <c r="C13" s="226">
        <v>472197</v>
      </c>
      <c r="D13" s="227">
        <v>441753</v>
      </c>
      <c r="F13" s="20" t="s">
        <v>22</v>
      </c>
      <c r="G13" s="12">
        <f>B14</f>
        <v>927861</v>
      </c>
      <c r="H13" s="21">
        <f>C14</f>
        <v>983426</v>
      </c>
      <c r="I13" s="21">
        <f>D14</f>
        <v>946895</v>
      </c>
    </row>
    <row r="14" spans="1:9" x14ac:dyDescent="0.3">
      <c r="A14" s="222" t="s">
        <v>23</v>
      </c>
      <c r="B14" s="226">
        <v>927861</v>
      </c>
      <c r="C14" s="226">
        <v>983426</v>
      </c>
      <c r="D14" s="227">
        <v>946895</v>
      </c>
      <c r="F14" s="20" t="s">
        <v>24</v>
      </c>
      <c r="G14" s="12">
        <f t="shared" ref="G14:I16" si="0">B33</f>
        <v>19321</v>
      </c>
      <c r="H14" s="21">
        <f t="shared" si="0"/>
        <v>24204</v>
      </c>
      <c r="I14" s="21">
        <f t="shared" si="0"/>
        <v>20189</v>
      </c>
    </row>
    <row r="15" spans="1:9" x14ac:dyDescent="0.3">
      <c r="A15" s="225" t="s">
        <v>25</v>
      </c>
      <c r="B15" s="226">
        <v>-18802</v>
      </c>
      <c r="C15" s="226">
        <v>-9416</v>
      </c>
      <c r="D15" s="227">
        <v>-9601</v>
      </c>
      <c r="F15" s="20" t="s">
        <v>26</v>
      </c>
      <c r="G15" s="12">
        <f t="shared" si="0"/>
        <v>181799</v>
      </c>
      <c r="H15" s="21">
        <f t="shared" si="0"/>
        <v>182798</v>
      </c>
      <c r="I15" s="21">
        <f t="shared" si="0"/>
        <v>165026</v>
      </c>
    </row>
    <row r="16" spans="1:9" x14ac:dyDescent="0.3">
      <c r="A16" s="225" t="s">
        <v>27</v>
      </c>
      <c r="B16" s="226">
        <v>909059</v>
      </c>
      <c r="C16" s="226">
        <v>974010</v>
      </c>
      <c r="D16" s="227">
        <v>937294</v>
      </c>
      <c r="F16" s="20" t="s">
        <v>28</v>
      </c>
      <c r="G16" s="12">
        <f t="shared" si="0"/>
        <v>262934</v>
      </c>
      <c r="H16" s="21">
        <f t="shared" si="0"/>
        <v>240856</v>
      </c>
      <c r="I16" s="21">
        <f t="shared" si="0"/>
        <v>229392</v>
      </c>
    </row>
    <row r="17" spans="1:9" x14ac:dyDescent="0.3">
      <c r="A17" s="225" t="s">
        <v>29</v>
      </c>
      <c r="B17" s="226">
        <v>11000</v>
      </c>
      <c r="C17" s="226">
        <v>10561</v>
      </c>
      <c r="D17" s="227">
        <v>9906</v>
      </c>
      <c r="F17" s="20" t="s">
        <v>22</v>
      </c>
      <c r="G17" s="12">
        <f>B49</f>
        <v>23636</v>
      </c>
      <c r="H17" s="21">
        <f>C49</f>
        <v>38837</v>
      </c>
      <c r="I17" s="21">
        <f>D49</f>
        <v>43850</v>
      </c>
    </row>
    <row r="18" spans="1:9" x14ac:dyDescent="0.3">
      <c r="A18" s="225" t="s">
        <v>30</v>
      </c>
      <c r="B18" s="226">
        <v>68951</v>
      </c>
      <c r="C18" s="226">
        <v>68951</v>
      </c>
      <c r="D18" s="227">
        <v>68951</v>
      </c>
      <c r="F18" s="20" t="s">
        <v>24</v>
      </c>
      <c r="G18" s="12">
        <f t="shared" ref="G18:I20" si="1">B55</f>
        <v>454</v>
      </c>
      <c r="H18" s="21">
        <f t="shared" si="1"/>
        <v>2175</v>
      </c>
      <c r="I18" s="21">
        <f t="shared" si="1"/>
        <v>742</v>
      </c>
    </row>
    <row r="19" spans="1:9" x14ac:dyDescent="0.3">
      <c r="A19" s="225" t="s">
        <v>31</v>
      </c>
      <c r="B19" s="226">
        <v>9243</v>
      </c>
      <c r="C19" s="226">
        <v>9158</v>
      </c>
      <c r="D19" s="227">
        <v>10367</v>
      </c>
      <c r="F19" s="20" t="s">
        <v>32</v>
      </c>
      <c r="G19" s="12">
        <f t="shared" si="1"/>
        <v>7053</v>
      </c>
      <c r="H19" s="21">
        <f t="shared" si="1"/>
        <v>8718</v>
      </c>
      <c r="I19" s="21">
        <f t="shared" si="1"/>
        <v>10944</v>
      </c>
    </row>
    <row r="20" spans="1:9" x14ac:dyDescent="0.3">
      <c r="A20" s="225" t="s">
        <v>33</v>
      </c>
      <c r="B20" s="226">
        <v>64221</v>
      </c>
      <c r="C20" s="226">
        <v>55937</v>
      </c>
      <c r="D20" s="227">
        <v>65814</v>
      </c>
      <c r="F20" s="20" t="s">
        <v>34</v>
      </c>
      <c r="G20" s="12">
        <f t="shared" si="1"/>
        <v>16</v>
      </c>
      <c r="H20" s="21">
        <f t="shared" si="1"/>
        <v>22</v>
      </c>
      <c r="I20" s="21">
        <f t="shared" si="1"/>
        <v>30</v>
      </c>
    </row>
    <row r="21" spans="1:9" ht="15" thickBot="1" x14ac:dyDescent="0.35">
      <c r="A21" s="225" t="s">
        <v>35</v>
      </c>
      <c r="B21" s="226">
        <v>135203</v>
      </c>
      <c r="C21" s="226">
        <v>129690</v>
      </c>
      <c r="D21" s="227">
        <v>116320</v>
      </c>
      <c r="F21" s="16" t="s">
        <v>13</v>
      </c>
      <c r="G21" s="17">
        <f>SUM(G12:G20)</f>
        <v>1861323</v>
      </c>
      <c r="H21" s="18">
        <f>SUM(H12:H20)</f>
        <v>1696766</v>
      </c>
      <c r="I21" s="18">
        <f>SUM(I12:I20)</f>
        <v>1620720</v>
      </c>
    </row>
    <row r="22" spans="1:9" x14ac:dyDescent="0.3">
      <c r="A22" s="228" t="s">
        <v>36</v>
      </c>
      <c r="B22" s="226">
        <v>2819627</v>
      </c>
      <c r="C22" s="226">
        <v>2434079</v>
      </c>
      <c r="D22" s="227">
        <v>2354507</v>
      </c>
    </row>
    <row r="23" spans="1:9" x14ac:dyDescent="0.3">
      <c r="A23" s="222" t="s">
        <v>37</v>
      </c>
      <c r="B23" s="120"/>
      <c r="C23" s="120"/>
      <c r="D23" s="15"/>
      <c r="F23" s="89" t="s">
        <v>38</v>
      </c>
      <c r="G23" s="235">
        <f xml:space="preserve"> G21 - G8</f>
        <v>1176802</v>
      </c>
      <c r="H23" s="235">
        <f xml:space="preserve"> H21 - H8</f>
        <v>1260609</v>
      </c>
      <c r="I23" s="235">
        <f xml:space="preserve"> I21 - I8</f>
        <v>1182185</v>
      </c>
    </row>
    <row r="24" spans="1:9" x14ac:dyDescent="0.3">
      <c r="A24" s="225" t="s">
        <v>39</v>
      </c>
      <c r="B24" s="226">
        <v>650674</v>
      </c>
      <c r="C24" s="226">
        <v>403305</v>
      </c>
      <c r="D24" s="227">
        <v>412587</v>
      </c>
      <c r="F24" s="19" t="s">
        <v>40</v>
      </c>
      <c r="G24" s="19">
        <v>1176802000000</v>
      </c>
    </row>
    <row r="25" spans="1:9" x14ac:dyDescent="0.3">
      <c r="A25" s="225" t="s">
        <v>41</v>
      </c>
      <c r="B25" s="226">
        <v>1038341</v>
      </c>
      <c r="C25" s="226">
        <v>940731</v>
      </c>
      <c r="D25" s="227">
        <v>891636</v>
      </c>
    </row>
    <row r="26" spans="1:9" x14ac:dyDescent="0.3">
      <c r="A26" s="222" t="s">
        <v>42</v>
      </c>
      <c r="B26" s="120"/>
      <c r="C26" s="120"/>
      <c r="D26" s="15"/>
    </row>
    <row r="27" spans="1:9" x14ac:dyDescent="0.3">
      <c r="A27" s="225" t="s">
        <v>39</v>
      </c>
      <c r="B27" s="226">
        <v>17698</v>
      </c>
      <c r="C27" s="226">
        <v>13719</v>
      </c>
      <c r="D27" s="227">
        <v>14060</v>
      </c>
    </row>
    <row r="28" spans="1:9" x14ac:dyDescent="0.3">
      <c r="A28" s="225" t="s">
        <v>43</v>
      </c>
      <c r="B28" s="226">
        <v>88767</v>
      </c>
      <c r="C28" s="226">
        <v>77048</v>
      </c>
      <c r="D28" s="227">
        <v>63193</v>
      </c>
    </row>
    <row r="29" spans="1:9" x14ac:dyDescent="0.3">
      <c r="A29" s="225" t="s">
        <v>44</v>
      </c>
      <c r="B29" s="226">
        <v>1795480</v>
      </c>
      <c r="C29" s="226">
        <v>1434803</v>
      </c>
      <c r="D29" s="227">
        <v>1381476</v>
      </c>
    </row>
    <row r="30" spans="1:9" ht="28.8" x14ac:dyDescent="0.3">
      <c r="A30" s="229" t="s">
        <v>45</v>
      </c>
      <c r="B30" s="226">
        <v>170323</v>
      </c>
      <c r="C30" s="226">
        <v>165109</v>
      </c>
      <c r="D30" s="227">
        <v>186988</v>
      </c>
    </row>
    <row r="31" spans="1:9" x14ac:dyDescent="0.3">
      <c r="A31" s="225" t="s">
        <v>46</v>
      </c>
      <c r="B31" s="226">
        <v>71320</v>
      </c>
      <c r="C31" s="226">
        <v>83270</v>
      </c>
      <c r="D31" s="227">
        <v>68220</v>
      </c>
    </row>
    <row r="32" spans="1:9" x14ac:dyDescent="0.3">
      <c r="A32" s="225" t="s">
        <v>47</v>
      </c>
      <c r="B32" s="226">
        <v>45526</v>
      </c>
      <c r="C32" s="226">
        <v>38229</v>
      </c>
      <c r="D32" s="227">
        <v>37891</v>
      </c>
    </row>
    <row r="33" spans="1:4" x14ac:dyDescent="0.3">
      <c r="A33" s="222" t="s">
        <v>48</v>
      </c>
      <c r="B33" s="226">
        <v>19321</v>
      </c>
      <c r="C33" s="226">
        <v>24204</v>
      </c>
      <c r="D33" s="227">
        <v>20189</v>
      </c>
    </row>
    <row r="34" spans="1:4" ht="28.8" x14ac:dyDescent="0.3">
      <c r="A34" s="222" t="s">
        <v>49</v>
      </c>
      <c r="B34" s="226">
        <v>181799</v>
      </c>
      <c r="C34" s="226">
        <v>182798</v>
      </c>
      <c r="D34" s="227">
        <v>165026</v>
      </c>
    </row>
    <row r="35" spans="1:4" x14ac:dyDescent="0.3">
      <c r="A35" s="222" t="s">
        <v>50</v>
      </c>
      <c r="B35" s="226">
        <v>262934</v>
      </c>
      <c r="C35" s="226">
        <v>240856</v>
      </c>
      <c r="D35" s="227">
        <v>229392</v>
      </c>
    </row>
    <row r="36" spans="1:4" x14ac:dyDescent="0.3">
      <c r="A36" s="225" t="s">
        <v>51</v>
      </c>
      <c r="B36" s="226">
        <v>2546703</v>
      </c>
      <c r="C36" s="226">
        <v>2169269</v>
      </c>
      <c r="D36" s="227">
        <v>2089182</v>
      </c>
    </row>
    <row r="37" spans="1:4" ht="28.8" x14ac:dyDescent="0.3">
      <c r="A37" s="225" t="s">
        <v>52</v>
      </c>
      <c r="B37" s="230" t="s">
        <v>53</v>
      </c>
      <c r="C37" s="230" t="s">
        <v>53</v>
      </c>
      <c r="D37" s="231" t="s">
        <v>53</v>
      </c>
    </row>
    <row r="38" spans="1:4" x14ac:dyDescent="0.3">
      <c r="A38" s="222" t="s">
        <v>54</v>
      </c>
      <c r="B38" s="120"/>
      <c r="C38" s="120"/>
      <c r="D38" s="15"/>
    </row>
    <row r="39" spans="1:4" ht="28.8" x14ac:dyDescent="0.3">
      <c r="A39" s="225" t="s">
        <v>55</v>
      </c>
      <c r="B39" s="226">
        <v>24510</v>
      </c>
      <c r="C39" s="226">
        <v>23401</v>
      </c>
      <c r="D39" s="227">
        <v>22326</v>
      </c>
    </row>
    <row r="40" spans="1:4" ht="28.8" x14ac:dyDescent="0.3">
      <c r="A40" s="225" t="s">
        <v>56</v>
      </c>
      <c r="B40" s="226">
        <v>85982</v>
      </c>
      <c r="C40" s="226">
        <v>91723</v>
      </c>
      <c r="D40" s="227">
        <v>118896</v>
      </c>
    </row>
    <row r="41" spans="1:4" x14ac:dyDescent="0.3">
      <c r="A41" s="225" t="s">
        <v>57</v>
      </c>
      <c r="B41" s="226">
        <v>164088</v>
      </c>
      <c r="C41" s="226">
        <v>156319</v>
      </c>
      <c r="D41" s="227">
        <v>136314</v>
      </c>
    </row>
    <row r="42" spans="1:4" x14ac:dyDescent="0.3">
      <c r="A42" s="225" t="s">
        <v>58</v>
      </c>
      <c r="B42" s="226">
        <v>-1656</v>
      </c>
      <c r="C42" s="226">
        <v>-6633</v>
      </c>
      <c r="D42" s="227">
        <v>-12211</v>
      </c>
    </row>
    <row r="43" spans="1:4" x14ac:dyDescent="0.3">
      <c r="A43" s="225" t="s">
        <v>59</v>
      </c>
      <c r="B43" s="226">
        <v>272924</v>
      </c>
      <c r="C43" s="226">
        <v>264810</v>
      </c>
      <c r="D43" s="227">
        <v>265325</v>
      </c>
    </row>
    <row r="44" spans="1:4" x14ac:dyDescent="0.3">
      <c r="A44" s="225" t="s">
        <v>60</v>
      </c>
      <c r="B44" s="226">
        <v>2819627</v>
      </c>
      <c r="C44" s="226">
        <v>2434079</v>
      </c>
      <c r="D44" s="227">
        <v>2354507</v>
      </c>
    </row>
    <row r="45" spans="1:4" x14ac:dyDescent="0.3">
      <c r="A45" s="225" t="s">
        <v>61</v>
      </c>
      <c r="B45" s="120"/>
      <c r="C45" s="120"/>
      <c r="D45" s="15"/>
    </row>
    <row r="46" spans="1:4" x14ac:dyDescent="0.3">
      <c r="A46" s="222" t="s">
        <v>4</v>
      </c>
      <c r="B46" s="120"/>
      <c r="C46" s="120"/>
      <c r="D46" s="15"/>
    </row>
    <row r="47" spans="1:4" x14ac:dyDescent="0.3">
      <c r="A47" s="225" t="s">
        <v>12</v>
      </c>
      <c r="B47" s="226">
        <v>5225</v>
      </c>
      <c r="C47" s="226">
        <v>5811</v>
      </c>
      <c r="D47" s="227">
        <v>5798</v>
      </c>
    </row>
    <row r="48" spans="1:4" x14ac:dyDescent="0.3">
      <c r="A48" s="222" t="s">
        <v>15</v>
      </c>
      <c r="B48" s="120"/>
      <c r="C48" s="120"/>
      <c r="D48" s="15"/>
    </row>
    <row r="49" spans="1:5" x14ac:dyDescent="0.3">
      <c r="A49" s="222" t="s">
        <v>23</v>
      </c>
      <c r="B49" s="226">
        <v>23636</v>
      </c>
      <c r="C49" s="226">
        <v>38837</v>
      </c>
      <c r="D49" s="227">
        <v>43850</v>
      </c>
    </row>
    <row r="50" spans="1:5" x14ac:dyDescent="0.3">
      <c r="A50" s="225" t="s">
        <v>25</v>
      </c>
      <c r="B50" s="226">
        <v>-1693</v>
      </c>
      <c r="C50" s="226">
        <v>-807</v>
      </c>
      <c r="D50" s="227">
        <v>-912</v>
      </c>
    </row>
    <row r="51" spans="1:5" x14ac:dyDescent="0.3">
      <c r="A51" s="225" t="s">
        <v>27</v>
      </c>
      <c r="B51" s="226">
        <v>21943</v>
      </c>
      <c r="C51" s="226">
        <v>38030</v>
      </c>
      <c r="D51" s="227">
        <v>42938</v>
      </c>
    </row>
    <row r="52" spans="1:5" x14ac:dyDescent="0.3">
      <c r="A52" s="225" t="s">
        <v>35</v>
      </c>
      <c r="B52" s="226">
        <v>1387</v>
      </c>
      <c r="C52" s="226">
        <v>540</v>
      </c>
      <c r="D52" s="227">
        <v>337</v>
      </c>
    </row>
    <row r="53" spans="1:5" x14ac:dyDescent="0.3">
      <c r="A53" s="225" t="s">
        <v>36</v>
      </c>
      <c r="B53" s="226">
        <v>28555</v>
      </c>
      <c r="C53" s="226">
        <v>44381</v>
      </c>
      <c r="D53" s="227">
        <v>49073</v>
      </c>
    </row>
    <row r="54" spans="1:5" x14ac:dyDescent="0.3">
      <c r="A54" s="222" t="s">
        <v>42</v>
      </c>
      <c r="B54" s="120"/>
      <c r="C54" s="120"/>
      <c r="D54" s="15"/>
    </row>
    <row r="55" spans="1:5" x14ac:dyDescent="0.3">
      <c r="A55" s="222" t="s">
        <v>48</v>
      </c>
      <c r="B55" s="226">
        <v>454</v>
      </c>
      <c r="C55" s="226">
        <v>2175</v>
      </c>
      <c r="D55" s="227">
        <v>742</v>
      </c>
    </row>
    <row r="56" spans="1:5" x14ac:dyDescent="0.3">
      <c r="A56" s="222" t="s">
        <v>50</v>
      </c>
      <c r="B56" s="226">
        <v>7053</v>
      </c>
      <c r="C56" s="226">
        <v>8718</v>
      </c>
      <c r="D56" s="227">
        <v>10944</v>
      </c>
    </row>
    <row r="57" spans="1:5" ht="15" thickBot="1" x14ac:dyDescent="0.35">
      <c r="A57" s="232" t="s">
        <v>62</v>
      </c>
      <c r="B57" s="233">
        <v>16</v>
      </c>
      <c r="C57" s="233">
        <v>22</v>
      </c>
      <c r="D57" s="234">
        <v>30</v>
      </c>
    </row>
    <row r="58" spans="1:5" x14ac:dyDescent="0.3">
      <c r="A58" s="9" t="s">
        <v>51</v>
      </c>
      <c r="B58" s="5">
        <v>7523</v>
      </c>
      <c r="C58" s="5">
        <v>10915</v>
      </c>
      <c r="D58" s="5">
        <v>11716</v>
      </c>
      <c r="E58" s="12"/>
    </row>
  </sheetData>
  <mergeCells count="1">
    <mergeCell ref="F1:G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8A448-DF1E-403E-A385-2CF58DACCAFE}">
  <sheetPr codeName="Sheet2"/>
  <dimension ref="A1:D32"/>
  <sheetViews>
    <sheetView topLeftCell="A2" workbookViewId="0">
      <selection activeCell="B29" sqref="B29"/>
    </sheetView>
  </sheetViews>
  <sheetFormatPr defaultRowHeight="14.4" x14ac:dyDescent="0.3"/>
  <cols>
    <col min="1" max="1" width="77" customWidth="1"/>
    <col min="2" max="2" width="16" customWidth="1"/>
    <col min="3" max="4" width="14" customWidth="1"/>
  </cols>
  <sheetData>
    <row r="1" spans="1:4" x14ac:dyDescent="0.3">
      <c r="A1" s="249" t="s">
        <v>63</v>
      </c>
      <c r="B1" s="251" t="s">
        <v>64</v>
      </c>
      <c r="C1" s="252"/>
      <c r="D1" s="252"/>
    </row>
    <row r="2" spans="1:4" x14ac:dyDescent="0.3">
      <c r="A2" s="250"/>
      <c r="B2" s="2" t="s">
        <v>1</v>
      </c>
      <c r="C2" s="2" t="s">
        <v>2</v>
      </c>
      <c r="D2" s="2" t="s">
        <v>3</v>
      </c>
    </row>
    <row r="3" spans="1:4" x14ac:dyDescent="0.3">
      <c r="A3" s="3" t="s">
        <v>65</v>
      </c>
    </row>
    <row r="4" spans="1:4" x14ac:dyDescent="0.3">
      <c r="A4" s="9" t="s">
        <v>66</v>
      </c>
      <c r="B4" s="5">
        <v>51585</v>
      </c>
      <c r="C4" s="5">
        <v>71236</v>
      </c>
      <c r="D4" s="5">
        <v>66769</v>
      </c>
    </row>
    <row r="5" spans="1:4" x14ac:dyDescent="0.3">
      <c r="A5" s="4" t="s">
        <v>67</v>
      </c>
      <c r="B5" s="10">
        <v>8225</v>
      </c>
      <c r="C5" s="25">
        <v>22345</v>
      </c>
      <c r="D5" s="10">
        <v>18607</v>
      </c>
    </row>
    <row r="6" spans="1:4" x14ac:dyDescent="0.3">
      <c r="A6" s="9" t="s">
        <v>65</v>
      </c>
      <c r="B6" s="10">
        <v>43360</v>
      </c>
      <c r="C6" s="10">
        <v>48891</v>
      </c>
      <c r="D6" s="10">
        <v>48162</v>
      </c>
    </row>
    <row r="7" spans="1:4" x14ac:dyDescent="0.3">
      <c r="A7" s="3" t="s">
        <v>68</v>
      </c>
    </row>
    <row r="8" spans="1:4" x14ac:dyDescent="0.3">
      <c r="A8" s="9" t="s">
        <v>69</v>
      </c>
      <c r="B8" s="10">
        <v>34551</v>
      </c>
      <c r="C8" s="10">
        <v>33015</v>
      </c>
      <c r="D8" s="10">
        <v>33078</v>
      </c>
    </row>
    <row r="9" spans="1:4" x14ac:dyDescent="0.3">
      <c r="A9" s="9" t="s">
        <v>70</v>
      </c>
      <c r="B9" s="10">
        <v>8355</v>
      </c>
      <c r="C9" s="10">
        <v>9034</v>
      </c>
      <c r="D9" s="10">
        <v>9008</v>
      </c>
    </row>
    <row r="10" spans="1:4" x14ac:dyDescent="0.3">
      <c r="A10" s="9" t="s">
        <v>71</v>
      </c>
      <c r="B10" s="10">
        <v>-738</v>
      </c>
      <c r="C10" s="10">
        <v>304</v>
      </c>
      <c r="D10" s="10">
        <v>772</v>
      </c>
    </row>
    <row r="11" spans="1:4" x14ac:dyDescent="0.3">
      <c r="A11" s="9" t="s">
        <v>72</v>
      </c>
      <c r="B11" s="10">
        <v>42168</v>
      </c>
      <c r="C11" s="10">
        <v>42353</v>
      </c>
      <c r="D11" s="10">
        <v>42858</v>
      </c>
    </row>
    <row r="12" spans="1:4" x14ac:dyDescent="0.3">
      <c r="A12" s="9" t="s">
        <v>73</v>
      </c>
      <c r="B12" s="10">
        <v>85528</v>
      </c>
      <c r="C12" s="10">
        <v>91244</v>
      </c>
      <c r="D12" s="10">
        <v>91020</v>
      </c>
    </row>
    <row r="13" spans="1:4" x14ac:dyDescent="0.3">
      <c r="A13" s="9" t="s">
        <v>74</v>
      </c>
      <c r="B13" s="10">
        <v>11320</v>
      </c>
      <c r="C13" s="10">
        <v>3590</v>
      </c>
      <c r="D13" s="10">
        <v>3282</v>
      </c>
    </row>
    <row r="14" spans="1:4" x14ac:dyDescent="0.3">
      <c r="A14" s="3" t="s">
        <v>75</v>
      </c>
    </row>
    <row r="15" spans="1:4" x14ac:dyDescent="0.3">
      <c r="A15" s="9" t="s">
        <v>76</v>
      </c>
      <c r="B15" s="10">
        <v>32725</v>
      </c>
      <c r="C15" s="10">
        <v>31977</v>
      </c>
      <c r="D15" s="10">
        <v>31880</v>
      </c>
    </row>
    <row r="16" spans="1:4" x14ac:dyDescent="0.3">
      <c r="A16" s="9" t="s">
        <v>77</v>
      </c>
      <c r="B16" s="10">
        <v>7141</v>
      </c>
      <c r="C16" s="10">
        <v>6588</v>
      </c>
      <c r="D16" s="10">
        <v>6380</v>
      </c>
    </row>
    <row r="17" spans="1:4" x14ac:dyDescent="0.3">
      <c r="A17" s="9" t="s">
        <v>78</v>
      </c>
      <c r="B17" s="10">
        <v>5222</v>
      </c>
      <c r="C17" s="10">
        <v>4646</v>
      </c>
      <c r="D17" s="10">
        <v>4555</v>
      </c>
    </row>
    <row r="18" spans="1:4" x14ac:dyDescent="0.3">
      <c r="A18" s="9" t="s">
        <v>79</v>
      </c>
      <c r="B18" s="10">
        <v>3433</v>
      </c>
      <c r="C18" s="10">
        <v>2762</v>
      </c>
      <c r="D18" s="10">
        <v>2857</v>
      </c>
    </row>
    <row r="19" spans="1:4" x14ac:dyDescent="0.3">
      <c r="A19" s="9" t="s">
        <v>80</v>
      </c>
      <c r="B19" s="10">
        <v>1701</v>
      </c>
      <c r="C19" s="10">
        <v>1934</v>
      </c>
      <c r="D19" s="10">
        <v>1674</v>
      </c>
    </row>
    <row r="20" spans="1:4" x14ac:dyDescent="0.3">
      <c r="A20" s="9" t="s">
        <v>81</v>
      </c>
      <c r="B20" s="10">
        <v>1694</v>
      </c>
      <c r="C20" s="10">
        <v>1597</v>
      </c>
      <c r="D20" s="10">
        <v>1699</v>
      </c>
    </row>
    <row r="21" spans="1:4" x14ac:dyDescent="0.3">
      <c r="A21" s="9" t="s">
        <v>82</v>
      </c>
      <c r="B21" s="10">
        <v>3297</v>
      </c>
      <c r="C21" s="10">
        <v>5396</v>
      </c>
      <c r="D21" s="10">
        <v>4109</v>
      </c>
    </row>
    <row r="22" spans="1:4" x14ac:dyDescent="0.3">
      <c r="A22" s="9" t="s">
        <v>83</v>
      </c>
      <c r="B22" s="10">
        <v>55213</v>
      </c>
      <c r="C22" s="10">
        <v>54900</v>
      </c>
      <c r="D22" s="10">
        <v>53154</v>
      </c>
    </row>
    <row r="23" spans="1:4" x14ac:dyDescent="0.3">
      <c r="A23" s="26" t="s">
        <v>84</v>
      </c>
      <c r="B23" s="27">
        <v>18995</v>
      </c>
      <c r="C23" s="27">
        <v>32754</v>
      </c>
      <c r="D23" s="27">
        <v>34584</v>
      </c>
    </row>
    <row r="24" spans="1:4" x14ac:dyDescent="0.3">
      <c r="A24" s="26" t="s">
        <v>85</v>
      </c>
      <c r="B24" s="27">
        <v>1101</v>
      </c>
      <c r="C24" s="27">
        <v>5324</v>
      </c>
      <c r="D24" s="27">
        <v>6437</v>
      </c>
    </row>
    <row r="25" spans="1:4" x14ac:dyDescent="0.3">
      <c r="A25" s="9" t="s">
        <v>86</v>
      </c>
      <c r="B25" s="10">
        <v>17894</v>
      </c>
      <c r="C25" s="10">
        <v>27430</v>
      </c>
      <c r="D25" s="10">
        <v>28147</v>
      </c>
    </row>
    <row r="26" spans="1:4" x14ac:dyDescent="0.3">
      <c r="A26" s="9" t="s">
        <v>87</v>
      </c>
      <c r="B26" s="10">
        <v>1421</v>
      </c>
      <c r="C26" s="10">
        <v>1432</v>
      </c>
      <c r="D26" s="10">
        <v>1451</v>
      </c>
    </row>
    <row r="27" spans="1:4" x14ac:dyDescent="0.3">
      <c r="A27" s="9" t="s">
        <v>88</v>
      </c>
      <c r="B27" s="5">
        <v>16473</v>
      </c>
      <c r="C27" s="5">
        <v>25998</v>
      </c>
      <c r="D27" s="5">
        <v>26696</v>
      </c>
    </row>
    <row r="28" spans="1:4" x14ac:dyDescent="0.3">
      <c r="A28" s="3" t="s">
        <v>89</v>
      </c>
    </row>
    <row r="29" spans="1:4" x14ac:dyDescent="0.3">
      <c r="A29" s="9" t="s">
        <v>90</v>
      </c>
      <c r="B29" s="28">
        <v>1.88</v>
      </c>
      <c r="C29" s="28">
        <v>2.77</v>
      </c>
      <c r="D29" s="28">
        <v>2.64</v>
      </c>
    </row>
    <row r="30" spans="1:4" x14ac:dyDescent="0.3">
      <c r="A30" s="9" t="s">
        <v>91</v>
      </c>
      <c r="B30" s="28">
        <v>1.87</v>
      </c>
      <c r="C30" s="28">
        <v>2.75</v>
      </c>
      <c r="D30" s="28">
        <v>2.61</v>
      </c>
    </row>
    <row r="31" spans="1:4" x14ac:dyDescent="0.3">
      <c r="A31" s="9" t="s">
        <v>92</v>
      </c>
      <c r="B31" s="29">
        <v>8753.2000000000007</v>
      </c>
      <c r="C31" s="29">
        <v>9390.5</v>
      </c>
      <c r="D31" s="29">
        <v>10096.5</v>
      </c>
    </row>
    <row r="32" spans="1:4" x14ac:dyDescent="0.3">
      <c r="A32" s="9" t="s">
        <v>93</v>
      </c>
      <c r="B32" s="29">
        <v>8796.9</v>
      </c>
      <c r="C32" s="29">
        <v>9442.9</v>
      </c>
      <c r="D32" s="29">
        <v>10236.9</v>
      </c>
    </row>
  </sheetData>
  <mergeCells count="2">
    <mergeCell ref="A1:A2"/>
    <mergeCell ref="B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FF913-350E-45BF-82D1-E921C3D2D55E}">
  <sheetPr codeName="Sheet15"/>
  <dimension ref="A1:M37"/>
  <sheetViews>
    <sheetView topLeftCell="A16" workbookViewId="0">
      <selection activeCell="A2" sqref="A2:XFD2"/>
    </sheetView>
  </sheetViews>
  <sheetFormatPr defaultRowHeight="14.4" x14ac:dyDescent="0.3"/>
  <cols>
    <col min="2" max="2" width="32.6640625" customWidth="1"/>
    <col min="4" max="4" width="17.88671875" customWidth="1"/>
    <col min="9" max="9" width="27.21875" customWidth="1"/>
    <col min="10" max="10" width="19.5546875" customWidth="1"/>
    <col min="11" max="11" width="14.44140625" customWidth="1"/>
  </cols>
  <sheetData>
    <row r="1" spans="1:13" s="254" customFormat="1" ht="30.6" customHeight="1" thickBot="1" x14ac:dyDescent="0.35">
      <c r="A1" s="253" t="s">
        <v>423</v>
      </c>
    </row>
    <row r="2" spans="1:13" s="197" customFormat="1" ht="18.600000000000001" thickBot="1" x14ac:dyDescent="0.4">
      <c r="A2" s="258" t="s">
        <v>456</v>
      </c>
      <c r="B2" s="259"/>
      <c r="C2" s="259"/>
      <c r="D2" s="259"/>
      <c r="E2" s="259"/>
      <c r="F2" s="259"/>
      <c r="G2" s="259"/>
      <c r="H2" s="259"/>
      <c r="I2" s="259"/>
      <c r="J2" s="259"/>
      <c r="K2" s="259"/>
      <c r="L2" s="260"/>
    </row>
    <row r="3" spans="1:13" x14ac:dyDescent="0.3">
      <c r="B3" s="255" t="s">
        <v>432</v>
      </c>
      <c r="C3" s="256"/>
      <c r="D3" s="256"/>
      <c r="E3" s="256"/>
      <c r="F3" s="257"/>
      <c r="I3" s="255" t="s">
        <v>432</v>
      </c>
      <c r="J3" s="256"/>
      <c r="K3" s="256"/>
      <c r="L3" s="256"/>
      <c r="M3" s="257"/>
    </row>
    <row r="4" spans="1:13" x14ac:dyDescent="0.3">
      <c r="B4" s="186" t="s">
        <v>424</v>
      </c>
      <c r="C4" s="187">
        <f xml:space="preserve"> BAC_Income_statement!D29</f>
        <v>2.64</v>
      </c>
      <c r="D4" s="187"/>
      <c r="E4" s="191" t="s">
        <v>430</v>
      </c>
      <c r="F4" s="188"/>
      <c r="I4" s="186" t="s">
        <v>424</v>
      </c>
      <c r="J4" s="187">
        <f xml:space="preserve"> BAC_Income_statement!C29</f>
        <v>2.77</v>
      </c>
      <c r="K4" s="187"/>
      <c r="L4" s="191" t="s">
        <v>430</v>
      </c>
      <c r="M4" s="188"/>
    </row>
    <row r="5" spans="1:13" x14ac:dyDescent="0.3">
      <c r="B5" s="186"/>
      <c r="C5" s="187"/>
      <c r="D5" s="187"/>
      <c r="E5" s="187"/>
      <c r="F5" s="188"/>
      <c r="I5" s="186"/>
      <c r="J5" s="187"/>
      <c r="K5" s="187"/>
      <c r="L5" s="187"/>
      <c r="M5" s="188"/>
    </row>
    <row r="6" spans="1:13" x14ac:dyDescent="0.3">
      <c r="B6" s="186" t="s">
        <v>425</v>
      </c>
      <c r="C6" s="189">
        <f>task1_wacc_final!B29</f>
        <v>0.13397815945229236</v>
      </c>
      <c r="D6" s="187"/>
      <c r="E6" s="187" t="s">
        <v>429</v>
      </c>
      <c r="F6" s="188"/>
      <c r="I6" s="186" t="s">
        <v>425</v>
      </c>
      <c r="J6" s="189">
        <f>task1_wacc_final!R29</f>
        <v>7.2102436972956874E-2</v>
      </c>
      <c r="K6" s="187"/>
      <c r="L6" s="187" t="s">
        <v>429</v>
      </c>
      <c r="M6" s="188"/>
    </row>
    <row r="7" spans="1:13" x14ac:dyDescent="0.3">
      <c r="B7" s="186"/>
      <c r="C7" s="187"/>
      <c r="D7" s="187"/>
      <c r="E7" s="187"/>
      <c r="F7" s="188"/>
      <c r="I7" s="186"/>
      <c r="J7" s="187"/>
      <c r="K7" s="187"/>
      <c r="L7" s="187"/>
      <c r="M7" s="188"/>
    </row>
    <row r="8" spans="1:13" x14ac:dyDescent="0.3">
      <c r="B8" s="190" t="s">
        <v>426</v>
      </c>
      <c r="C8" s="191">
        <f xml:space="preserve"> C4 * (1/C6)</f>
        <v>19.704704190536855</v>
      </c>
      <c r="D8" s="187"/>
      <c r="E8" s="187"/>
      <c r="F8" s="188"/>
      <c r="I8" s="190" t="s">
        <v>426</v>
      </c>
      <c r="J8" s="191">
        <f xml:space="preserve"> J4 * (1/J6)</f>
        <v>38.417564180790876</v>
      </c>
      <c r="K8" s="187"/>
      <c r="L8" s="187"/>
      <c r="M8" s="188"/>
    </row>
    <row r="9" spans="1:13" x14ac:dyDescent="0.3">
      <c r="B9" s="186"/>
      <c r="C9" s="187"/>
      <c r="D9" s="187"/>
      <c r="E9" s="187"/>
      <c r="F9" s="188"/>
      <c r="I9" s="186"/>
      <c r="J9" s="187"/>
      <c r="K9" s="187"/>
      <c r="L9" s="187"/>
      <c r="M9" s="188"/>
    </row>
    <row r="10" spans="1:13" ht="15" thickBot="1" x14ac:dyDescent="0.35">
      <c r="B10" s="180"/>
      <c r="C10" s="181"/>
      <c r="D10" s="181"/>
      <c r="E10" s="181"/>
      <c r="F10" s="182"/>
      <c r="I10" s="180"/>
      <c r="J10" s="181"/>
      <c r="K10" s="181"/>
      <c r="L10" s="181"/>
      <c r="M10" s="182"/>
    </row>
    <row r="11" spans="1:13" ht="15" thickBot="1" x14ac:dyDescent="0.35">
      <c r="I11" s="32"/>
      <c r="J11" s="32"/>
      <c r="K11" s="32"/>
      <c r="L11" s="32"/>
      <c r="M11" s="32"/>
    </row>
    <row r="12" spans="1:13" ht="15" thickBot="1" x14ac:dyDescent="0.35">
      <c r="B12" s="261" t="s">
        <v>431</v>
      </c>
      <c r="C12" s="262"/>
      <c r="D12" s="262"/>
      <c r="E12" s="262"/>
      <c r="F12" s="263"/>
      <c r="I12" s="261" t="s">
        <v>431</v>
      </c>
      <c r="J12" s="262"/>
      <c r="K12" s="262"/>
      <c r="L12" s="262"/>
      <c r="M12" s="263"/>
    </row>
    <row r="13" spans="1:13" x14ac:dyDescent="0.3">
      <c r="B13" s="177" t="s">
        <v>427</v>
      </c>
      <c r="C13" s="178">
        <f>AVERAGE(2.61, 1.56, 1.49)</f>
        <v>1.8866666666666667</v>
      </c>
      <c r="D13" s="193" t="s">
        <v>454</v>
      </c>
      <c r="E13" s="178"/>
      <c r="F13" s="179"/>
      <c r="I13" s="177" t="s">
        <v>427</v>
      </c>
      <c r="J13" s="178">
        <f>AVERAGE(2.75, 2.61, 1.56)</f>
        <v>2.3066666666666666</v>
      </c>
      <c r="K13" s="193" t="s">
        <v>455</v>
      </c>
      <c r="L13" s="178"/>
      <c r="M13" s="179"/>
    </row>
    <row r="14" spans="1:13" x14ac:dyDescent="0.3">
      <c r="B14" s="186"/>
      <c r="C14" s="187"/>
      <c r="D14" s="187"/>
      <c r="E14" s="187"/>
      <c r="F14" s="188"/>
      <c r="I14" s="186"/>
      <c r="J14" s="187"/>
      <c r="K14" s="187"/>
      <c r="L14" s="187"/>
      <c r="M14" s="188"/>
    </row>
    <row r="15" spans="1:13" ht="129.6" x14ac:dyDescent="0.3">
      <c r="B15" s="186" t="s">
        <v>428</v>
      </c>
      <c r="C15" s="187">
        <f>'CITI_PE10 YEARS'!S2</f>
        <v>12.667027027027023</v>
      </c>
      <c r="D15" s="192" t="s">
        <v>433</v>
      </c>
      <c r="E15" s="187"/>
      <c r="F15" s="188"/>
      <c r="I15" s="186" t="s">
        <v>428</v>
      </c>
      <c r="J15" s="187">
        <f>'CITI_PE10 YEARS'!U2</f>
        <v>12.449756097560973</v>
      </c>
      <c r="K15" s="192" t="s">
        <v>433</v>
      </c>
      <c r="L15" s="187"/>
      <c r="M15" s="188"/>
    </row>
    <row r="16" spans="1:13" x14ac:dyDescent="0.3">
      <c r="B16" s="186"/>
      <c r="C16" s="187"/>
      <c r="D16" s="187"/>
      <c r="E16" s="187"/>
      <c r="F16" s="188"/>
      <c r="I16" s="186"/>
      <c r="J16" s="187"/>
      <c r="K16" s="187"/>
      <c r="L16" s="187"/>
      <c r="M16" s="188"/>
    </row>
    <row r="17" spans="1:13" x14ac:dyDescent="0.3">
      <c r="B17" s="190" t="s">
        <v>434</v>
      </c>
      <c r="C17" s="191">
        <f xml:space="preserve"> C13 *C15</f>
        <v>23.898457657657652</v>
      </c>
      <c r="D17" s="187"/>
      <c r="E17" s="187"/>
      <c r="F17" s="188"/>
      <c r="I17" s="190" t="s">
        <v>435</v>
      </c>
      <c r="J17" s="191">
        <f xml:space="preserve"> J13 *J15</f>
        <v>28.717437398373978</v>
      </c>
      <c r="K17" s="187"/>
      <c r="L17" s="187"/>
      <c r="M17" s="188"/>
    </row>
    <row r="18" spans="1:13" ht="15" thickBot="1" x14ac:dyDescent="0.35">
      <c r="B18" s="180"/>
      <c r="C18" s="181"/>
      <c r="D18" s="181"/>
      <c r="E18" s="181"/>
      <c r="F18" s="182"/>
      <c r="I18" s="180"/>
      <c r="J18" s="181"/>
      <c r="K18" s="181"/>
      <c r="L18" s="181"/>
      <c r="M18" s="182"/>
    </row>
    <row r="20" spans="1:13" ht="15" thickBot="1" x14ac:dyDescent="0.35"/>
    <row r="21" spans="1:13" s="259" customFormat="1" ht="18.600000000000001" thickBot="1" x14ac:dyDescent="0.35">
      <c r="A21" s="264" t="s">
        <v>436</v>
      </c>
    </row>
    <row r="22" spans="1:13" x14ac:dyDescent="0.3">
      <c r="B22" s="255" t="s">
        <v>442</v>
      </c>
      <c r="C22" s="256"/>
      <c r="D22" s="256"/>
      <c r="E22" s="256"/>
      <c r="F22" s="257"/>
      <c r="G22" s="32"/>
      <c r="H22" s="32"/>
      <c r="I22" s="255" t="s">
        <v>441</v>
      </c>
      <c r="J22" s="256"/>
      <c r="K22" s="256"/>
      <c r="L22" s="256"/>
      <c r="M22" s="257"/>
    </row>
    <row r="23" spans="1:13" ht="51" customHeight="1" x14ac:dyDescent="0.3">
      <c r="B23" s="186" t="s">
        <v>437</v>
      </c>
      <c r="C23" s="187">
        <v>6.68</v>
      </c>
      <c r="D23" s="187"/>
      <c r="E23" s="192" t="s">
        <v>438</v>
      </c>
      <c r="F23" s="188"/>
      <c r="G23" s="32"/>
      <c r="H23" s="32"/>
      <c r="I23" s="186" t="s">
        <v>443</v>
      </c>
      <c r="J23" s="187">
        <v>8.0399999999999991</v>
      </c>
      <c r="K23" s="187"/>
      <c r="L23" s="191" t="s">
        <v>444</v>
      </c>
      <c r="M23" s="188"/>
    </row>
    <row r="24" spans="1:13" x14ac:dyDescent="0.3">
      <c r="B24" s="186"/>
      <c r="C24" s="187"/>
      <c r="D24" s="187"/>
      <c r="E24" s="187"/>
      <c r="F24" s="188"/>
      <c r="G24" s="32"/>
      <c r="H24" s="32"/>
      <c r="I24" s="186"/>
      <c r="J24" s="187"/>
      <c r="K24" s="187"/>
      <c r="L24" s="187"/>
      <c r="M24" s="188"/>
    </row>
    <row r="25" spans="1:13" x14ac:dyDescent="0.3">
      <c r="B25" s="186" t="s">
        <v>425</v>
      </c>
      <c r="C25" s="189">
        <f>task1_wacc_final!F70</f>
        <v>0.73141041995616585</v>
      </c>
      <c r="D25" s="187"/>
      <c r="E25" s="187" t="s">
        <v>429</v>
      </c>
      <c r="F25" s="188"/>
      <c r="G25" s="32"/>
      <c r="H25" s="32"/>
      <c r="I25" s="186" t="s">
        <v>425</v>
      </c>
      <c r="J25" s="189">
        <f>task1_wacc_final!G70</f>
        <v>0.41626596362458784</v>
      </c>
      <c r="K25" s="187"/>
      <c r="L25" s="187" t="s">
        <v>429</v>
      </c>
      <c r="M25" s="188"/>
    </row>
    <row r="26" spans="1:13" x14ac:dyDescent="0.3">
      <c r="B26" s="186"/>
      <c r="C26" s="187"/>
      <c r="D26" s="187"/>
      <c r="E26" s="187"/>
      <c r="F26" s="188"/>
      <c r="G26" s="32"/>
      <c r="H26" s="32"/>
      <c r="I26" s="186"/>
      <c r="J26" s="187"/>
      <c r="K26" s="187"/>
      <c r="L26" s="187"/>
      <c r="M26" s="188"/>
    </row>
    <row r="27" spans="1:13" x14ac:dyDescent="0.3">
      <c r="B27" s="190" t="s">
        <v>439</v>
      </c>
      <c r="C27" s="191">
        <f xml:space="preserve"> C23 * (1/C25)</f>
        <v>9.1330391497571757</v>
      </c>
      <c r="D27" s="187"/>
      <c r="E27" s="187"/>
      <c r="F27" s="188"/>
      <c r="G27" s="32"/>
      <c r="H27" s="32"/>
      <c r="I27" s="190" t="s">
        <v>440</v>
      </c>
      <c r="J27" s="191">
        <f xml:space="preserve"> J23 * (1/J25)</f>
        <v>19.314574581098647</v>
      </c>
      <c r="K27" s="187"/>
      <c r="L27" s="187"/>
      <c r="M27" s="188"/>
    </row>
    <row r="28" spans="1:13" x14ac:dyDescent="0.3">
      <c r="B28" s="186"/>
      <c r="C28" s="187"/>
      <c r="D28" s="187"/>
      <c r="E28" s="187"/>
      <c r="F28" s="188"/>
      <c r="G28" s="32"/>
      <c r="H28" s="32"/>
      <c r="I28" s="186"/>
      <c r="J28" s="187"/>
      <c r="K28" s="187"/>
      <c r="L28" s="187"/>
      <c r="M28" s="188"/>
    </row>
    <row r="29" spans="1:13" ht="15" thickBot="1" x14ac:dyDescent="0.35">
      <c r="B29" s="180"/>
      <c r="C29" s="181"/>
      <c r="D29" s="181"/>
      <c r="E29" s="181"/>
      <c r="F29" s="182"/>
      <c r="G29" s="32"/>
      <c r="H29" s="32"/>
      <c r="I29" s="180"/>
      <c r="J29" s="181"/>
      <c r="K29" s="181"/>
      <c r="L29" s="181"/>
      <c r="M29" s="182"/>
    </row>
    <row r="30" spans="1:13" ht="15" thickBot="1" x14ac:dyDescent="0.35">
      <c r="B30" s="32"/>
      <c r="C30" s="32"/>
      <c r="D30" s="32"/>
      <c r="E30" s="32"/>
      <c r="F30" s="32"/>
      <c r="G30" s="32"/>
      <c r="H30" s="32"/>
      <c r="I30" s="32"/>
      <c r="J30" s="32"/>
      <c r="K30" s="32"/>
      <c r="L30" s="32"/>
      <c r="M30" s="32"/>
    </row>
    <row r="31" spans="1:13" ht="15" thickBot="1" x14ac:dyDescent="0.35">
      <c r="B31" s="261" t="s">
        <v>431</v>
      </c>
      <c r="C31" s="262"/>
      <c r="D31" s="262"/>
      <c r="E31" s="262"/>
      <c r="F31" s="263"/>
      <c r="G31" s="32"/>
      <c r="H31" s="32"/>
      <c r="I31" s="261" t="s">
        <v>449</v>
      </c>
      <c r="J31" s="262"/>
      <c r="K31" s="262"/>
      <c r="L31" s="262"/>
      <c r="M31" s="263"/>
    </row>
    <row r="32" spans="1:13" x14ac:dyDescent="0.3">
      <c r="B32" s="177" t="s">
        <v>427</v>
      </c>
      <c r="C32" s="178">
        <f xml:space="preserve"> AVERAGE(6.68, -2.98, 4.72)</f>
        <v>2.8066666666666666</v>
      </c>
      <c r="D32" s="193" t="s">
        <v>438</v>
      </c>
      <c r="E32" s="178"/>
      <c r="F32" s="179"/>
      <c r="G32" s="32"/>
      <c r="H32" s="32"/>
      <c r="I32" s="177" t="s">
        <v>427</v>
      </c>
      <c r="J32" s="178">
        <f xml:space="preserve"> AVERAGE(8.04, 6.68, -2.98)</f>
        <v>3.9133333333333327</v>
      </c>
      <c r="K32" s="193" t="s">
        <v>448</v>
      </c>
      <c r="L32" s="178"/>
      <c r="M32" s="179"/>
    </row>
    <row r="33" spans="2:13" x14ac:dyDescent="0.3">
      <c r="B33" s="186"/>
      <c r="C33" s="187"/>
      <c r="D33" s="187"/>
      <c r="E33" s="187"/>
      <c r="F33" s="188"/>
      <c r="G33" s="32"/>
      <c r="H33" s="32"/>
      <c r="I33" s="186"/>
      <c r="J33" s="187"/>
      <c r="K33" s="187"/>
      <c r="L33" s="187"/>
      <c r="M33" s="188"/>
    </row>
    <row r="34" spans="2:13" ht="100.8" x14ac:dyDescent="0.3">
      <c r="B34" s="186" t="s">
        <v>428</v>
      </c>
      <c r="C34" s="187">
        <f xml:space="preserve"> 'CITI_PE10 YEARS'!E1</f>
        <v>9.957027027027026</v>
      </c>
      <c r="D34" s="192" t="s">
        <v>433</v>
      </c>
      <c r="E34" s="192" t="s">
        <v>445</v>
      </c>
      <c r="F34" s="188"/>
      <c r="G34" s="32"/>
      <c r="H34" s="32"/>
      <c r="I34" s="186" t="s">
        <v>428</v>
      </c>
      <c r="J34" s="187">
        <f>'CITI_PE10 YEARS'!H2</f>
        <v>10.06925</v>
      </c>
      <c r="K34" s="192" t="s">
        <v>433</v>
      </c>
      <c r="L34" s="187"/>
      <c r="M34" s="188"/>
    </row>
    <row r="35" spans="2:13" x14ac:dyDescent="0.3">
      <c r="B35" s="186"/>
      <c r="C35" s="187"/>
      <c r="D35" s="187"/>
      <c r="E35" s="187"/>
      <c r="F35" s="188"/>
      <c r="G35" s="32"/>
      <c r="H35" s="32"/>
      <c r="I35" s="186"/>
      <c r="J35" s="187"/>
      <c r="K35" s="187"/>
      <c r="L35" s="187"/>
      <c r="M35" s="188"/>
    </row>
    <row r="36" spans="2:13" x14ac:dyDescent="0.3">
      <c r="B36" s="190" t="s">
        <v>446</v>
      </c>
      <c r="C36" s="191">
        <f xml:space="preserve"> C32 *C34</f>
        <v>27.946055855855853</v>
      </c>
      <c r="D36" s="187"/>
      <c r="E36" s="187"/>
      <c r="F36" s="188"/>
      <c r="G36" s="32"/>
      <c r="H36" s="32"/>
      <c r="I36" s="190" t="s">
        <v>447</v>
      </c>
      <c r="J36" s="191">
        <f xml:space="preserve"> J32 *J34</f>
        <v>39.404331666666664</v>
      </c>
      <c r="K36" s="187"/>
      <c r="L36" s="187"/>
      <c r="M36" s="188"/>
    </row>
    <row r="37" spans="2:13" ht="15" thickBot="1" x14ac:dyDescent="0.35">
      <c r="B37" s="180"/>
      <c r="C37" s="181"/>
      <c r="D37" s="181"/>
      <c r="E37" s="181"/>
      <c r="F37" s="182"/>
      <c r="G37" s="32"/>
      <c r="H37" s="32"/>
      <c r="I37" s="180"/>
      <c r="J37" s="181"/>
      <c r="K37" s="181"/>
      <c r="L37" s="181"/>
      <c r="M37" s="182"/>
    </row>
  </sheetData>
  <mergeCells count="11">
    <mergeCell ref="A21:XFD21"/>
    <mergeCell ref="B22:F22"/>
    <mergeCell ref="I22:M22"/>
    <mergeCell ref="B31:F31"/>
    <mergeCell ref="I31:M31"/>
    <mergeCell ref="A1:XFD1"/>
    <mergeCell ref="B3:F3"/>
    <mergeCell ref="A2:L2"/>
    <mergeCell ref="B12:F12"/>
    <mergeCell ref="I3:M3"/>
    <mergeCell ref="I12:M12"/>
  </mergeCells>
  <hyperlinks>
    <hyperlink ref="D15" r:id="rId1" xr:uid="{9F737EFF-8283-468A-8747-388DA7E0058E}"/>
    <hyperlink ref="K15" r:id="rId2" xr:uid="{25F293CF-2911-4EA4-92EC-3F241F2B1AC8}"/>
    <hyperlink ref="D34" r:id="rId3" xr:uid="{44052BF4-9CE5-4A0E-8F16-C367058EB41E}"/>
    <hyperlink ref="K34" r:id="rId4" xr:uid="{889D77C7-F681-41F1-85AF-6353953822C1}"/>
    <hyperlink ref="E23" r:id="rId5" xr:uid="{4392A5EC-DF9F-44FF-BBEB-7B9811EDC628}"/>
    <hyperlink ref="D32" r:id="rId6" xr:uid="{21CD008A-99B7-4B45-8BF0-3CBCC686DC00}"/>
    <hyperlink ref="E34" r:id="rId7" xr:uid="{CF6CCD6A-19E2-4954-BD27-9C1D1F36B088}"/>
    <hyperlink ref="K32" r:id="rId8" xr:uid="{B9270FD1-4280-4292-8F7C-425ADE646499}"/>
    <hyperlink ref="D13" r:id="rId9" xr:uid="{E3C61F85-89FF-4FAA-A4F3-FE5C0C247450}"/>
    <hyperlink ref="K13" r:id="rId10" xr:uid="{D7030225-25F1-4329-92D4-0ABF4AA9939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3E4F0-74F4-4CF5-84BD-49C43E4ECC16}">
  <sheetPr codeName="Sheet16"/>
  <dimension ref="A1:U51"/>
  <sheetViews>
    <sheetView topLeftCell="F1" workbookViewId="0">
      <selection activeCell="J12" sqref="J12"/>
    </sheetView>
  </sheetViews>
  <sheetFormatPr defaultRowHeight="14.4" x14ac:dyDescent="0.3"/>
  <cols>
    <col min="6" max="6" width="28.109375" customWidth="1"/>
    <col min="20" max="20" width="15.6640625" customWidth="1"/>
  </cols>
  <sheetData>
    <row r="1" spans="1:21" ht="15" thickBot="1" x14ac:dyDescent="0.35">
      <c r="A1" s="194">
        <v>44687</v>
      </c>
      <c r="B1" s="195">
        <v>51.62</v>
      </c>
      <c r="C1" s="195"/>
      <c r="D1" s="195">
        <v>6.09</v>
      </c>
      <c r="E1" s="19">
        <f xml:space="preserve"> AVERAGE(D15:D51)</f>
        <v>9.957027027027026</v>
      </c>
      <c r="F1" t="s">
        <v>450</v>
      </c>
      <c r="H1" t="s">
        <v>451</v>
      </c>
      <c r="N1" s="194">
        <v>44687</v>
      </c>
      <c r="O1" s="195">
        <v>37.450000000000003</v>
      </c>
      <c r="P1" s="195"/>
      <c r="Q1" s="195">
        <v>10.7</v>
      </c>
      <c r="S1" t="s">
        <v>452</v>
      </c>
      <c r="U1" t="s">
        <v>453</v>
      </c>
    </row>
    <row r="2" spans="1:21" ht="15" thickBot="1" x14ac:dyDescent="0.35">
      <c r="A2" s="194">
        <v>44651</v>
      </c>
      <c r="B2" s="195">
        <v>52.84</v>
      </c>
      <c r="C2" s="196">
        <v>8.48</v>
      </c>
      <c r="D2" s="195">
        <v>6.23</v>
      </c>
      <c r="E2" t="s">
        <v>291</v>
      </c>
      <c r="H2" s="19">
        <f xml:space="preserve"> AVERAGE(D11:D50)</f>
        <v>10.06925</v>
      </c>
      <c r="M2" t="s">
        <v>323</v>
      </c>
      <c r="N2" s="194">
        <v>44651</v>
      </c>
      <c r="O2" s="195">
        <v>41.22</v>
      </c>
      <c r="P2" s="196">
        <v>3.5</v>
      </c>
      <c r="Q2" s="195">
        <v>11.78</v>
      </c>
      <c r="S2">
        <f xml:space="preserve"> AVERAGE(Q15:Q51)</f>
        <v>12.667027027027023</v>
      </c>
      <c r="U2">
        <f xml:space="preserve"> AVERAGE(Q11:Q51)</f>
        <v>12.449756097560973</v>
      </c>
    </row>
    <row r="3" spans="1:21" ht="15" thickBot="1" x14ac:dyDescent="0.35">
      <c r="A3" s="194">
        <v>44561</v>
      </c>
      <c r="B3" s="195">
        <v>59.3</v>
      </c>
      <c r="C3" s="196">
        <v>10.08</v>
      </c>
      <c r="D3" s="195">
        <v>5.88</v>
      </c>
      <c r="N3" s="194">
        <v>44561</v>
      </c>
      <c r="O3" s="195">
        <v>44.27</v>
      </c>
      <c r="P3" s="196">
        <v>3.56</v>
      </c>
      <c r="Q3" s="195">
        <v>12.44</v>
      </c>
    </row>
    <row r="4" spans="1:21" ht="15" thickBot="1" x14ac:dyDescent="0.35">
      <c r="A4" s="194">
        <v>44469</v>
      </c>
      <c r="B4" s="195">
        <v>68.41</v>
      </c>
      <c r="C4" s="196">
        <v>10.7</v>
      </c>
      <c r="D4" s="195">
        <v>6.39</v>
      </c>
      <c r="N4" s="194">
        <v>44469</v>
      </c>
      <c r="O4" s="195">
        <v>42.04</v>
      </c>
      <c r="P4" s="196">
        <v>3.33</v>
      </c>
      <c r="Q4" s="195">
        <v>12.63</v>
      </c>
    </row>
    <row r="5" spans="1:21" ht="15" thickBot="1" x14ac:dyDescent="0.35">
      <c r="A5" s="194">
        <v>44377</v>
      </c>
      <c r="B5" s="195">
        <v>68.45</v>
      </c>
      <c r="C5" s="196">
        <v>9.9499999999999993</v>
      </c>
      <c r="D5" s="195">
        <v>6.88</v>
      </c>
      <c r="N5" s="194">
        <v>44377</v>
      </c>
      <c r="O5" s="195">
        <v>40.630000000000003</v>
      </c>
      <c r="P5" s="196">
        <v>2.99</v>
      </c>
      <c r="Q5" s="195">
        <v>13.59</v>
      </c>
    </row>
    <row r="6" spans="1:21" ht="15" thickBot="1" x14ac:dyDescent="0.35">
      <c r="A6" s="194">
        <v>44286</v>
      </c>
      <c r="B6" s="195">
        <v>69.88</v>
      </c>
      <c r="C6" s="196">
        <v>7.6</v>
      </c>
      <c r="D6" s="195">
        <v>9.1999999999999993</v>
      </c>
      <c r="N6" s="194">
        <v>44286</v>
      </c>
      <c r="O6" s="195">
        <v>37.97</v>
      </c>
      <c r="P6" s="196">
        <v>2.33</v>
      </c>
      <c r="Q6" s="195">
        <v>16.29</v>
      </c>
    </row>
    <row r="7" spans="1:21" ht="15" thickBot="1" x14ac:dyDescent="0.35">
      <c r="A7" s="194">
        <v>44196</v>
      </c>
      <c r="B7" s="195">
        <v>58.71</v>
      </c>
      <c r="C7" s="196">
        <v>5.03</v>
      </c>
      <c r="D7" s="195">
        <v>11.67</v>
      </c>
      <c r="F7" t="s">
        <v>445</v>
      </c>
      <c r="N7" s="194">
        <v>44196</v>
      </c>
      <c r="O7" s="195">
        <v>29.6</v>
      </c>
      <c r="P7" s="196">
        <v>1.87</v>
      </c>
      <c r="Q7" s="195">
        <v>15.83</v>
      </c>
    </row>
    <row r="8" spans="1:21" ht="15" thickBot="1" x14ac:dyDescent="0.35">
      <c r="A8" s="194">
        <v>44104</v>
      </c>
      <c r="B8" s="195">
        <v>40.549999999999997</v>
      </c>
      <c r="C8" s="196">
        <v>5.0999999999999996</v>
      </c>
      <c r="D8" s="195">
        <v>7.95</v>
      </c>
      <c r="N8" s="194">
        <v>44104</v>
      </c>
      <c r="O8" s="195">
        <v>23.38</v>
      </c>
      <c r="P8" s="196">
        <v>2.02</v>
      </c>
      <c r="Q8" s="195">
        <v>11.57</v>
      </c>
    </row>
    <row r="9" spans="1:21" ht="15" thickBot="1" x14ac:dyDescent="0.35">
      <c r="A9" s="194">
        <v>44012</v>
      </c>
      <c r="B9" s="195">
        <v>47.58</v>
      </c>
      <c r="C9" s="196">
        <v>5.77</v>
      </c>
      <c r="D9" s="195">
        <v>8.25</v>
      </c>
      <c r="N9" s="194">
        <v>44012</v>
      </c>
      <c r="O9" s="195">
        <v>22.89</v>
      </c>
      <c r="P9" s="196">
        <v>2.0699999999999998</v>
      </c>
      <c r="Q9" s="195">
        <v>11.06</v>
      </c>
    </row>
    <row r="10" spans="1:21" ht="15" thickBot="1" x14ac:dyDescent="0.35">
      <c r="A10" s="194">
        <v>43921</v>
      </c>
      <c r="B10" s="195">
        <v>38.79</v>
      </c>
      <c r="C10" s="196">
        <v>7.22</v>
      </c>
      <c r="D10" s="195">
        <v>5.37</v>
      </c>
      <c r="N10" s="194">
        <v>43921</v>
      </c>
      <c r="O10" s="195">
        <v>20.32</v>
      </c>
      <c r="P10" s="196">
        <v>2.44</v>
      </c>
      <c r="Q10" s="195">
        <v>8.33</v>
      </c>
    </row>
    <row r="11" spans="1:21" ht="15" thickBot="1" x14ac:dyDescent="0.35">
      <c r="A11" s="194">
        <v>43830</v>
      </c>
      <c r="B11" s="195">
        <v>73.06</v>
      </c>
      <c r="C11" s="196">
        <v>8.0399999999999991</v>
      </c>
      <c r="D11" s="195">
        <v>9.09</v>
      </c>
      <c r="N11" s="194">
        <v>43830</v>
      </c>
      <c r="O11" s="195">
        <v>33.49</v>
      </c>
      <c r="P11" s="196">
        <v>2.74</v>
      </c>
      <c r="Q11" s="195">
        <v>12.22</v>
      </c>
    </row>
    <row r="12" spans="1:21" ht="15" thickBot="1" x14ac:dyDescent="0.35">
      <c r="A12" s="194">
        <v>43738</v>
      </c>
      <c r="B12" s="195">
        <v>62.74</v>
      </c>
      <c r="C12" s="196">
        <v>7.53</v>
      </c>
      <c r="D12" s="195">
        <v>8.33</v>
      </c>
      <c r="N12" s="194">
        <v>43738</v>
      </c>
      <c r="O12" s="195">
        <v>27.59</v>
      </c>
      <c r="P12" s="196">
        <v>2.7</v>
      </c>
      <c r="Q12" s="195">
        <v>10.220000000000001</v>
      </c>
    </row>
    <row r="13" spans="1:21" ht="15" thickBot="1" x14ac:dyDescent="0.35">
      <c r="A13" s="194">
        <v>43646</v>
      </c>
      <c r="B13" s="195">
        <v>63.13</v>
      </c>
      <c r="C13" s="196">
        <v>7.19</v>
      </c>
      <c r="D13" s="195">
        <v>8.7799999999999994</v>
      </c>
      <c r="N13" s="194">
        <v>43646</v>
      </c>
      <c r="O13" s="195">
        <v>27.25</v>
      </c>
      <c r="P13" s="196">
        <v>2.8</v>
      </c>
      <c r="Q13" s="195">
        <v>9.73</v>
      </c>
    </row>
    <row r="14" spans="1:21" ht="15" thickBot="1" x14ac:dyDescent="0.35">
      <c r="A14" s="194">
        <v>43555</v>
      </c>
      <c r="B14" s="195">
        <v>56.09</v>
      </c>
      <c r="C14" s="196">
        <v>6.87</v>
      </c>
      <c r="D14" s="195">
        <v>8.16</v>
      </c>
      <c r="N14" s="194">
        <v>43555</v>
      </c>
      <c r="O14" s="195">
        <v>25.79</v>
      </c>
      <c r="P14" s="196">
        <v>2.69</v>
      </c>
      <c r="Q14" s="195">
        <v>9.59</v>
      </c>
    </row>
    <row r="15" spans="1:21" ht="15" thickBot="1" x14ac:dyDescent="0.35">
      <c r="A15" s="194">
        <v>43465</v>
      </c>
      <c r="B15" s="195">
        <v>46.6</v>
      </c>
      <c r="C15" s="196">
        <v>6.68</v>
      </c>
      <c r="D15" s="195">
        <v>6.98</v>
      </c>
      <c r="N15" s="194">
        <v>43465</v>
      </c>
      <c r="O15" s="195">
        <v>22.91</v>
      </c>
      <c r="P15" s="196">
        <v>2.61</v>
      </c>
      <c r="Q15" s="195">
        <v>8.7799999999999994</v>
      </c>
    </row>
    <row r="16" spans="1:21" ht="15" thickBot="1" x14ac:dyDescent="0.35">
      <c r="A16" s="194">
        <v>43373</v>
      </c>
      <c r="B16" s="195">
        <v>63.78</v>
      </c>
      <c r="C16" s="196">
        <v>-2.11</v>
      </c>
      <c r="D16" s="195">
        <v>0</v>
      </c>
      <c r="N16" s="194">
        <v>43373</v>
      </c>
      <c r="O16" s="195">
        <v>27.24</v>
      </c>
      <c r="P16" s="196">
        <v>2.11</v>
      </c>
      <c r="Q16" s="195">
        <v>12.91</v>
      </c>
    </row>
    <row r="17" spans="1:17" ht="15" thickBot="1" x14ac:dyDescent="0.35">
      <c r="A17" s="194">
        <v>43281</v>
      </c>
      <c r="B17" s="195">
        <v>59.13</v>
      </c>
      <c r="C17" s="196">
        <v>-2.42</v>
      </c>
      <c r="D17" s="195">
        <v>0</v>
      </c>
      <c r="N17" s="194">
        <v>43281</v>
      </c>
      <c r="O17" s="195">
        <v>25.94</v>
      </c>
      <c r="P17" s="196">
        <v>1.93</v>
      </c>
      <c r="Q17" s="195">
        <v>13.44</v>
      </c>
    </row>
    <row r="18" spans="1:17" ht="15" thickBot="1" x14ac:dyDescent="0.35">
      <c r="A18" s="194">
        <v>43190</v>
      </c>
      <c r="B18" s="195">
        <v>59.36</v>
      </c>
      <c r="C18" s="196">
        <v>-2.77</v>
      </c>
      <c r="D18" s="195">
        <v>0</v>
      </c>
      <c r="N18" s="194">
        <v>43190</v>
      </c>
      <c r="O18" s="195">
        <v>27.48</v>
      </c>
      <c r="P18" s="196">
        <v>1.76</v>
      </c>
      <c r="Q18" s="195">
        <v>15.61</v>
      </c>
    </row>
    <row r="19" spans="1:17" ht="15" thickBot="1" x14ac:dyDescent="0.35">
      <c r="A19" s="194">
        <v>43100</v>
      </c>
      <c r="B19" s="195">
        <v>65.17</v>
      </c>
      <c r="C19" s="196">
        <v>-3.1</v>
      </c>
      <c r="D19" s="195">
        <v>0</v>
      </c>
      <c r="N19" s="194">
        <v>43100</v>
      </c>
      <c r="O19" s="195">
        <v>26.95</v>
      </c>
      <c r="P19" s="196">
        <v>1.55</v>
      </c>
      <c r="Q19" s="195">
        <v>17.39</v>
      </c>
    </row>
    <row r="20" spans="1:17" ht="15" thickBot="1" x14ac:dyDescent="0.35">
      <c r="A20" s="194">
        <v>43008</v>
      </c>
      <c r="B20" s="195">
        <v>63.43</v>
      </c>
      <c r="C20" s="196">
        <v>5.19</v>
      </c>
      <c r="D20" s="195">
        <v>12.22</v>
      </c>
      <c r="N20" s="194">
        <v>43008</v>
      </c>
      <c r="O20" s="195">
        <v>23.03</v>
      </c>
      <c r="P20" s="196">
        <v>1.75</v>
      </c>
      <c r="Q20" s="195">
        <v>13.16</v>
      </c>
    </row>
    <row r="21" spans="1:17" ht="15" thickBot="1" x14ac:dyDescent="0.35">
      <c r="A21" s="194">
        <v>42916</v>
      </c>
      <c r="B21" s="195">
        <v>58.05</v>
      </c>
      <c r="C21" s="196">
        <v>5.01</v>
      </c>
      <c r="D21" s="195">
        <v>11.59</v>
      </c>
      <c r="N21" s="194">
        <v>42916</v>
      </c>
      <c r="O21" s="195">
        <v>21.94</v>
      </c>
      <c r="P21" s="196">
        <v>1.68</v>
      </c>
      <c r="Q21" s="195">
        <v>13.06</v>
      </c>
    </row>
    <row r="22" spans="1:17" ht="15" thickBot="1" x14ac:dyDescent="0.35">
      <c r="A22" s="194">
        <v>42825</v>
      </c>
      <c r="B22" s="195">
        <v>51.78</v>
      </c>
      <c r="C22" s="196">
        <v>4.97</v>
      </c>
      <c r="D22" s="195">
        <v>10.42</v>
      </c>
      <c r="N22" s="194">
        <v>42825</v>
      </c>
      <c r="O22" s="195">
        <v>21.26</v>
      </c>
      <c r="P22" s="196">
        <v>1.58</v>
      </c>
      <c r="Q22" s="195">
        <v>13.46</v>
      </c>
    </row>
    <row r="23" spans="1:17" ht="15" thickBot="1" x14ac:dyDescent="0.35">
      <c r="A23" s="194">
        <v>42735</v>
      </c>
      <c r="B23" s="195">
        <v>51.3</v>
      </c>
      <c r="C23" s="196">
        <v>4.72</v>
      </c>
      <c r="D23" s="195">
        <v>10.87</v>
      </c>
      <c r="N23" s="194">
        <v>42735</v>
      </c>
      <c r="O23" s="195">
        <v>19.86</v>
      </c>
      <c r="P23" s="196">
        <v>1.38</v>
      </c>
      <c r="Q23" s="195">
        <v>14.39</v>
      </c>
    </row>
    <row r="24" spans="1:17" ht="15" thickBot="1" x14ac:dyDescent="0.35">
      <c r="A24" s="194">
        <v>42643</v>
      </c>
      <c r="B24" s="195">
        <v>40.630000000000003</v>
      </c>
      <c r="C24" s="196">
        <v>4.5999999999999996</v>
      </c>
      <c r="D24" s="195">
        <v>8.83</v>
      </c>
      <c r="N24" s="194">
        <v>42643</v>
      </c>
      <c r="O24" s="195">
        <v>14.02</v>
      </c>
      <c r="P24" s="196">
        <v>1.26</v>
      </c>
      <c r="Q24" s="195">
        <v>11.12</v>
      </c>
    </row>
    <row r="25" spans="1:17" ht="15" thickBot="1" x14ac:dyDescent="0.35">
      <c r="A25" s="194">
        <v>42551</v>
      </c>
      <c r="B25" s="195">
        <v>36.340000000000003</v>
      </c>
      <c r="C25" s="196">
        <v>4.71</v>
      </c>
      <c r="D25" s="195">
        <v>7.71</v>
      </c>
      <c r="N25" s="194">
        <v>42551</v>
      </c>
      <c r="O25" s="195">
        <v>11.83</v>
      </c>
      <c r="P25" s="196">
        <v>1.22</v>
      </c>
      <c r="Q25" s="195">
        <v>9.6999999999999993</v>
      </c>
    </row>
    <row r="26" spans="1:17" ht="15" thickBot="1" x14ac:dyDescent="0.35">
      <c r="A26" s="194">
        <v>42460</v>
      </c>
      <c r="B26" s="195">
        <v>35.75</v>
      </c>
      <c r="C26" s="196">
        <v>4.9800000000000004</v>
      </c>
      <c r="D26" s="195">
        <v>7.18</v>
      </c>
      <c r="N26" s="194">
        <v>42460</v>
      </c>
      <c r="O26" s="195">
        <v>12.01</v>
      </c>
      <c r="P26" s="196">
        <v>1.31</v>
      </c>
      <c r="Q26" s="195">
        <v>9.17</v>
      </c>
    </row>
    <row r="27" spans="1:17" ht="15" thickBot="1" x14ac:dyDescent="0.35">
      <c r="A27" s="194">
        <v>42369</v>
      </c>
      <c r="B27" s="195">
        <v>44.26</v>
      </c>
      <c r="C27" s="196">
        <v>5.39</v>
      </c>
      <c r="D27" s="195">
        <v>8.2100000000000009</v>
      </c>
      <c r="N27" s="194">
        <v>42369</v>
      </c>
      <c r="O27" s="195">
        <v>14.9</v>
      </c>
      <c r="P27" s="196">
        <v>1.37</v>
      </c>
      <c r="Q27" s="195">
        <v>10.87</v>
      </c>
    </row>
    <row r="28" spans="1:17" ht="15" thickBot="1" x14ac:dyDescent="0.35">
      <c r="A28" s="194">
        <v>42277</v>
      </c>
      <c r="B28" s="195">
        <v>42.39</v>
      </c>
      <c r="C28" s="196">
        <v>4.43</v>
      </c>
      <c r="D28" s="195">
        <v>9.57</v>
      </c>
      <c r="N28" s="194">
        <v>42277</v>
      </c>
      <c r="O28" s="195">
        <v>13.75</v>
      </c>
      <c r="P28" s="196">
        <v>1.34</v>
      </c>
      <c r="Q28" s="195">
        <v>10.26</v>
      </c>
    </row>
    <row r="29" spans="1:17" ht="15" thickBot="1" x14ac:dyDescent="0.35">
      <c r="A29" s="194">
        <v>42185</v>
      </c>
      <c r="B29" s="195">
        <v>47.16</v>
      </c>
      <c r="C29" s="196">
        <v>4.1500000000000004</v>
      </c>
      <c r="D29" s="195">
        <v>11.36</v>
      </c>
      <c r="N29" s="194">
        <v>42185</v>
      </c>
      <c r="O29" s="195">
        <v>14.98</v>
      </c>
      <c r="P29" s="196">
        <v>0.96</v>
      </c>
      <c r="Q29" s="195">
        <v>15.6</v>
      </c>
    </row>
    <row r="30" spans="1:17" ht="15" thickBot="1" x14ac:dyDescent="0.35">
      <c r="A30" s="194">
        <v>42094</v>
      </c>
      <c r="B30" s="195">
        <v>43.94</v>
      </c>
      <c r="C30" s="196">
        <v>2.7</v>
      </c>
      <c r="D30" s="195">
        <v>16.27</v>
      </c>
      <c r="N30" s="194">
        <v>42094</v>
      </c>
      <c r="O30" s="195">
        <v>13.5</v>
      </c>
      <c r="P30" s="196">
        <v>0.7</v>
      </c>
      <c r="Q30" s="195">
        <v>19.29</v>
      </c>
    </row>
    <row r="31" spans="1:17" ht="15" thickBot="1" x14ac:dyDescent="0.35">
      <c r="A31" s="194">
        <v>42004</v>
      </c>
      <c r="B31" s="195">
        <v>46.14</v>
      </c>
      <c r="C31" s="196">
        <v>2.42</v>
      </c>
      <c r="D31" s="195">
        <v>19.07</v>
      </c>
      <c r="N31" s="194">
        <v>42004</v>
      </c>
      <c r="O31" s="195">
        <v>15.65</v>
      </c>
      <c r="P31" s="196">
        <v>0.38</v>
      </c>
      <c r="Q31" s="195">
        <v>41.17</v>
      </c>
    </row>
    <row r="32" spans="1:17" ht="15" thickBot="1" x14ac:dyDescent="0.35">
      <c r="A32" s="194">
        <v>41912</v>
      </c>
      <c r="B32" s="195">
        <v>44.18</v>
      </c>
      <c r="C32" s="196">
        <v>3.21</v>
      </c>
      <c r="D32" s="195">
        <v>13.76</v>
      </c>
      <c r="N32" s="194">
        <v>41912</v>
      </c>
      <c r="O32" s="195">
        <v>14.87</v>
      </c>
      <c r="P32" s="196">
        <v>0.42</v>
      </c>
      <c r="Q32" s="195">
        <v>35.4</v>
      </c>
    </row>
    <row r="33" spans="1:17" ht="15" thickBot="1" x14ac:dyDescent="0.35">
      <c r="A33" s="194">
        <v>41820</v>
      </c>
      <c r="B33" s="195">
        <v>40.15</v>
      </c>
      <c r="C33" s="196">
        <v>3.14</v>
      </c>
      <c r="D33" s="195">
        <v>12.79</v>
      </c>
      <c r="N33" s="194">
        <v>41820</v>
      </c>
      <c r="O33" s="195">
        <v>13.36</v>
      </c>
      <c r="P33" s="196">
        <v>0.63</v>
      </c>
      <c r="Q33" s="195">
        <v>21.21</v>
      </c>
    </row>
    <row r="34" spans="1:17" ht="15" thickBot="1" x14ac:dyDescent="0.35">
      <c r="A34" s="194">
        <v>41729</v>
      </c>
      <c r="B34" s="195">
        <v>40.57</v>
      </c>
      <c r="C34" s="196">
        <v>4.42</v>
      </c>
      <c r="D34" s="195">
        <v>9.18</v>
      </c>
      <c r="N34" s="194">
        <v>41729</v>
      </c>
      <c r="O34" s="195">
        <v>14.94</v>
      </c>
      <c r="P34" s="196">
        <v>0.76</v>
      </c>
      <c r="Q34" s="195">
        <v>19.66</v>
      </c>
    </row>
    <row r="35" spans="1:17" ht="15" thickBot="1" x14ac:dyDescent="0.35">
      <c r="A35" s="194">
        <v>41639</v>
      </c>
      <c r="B35" s="195">
        <v>44.4</v>
      </c>
      <c r="C35" s="196">
        <v>4.42</v>
      </c>
      <c r="D35" s="195">
        <v>10.050000000000001</v>
      </c>
      <c r="N35" s="194">
        <v>41639</v>
      </c>
      <c r="O35" s="195">
        <v>13.52</v>
      </c>
      <c r="P35" s="196">
        <v>1.01</v>
      </c>
      <c r="Q35" s="195">
        <v>13.38</v>
      </c>
    </row>
    <row r="36" spans="1:17" ht="15" thickBot="1" x14ac:dyDescent="0.35">
      <c r="A36" s="194">
        <v>41547</v>
      </c>
      <c r="B36" s="195">
        <v>41.32</v>
      </c>
      <c r="C36" s="196">
        <v>3.95</v>
      </c>
      <c r="D36" s="195">
        <v>10.46</v>
      </c>
      <c r="N36" s="194">
        <v>41547</v>
      </c>
      <c r="O36" s="195">
        <v>11.97</v>
      </c>
      <c r="P36" s="196">
        <v>0.75</v>
      </c>
      <c r="Q36" s="195">
        <v>15.97</v>
      </c>
    </row>
    <row r="37" spans="1:17" ht="15" thickBot="1" x14ac:dyDescent="0.35">
      <c r="A37" s="194">
        <v>41455</v>
      </c>
      <c r="B37" s="195">
        <v>40.86</v>
      </c>
      <c r="C37" s="196">
        <v>3.1</v>
      </c>
      <c r="D37" s="195">
        <v>13.18</v>
      </c>
      <c r="N37" s="194">
        <v>41455</v>
      </c>
      <c r="O37" s="195">
        <v>11.15</v>
      </c>
      <c r="P37" s="196">
        <v>0.55000000000000004</v>
      </c>
      <c r="Q37" s="195">
        <v>20.27</v>
      </c>
    </row>
    <row r="38" spans="1:17" ht="15" thickBot="1" x14ac:dyDescent="0.35">
      <c r="A38" s="194">
        <v>41364</v>
      </c>
      <c r="B38" s="195">
        <v>37.67</v>
      </c>
      <c r="C38" s="196">
        <v>2.71</v>
      </c>
      <c r="D38" s="195">
        <v>13.9</v>
      </c>
      <c r="N38" s="194">
        <v>41364</v>
      </c>
      <c r="O38" s="195">
        <v>10.55</v>
      </c>
      <c r="P38" s="196">
        <v>0.42</v>
      </c>
      <c r="Q38" s="195">
        <v>25.13</v>
      </c>
    </row>
    <row r="39" spans="1:17" ht="15" thickBot="1" x14ac:dyDescent="0.35">
      <c r="A39" s="194">
        <v>41274</v>
      </c>
      <c r="B39" s="195">
        <v>33.68</v>
      </c>
      <c r="C39" s="196">
        <v>2.4300000000000002</v>
      </c>
      <c r="D39" s="195">
        <v>13.86</v>
      </c>
      <c r="N39" s="194">
        <v>41274</v>
      </c>
      <c r="O39" s="195">
        <v>10.050000000000001</v>
      </c>
      <c r="P39" s="196">
        <v>0.25</v>
      </c>
      <c r="Q39" s="195">
        <v>40.200000000000003</v>
      </c>
    </row>
    <row r="40" spans="1:17" ht="15" thickBot="1" x14ac:dyDescent="0.35">
      <c r="A40" s="194">
        <v>41182</v>
      </c>
      <c r="B40" s="195">
        <v>27.85</v>
      </c>
      <c r="C40" s="196">
        <v>2.4300000000000002</v>
      </c>
      <c r="D40" s="195">
        <v>11.46</v>
      </c>
      <c r="N40" s="194">
        <v>41182</v>
      </c>
      <c r="O40" s="195">
        <v>7.64</v>
      </c>
      <c r="P40" s="196">
        <v>0.37</v>
      </c>
      <c r="Q40" s="195">
        <v>20.64</v>
      </c>
    </row>
    <row r="41" spans="1:17" ht="15" thickBot="1" x14ac:dyDescent="0.35">
      <c r="A41" s="194">
        <v>41090</v>
      </c>
      <c r="B41" s="195">
        <v>23.32</v>
      </c>
      <c r="C41" s="196">
        <v>3.51</v>
      </c>
      <c r="D41" s="195">
        <v>6.64</v>
      </c>
      <c r="N41" s="194">
        <v>41090</v>
      </c>
      <c r="O41" s="195">
        <v>7.07</v>
      </c>
      <c r="P41" s="196">
        <v>0.95</v>
      </c>
      <c r="Q41" s="195">
        <v>7.44</v>
      </c>
    </row>
    <row r="42" spans="1:17" ht="15" thickBot="1" x14ac:dyDescent="0.35">
      <c r="A42" s="194">
        <v>40999</v>
      </c>
      <c r="B42" s="195">
        <v>31.09</v>
      </c>
      <c r="C42" s="196">
        <v>3.65</v>
      </c>
      <c r="D42" s="195">
        <v>8.52</v>
      </c>
      <c r="N42" s="194">
        <v>40999</v>
      </c>
      <c r="O42" s="195">
        <v>8.25</v>
      </c>
      <c r="P42" s="196">
        <v>-0.14000000000000001</v>
      </c>
      <c r="Q42" s="195">
        <v>0</v>
      </c>
    </row>
    <row r="43" spans="1:17" ht="15" thickBot="1" x14ac:dyDescent="0.35">
      <c r="A43" s="194">
        <v>40908</v>
      </c>
      <c r="B43" s="195">
        <v>22.37</v>
      </c>
      <c r="C43" s="196">
        <v>3.7</v>
      </c>
      <c r="D43" s="195">
        <v>6.05</v>
      </c>
      <c r="N43" s="194">
        <v>40908</v>
      </c>
      <c r="O43" s="195">
        <v>4.79</v>
      </c>
      <c r="P43" s="196">
        <v>0</v>
      </c>
      <c r="Q43" s="195">
        <v>0</v>
      </c>
    </row>
    <row r="44" spans="1:17" ht="15" thickBot="1" x14ac:dyDescent="0.35">
      <c r="A44" s="194">
        <v>40816</v>
      </c>
      <c r="B44" s="195">
        <v>21.77</v>
      </c>
      <c r="C44" s="196">
        <v>3.72</v>
      </c>
      <c r="D44" s="195">
        <v>5.85</v>
      </c>
      <c r="N44" s="194">
        <v>40816</v>
      </c>
      <c r="O44" s="195">
        <v>5.26</v>
      </c>
      <c r="P44" s="196">
        <v>-0.31</v>
      </c>
      <c r="Q44" s="195">
        <v>0</v>
      </c>
    </row>
    <row r="45" spans="1:17" ht="15" thickBot="1" x14ac:dyDescent="0.35">
      <c r="A45" s="194">
        <v>40724</v>
      </c>
      <c r="B45" s="195">
        <v>35.380000000000003</v>
      </c>
      <c r="C45" s="196">
        <v>3.19</v>
      </c>
      <c r="D45" s="195">
        <v>11.09</v>
      </c>
      <c r="N45" s="194">
        <v>40724</v>
      </c>
      <c r="O45" s="195">
        <v>9.41</v>
      </c>
      <c r="P45" s="196">
        <v>-1.66</v>
      </c>
      <c r="Q45" s="195">
        <v>0</v>
      </c>
    </row>
    <row r="46" spans="1:17" ht="15" thickBot="1" x14ac:dyDescent="0.35">
      <c r="A46" s="194">
        <v>40633</v>
      </c>
      <c r="B46" s="195">
        <v>37.549999999999997</v>
      </c>
      <c r="C46" s="196">
        <v>3</v>
      </c>
      <c r="D46" s="195">
        <v>12.52</v>
      </c>
      <c r="N46" s="194">
        <v>40633</v>
      </c>
      <c r="O46" s="195">
        <v>11.44</v>
      </c>
      <c r="P46" s="196">
        <v>-0.49</v>
      </c>
      <c r="Q46" s="195">
        <v>0</v>
      </c>
    </row>
    <row r="47" spans="1:17" ht="15" thickBot="1" x14ac:dyDescent="0.35">
      <c r="A47" s="194">
        <v>40543</v>
      </c>
      <c r="B47" s="195">
        <v>40.18</v>
      </c>
      <c r="C47" s="196">
        <v>3.5</v>
      </c>
      <c r="D47" s="195">
        <v>11.48</v>
      </c>
      <c r="N47" s="194">
        <v>40543</v>
      </c>
      <c r="O47" s="195">
        <v>11.44</v>
      </c>
      <c r="P47" s="196">
        <v>-0.38</v>
      </c>
      <c r="Q47" s="195">
        <v>0</v>
      </c>
    </row>
    <row r="48" spans="1:17" ht="15" thickBot="1" x14ac:dyDescent="0.35">
      <c r="A48" s="194">
        <v>40451</v>
      </c>
      <c r="B48" s="195">
        <v>33.22</v>
      </c>
      <c r="C48" s="196">
        <v>0</v>
      </c>
      <c r="D48" s="195">
        <v>0</v>
      </c>
      <c r="N48" s="194">
        <v>40451</v>
      </c>
      <c r="O48" s="195">
        <v>11.23</v>
      </c>
      <c r="P48" s="196">
        <v>-0.82</v>
      </c>
      <c r="Q48" s="195">
        <v>0</v>
      </c>
    </row>
    <row r="49" spans="1:17" ht="15" thickBot="1" x14ac:dyDescent="0.35">
      <c r="A49" s="194">
        <v>40359</v>
      </c>
      <c r="B49" s="195">
        <v>31.94</v>
      </c>
      <c r="C49" s="196">
        <v>-3.4</v>
      </c>
      <c r="D49" s="195">
        <v>0</v>
      </c>
      <c r="N49" s="194">
        <v>40359</v>
      </c>
      <c r="O49" s="195">
        <v>12.3</v>
      </c>
      <c r="P49" s="196">
        <v>-0.31</v>
      </c>
      <c r="Q49" s="195">
        <v>0</v>
      </c>
    </row>
    <row r="50" spans="1:17" ht="15" thickBot="1" x14ac:dyDescent="0.35">
      <c r="A50" s="194">
        <v>40268</v>
      </c>
      <c r="B50" s="195">
        <v>34.409999999999997</v>
      </c>
      <c r="C50" s="196">
        <v>0.6</v>
      </c>
      <c r="D50" s="195">
        <v>57.34</v>
      </c>
      <c r="N50" s="194">
        <v>40268</v>
      </c>
      <c r="O50" s="195">
        <v>15.27</v>
      </c>
      <c r="P50" s="196">
        <v>-0.25</v>
      </c>
      <c r="Q50" s="195">
        <v>0</v>
      </c>
    </row>
    <row r="51" spans="1:17" x14ac:dyDescent="0.3">
      <c r="A51" s="194">
        <v>40178</v>
      </c>
      <c r="B51" s="195">
        <v>28.12</v>
      </c>
      <c r="C51" s="196">
        <v>-2.7</v>
      </c>
      <c r="D51" s="195">
        <v>0</v>
      </c>
      <c r="N51" s="194">
        <v>40178</v>
      </c>
      <c r="O51" s="195">
        <v>12.88</v>
      </c>
      <c r="P51" s="196">
        <v>-0.09</v>
      </c>
      <c r="Q51" s="19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5ADF82-1036-4199-8D79-4E11A5EE336F}">
  <sheetPr codeName="Sheet3"/>
  <dimension ref="A1:I65"/>
  <sheetViews>
    <sheetView topLeftCell="B22" workbookViewId="0">
      <selection activeCell="F1" sqref="F1:I30"/>
    </sheetView>
  </sheetViews>
  <sheetFormatPr defaultRowHeight="14.4" x14ac:dyDescent="0.3"/>
  <cols>
    <col min="1" max="1" width="80" style="32" customWidth="1"/>
    <col min="2" max="2" width="16" style="32" customWidth="1"/>
    <col min="3" max="4" width="14" style="32" customWidth="1"/>
    <col min="5" max="5" width="8.88671875" style="32"/>
    <col min="6" max="6" width="25.21875" style="32" customWidth="1"/>
    <col min="7" max="7" width="16.6640625" style="32" customWidth="1"/>
    <col min="8" max="8" width="16.88671875" style="32" customWidth="1"/>
    <col min="9" max="9" width="20.21875" style="32" customWidth="1"/>
    <col min="10" max="16384" width="8.88671875" style="32"/>
  </cols>
  <sheetData>
    <row r="1" spans="1:9" x14ac:dyDescent="0.3">
      <c r="A1" s="249" t="s">
        <v>94</v>
      </c>
      <c r="B1" s="266" t="s">
        <v>64</v>
      </c>
      <c r="C1" s="250"/>
      <c r="D1" s="250"/>
      <c r="F1" s="251" t="s">
        <v>403</v>
      </c>
      <c r="G1" s="266" t="s">
        <v>64</v>
      </c>
      <c r="H1" s="250"/>
      <c r="I1" s="250"/>
    </row>
    <row r="2" spans="1:9" x14ac:dyDescent="0.3">
      <c r="A2" s="250"/>
      <c r="B2" s="23" t="s">
        <v>1</v>
      </c>
      <c r="C2" s="23" t="s">
        <v>2</v>
      </c>
      <c r="D2" s="23" t="s">
        <v>3</v>
      </c>
      <c r="F2" s="265"/>
      <c r="G2" s="23" t="s">
        <v>1</v>
      </c>
      <c r="H2" s="23" t="s">
        <v>2</v>
      </c>
      <c r="I2" s="23" t="s">
        <v>3</v>
      </c>
    </row>
    <row r="3" spans="1:9" x14ac:dyDescent="0.3">
      <c r="A3" s="3" t="s">
        <v>95</v>
      </c>
      <c r="F3" s="3" t="s">
        <v>95</v>
      </c>
    </row>
    <row r="4" spans="1:9" x14ac:dyDescent="0.3">
      <c r="A4" s="26" t="s">
        <v>86</v>
      </c>
      <c r="B4" s="121">
        <v>17894</v>
      </c>
      <c r="C4" s="121">
        <v>27430</v>
      </c>
      <c r="D4" s="121">
        <v>28147</v>
      </c>
      <c r="F4" s="26" t="s">
        <v>86</v>
      </c>
      <c r="G4" s="121">
        <v>17894</v>
      </c>
      <c r="H4" s="121">
        <v>27430</v>
      </c>
      <c r="I4" s="121">
        <v>28147</v>
      </c>
    </row>
    <row r="5" spans="1:9" ht="57.6" x14ac:dyDescent="0.3">
      <c r="A5" s="3" t="s">
        <v>96</v>
      </c>
      <c r="F5" s="3" t="s">
        <v>96</v>
      </c>
    </row>
    <row r="6" spans="1:9" x14ac:dyDescent="0.3">
      <c r="A6" s="33" t="s">
        <v>74</v>
      </c>
      <c r="B6" s="34">
        <v>11320</v>
      </c>
      <c r="C6" s="34">
        <v>3590</v>
      </c>
      <c r="D6" s="34">
        <v>3282</v>
      </c>
      <c r="F6" s="33" t="s">
        <v>74</v>
      </c>
      <c r="G6" s="34">
        <v>11320</v>
      </c>
      <c r="H6" s="34">
        <v>3590</v>
      </c>
      <c r="I6" s="34">
        <v>3282</v>
      </c>
    </row>
    <row r="7" spans="1:9" ht="28.8" x14ac:dyDescent="0.3">
      <c r="A7" s="33" t="s">
        <v>97</v>
      </c>
      <c r="B7" s="34">
        <v>-411</v>
      </c>
      <c r="C7" s="34">
        <v>-217</v>
      </c>
      <c r="D7" s="34">
        <v>-154</v>
      </c>
      <c r="F7" s="33" t="s">
        <v>97</v>
      </c>
      <c r="G7" s="34">
        <v>-411</v>
      </c>
      <c r="H7" s="34">
        <v>-217</v>
      </c>
      <c r="I7" s="34">
        <v>-154</v>
      </c>
    </row>
    <row r="8" spans="1:9" ht="28.8" x14ac:dyDescent="0.3">
      <c r="A8" s="33" t="s">
        <v>98</v>
      </c>
      <c r="B8" s="34">
        <v>1843</v>
      </c>
      <c r="C8" s="34">
        <v>1729</v>
      </c>
      <c r="D8" s="34">
        <v>2063</v>
      </c>
      <c r="F8" s="33" t="s">
        <v>98</v>
      </c>
      <c r="G8" s="34">
        <v>1843</v>
      </c>
      <c r="H8" s="34">
        <v>1729</v>
      </c>
      <c r="I8" s="34">
        <v>2063</v>
      </c>
    </row>
    <row r="9" spans="1:9" ht="43.2" x14ac:dyDescent="0.3">
      <c r="A9" s="33" t="s">
        <v>99</v>
      </c>
      <c r="B9" s="34">
        <v>4101</v>
      </c>
      <c r="C9" s="34">
        <v>2066</v>
      </c>
      <c r="D9" s="34">
        <v>1824</v>
      </c>
      <c r="F9" s="33" t="s">
        <v>99</v>
      </c>
      <c r="G9" s="34">
        <v>4101</v>
      </c>
      <c r="H9" s="34">
        <v>2066</v>
      </c>
      <c r="I9" s="34">
        <v>1824</v>
      </c>
    </row>
    <row r="10" spans="1:9" x14ac:dyDescent="0.3">
      <c r="A10" s="33" t="s">
        <v>100</v>
      </c>
      <c r="B10" s="34">
        <v>-1737</v>
      </c>
      <c r="C10" s="34">
        <v>2435</v>
      </c>
      <c r="D10" s="34">
        <v>3041</v>
      </c>
      <c r="F10" s="33" t="s">
        <v>100</v>
      </c>
      <c r="G10" s="34">
        <v>-1737</v>
      </c>
      <c r="H10" s="34">
        <v>2435</v>
      </c>
      <c r="I10" s="34">
        <v>3041</v>
      </c>
    </row>
    <row r="11" spans="1:9" x14ac:dyDescent="0.3">
      <c r="A11" s="33" t="s">
        <v>101</v>
      </c>
      <c r="B11" s="34">
        <v>2031</v>
      </c>
      <c r="C11" s="34">
        <v>1974</v>
      </c>
      <c r="D11" s="34">
        <v>1729</v>
      </c>
      <c r="F11" s="33" t="s">
        <v>101</v>
      </c>
      <c r="G11" s="34">
        <v>2031</v>
      </c>
      <c r="H11" s="34">
        <v>1974</v>
      </c>
      <c r="I11" s="34">
        <v>1729</v>
      </c>
    </row>
    <row r="12" spans="1:9" ht="13.8" customHeight="1" x14ac:dyDescent="0.3">
      <c r="A12" s="33" t="s">
        <v>102</v>
      </c>
      <c r="B12" s="34">
        <v>0</v>
      </c>
      <c r="C12" s="34">
        <v>2072</v>
      </c>
      <c r="D12" s="34">
        <v>0</v>
      </c>
      <c r="F12" s="33" t="s">
        <v>102</v>
      </c>
      <c r="G12" s="34">
        <v>0</v>
      </c>
      <c r="H12" s="34">
        <v>2072</v>
      </c>
      <c r="I12" s="34">
        <v>0</v>
      </c>
    </row>
    <row r="13" spans="1:9" x14ac:dyDescent="0.3">
      <c r="A13" s="3" t="s">
        <v>103</v>
      </c>
      <c r="F13" s="3" t="s">
        <v>103</v>
      </c>
    </row>
    <row r="14" spans="1:9" x14ac:dyDescent="0.3">
      <c r="A14" s="33" t="s">
        <v>104</v>
      </c>
      <c r="B14" s="34">
        <v>-19657</v>
      </c>
      <c r="C14" s="34">
        <v>-28874</v>
      </c>
      <c r="D14" s="34">
        <v>-28071</v>
      </c>
      <c r="F14" s="33" t="s">
        <v>104</v>
      </c>
      <c r="G14" s="34">
        <v>-19657</v>
      </c>
      <c r="H14" s="34">
        <v>-28874</v>
      </c>
      <c r="I14" s="34">
        <v>-28071</v>
      </c>
    </row>
    <row r="15" spans="1:9" ht="72" x14ac:dyDescent="0.3">
      <c r="A15" s="33" t="s">
        <v>105</v>
      </c>
      <c r="B15" s="34">
        <v>19049</v>
      </c>
      <c r="C15" s="34">
        <v>30191</v>
      </c>
      <c r="D15" s="34">
        <v>28972</v>
      </c>
      <c r="F15" s="33" t="s">
        <v>105</v>
      </c>
      <c r="G15" s="34">
        <v>19049</v>
      </c>
      <c r="H15" s="34">
        <v>30191</v>
      </c>
      <c r="I15" s="34">
        <v>28972</v>
      </c>
    </row>
    <row r="16" spans="1:9" x14ac:dyDescent="0.3">
      <c r="A16" s="3" t="s">
        <v>106</v>
      </c>
      <c r="F16" s="3" t="s">
        <v>106</v>
      </c>
    </row>
    <row r="17" spans="1:9" ht="28.8" x14ac:dyDescent="0.3">
      <c r="A17" s="33" t="s">
        <v>107</v>
      </c>
      <c r="B17" s="34">
        <v>16942</v>
      </c>
      <c r="C17" s="34">
        <v>7920</v>
      </c>
      <c r="D17" s="34">
        <v>-23673</v>
      </c>
      <c r="F17" s="33" t="s">
        <v>107</v>
      </c>
      <c r="G17" s="34">
        <v>16942</v>
      </c>
      <c r="H17" s="34">
        <v>7920</v>
      </c>
      <c r="I17" s="34">
        <v>-23673</v>
      </c>
    </row>
    <row r="18" spans="1:9" x14ac:dyDescent="0.3">
      <c r="A18" s="33" t="s">
        <v>108</v>
      </c>
      <c r="B18" s="34">
        <v>-12883</v>
      </c>
      <c r="C18" s="34">
        <v>-11113</v>
      </c>
      <c r="D18" s="34">
        <v>11920</v>
      </c>
      <c r="F18" s="33" t="s">
        <v>108</v>
      </c>
      <c r="G18" s="34">
        <v>-12883</v>
      </c>
      <c r="H18" s="34">
        <v>-11113</v>
      </c>
      <c r="I18" s="34">
        <v>11920</v>
      </c>
    </row>
    <row r="19" spans="1:9" ht="28.8" x14ac:dyDescent="0.3">
      <c r="A19" s="33" t="s">
        <v>109</v>
      </c>
      <c r="B19" s="34">
        <v>-4385</v>
      </c>
      <c r="C19" s="34">
        <v>16363</v>
      </c>
      <c r="D19" s="34">
        <v>13010</v>
      </c>
      <c r="F19" s="33" t="s">
        <v>109</v>
      </c>
      <c r="G19" s="34">
        <v>-4385</v>
      </c>
      <c r="H19" s="34">
        <v>16363</v>
      </c>
      <c r="I19" s="34">
        <v>13010</v>
      </c>
    </row>
    <row r="20" spans="1:9" ht="28.8" x14ac:dyDescent="0.3">
      <c r="A20" s="33" t="s">
        <v>110</v>
      </c>
      <c r="B20" s="34">
        <v>3886</v>
      </c>
      <c r="C20" s="34">
        <v>6211</v>
      </c>
      <c r="D20" s="34">
        <v>-2570</v>
      </c>
      <c r="E20" s="12">
        <f>SUM(B4:B20)</f>
        <v>37993</v>
      </c>
      <c r="F20" s="33" t="s">
        <v>110</v>
      </c>
      <c r="G20" s="34">
        <v>3886</v>
      </c>
      <c r="H20" s="34">
        <v>6211</v>
      </c>
      <c r="I20" s="34">
        <v>-2570</v>
      </c>
    </row>
    <row r="21" spans="1:9" ht="28.8" x14ac:dyDescent="0.3">
      <c r="A21" s="113" t="s">
        <v>381</v>
      </c>
      <c r="B21" s="27">
        <v>37993</v>
      </c>
      <c r="C21" s="27">
        <v>61777</v>
      </c>
      <c r="D21" s="27">
        <v>39520</v>
      </c>
      <c r="E21" s="12"/>
      <c r="F21" s="26" t="s">
        <v>381</v>
      </c>
      <c r="G21" s="122">
        <v>37993</v>
      </c>
      <c r="H21" s="122">
        <v>61777</v>
      </c>
      <c r="I21" s="122">
        <v>39520</v>
      </c>
    </row>
    <row r="22" spans="1:9" x14ac:dyDescent="0.3">
      <c r="A22" s="3" t="s">
        <v>111</v>
      </c>
    </row>
    <row r="23" spans="1:9" x14ac:dyDescent="0.3">
      <c r="A23" s="33" t="s">
        <v>10</v>
      </c>
      <c r="B23" s="34">
        <v>561</v>
      </c>
      <c r="C23" s="34">
        <v>387</v>
      </c>
      <c r="D23" s="34">
        <v>3659</v>
      </c>
      <c r="F23" s="3" t="s">
        <v>111</v>
      </c>
      <c r="G23" s="25">
        <v>0</v>
      </c>
      <c r="H23" s="25">
        <v>0</v>
      </c>
      <c r="I23" s="25">
        <v>0</v>
      </c>
    </row>
    <row r="24" spans="1:9" x14ac:dyDescent="0.3">
      <c r="A24" s="126" t="s">
        <v>112</v>
      </c>
      <c r="B24" s="34">
        <v>-29461</v>
      </c>
      <c r="C24" s="34">
        <v>-13466</v>
      </c>
      <c r="D24" s="34">
        <v>-48384</v>
      </c>
      <c r="F24" s="19"/>
      <c r="G24" s="19"/>
      <c r="H24" s="19"/>
      <c r="I24" s="19"/>
    </row>
    <row r="25" spans="1:9" x14ac:dyDescent="0.3">
      <c r="A25" s="3" t="s">
        <v>113</v>
      </c>
      <c r="F25" s="19" t="s">
        <v>123</v>
      </c>
      <c r="G25" s="19">
        <v>0</v>
      </c>
      <c r="H25" s="19">
        <v>0</v>
      </c>
      <c r="I25" s="19">
        <v>0</v>
      </c>
    </row>
    <row r="26" spans="1:9" x14ac:dyDescent="0.3">
      <c r="A26" s="33" t="s">
        <v>114</v>
      </c>
      <c r="B26" s="34">
        <v>77524</v>
      </c>
      <c r="C26" s="34">
        <v>52006</v>
      </c>
      <c r="D26" s="34">
        <v>5117</v>
      </c>
    </row>
    <row r="27" spans="1:9" x14ac:dyDescent="0.3">
      <c r="A27" s="33" t="s">
        <v>115</v>
      </c>
      <c r="B27" s="34">
        <v>91084</v>
      </c>
      <c r="C27" s="34">
        <v>79114</v>
      </c>
      <c r="D27" s="34">
        <v>78513</v>
      </c>
    </row>
    <row r="28" spans="1:9" x14ac:dyDescent="0.3">
      <c r="A28" s="126" t="s">
        <v>116</v>
      </c>
      <c r="B28" s="127">
        <v>-194877</v>
      </c>
      <c r="C28" s="127">
        <v>-152782</v>
      </c>
      <c r="D28" s="127">
        <v>-76640</v>
      </c>
      <c r="F28" s="19" t="s">
        <v>383</v>
      </c>
      <c r="G28" s="12">
        <f xml:space="preserve"> G21 + G23 +G25</f>
        <v>37993</v>
      </c>
      <c r="H28" s="12">
        <f t="shared" ref="H28:I28" si="0" xml:space="preserve"> H21 + H23 +H25</f>
        <v>61777</v>
      </c>
      <c r="I28" s="12">
        <f t="shared" si="0"/>
        <v>39520</v>
      </c>
    </row>
    <row r="29" spans="1:9" x14ac:dyDescent="0.3">
      <c r="A29" s="3" t="s">
        <v>117</v>
      </c>
      <c r="F29" s="19" t="s">
        <v>402</v>
      </c>
      <c r="G29" s="32">
        <f xml:space="preserve"> (1 - B60) *B57</f>
        <v>7456.1202616894361</v>
      </c>
      <c r="H29" s="32">
        <f t="shared" ref="H29:I29" si="1" xml:space="preserve"> (1 - C60) *C57</f>
        <v>19152.420019503603</v>
      </c>
      <c r="I29" s="32">
        <f t="shared" si="1"/>
        <v>17547.172779828201</v>
      </c>
    </row>
    <row r="30" spans="1:9" x14ac:dyDescent="0.3">
      <c r="A30" s="33" t="s">
        <v>115</v>
      </c>
      <c r="B30" s="34">
        <v>93835</v>
      </c>
      <c r="C30" s="34">
        <v>34770</v>
      </c>
      <c r="D30" s="34">
        <v>18789</v>
      </c>
      <c r="F30" s="24" t="s">
        <v>385</v>
      </c>
      <c r="G30" s="123">
        <f xml:space="preserve"> SUM(G28,G29)</f>
        <v>45449.120261689437</v>
      </c>
      <c r="H30" s="123">
        <f t="shared" ref="H30:I30" si="2" xml:space="preserve"> SUM(H28,H29)</f>
        <v>80929.420019503596</v>
      </c>
      <c r="I30" s="123">
        <f t="shared" si="2"/>
        <v>57067.172779828201</v>
      </c>
    </row>
    <row r="31" spans="1:9" x14ac:dyDescent="0.3">
      <c r="A31" s="126" t="s">
        <v>116</v>
      </c>
      <c r="B31" s="127">
        <v>-257535</v>
      </c>
      <c r="C31" s="127">
        <v>-37115</v>
      </c>
      <c r="D31" s="127">
        <v>-35980</v>
      </c>
    </row>
    <row r="32" spans="1:9" x14ac:dyDescent="0.3">
      <c r="A32" s="3" t="s">
        <v>118</v>
      </c>
      <c r="G32" s="12"/>
      <c r="H32" s="12"/>
      <c r="I32" s="12"/>
    </row>
    <row r="33" spans="1:9" ht="28.8" x14ac:dyDescent="0.3">
      <c r="A33" s="33" t="s">
        <v>119</v>
      </c>
      <c r="B33" s="34">
        <v>13351</v>
      </c>
      <c r="C33" s="34">
        <v>12201</v>
      </c>
      <c r="D33" s="34">
        <v>21365</v>
      </c>
      <c r="H33" s="116"/>
      <c r="I33" s="116"/>
    </row>
    <row r="34" spans="1:9" x14ac:dyDescent="0.3">
      <c r="A34" s="128" t="s">
        <v>116</v>
      </c>
      <c r="B34" s="34">
        <v>-5229</v>
      </c>
      <c r="C34" s="34">
        <v>-5963</v>
      </c>
      <c r="D34" s="34">
        <v>-4629</v>
      </c>
      <c r="G34" s="12"/>
      <c r="H34" s="12"/>
      <c r="I34" s="12"/>
    </row>
    <row r="35" spans="1:9" x14ac:dyDescent="0.3">
      <c r="A35" s="33" t="s">
        <v>120</v>
      </c>
      <c r="B35" s="34">
        <v>36571</v>
      </c>
      <c r="C35" s="34">
        <v>-46808</v>
      </c>
      <c r="D35" s="34">
        <v>-31292</v>
      </c>
    </row>
    <row r="36" spans="1:9" x14ac:dyDescent="0.3">
      <c r="A36" s="33" t="s">
        <v>121</v>
      </c>
      <c r="B36" s="34">
        <v>-3489</v>
      </c>
      <c r="C36" s="34">
        <v>-2974</v>
      </c>
      <c r="D36" s="34">
        <v>-1986</v>
      </c>
    </row>
    <row r="37" spans="1:9" x14ac:dyDescent="0.3">
      <c r="A37" s="26" t="s">
        <v>122</v>
      </c>
      <c r="B37" s="122">
        <v>-177665</v>
      </c>
      <c r="C37" s="122">
        <v>-80630</v>
      </c>
      <c r="D37" s="122">
        <v>-71468</v>
      </c>
    </row>
    <row r="38" spans="1:9" x14ac:dyDescent="0.3">
      <c r="A38" s="3" t="s">
        <v>123</v>
      </c>
    </row>
    <row r="39" spans="1:9" x14ac:dyDescent="0.3">
      <c r="A39" s="33" t="s">
        <v>124</v>
      </c>
      <c r="B39" s="34">
        <v>360677</v>
      </c>
      <c r="C39" s="34">
        <v>53327</v>
      </c>
      <c r="D39" s="34">
        <v>71931</v>
      </c>
    </row>
    <row r="40" spans="1:9" x14ac:dyDescent="0.3">
      <c r="A40" s="33" t="s">
        <v>125</v>
      </c>
      <c r="B40" s="34">
        <v>5214</v>
      </c>
      <c r="C40" s="34">
        <v>-21879</v>
      </c>
      <c r="D40" s="34">
        <v>10070</v>
      </c>
    </row>
    <row r="41" spans="1:9" x14ac:dyDescent="0.3">
      <c r="A41" s="33" t="s">
        <v>126</v>
      </c>
      <c r="B41" s="34">
        <v>-4893</v>
      </c>
      <c r="C41" s="34">
        <v>4004</v>
      </c>
      <c r="D41" s="34">
        <v>-12478</v>
      </c>
    </row>
    <row r="42" spans="1:9" x14ac:dyDescent="0.3">
      <c r="A42" s="3" t="s">
        <v>127</v>
      </c>
    </row>
    <row r="43" spans="1:9" x14ac:dyDescent="0.3">
      <c r="A43" s="33" t="s">
        <v>128</v>
      </c>
      <c r="B43" s="34">
        <v>57013</v>
      </c>
      <c r="C43" s="34">
        <v>52420</v>
      </c>
      <c r="D43" s="34">
        <v>64278</v>
      </c>
    </row>
    <row r="44" spans="1:9" x14ac:dyDescent="0.3">
      <c r="A44" s="33" t="s">
        <v>129</v>
      </c>
      <c r="B44" s="34">
        <v>-47948</v>
      </c>
      <c r="C44" s="34">
        <v>-50794</v>
      </c>
      <c r="D44" s="34">
        <v>-53046</v>
      </c>
    </row>
    <row r="45" spans="1:9" x14ac:dyDescent="0.3">
      <c r="A45" s="3" t="s">
        <v>130</v>
      </c>
    </row>
    <row r="46" spans="1:9" x14ac:dyDescent="0.3">
      <c r="A46" s="33" t="s">
        <v>128</v>
      </c>
      <c r="B46" s="34">
        <v>2181</v>
      </c>
      <c r="C46" s="34">
        <v>3643</v>
      </c>
      <c r="D46" s="34">
        <v>4515</v>
      </c>
    </row>
    <row r="47" spans="1:9" x14ac:dyDescent="0.3">
      <c r="A47" s="33" t="s">
        <v>131</v>
      </c>
      <c r="B47" s="34">
        <v>-1072</v>
      </c>
      <c r="C47" s="34">
        <v>-2568</v>
      </c>
      <c r="D47" s="34">
        <v>-4512</v>
      </c>
    </row>
    <row r="48" spans="1:9" x14ac:dyDescent="0.3">
      <c r="A48" s="33" t="s">
        <v>132</v>
      </c>
      <c r="B48" s="34">
        <v>-7025</v>
      </c>
      <c r="C48" s="34">
        <v>-28144</v>
      </c>
      <c r="D48" s="34">
        <v>-20094</v>
      </c>
    </row>
    <row r="49" spans="1:6" x14ac:dyDescent="0.3">
      <c r="A49" s="33" t="s">
        <v>133</v>
      </c>
      <c r="B49" s="34">
        <v>-7727</v>
      </c>
      <c r="C49" s="34">
        <v>-5934</v>
      </c>
      <c r="D49" s="34">
        <v>-6895</v>
      </c>
    </row>
    <row r="50" spans="1:6" x14ac:dyDescent="0.3">
      <c r="A50" s="33" t="s">
        <v>134</v>
      </c>
      <c r="B50" s="34">
        <v>-601</v>
      </c>
      <c r="C50" s="34">
        <v>-698</v>
      </c>
      <c r="D50" s="34">
        <v>-651</v>
      </c>
    </row>
    <row r="51" spans="1:6" x14ac:dyDescent="0.3">
      <c r="A51" s="26" t="s">
        <v>135</v>
      </c>
      <c r="B51" s="122">
        <v>355819</v>
      </c>
      <c r="C51" s="122">
        <v>3377</v>
      </c>
      <c r="D51" s="122">
        <v>53118</v>
      </c>
      <c r="E51" s="123">
        <f>SUM(B39:B50)</f>
        <v>355819</v>
      </c>
    </row>
    <row r="52" spans="1:6" x14ac:dyDescent="0.3">
      <c r="A52" s="33" t="s">
        <v>136</v>
      </c>
      <c r="B52" s="34">
        <v>2756</v>
      </c>
      <c r="C52" s="34">
        <v>-368</v>
      </c>
      <c r="D52" s="34">
        <v>-1200</v>
      </c>
      <c r="F52" s="19"/>
    </row>
    <row r="53" spans="1:6" x14ac:dyDescent="0.3">
      <c r="A53" s="113" t="s">
        <v>137</v>
      </c>
      <c r="B53" s="27">
        <v>218903</v>
      </c>
      <c r="C53" s="27">
        <v>-15844</v>
      </c>
      <c r="D53" s="27">
        <v>19970</v>
      </c>
      <c r="F53" s="19"/>
    </row>
    <row r="54" spans="1:6" x14ac:dyDescent="0.3">
      <c r="A54" s="33" t="s">
        <v>138</v>
      </c>
      <c r="B54" s="34">
        <v>161560</v>
      </c>
      <c r="C54" s="34">
        <v>177404</v>
      </c>
      <c r="D54" s="34">
        <v>157434</v>
      </c>
      <c r="F54" s="24"/>
    </row>
    <row r="55" spans="1:6" x14ac:dyDescent="0.3">
      <c r="A55" s="33" t="s">
        <v>139</v>
      </c>
      <c r="B55" s="34">
        <v>380463</v>
      </c>
      <c r="C55" s="34">
        <v>161560</v>
      </c>
      <c r="D55" s="34">
        <v>177404</v>
      </c>
    </row>
    <row r="56" spans="1:6" x14ac:dyDescent="0.3">
      <c r="A56" s="3" t="s">
        <v>140</v>
      </c>
    </row>
    <row r="57" spans="1:6" x14ac:dyDescent="0.3">
      <c r="A57" s="33" t="s">
        <v>141</v>
      </c>
      <c r="B57" s="34">
        <v>8662</v>
      </c>
      <c r="C57" s="34">
        <v>22196</v>
      </c>
      <c r="D57" s="34">
        <v>19087</v>
      </c>
    </row>
    <row r="58" spans="1:6" x14ac:dyDescent="0.3">
      <c r="A58" s="33" t="s">
        <v>142</v>
      </c>
      <c r="B58" s="35">
        <v>2894</v>
      </c>
      <c r="C58" s="35">
        <v>4359</v>
      </c>
      <c r="D58" s="35">
        <v>2470</v>
      </c>
    </row>
    <row r="60" spans="1:6" x14ac:dyDescent="0.3">
      <c r="A60" s="24" t="s">
        <v>382</v>
      </c>
      <c r="B60" s="124">
        <f>B58/(B58 +B4)</f>
        <v>0.1392149316913604</v>
      </c>
      <c r="C60" s="124">
        <f t="shared" ref="C60:D60" si="3">C58/(C58 +C4)</f>
        <v>0.137122904149234</v>
      </c>
      <c r="D60" s="124">
        <f t="shared" si="3"/>
        <v>8.0674135284319173E-2</v>
      </c>
    </row>
    <row r="63" spans="1:6" x14ac:dyDescent="0.3">
      <c r="A63" s="19" t="s">
        <v>383</v>
      </c>
      <c r="B63" s="12">
        <f>B32 +B48</f>
        <v>-7025</v>
      </c>
      <c r="C63" s="12">
        <f t="shared" ref="C63:D63" si="4">C32 +C48</f>
        <v>-28144</v>
      </c>
      <c r="D63" s="12">
        <f t="shared" si="4"/>
        <v>-20094</v>
      </c>
    </row>
    <row r="64" spans="1:6" x14ac:dyDescent="0.3">
      <c r="A64" s="19" t="s">
        <v>384</v>
      </c>
      <c r="B64" s="32" t="e">
        <f xml:space="preserve"> (1 -#REF!) *#REF!</f>
        <v>#REF!</v>
      </c>
      <c r="C64" s="32" t="e">
        <f xml:space="preserve"> (1 -#REF!)*#REF!</f>
        <v>#REF!</v>
      </c>
      <c r="D64" s="32" t="e">
        <f>(1 -#REF!) *#REF!</f>
        <v>#REF!</v>
      </c>
    </row>
    <row r="65" spans="1:4" x14ac:dyDescent="0.3">
      <c r="A65" s="24" t="s">
        <v>385</v>
      </c>
      <c r="B65" s="125" t="e">
        <f xml:space="preserve"> B63 + B64</f>
        <v>#REF!</v>
      </c>
      <c r="C65" s="125" t="e">
        <f t="shared" ref="C65" si="5" xml:space="preserve"> C63 + C64</f>
        <v>#REF!</v>
      </c>
      <c r="D65" s="125" t="e">
        <f t="shared" ref="D65" si="6" xml:space="preserve"> D63 + D64</f>
        <v>#REF!</v>
      </c>
    </row>
  </sheetData>
  <mergeCells count="4">
    <mergeCell ref="F1:F2"/>
    <mergeCell ref="G1:I1"/>
    <mergeCell ref="A1:A2"/>
    <mergeCell ref="B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B5A83-6757-44AC-B7B7-86902CAF70BE}">
  <sheetPr codeName="Sheet11"/>
  <dimension ref="A1:P20"/>
  <sheetViews>
    <sheetView workbookViewId="0">
      <selection activeCell="K15" sqref="K15"/>
    </sheetView>
  </sheetViews>
  <sheetFormatPr defaultRowHeight="14.4" x14ac:dyDescent="0.3"/>
  <cols>
    <col min="1" max="1" width="34.88671875" customWidth="1"/>
    <col min="2" max="2" width="9.44140625" customWidth="1"/>
    <col min="3" max="3" width="6.77734375" customWidth="1"/>
    <col min="5" max="5" width="6.88671875" customWidth="1"/>
    <col min="6" max="6" width="11.33203125" customWidth="1"/>
    <col min="7" max="7" width="7.5546875" customWidth="1"/>
    <col min="10" max="10" width="36" customWidth="1"/>
    <col min="11" max="11" width="16.21875" customWidth="1"/>
    <col min="12" max="12" width="11.88671875" customWidth="1"/>
    <col min="13" max="13" width="7.44140625" customWidth="1"/>
    <col min="14" max="14" width="6.5546875" customWidth="1"/>
  </cols>
  <sheetData>
    <row r="1" spans="1:16" s="268" customFormat="1" ht="50.4" customHeight="1" thickBot="1" x14ac:dyDescent="0.35">
      <c r="A1" s="267" t="s">
        <v>386</v>
      </c>
    </row>
    <row r="2" spans="1:16" x14ac:dyDescent="0.3">
      <c r="A2" s="144" t="s">
        <v>395</v>
      </c>
      <c r="B2" s="145">
        <f>BAC_Cash_flow_statement!H30</f>
        <v>80929.420019503596</v>
      </c>
      <c r="C2" s="132"/>
      <c r="D2" s="132"/>
      <c r="E2" s="132"/>
      <c r="F2" s="132"/>
      <c r="G2" s="132"/>
      <c r="J2" s="132" t="s">
        <v>405</v>
      </c>
      <c r="K2" s="137">
        <f xml:space="preserve"> BAC_Cash_flow_statement!G30</f>
        <v>45449.120261689437</v>
      </c>
      <c r="L2" s="132"/>
      <c r="M2" s="132"/>
      <c r="N2" s="132"/>
      <c r="O2" s="132"/>
      <c r="P2" s="132"/>
    </row>
    <row r="3" spans="1:16" x14ac:dyDescent="0.3">
      <c r="A3" s="141" t="s">
        <v>387</v>
      </c>
      <c r="B3" s="146">
        <v>0.08</v>
      </c>
      <c r="C3" s="133"/>
      <c r="D3" s="133"/>
      <c r="E3" s="133"/>
      <c r="F3" s="133"/>
      <c r="G3" s="133"/>
      <c r="J3" s="133" t="s">
        <v>387</v>
      </c>
      <c r="K3" s="138">
        <v>0.08</v>
      </c>
      <c r="L3" s="133"/>
      <c r="M3" s="133"/>
      <c r="N3" s="133"/>
      <c r="O3" s="133"/>
      <c r="P3" s="133"/>
    </row>
    <row r="4" spans="1:16" x14ac:dyDescent="0.3">
      <c r="A4" s="141" t="s">
        <v>388</v>
      </c>
      <c r="B4" s="146">
        <v>0.05</v>
      </c>
      <c r="C4" s="133"/>
      <c r="D4" s="133"/>
      <c r="E4" s="133"/>
      <c r="F4" s="133"/>
      <c r="G4" s="133"/>
      <c r="J4" s="133" t="s">
        <v>388</v>
      </c>
      <c r="K4" s="138">
        <v>0.05</v>
      </c>
      <c r="L4" s="133"/>
      <c r="M4" s="133"/>
      <c r="N4" s="133"/>
      <c r="O4" s="133"/>
      <c r="P4" s="133"/>
    </row>
    <row r="5" spans="1:16" x14ac:dyDescent="0.3">
      <c r="A5" s="141" t="s">
        <v>389</v>
      </c>
      <c r="B5" s="147">
        <f>task1_wacc_final!B29</f>
        <v>0.13397815945229236</v>
      </c>
      <c r="C5" s="133"/>
      <c r="D5" s="133"/>
      <c r="E5" s="133"/>
      <c r="F5" s="133"/>
      <c r="G5" s="133"/>
      <c r="J5" s="133" t="s">
        <v>389</v>
      </c>
      <c r="K5" s="139">
        <f>task1_wacc_final!C70</f>
        <v>7.2102436972956874E-2</v>
      </c>
      <c r="L5" s="133"/>
      <c r="M5" s="133"/>
      <c r="N5" s="133"/>
      <c r="O5" s="133"/>
      <c r="P5" s="133"/>
    </row>
    <row r="6" spans="1:16" ht="15" thickBot="1" x14ac:dyDescent="0.35">
      <c r="A6" s="133"/>
      <c r="B6" s="133"/>
      <c r="C6" s="133"/>
      <c r="D6" s="133"/>
      <c r="E6" s="133"/>
      <c r="F6" s="133"/>
      <c r="G6" s="133"/>
      <c r="J6" s="133"/>
      <c r="K6" s="133"/>
      <c r="L6" s="133"/>
      <c r="M6" s="133"/>
      <c r="N6" s="133"/>
      <c r="O6" s="133"/>
      <c r="P6" s="133"/>
    </row>
    <row r="7" spans="1:16" ht="15" thickBot="1" x14ac:dyDescent="0.35">
      <c r="A7" s="142" t="s">
        <v>390</v>
      </c>
      <c r="B7" s="142">
        <v>2019</v>
      </c>
      <c r="C7" s="142">
        <v>2020</v>
      </c>
      <c r="D7" s="142">
        <v>2021</v>
      </c>
      <c r="E7" s="142">
        <v>2022</v>
      </c>
      <c r="F7" s="142">
        <v>2023</v>
      </c>
      <c r="G7" s="142">
        <v>2024</v>
      </c>
      <c r="J7" s="142" t="s">
        <v>390</v>
      </c>
      <c r="K7" s="142">
        <v>2020</v>
      </c>
      <c r="L7" s="142">
        <v>2021</v>
      </c>
      <c r="M7" s="142">
        <v>2022</v>
      </c>
      <c r="N7" s="142">
        <v>2023</v>
      </c>
      <c r="O7" s="142">
        <v>2024</v>
      </c>
      <c r="P7" s="142">
        <v>2025</v>
      </c>
    </row>
    <row r="8" spans="1:16" x14ac:dyDescent="0.3">
      <c r="A8" s="133"/>
      <c r="B8" s="247">
        <f>B2</f>
        <v>80929.420019503596</v>
      </c>
      <c r="C8" s="141">
        <f xml:space="preserve"> B8 * (1 +$B$3)</f>
        <v>87403.773621063883</v>
      </c>
      <c r="D8" s="141">
        <f t="shared" ref="D8:G8" si="0" xml:space="preserve"> C8 * (1 +$B$3)</f>
        <v>94396.075510748997</v>
      </c>
      <c r="E8" s="141">
        <f t="shared" si="0"/>
        <v>101947.76155160893</v>
      </c>
      <c r="F8" s="141">
        <f t="shared" si="0"/>
        <v>110103.58247573765</v>
      </c>
      <c r="G8" s="141">
        <f t="shared" si="0"/>
        <v>118911.86907379667</v>
      </c>
      <c r="J8" s="133"/>
      <c r="K8" s="140">
        <f xml:space="preserve"> BAC_Cash_flow_statement!G30</f>
        <v>45449.120261689437</v>
      </c>
      <c r="L8" s="133">
        <f xml:space="preserve"> K8 * (1 +$B$3)</f>
        <v>49085.049882624597</v>
      </c>
      <c r="M8" s="133">
        <f t="shared" ref="M8:P8" si="1" xml:space="preserve"> L8 * (1 +$B$3)</f>
        <v>53011.85387323457</v>
      </c>
      <c r="N8" s="133">
        <f t="shared" si="1"/>
        <v>57252.802183093336</v>
      </c>
      <c r="O8" s="133">
        <f t="shared" si="1"/>
        <v>61833.026357740804</v>
      </c>
      <c r="P8" s="133">
        <f t="shared" si="1"/>
        <v>66779.668466360075</v>
      </c>
    </row>
    <row r="9" spans="1:16" x14ac:dyDescent="0.3">
      <c r="A9" s="133" t="s">
        <v>391</v>
      </c>
      <c r="B9" s="133"/>
      <c r="C9" s="133">
        <v>0.5</v>
      </c>
      <c r="D9" s="133">
        <v>1.5</v>
      </c>
      <c r="E9" s="133">
        <v>2.5</v>
      </c>
      <c r="F9" s="133">
        <v>3.5</v>
      </c>
      <c r="G9" s="133">
        <v>4.5</v>
      </c>
      <c r="J9" s="133" t="s">
        <v>391</v>
      </c>
      <c r="K9" s="133"/>
      <c r="L9" s="133">
        <v>0.5</v>
      </c>
      <c r="M9" s="133">
        <v>1.5</v>
      </c>
      <c r="N9" s="133">
        <v>2.5</v>
      </c>
      <c r="O9" s="133">
        <v>3.5</v>
      </c>
      <c r="P9" s="133">
        <v>4.5</v>
      </c>
    </row>
    <row r="10" spans="1:16" x14ac:dyDescent="0.3">
      <c r="A10" s="133" t="s">
        <v>392</v>
      </c>
      <c r="B10" s="133"/>
      <c r="C10" s="133">
        <f>1/(1 + $B$5)^C9</f>
        <v>0.9390693261918146</v>
      </c>
      <c r="D10" s="133">
        <f t="shared" ref="D10:G10" si="2">1/(1 + $B$5)^D9</f>
        <v>0.82811941161669445</v>
      </c>
      <c r="E10" s="133">
        <f t="shared" si="2"/>
        <v>0.73027809637592433</v>
      </c>
      <c r="F10" s="133">
        <f t="shared" si="2"/>
        <v>0.64399661518053064</v>
      </c>
      <c r="G10" s="133">
        <f t="shared" si="2"/>
        <v>0.5679091875028518</v>
      </c>
      <c r="J10" s="133" t="s">
        <v>392</v>
      </c>
      <c r="K10" s="133"/>
      <c r="L10" s="133">
        <f>1/(1 + $B$5)^L9</f>
        <v>0.9390693261918146</v>
      </c>
      <c r="M10" s="133">
        <f t="shared" ref="M10" si="3">1/(1 + $B$5)^M9</f>
        <v>0.82811941161669445</v>
      </c>
      <c r="N10" s="133">
        <f t="shared" ref="N10" si="4">1/(1 + $B$5)^N9</f>
        <v>0.73027809637592433</v>
      </c>
      <c r="O10" s="133">
        <f t="shared" ref="O10" si="5">1/(1 + $B$5)^O9</f>
        <v>0.64399661518053064</v>
      </c>
      <c r="P10" s="133">
        <f t="shared" ref="P10" si="6">1/(1 + $B$5)^P9</f>
        <v>0.5679091875028518</v>
      </c>
    </row>
    <row r="11" spans="1:16" x14ac:dyDescent="0.3">
      <c r="A11" s="133" t="s">
        <v>393</v>
      </c>
      <c r="B11" s="133"/>
      <c r="C11" s="133">
        <f>C8 *C10</f>
        <v>82078.202800954357</v>
      </c>
      <c r="D11" s="133">
        <f t="shared" ref="D11:G11" si="7">D8 *D10</f>
        <v>78171.222510886524</v>
      </c>
      <c r="E11" s="133">
        <f t="shared" si="7"/>
        <v>74450.217235695614</v>
      </c>
      <c r="F11" s="133">
        <f t="shared" si="7"/>
        <v>70906.334433625438</v>
      </c>
      <c r="G11" s="133">
        <f t="shared" si="7"/>
        <v>67531.142950145353</v>
      </c>
      <c r="J11" s="133" t="s">
        <v>393</v>
      </c>
      <c r="K11" s="133"/>
      <c r="L11" s="133">
        <f>L8 *L10</f>
        <v>46094.264719367886</v>
      </c>
      <c r="M11" s="133">
        <f t="shared" ref="M11" si="8">M8 *M10</f>
        <v>43900.145238213197</v>
      </c>
      <c r="N11" s="133">
        <f t="shared" ref="N11" si="9">N8 *N10</f>
        <v>41810.467390456768</v>
      </c>
      <c r="O11" s="133">
        <f t="shared" ref="O11" si="10">O8 *O10</f>
        <v>39820.25968075361</v>
      </c>
      <c r="P11" s="133">
        <f t="shared" ref="P11" si="11">P8 *P10</f>
        <v>37924.78726044036</v>
      </c>
    </row>
    <row r="12" spans="1:16" x14ac:dyDescent="0.3">
      <c r="A12" s="141" t="s">
        <v>472</v>
      </c>
      <c r="B12" s="141"/>
      <c r="C12" s="141"/>
      <c r="D12" s="141"/>
      <c r="E12" s="141"/>
      <c r="F12" s="141"/>
      <c r="G12" s="141">
        <f>G8 *(1 +B4)/(B5-B4)</f>
        <v>1486784.9372004578</v>
      </c>
      <c r="J12" s="133" t="s">
        <v>396</v>
      </c>
      <c r="K12" s="133"/>
      <c r="L12" s="133"/>
      <c r="M12" s="133"/>
      <c r="N12" s="133"/>
      <c r="O12" s="133"/>
      <c r="P12" s="133">
        <f>P8 *(1 +K4)/(K5-K4)</f>
        <v>3172439.8524683397</v>
      </c>
    </row>
    <row r="13" spans="1:16" x14ac:dyDescent="0.3">
      <c r="A13" s="141" t="s">
        <v>397</v>
      </c>
      <c r="B13" s="141"/>
      <c r="C13" s="141">
        <f xml:space="preserve"> C8</f>
        <v>87403.773621063883</v>
      </c>
      <c r="D13" s="141">
        <f>D8</f>
        <v>94396.075510748997</v>
      </c>
      <c r="E13" s="141">
        <f>E8</f>
        <v>101947.76155160893</v>
      </c>
      <c r="F13" s="141">
        <f>F8</f>
        <v>110103.58247573765</v>
      </c>
      <c r="G13" s="141">
        <f>SUM(G8, G12)</f>
        <v>1605696.8062742543</v>
      </c>
      <c r="J13" s="133" t="s">
        <v>397</v>
      </c>
      <c r="K13" s="133"/>
      <c r="L13" s="133">
        <f xml:space="preserve"> L8</f>
        <v>49085.049882624597</v>
      </c>
      <c r="M13" s="133">
        <f>M8</f>
        <v>53011.85387323457</v>
      </c>
      <c r="N13" s="133">
        <f>N8</f>
        <v>57252.802183093336</v>
      </c>
      <c r="O13" s="141">
        <f>O8</f>
        <v>61833.026357740804</v>
      </c>
      <c r="P13" s="141">
        <f>SUM(P8, P12)</f>
        <v>3239219.5209347</v>
      </c>
    </row>
    <row r="14" spans="1:16" ht="15" thickBot="1" x14ac:dyDescent="0.35">
      <c r="A14" s="133"/>
      <c r="B14" s="133"/>
      <c r="C14" s="133"/>
      <c r="D14" s="133"/>
      <c r="E14" s="133"/>
      <c r="F14" s="133"/>
      <c r="G14" s="133"/>
      <c r="J14" s="133"/>
      <c r="K14" s="133"/>
      <c r="L14" s="133"/>
      <c r="M14" s="133"/>
      <c r="N14" s="133"/>
      <c r="O14" s="133"/>
      <c r="P14" s="133"/>
    </row>
    <row r="15" spans="1:16" ht="15" thickBot="1" x14ac:dyDescent="0.35">
      <c r="A15" s="142" t="s">
        <v>394</v>
      </c>
      <c r="B15" s="142">
        <f>NPV(B5,C13:G13)*(1+ B5)^0.5</f>
        <v>1217495.9456082976</v>
      </c>
      <c r="C15" s="143"/>
      <c r="D15" s="142"/>
      <c r="E15" s="142"/>
      <c r="F15" s="142"/>
      <c r="G15" s="142"/>
      <c r="J15" s="142" t="s">
        <v>394</v>
      </c>
      <c r="K15" s="142">
        <f>NPV(K5,L13:P13)*(1+ K5)^0.5</f>
        <v>2559703.5718990825</v>
      </c>
      <c r="L15" s="143"/>
      <c r="M15" s="142"/>
      <c r="N15" s="142"/>
      <c r="O15" s="142"/>
      <c r="P15" s="142"/>
    </row>
    <row r="16" spans="1:16" ht="152.4" x14ac:dyDescent="0.3">
      <c r="A16" s="134" t="s">
        <v>401</v>
      </c>
      <c r="B16" s="140"/>
      <c r="C16" s="133"/>
      <c r="D16" s="133"/>
      <c r="E16" s="133"/>
      <c r="F16" s="133"/>
      <c r="G16" s="133"/>
      <c r="J16" s="134" t="s">
        <v>401</v>
      </c>
      <c r="K16" s="140">
        <f>'BAC__Balance sheet '!G8</f>
        <v>684521</v>
      </c>
      <c r="L16" s="133"/>
      <c r="M16" s="133"/>
      <c r="N16" s="133"/>
      <c r="O16" s="133"/>
      <c r="P16" s="133"/>
    </row>
    <row r="17" spans="1:16" x14ac:dyDescent="0.3">
      <c r="A17" s="135" t="s">
        <v>404</v>
      </c>
      <c r="B17" s="140"/>
      <c r="C17" s="133"/>
      <c r="D17" s="133"/>
      <c r="E17" s="140"/>
      <c r="F17" s="133"/>
      <c r="G17" s="133"/>
      <c r="J17" s="135" t="s">
        <v>404</v>
      </c>
      <c r="K17" s="140">
        <f>'BAC__Balance sheet '!G21</f>
        <v>1861323</v>
      </c>
      <c r="L17" s="133"/>
      <c r="M17" s="133"/>
      <c r="N17" s="140"/>
      <c r="O17" s="133"/>
      <c r="P17" s="133"/>
    </row>
    <row r="18" spans="1:16" x14ac:dyDescent="0.3">
      <c r="A18" s="135" t="s">
        <v>399</v>
      </c>
      <c r="B18" s="133"/>
      <c r="C18" s="133"/>
      <c r="D18" s="133"/>
      <c r="E18" s="140"/>
      <c r="F18" s="133"/>
      <c r="G18" s="133"/>
      <c r="J18" s="135" t="s">
        <v>399</v>
      </c>
      <c r="K18" s="133">
        <f xml:space="preserve"> SUM(K15:K17)</f>
        <v>5105547.5718990825</v>
      </c>
      <c r="L18" s="133"/>
      <c r="M18" s="133"/>
      <c r="N18" s="140"/>
      <c r="O18" s="133"/>
      <c r="P18" s="133"/>
    </row>
    <row r="19" spans="1:16" x14ac:dyDescent="0.3">
      <c r="A19" s="135" t="s">
        <v>400</v>
      </c>
      <c r="B19" s="133"/>
      <c r="C19" s="133"/>
      <c r="D19" s="133"/>
      <c r="E19" s="133"/>
      <c r="F19" s="133"/>
      <c r="G19" s="133"/>
      <c r="J19" s="135" t="s">
        <v>400</v>
      </c>
      <c r="K19" s="133">
        <f xml:space="preserve"> K18/1000000</f>
        <v>5.1055475718990824</v>
      </c>
      <c r="L19" s="133"/>
      <c r="M19" s="133"/>
      <c r="N19" s="133"/>
      <c r="O19" s="133"/>
      <c r="P19" s="133"/>
    </row>
    <row r="20" spans="1:16" ht="15" thickBot="1" x14ac:dyDescent="0.35">
      <c r="A20" s="136"/>
      <c r="B20" s="136"/>
      <c r="C20" s="136"/>
      <c r="D20" s="136"/>
      <c r="E20" s="136"/>
      <c r="F20" s="136"/>
      <c r="G20" s="136"/>
      <c r="J20" s="136"/>
      <c r="K20" s="136"/>
      <c r="L20" s="136"/>
      <c r="M20" s="136"/>
      <c r="N20" s="136"/>
      <c r="O20" s="136"/>
      <c r="P20" s="136"/>
    </row>
  </sheetData>
  <mergeCells count="1">
    <mergeCell ref="A1:XFD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158698-F357-4EAE-8675-0D46F55051A3}">
  <sheetPr codeName="Sheet13"/>
  <dimension ref="A1:E7"/>
  <sheetViews>
    <sheetView workbookViewId="0">
      <selection activeCell="C6" sqref="C6"/>
    </sheetView>
  </sheetViews>
  <sheetFormatPr defaultRowHeight="14.4" x14ac:dyDescent="0.3"/>
  <sheetData>
    <row r="1" spans="1:5" s="268" customFormat="1" ht="48" customHeight="1" thickBot="1" x14ac:dyDescent="0.35">
      <c r="A1" s="269" t="s">
        <v>406</v>
      </c>
    </row>
    <row r="2" spans="1:5" ht="15.6" x14ac:dyDescent="0.3">
      <c r="A2" s="270" t="s">
        <v>410</v>
      </c>
      <c r="B2" s="271"/>
      <c r="C2" s="271"/>
      <c r="D2" s="272"/>
    </row>
    <row r="3" spans="1:5" x14ac:dyDescent="0.3">
      <c r="A3" s="20"/>
      <c r="B3" s="149"/>
      <c r="C3" s="149"/>
      <c r="D3" s="150"/>
    </row>
    <row r="4" spans="1:5" x14ac:dyDescent="0.3">
      <c r="A4" s="148" t="s">
        <v>407</v>
      </c>
      <c r="B4" s="149" t="s">
        <v>408</v>
      </c>
      <c r="C4" s="149" t="s">
        <v>394</v>
      </c>
      <c r="D4" s="150" t="s">
        <v>409</v>
      </c>
    </row>
    <row r="5" spans="1:5" x14ac:dyDescent="0.3">
      <c r="A5" s="148">
        <v>2019</v>
      </c>
      <c r="B5" s="149">
        <f>task1_wacc_final!E36</f>
        <v>168890</v>
      </c>
      <c r="C5" s="149">
        <f>'VALUATION_OF BAC _ON_CF'!B15</f>
        <v>1217495.9456082976</v>
      </c>
      <c r="D5" s="150">
        <f xml:space="preserve"> C5/B5</f>
        <v>7.208810146298168</v>
      </c>
      <c r="E5" t="s">
        <v>411</v>
      </c>
    </row>
    <row r="6" spans="1:5" x14ac:dyDescent="0.3">
      <c r="A6" s="148">
        <v>2020</v>
      </c>
      <c r="B6" s="149">
        <f>task1_wacc_final!U36</f>
        <v>128370</v>
      </c>
      <c r="C6" s="149">
        <f>'VALUATION_OF BAC _ON_CF'!K15</f>
        <v>2559703.5718990825</v>
      </c>
      <c r="D6" s="150">
        <f xml:space="preserve"> C6/B6</f>
        <v>19.940044962990438</v>
      </c>
      <c r="E6" t="s">
        <v>412</v>
      </c>
    </row>
    <row r="7" spans="1:5" ht="15" thickBot="1" x14ac:dyDescent="0.35">
      <c r="A7" s="151"/>
      <c r="B7" s="152"/>
      <c r="C7" s="152"/>
      <c r="D7" s="153"/>
    </row>
  </sheetData>
  <mergeCells count="2">
    <mergeCell ref="A1:XFD1"/>
    <mergeCell ref="A2:D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0AAE2-6989-48D0-8C81-D58B8B878B48}">
  <sheetPr codeName="Sheet4"/>
  <dimension ref="A1:L76"/>
  <sheetViews>
    <sheetView topLeftCell="B23" zoomScale="130" zoomScaleNormal="130" workbookViewId="0">
      <selection activeCell="G32" sqref="G32"/>
    </sheetView>
  </sheetViews>
  <sheetFormatPr defaultRowHeight="14.4" x14ac:dyDescent="0.3"/>
  <cols>
    <col min="1" max="1" width="80" customWidth="1"/>
    <col min="2" max="3" width="14" customWidth="1"/>
    <col min="4" max="4" width="17.21875" customWidth="1"/>
    <col min="7" max="7" width="27.77734375" customWidth="1"/>
    <col min="8" max="8" width="9.44140625" bestFit="1" customWidth="1"/>
    <col min="10" max="10" width="27" customWidth="1"/>
  </cols>
  <sheetData>
    <row r="1" spans="1:12" ht="18" customHeight="1" x14ac:dyDescent="0.3">
      <c r="A1" s="1" t="s">
        <v>143</v>
      </c>
      <c r="B1" s="2" t="s">
        <v>1</v>
      </c>
      <c r="C1" s="2" t="s">
        <v>2</v>
      </c>
      <c r="D1" s="2" t="s">
        <v>3</v>
      </c>
      <c r="F1" s="63"/>
      <c r="G1" s="273" t="s">
        <v>358</v>
      </c>
      <c r="H1" s="274"/>
      <c r="I1" s="274"/>
      <c r="J1" s="274"/>
      <c r="K1" s="274"/>
      <c r="L1" s="275"/>
    </row>
    <row r="2" spans="1:12" x14ac:dyDescent="0.3">
      <c r="A2" s="3" t="s">
        <v>4</v>
      </c>
      <c r="D2" s="32"/>
      <c r="G2" s="39" t="s">
        <v>359</v>
      </c>
      <c r="H2" s="129">
        <v>2020</v>
      </c>
      <c r="I2" s="129">
        <v>2019</v>
      </c>
      <c r="J2" s="129">
        <v>2018</v>
      </c>
      <c r="K2" s="120"/>
      <c r="L2" s="15"/>
    </row>
    <row r="3" spans="1:12" ht="22.8" customHeight="1" x14ac:dyDescent="0.3">
      <c r="A3" s="22" t="s">
        <v>144</v>
      </c>
      <c r="B3" s="5">
        <v>26349</v>
      </c>
      <c r="C3" s="5">
        <v>23967</v>
      </c>
      <c r="D3" s="35">
        <v>23645</v>
      </c>
      <c r="G3" s="228" t="s">
        <v>144</v>
      </c>
      <c r="H3" s="223">
        <v>26349</v>
      </c>
      <c r="I3" s="223">
        <v>23967</v>
      </c>
      <c r="J3" s="223">
        <v>23645</v>
      </c>
      <c r="K3" s="120"/>
      <c r="L3" s="15"/>
    </row>
    <row r="4" spans="1:12" ht="29.4" customHeight="1" x14ac:dyDescent="0.3">
      <c r="A4" s="9" t="s">
        <v>145</v>
      </c>
      <c r="B4" s="10">
        <v>283266</v>
      </c>
      <c r="C4" s="10">
        <v>169952</v>
      </c>
      <c r="D4" s="34">
        <v>164460</v>
      </c>
      <c r="G4" s="228" t="s">
        <v>145</v>
      </c>
      <c r="H4" s="226">
        <v>283266</v>
      </c>
      <c r="I4" s="226">
        <v>169952</v>
      </c>
      <c r="J4" s="226">
        <v>164460</v>
      </c>
      <c r="K4" s="120"/>
      <c r="L4" s="15"/>
    </row>
    <row r="5" spans="1:12" ht="25.2" customHeight="1" x14ac:dyDescent="0.3">
      <c r="A5" s="9" t="s">
        <v>146</v>
      </c>
      <c r="B5" s="10">
        <v>294712</v>
      </c>
      <c r="C5" s="10">
        <v>251322</v>
      </c>
      <c r="D5" s="34">
        <v>270684</v>
      </c>
      <c r="G5" s="228" t="s">
        <v>146</v>
      </c>
      <c r="H5" s="226">
        <v>294712</v>
      </c>
      <c r="I5" s="226">
        <v>251322</v>
      </c>
      <c r="J5" s="226">
        <v>270684</v>
      </c>
      <c r="K5" s="120"/>
      <c r="L5" s="15"/>
    </row>
    <row r="6" spans="1:12" ht="57.6" customHeight="1" x14ac:dyDescent="0.3">
      <c r="A6" s="9" t="s">
        <v>147</v>
      </c>
      <c r="B6" s="10">
        <v>375079</v>
      </c>
      <c r="C6" s="10">
        <v>276140</v>
      </c>
      <c r="D6" s="34">
        <v>256117</v>
      </c>
      <c r="G6" s="228" t="s">
        <v>149</v>
      </c>
      <c r="H6" s="226">
        <v>335084</v>
      </c>
      <c r="I6" s="226">
        <v>280265</v>
      </c>
      <c r="J6" s="226">
        <v>288038</v>
      </c>
      <c r="K6" s="120"/>
      <c r="L6" s="15"/>
    </row>
    <row r="7" spans="1:12" ht="1.2" customHeight="1" x14ac:dyDescent="0.3">
      <c r="G7" s="20"/>
      <c r="H7" s="120"/>
      <c r="I7" s="120"/>
      <c r="J7" s="120"/>
      <c r="K7" s="120"/>
      <c r="L7" s="15"/>
    </row>
    <row r="8" spans="1:12" ht="1.2" customHeight="1" x14ac:dyDescent="0.3">
      <c r="A8" s="3" t="s">
        <v>148</v>
      </c>
      <c r="D8" s="32"/>
      <c r="G8" s="236"/>
      <c r="H8" s="120"/>
      <c r="I8" s="120"/>
      <c r="J8" s="120"/>
      <c r="K8" s="120"/>
      <c r="L8" s="15"/>
    </row>
    <row r="9" spans="1:12" ht="42.6" customHeight="1" x14ac:dyDescent="0.3">
      <c r="A9" s="9" t="s">
        <v>149</v>
      </c>
      <c r="B9" s="10">
        <v>335084</v>
      </c>
      <c r="C9" s="10">
        <v>280265</v>
      </c>
      <c r="D9" s="34">
        <v>288038</v>
      </c>
      <c r="G9" s="228" t="s">
        <v>150</v>
      </c>
      <c r="H9" s="226">
        <v>104943</v>
      </c>
      <c r="I9" s="226">
        <v>80775</v>
      </c>
      <c r="J9" s="226">
        <v>63357</v>
      </c>
      <c r="K9" s="120"/>
      <c r="L9" s="15"/>
    </row>
    <row r="10" spans="1:12" ht="35.4" customHeight="1" x14ac:dyDescent="0.3">
      <c r="A10" s="9" t="s">
        <v>150</v>
      </c>
      <c r="B10" s="10">
        <v>104943</v>
      </c>
      <c r="C10" s="10">
        <v>80775</v>
      </c>
      <c r="D10" s="34">
        <v>63357</v>
      </c>
      <c r="G10" s="228" t="s">
        <v>144</v>
      </c>
      <c r="H10" s="226">
        <v>281</v>
      </c>
      <c r="I10" s="226">
        <v>108</v>
      </c>
      <c r="J10" s="237">
        <v>270</v>
      </c>
      <c r="K10" s="120"/>
      <c r="L10" s="15"/>
    </row>
    <row r="11" spans="1:12" s="32" customFormat="1" ht="48" customHeight="1" x14ac:dyDescent="0.3">
      <c r="A11" s="33"/>
      <c r="B11" s="34"/>
      <c r="C11" s="34"/>
      <c r="D11" s="34"/>
      <c r="G11" s="242" t="s">
        <v>361</v>
      </c>
      <c r="H11" s="243">
        <f>SUM(H3:H10)</f>
        <v>1044635</v>
      </c>
      <c r="I11" s="243">
        <f t="shared" ref="I11:J11" si="0">SUM(I3:I10)</f>
        <v>806389</v>
      </c>
      <c r="J11" s="243">
        <f t="shared" si="0"/>
        <v>810454</v>
      </c>
      <c r="K11" s="120"/>
      <c r="L11" s="15"/>
    </row>
    <row r="12" spans="1:12" ht="24" customHeight="1" x14ac:dyDescent="0.3">
      <c r="A12" s="9" t="s">
        <v>151</v>
      </c>
      <c r="B12" s="10">
        <v>7332</v>
      </c>
      <c r="C12" s="10">
        <v>7523</v>
      </c>
      <c r="D12" s="34">
        <v>7212</v>
      </c>
      <c r="G12" s="39" t="s">
        <v>360</v>
      </c>
      <c r="H12" s="120"/>
      <c r="I12" s="120"/>
      <c r="J12" s="120"/>
      <c r="K12" s="120"/>
      <c r="L12" s="15"/>
    </row>
    <row r="13" spans="1:12" ht="25.8" customHeight="1" x14ac:dyDescent="0.3">
      <c r="A13" s="9" t="s">
        <v>152</v>
      </c>
      <c r="B13" s="10">
        <v>447359</v>
      </c>
      <c r="C13" s="10">
        <v>368563</v>
      </c>
      <c r="D13" s="34">
        <v>358607</v>
      </c>
      <c r="G13" s="238" t="s">
        <v>165</v>
      </c>
      <c r="H13" s="239">
        <v>29514</v>
      </c>
      <c r="I13" s="239">
        <v>45049</v>
      </c>
      <c r="J13" s="239">
        <v>32346</v>
      </c>
      <c r="K13" s="120"/>
      <c r="L13" s="15"/>
    </row>
    <row r="14" spans="1:12" ht="25.2" customHeight="1" x14ac:dyDescent="0.3">
      <c r="A14" s="3" t="s">
        <v>153</v>
      </c>
      <c r="D14" s="32"/>
      <c r="G14" s="238" t="s">
        <v>166</v>
      </c>
      <c r="H14" s="239">
        <v>271686</v>
      </c>
      <c r="I14" s="239">
        <v>248760</v>
      </c>
      <c r="J14" s="239">
        <v>231999</v>
      </c>
      <c r="K14" s="120"/>
      <c r="L14" s="15"/>
    </row>
    <row r="15" spans="1:12" ht="26.4" customHeight="1" x14ac:dyDescent="0.3">
      <c r="A15" s="9" t="s">
        <v>154</v>
      </c>
      <c r="B15" s="10">
        <v>675883</v>
      </c>
      <c r="C15" s="10">
        <v>699483</v>
      </c>
      <c r="D15" s="34">
        <v>684196</v>
      </c>
      <c r="G15" s="238" t="s">
        <v>167</v>
      </c>
      <c r="H15" s="226">
        <v>59983</v>
      </c>
      <c r="I15" s="226">
        <v>57979</v>
      </c>
      <c r="J15" s="226">
        <v>56150</v>
      </c>
      <c r="K15" s="120"/>
      <c r="L15" s="15"/>
    </row>
    <row r="16" spans="1:12" ht="2.4" customHeight="1" x14ac:dyDescent="0.3">
      <c r="A16" s="9" t="s">
        <v>155</v>
      </c>
      <c r="B16" s="10">
        <v>-24956</v>
      </c>
      <c r="C16" s="10">
        <v>-12783</v>
      </c>
      <c r="D16" s="34">
        <v>-12315</v>
      </c>
      <c r="G16" s="20"/>
      <c r="H16" s="120"/>
      <c r="I16" s="120"/>
      <c r="J16" s="120"/>
      <c r="K16" s="120"/>
      <c r="L16" s="15"/>
    </row>
    <row r="17" spans="1:12" ht="24" customHeight="1" x14ac:dyDescent="0.3">
      <c r="A17" s="9" t="s">
        <v>156</v>
      </c>
      <c r="B17" s="10">
        <v>650927</v>
      </c>
      <c r="C17" s="10">
        <v>686700</v>
      </c>
      <c r="D17" s="34">
        <v>671881</v>
      </c>
      <c r="G17" s="238" t="s">
        <v>165</v>
      </c>
      <c r="H17" s="226">
        <v>9278</v>
      </c>
      <c r="I17" s="226">
        <v>10031</v>
      </c>
      <c r="J17" s="226">
        <v>68662</v>
      </c>
      <c r="K17" s="120"/>
      <c r="L17" s="15"/>
    </row>
    <row r="18" spans="1:12" ht="23.4" customHeight="1" x14ac:dyDescent="0.3">
      <c r="A18" s="9" t="s">
        <v>30</v>
      </c>
      <c r="B18" s="10">
        <v>22162</v>
      </c>
      <c r="C18" s="10">
        <v>22126</v>
      </c>
      <c r="D18" s="34">
        <v>22046</v>
      </c>
      <c r="G18" s="238" t="s">
        <v>166</v>
      </c>
      <c r="H18" s="226">
        <v>20405</v>
      </c>
      <c r="I18" s="226">
        <v>25582</v>
      </c>
      <c r="J18" s="226">
        <v>-1852</v>
      </c>
      <c r="K18" s="120"/>
      <c r="L18" s="15"/>
    </row>
    <row r="19" spans="1:12" ht="20.399999999999999" customHeight="1" x14ac:dyDescent="0.3">
      <c r="A19" s="9" t="s">
        <v>157</v>
      </c>
      <c r="B19" s="10">
        <v>4747</v>
      </c>
      <c r="C19" s="10">
        <v>4822</v>
      </c>
      <c r="D19" s="34">
        <v>5220</v>
      </c>
      <c r="G19" s="238" t="s">
        <v>167</v>
      </c>
      <c r="H19" s="226">
        <v>463</v>
      </c>
      <c r="I19" s="226">
        <v>917</v>
      </c>
      <c r="J19" s="226">
        <v>697</v>
      </c>
      <c r="K19" s="120"/>
      <c r="L19" s="15"/>
    </row>
    <row r="20" spans="1:12" ht="3.6" customHeight="1" x14ac:dyDescent="0.3">
      <c r="A20" s="9" t="s">
        <v>108</v>
      </c>
      <c r="B20" s="10">
        <v>110683</v>
      </c>
      <c r="C20" s="10">
        <v>107709</v>
      </c>
      <c r="D20" s="34">
        <v>109273</v>
      </c>
      <c r="G20" s="225"/>
      <c r="H20" s="226"/>
      <c r="I20" s="226"/>
      <c r="J20" s="226"/>
      <c r="K20" s="120"/>
      <c r="L20" s="15"/>
    </row>
    <row r="21" spans="1:12" ht="28.8" customHeight="1" x14ac:dyDescent="0.3">
      <c r="A21" s="9" t="s">
        <v>36</v>
      </c>
      <c r="B21" s="10">
        <v>2260090</v>
      </c>
      <c r="C21" s="10">
        <v>1951158</v>
      </c>
      <c r="D21" s="34">
        <v>1917383</v>
      </c>
      <c r="G21" s="240" t="s">
        <v>147</v>
      </c>
      <c r="H21" s="226">
        <v>8104</v>
      </c>
      <c r="I21" s="226">
        <v>6719</v>
      </c>
      <c r="J21" s="226">
        <v>0</v>
      </c>
      <c r="K21" s="120"/>
      <c r="L21" s="15"/>
    </row>
    <row r="22" spans="1:12" x14ac:dyDescent="0.3">
      <c r="A22" s="3" t="s">
        <v>158</v>
      </c>
      <c r="D22" s="32"/>
      <c r="G22" s="56" t="s">
        <v>466</v>
      </c>
      <c r="H22" s="131">
        <f>SUM(H13:H21)</f>
        <v>399433</v>
      </c>
      <c r="I22" s="131">
        <f t="shared" ref="I22:J22" si="1">SUM(I13:I21)</f>
        <v>395037</v>
      </c>
      <c r="J22" s="131">
        <f t="shared" si="1"/>
        <v>388002</v>
      </c>
      <c r="K22" s="120"/>
      <c r="L22" s="15"/>
    </row>
    <row r="23" spans="1:12" x14ac:dyDescent="0.3">
      <c r="A23" s="9" t="s">
        <v>159</v>
      </c>
      <c r="B23" s="10">
        <v>126942</v>
      </c>
      <c r="C23" s="10">
        <v>98811</v>
      </c>
      <c r="D23" s="34">
        <v>105836</v>
      </c>
      <c r="G23" s="20"/>
      <c r="H23" s="120"/>
      <c r="I23" s="120"/>
      <c r="J23" s="120"/>
      <c r="K23" s="120"/>
      <c r="L23" s="15"/>
    </row>
    <row r="24" spans="1:12" ht="13.8" customHeight="1" thickBot="1" x14ac:dyDescent="0.35">
      <c r="A24" s="9" t="s">
        <v>160</v>
      </c>
      <c r="B24" s="10">
        <v>503213</v>
      </c>
      <c r="C24" s="10">
        <v>401418</v>
      </c>
      <c r="D24" s="34">
        <v>361573</v>
      </c>
      <c r="G24" s="90" t="s">
        <v>38</v>
      </c>
      <c r="H24" s="241">
        <f xml:space="preserve"> H22 - H11</f>
        <v>-645202</v>
      </c>
      <c r="I24" s="241">
        <f t="shared" ref="I24:J24" si="2" xml:space="preserve"> I22 - I11</f>
        <v>-411352</v>
      </c>
      <c r="J24" s="241">
        <f t="shared" si="2"/>
        <v>-422452</v>
      </c>
      <c r="K24" s="72"/>
      <c r="L24" s="45"/>
    </row>
    <row r="25" spans="1:12" ht="13.8" customHeight="1" x14ac:dyDescent="0.3">
      <c r="A25" s="9" t="s">
        <v>161</v>
      </c>
      <c r="B25" s="10">
        <v>100543</v>
      </c>
      <c r="C25" s="10">
        <v>85692</v>
      </c>
      <c r="D25" s="34">
        <v>80648</v>
      </c>
    </row>
    <row r="26" spans="1:12" ht="28.8" x14ac:dyDescent="0.3">
      <c r="A26" s="9" t="s">
        <v>162</v>
      </c>
      <c r="B26" s="10">
        <v>549973</v>
      </c>
      <c r="C26" s="10">
        <v>484669</v>
      </c>
      <c r="D26" s="34">
        <v>465113</v>
      </c>
      <c r="G26" s="276" t="s">
        <v>363</v>
      </c>
      <c r="H26" s="276"/>
      <c r="I26" s="276"/>
      <c r="J26" s="276"/>
    </row>
    <row r="27" spans="1:12" x14ac:dyDescent="0.3">
      <c r="A27" s="9" t="s">
        <v>44</v>
      </c>
      <c r="B27" s="10">
        <v>1280671</v>
      </c>
      <c r="C27" s="10">
        <v>1070590</v>
      </c>
      <c r="D27" s="34">
        <v>1013170</v>
      </c>
      <c r="G27" s="276"/>
      <c r="H27" s="276"/>
      <c r="I27" s="276"/>
      <c r="J27" s="276"/>
    </row>
    <row r="28" spans="1:12" ht="28.8" x14ac:dyDescent="0.3">
      <c r="A28" s="9" t="s">
        <v>163</v>
      </c>
      <c r="B28" s="10">
        <v>199525</v>
      </c>
      <c r="C28" s="10">
        <v>166339</v>
      </c>
      <c r="D28" s="34">
        <v>177768</v>
      </c>
      <c r="G28" s="276"/>
      <c r="H28" s="276"/>
      <c r="I28" s="276"/>
      <c r="J28" s="276"/>
    </row>
    <row r="29" spans="1:12" x14ac:dyDescent="0.3">
      <c r="A29" s="9" t="s">
        <v>164</v>
      </c>
      <c r="B29" s="10">
        <v>50484</v>
      </c>
      <c r="C29" s="10">
        <v>48601</v>
      </c>
      <c r="D29" s="34">
        <v>64571</v>
      </c>
      <c r="G29" s="276"/>
      <c r="H29" s="276"/>
      <c r="I29" s="276"/>
      <c r="J29" s="276"/>
    </row>
    <row r="30" spans="1:12" x14ac:dyDescent="0.3">
      <c r="A30" s="9" t="s">
        <v>46</v>
      </c>
      <c r="B30" s="10">
        <v>168027</v>
      </c>
      <c r="C30" s="10">
        <v>119894</v>
      </c>
      <c r="D30" s="34">
        <v>144305</v>
      </c>
    </row>
    <row r="31" spans="1:12" ht="28.8" x14ac:dyDescent="0.3">
      <c r="A31" s="109" t="s">
        <v>165</v>
      </c>
      <c r="B31" s="110">
        <v>29514</v>
      </c>
      <c r="C31" s="110">
        <v>45049</v>
      </c>
      <c r="D31" s="110">
        <v>32346</v>
      </c>
    </row>
    <row r="32" spans="1:12" ht="28.8" x14ac:dyDescent="0.3">
      <c r="A32" s="109" t="s">
        <v>166</v>
      </c>
      <c r="B32" s="110">
        <v>271686</v>
      </c>
      <c r="C32" s="110">
        <v>248760</v>
      </c>
      <c r="D32" s="110">
        <v>231999</v>
      </c>
    </row>
    <row r="33" spans="1:4" ht="28.8" x14ac:dyDescent="0.3">
      <c r="A33" s="109" t="s">
        <v>167</v>
      </c>
      <c r="B33" s="10">
        <v>59983</v>
      </c>
      <c r="C33" s="10">
        <v>57979</v>
      </c>
      <c r="D33" s="34">
        <v>56150</v>
      </c>
    </row>
    <row r="34" spans="1:4" x14ac:dyDescent="0.3">
      <c r="A34" s="9" t="s">
        <v>51</v>
      </c>
      <c r="B34" s="10">
        <v>2059890</v>
      </c>
      <c r="C34" s="10">
        <v>1757212</v>
      </c>
      <c r="D34" s="34">
        <v>1720309</v>
      </c>
    </row>
    <row r="35" spans="1:4" x14ac:dyDescent="0.3">
      <c r="A35" s="3" t="s">
        <v>168</v>
      </c>
      <c r="D35" s="32"/>
    </row>
    <row r="36" spans="1:4" ht="28.8" x14ac:dyDescent="0.3">
      <c r="A36" s="9" t="s">
        <v>169</v>
      </c>
      <c r="B36" s="10">
        <v>19480</v>
      </c>
      <c r="C36" s="10">
        <v>17980</v>
      </c>
      <c r="D36" s="34">
        <v>18460</v>
      </c>
    </row>
    <row r="37" spans="1:4" ht="28.8" x14ac:dyDescent="0.3">
      <c r="A37" s="9" t="s">
        <v>170</v>
      </c>
      <c r="B37" s="10">
        <v>31</v>
      </c>
      <c r="C37" s="10">
        <v>31</v>
      </c>
      <c r="D37" s="34">
        <v>31</v>
      </c>
    </row>
    <row r="38" spans="1:4" x14ac:dyDescent="0.3">
      <c r="A38" s="9" t="s">
        <v>171</v>
      </c>
      <c r="B38" s="10">
        <v>107846</v>
      </c>
      <c r="C38" s="10">
        <v>107840</v>
      </c>
      <c r="D38" s="34">
        <v>107922</v>
      </c>
    </row>
    <row r="39" spans="1:4" x14ac:dyDescent="0.3">
      <c r="A39" s="9" t="s">
        <v>57</v>
      </c>
      <c r="B39" s="10">
        <v>168272</v>
      </c>
      <c r="C39" s="10">
        <v>165369</v>
      </c>
      <c r="D39" s="34">
        <v>151347</v>
      </c>
    </row>
    <row r="40" spans="1:4" ht="28.8" x14ac:dyDescent="0.3">
      <c r="A40" s="9" t="s">
        <v>172</v>
      </c>
      <c r="B40" s="10">
        <v>-64129</v>
      </c>
      <c r="C40" s="10">
        <v>-61660</v>
      </c>
      <c r="D40" s="34">
        <v>-44370</v>
      </c>
    </row>
    <row r="41" spans="1:4" x14ac:dyDescent="0.3">
      <c r="A41" s="9" t="s">
        <v>173</v>
      </c>
      <c r="B41" s="10">
        <v>-32058</v>
      </c>
      <c r="C41" s="10">
        <v>-36318</v>
      </c>
      <c r="D41" s="34">
        <v>-37170</v>
      </c>
    </row>
    <row r="42" spans="1:4" x14ac:dyDescent="0.3">
      <c r="A42" s="9" t="s">
        <v>174</v>
      </c>
      <c r="B42" s="10">
        <v>199442</v>
      </c>
      <c r="C42" s="10">
        <v>193242</v>
      </c>
      <c r="D42" s="34">
        <v>196220</v>
      </c>
    </row>
    <row r="43" spans="1:4" x14ac:dyDescent="0.3">
      <c r="A43" s="9" t="s">
        <v>175</v>
      </c>
      <c r="B43" s="10">
        <v>758</v>
      </c>
      <c r="C43" s="10">
        <v>704</v>
      </c>
      <c r="D43" s="34">
        <v>854</v>
      </c>
    </row>
    <row r="44" spans="1:4" x14ac:dyDescent="0.3">
      <c r="A44" s="9" t="s">
        <v>176</v>
      </c>
      <c r="B44" s="10">
        <v>200200</v>
      </c>
      <c r="C44" s="10">
        <v>193946</v>
      </c>
      <c r="D44" s="34">
        <v>197074</v>
      </c>
    </row>
    <row r="45" spans="1:4" x14ac:dyDescent="0.3">
      <c r="A45" s="9" t="s">
        <v>177</v>
      </c>
      <c r="B45" s="10">
        <v>2260090</v>
      </c>
      <c r="C45" s="10">
        <v>1951158</v>
      </c>
      <c r="D45" s="34">
        <v>1917383</v>
      </c>
    </row>
    <row r="46" spans="1:4" x14ac:dyDescent="0.3">
      <c r="A46" s="9" t="s">
        <v>178</v>
      </c>
      <c r="D46" s="32"/>
    </row>
    <row r="47" spans="1:4" x14ac:dyDescent="0.3">
      <c r="A47" s="3" t="s">
        <v>4</v>
      </c>
      <c r="D47" s="32"/>
    </row>
    <row r="48" spans="1:4" x14ac:dyDescent="0.3">
      <c r="A48" s="111" t="s">
        <v>144</v>
      </c>
      <c r="B48" s="10">
        <v>281</v>
      </c>
      <c r="C48" s="10">
        <v>108</v>
      </c>
      <c r="D48" s="34">
        <v>330487</v>
      </c>
    </row>
    <row r="49" spans="1:5" ht="28.8" x14ac:dyDescent="0.3">
      <c r="A49" s="112" t="s">
        <v>147</v>
      </c>
      <c r="B49" s="10">
        <v>8104</v>
      </c>
      <c r="C49" s="10">
        <v>6719</v>
      </c>
      <c r="D49" s="34">
        <v>270</v>
      </c>
    </row>
    <row r="50" spans="1:5" x14ac:dyDescent="0.3">
      <c r="A50" s="3" t="s">
        <v>148</v>
      </c>
      <c r="D50" s="32"/>
    </row>
    <row r="51" spans="1:5" x14ac:dyDescent="0.3">
      <c r="A51" s="9" t="s">
        <v>152</v>
      </c>
      <c r="B51" s="10">
        <v>837</v>
      </c>
      <c r="C51" s="10">
        <v>1295</v>
      </c>
      <c r="D51" s="34">
        <v>1796</v>
      </c>
      <c r="E51" s="34">
        <v>353709</v>
      </c>
    </row>
    <row r="52" spans="1:5" x14ac:dyDescent="0.3">
      <c r="A52" s="3" t="s">
        <v>153</v>
      </c>
      <c r="D52" s="32"/>
    </row>
    <row r="53" spans="1:5" x14ac:dyDescent="0.3">
      <c r="A53" s="9" t="s">
        <v>154</v>
      </c>
      <c r="B53" s="10">
        <v>54588</v>
      </c>
      <c r="C53" s="10">
        <v>63152</v>
      </c>
      <c r="D53" s="32"/>
    </row>
    <row r="54" spans="1:5" x14ac:dyDescent="0.3">
      <c r="A54" s="9" t="s">
        <v>155</v>
      </c>
      <c r="B54" s="10">
        <v>-3794</v>
      </c>
      <c r="C54" s="10">
        <v>-1841</v>
      </c>
      <c r="D54" s="34">
        <v>270</v>
      </c>
    </row>
    <row r="55" spans="1:5" x14ac:dyDescent="0.3">
      <c r="A55" s="9" t="s">
        <v>156</v>
      </c>
      <c r="B55" s="10">
        <v>50794</v>
      </c>
      <c r="C55" s="10">
        <v>61311</v>
      </c>
      <c r="D55" s="34">
        <v>917</v>
      </c>
    </row>
    <row r="56" spans="1:5" x14ac:dyDescent="0.3">
      <c r="A56" s="9" t="s">
        <v>108</v>
      </c>
      <c r="B56" s="10">
        <v>43</v>
      </c>
      <c r="C56" s="10">
        <v>73</v>
      </c>
      <c r="D56" s="32"/>
    </row>
    <row r="57" spans="1:5" x14ac:dyDescent="0.3">
      <c r="A57" s="9" t="s">
        <v>36</v>
      </c>
      <c r="B57" s="10">
        <v>60059</v>
      </c>
      <c r="C57" s="10">
        <v>69506</v>
      </c>
      <c r="D57" s="34">
        <v>69944</v>
      </c>
      <c r="E57" s="34">
        <v>1796</v>
      </c>
    </row>
    <row r="58" spans="1:5" x14ac:dyDescent="0.3">
      <c r="A58" s="3" t="s">
        <v>158</v>
      </c>
      <c r="D58" s="32"/>
    </row>
    <row r="59" spans="1:5" ht="28.8" x14ac:dyDescent="0.3">
      <c r="A59" s="109" t="s">
        <v>165</v>
      </c>
      <c r="B59" s="10">
        <v>9278</v>
      </c>
      <c r="C59" s="10">
        <v>10031</v>
      </c>
      <c r="D59" s="34">
        <v>68662</v>
      </c>
    </row>
    <row r="60" spans="1:5" ht="28.8" x14ac:dyDescent="0.3">
      <c r="A60" s="109" t="s">
        <v>166</v>
      </c>
      <c r="B60" s="10">
        <v>20405</v>
      </c>
      <c r="C60" s="10">
        <v>25582</v>
      </c>
      <c r="D60" s="34">
        <v>-1852</v>
      </c>
    </row>
    <row r="61" spans="1:5" ht="28.8" x14ac:dyDescent="0.3">
      <c r="A61" s="109" t="s">
        <v>167</v>
      </c>
      <c r="B61" s="10">
        <v>463</v>
      </c>
      <c r="C61" s="10">
        <v>917</v>
      </c>
      <c r="D61" s="34">
        <v>697</v>
      </c>
      <c r="E61" s="34">
        <v>66810</v>
      </c>
    </row>
    <row r="62" spans="1:5" x14ac:dyDescent="0.3">
      <c r="A62" s="9" t="s">
        <v>51</v>
      </c>
      <c r="B62" s="10">
        <v>30146</v>
      </c>
      <c r="C62" s="10">
        <v>36530</v>
      </c>
      <c r="D62" s="34">
        <v>42345</v>
      </c>
    </row>
    <row r="63" spans="1:5" x14ac:dyDescent="0.3">
      <c r="A63" s="9" t="s">
        <v>179</v>
      </c>
      <c r="D63" s="34">
        <v>69944</v>
      </c>
    </row>
    <row r="64" spans="1:5" x14ac:dyDescent="0.3">
      <c r="A64" s="3" t="s">
        <v>153</v>
      </c>
      <c r="D64" s="32"/>
    </row>
    <row r="65" spans="1:4" x14ac:dyDescent="0.3">
      <c r="A65" s="9" t="s">
        <v>154</v>
      </c>
      <c r="B65" s="10">
        <v>288839</v>
      </c>
      <c r="C65" s="10">
        <v>309548</v>
      </c>
      <c r="D65" s="34">
        <v>13134</v>
      </c>
    </row>
    <row r="66" spans="1:4" x14ac:dyDescent="0.3">
      <c r="A66" s="9" t="s">
        <v>155</v>
      </c>
      <c r="B66" s="10">
        <v>-19554</v>
      </c>
      <c r="C66" s="10">
        <v>-9897</v>
      </c>
      <c r="D66" s="34">
        <v>28514</v>
      </c>
    </row>
    <row r="67" spans="1:4" x14ac:dyDescent="0.3">
      <c r="A67" s="9" t="s">
        <v>180</v>
      </c>
      <c r="D67" s="34">
        <v>697</v>
      </c>
    </row>
    <row r="68" spans="1:4" x14ac:dyDescent="0.3">
      <c r="A68" s="3" t="s">
        <v>153</v>
      </c>
      <c r="D68" s="34"/>
    </row>
    <row r="69" spans="1:4" x14ac:dyDescent="0.3">
      <c r="A69" s="9" t="s">
        <v>154</v>
      </c>
      <c r="B69" s="10">
        <v>37561</v>
      </c>
      <c r="C69" s="10">
        <v>46977</v>
      </c>
      <c r="D69" s="34">
        <v>42345</v>
      </c>
    </row>
    <row r="70" spans="1:4" x14ac:dyDescent="0.3">
      <c r="A70" s="9" t="s">
        <v>181</v>
      </c>
      <c r="D70" s="32"/>
    </row>
    <row r="71" spans="1:4" x14ac:dyDescent="0.3">
      <c r="A71" s="3" t="s">
        <v>153</v>
      </c>
      <c r="D71" s="34"/>
    </row>
    <row r="72" spans="1:4" x14ac:dyDescent="0.3">
      <c r="A72" s="9" t="s">
        <v>154</v>
      </c>
      <c r="B72" s="10">
        <v>387044</v>
      </c>
      <c r="C72" s="10">
        <v>389935</v>
      </c>
      <c r="D72" s="34">
        <v>49403</v>
      </c>
    </row>
    <row r="73" spans="1:4" x14ac:dyDescent="0.3">
      <c r="A73" s="9" t="s">
        <v>155</v>
      </c>
      <c r="B73" s="10">
        <v>-5402</v>
      </c>
      <c r="C73" s="10">
        <v>-2886</v>
      </c>
      <c r="D73" s="32"/>
    </row>
    <row r="74" spans="1:4" x14ac:dyDescent="0.3">
      <c r="A74" s="9" t="s">
        <v>182</v>
      </c>
      <c r="D74" s="35"/>
    </row>
    <row r="75" spans="1:4" x14ac:dyDescent="0.3">
      <c r="A75" s="3" t="s">
        <v>153</v>
      </c>
    </row>
    <row r="76" spans="1:4" x14ac:dyDescent="0.3">
      <c r="A76" s="9" t="s">
        <v>154</v>
      </c>
      <c r="B76" s="5">
        <v>17027</v>
      </c>
      <c r="C76" s="5">
        <v>16175</v>
      </c>
      <c r="D76" s="35">
        <v>19259</v>
      </c>
    </row>
  </sheetData>
  <mergeCells count="2">
    <mergeCell ref="G1:L1"/>
    <mergeCell ref="G26:J2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E042F0-F38C-4831-8D9C-38DFFB1C3591}">
  <sheetPr codeName="Sheet17"/>
  <dimension ref="A1:F29"/>
  <sheetViews>
    <sheetView workbookViewId="0">
      <selection activeCell="C32" sqref="C32"/>
    </sheetView>
  </sheetViews>
  <sheetFormatPr defaultRowHeight="14.4" x14ac:dyDescent="0.3"/>
  <cols>
    <col min="1" max="1" width="29.5546875" customWidth="1"/>
    <col min="3" max="3" width="20.5546875" customWidth="1"/>
    <col min="4" max="4" width="36.21875" customWidth="1"/>
    <col min="5" max="5" width="18.109375" customWidth="1"/>
    <col min="6" max="6" width="15.109375" customWidth="1"/>
  </cols>
  <sheetData>
    <row r="1" spans="1:6" ht="15.6" x14ac:dyDescent="0.3">
      <c r="A1" s="273" t="s">
        <v>358</v>
      </c>
      <c r="B1" s="274"/>
      <c r="C1" s="274"/>
      <c r="D1" s="274"/>
      <c r="E1" s="274"/>
      <c r="F1" s="275"/>
    </row>
    <row r="2" spans="1:6" x14ac:dyDescent="0.3">
      <c r="A2" s="39" t="s">
        <v>359</v>
      </c>
      <c r="B2" s="129">
        <v>2020</v>
      </c>
      <c r="C2" s="129">
        <v>2019</v>
      </c>
      <c r="D2" s="129">
        <v>2018</v>
      </c>
      <c r="E2" s="120"/>
      <c r="F2" s="15"/>
    </row>
    <row r="3" spans="1:6" ht="30.6" customHeight="1" x14ac:dyDescent="0.3">
      <c r="A3" s="228" t="s">
        <v>144</v>
      </c>
      <c r="B3" s="223">
        <v>26349</v>
      </c>
      <c r="C3" s="223">
        <v>23967</v>
      </c>
      <c r="D3" s="223">
        <v>23645</v>
      </c>
      <c r="E3" s="120"/>
      <c r="F3" s="15"/>
    </row>
    <row r="4" spans="1:6" ht="37.200000000000003" hidden="1" customHeight="1" x14ac:dyDescent="0.3">
      <c r="A4" s="228" t="s">
        <v>145</v>
      </c>
      <c r="B4" s="226">
        <v>283266</v>
      </c>
      <c r="C4" s="226">
        <v>169952</v>
      </c>
      <c r="D4" s="226">
        <v>164460</v>
      </c>
      <c r="E4" s="120"/>
      <c r="F4" s="15"/>
    </row>
    <row r="5" spans="1:6" ht="90" hidden="1" customHeight="1" x14ac:dyDescent="0.3">
      <c r="A5" s="228" t="s">
        <v>146</v>
      </c>
      <c r="B5" s="226">
        <v>294712</v>
      </c>
      <c r="C5" s="226">
        <v>251322</v>
      </c>
      <c r="D5" s="226">
        <v>270684</v>
      </c>
      <c r="E5" s="120"/>
      <c r="F5" s="15"/>
    </row>
    <row r="6" spans="1:6" ht="72" hidden="1" x14ac:dyDescent="0.3">
      <c r="A6" s="228" t="s">
        <v>149</v>
      </c>
      <c r="B6" s="226">
        <v>335084</v>
      </c>
      <c r="C6" s="226">
        <v>280265</v>
      </c>
      <c r="D6" s="226">
        <v>288038</v>
      </c>
      <c r="E6" s="120"/>
      <c r="F6" s="15"/>
    </row>
    <row r="7" spans="1:6" hidden="1" x14ac:dyDescent="0.3">
      <c r="A7" s="20"/>
      <c r="B7" s="120"/>
      <c r="C7" s="120"/>
      <c r="D7" s="120"/>
      <c r="E7" s="120"/>
      <c r="F7" s="15"/>
    </row>
    <row r="8" spans="1:6" hidden="1" x14ac:dyDescent="0.3">
      <c r="A8" s="236"/>
      <c r="B8" s="120"/>
      <c r="C8" s="120"/>
      <c r="D8" s="120"/>
      <c r="E8" s="120"/>
      <c r="F8" s="15"/>
    </row>
    <row r="9" spans="1:6" ht="72" x14ac:dyDescent="0.3">
      <c r="A9" s="228" t="s">
        <v>150</v>
      </c>
      <c r="B9" s="226">
        <v>104943</v>
      </c>
      <c r="C9" s="226">
        <v>80775</v>
      </c>
      <c r="D9" s="226">
        <v>63357</v>
      </c>
      <c r="E9" s="120"/>
      <c r="F9" s="15"/>
    </row>
    <row r="10" spans="1:6" ht="50.4" customHeight="1" x14ac:dyDescent="0.3">
      <c r="A10" s="228" t="s">
        <v>144</v>
      </c>
      <c r="B10" s="226">
        <v>281</v>
      </c>
      <c r="C10" s="226">
        <v>108</v>
      </c>
      <c r="D10" s="237">
        <v>270</v>
      </c>
      <c r="E10" s="120"/>
      <c r="F10" s="15"/>
    </row>
    <row r="11" spans="1:6" x14ac:dyDescent="0.3">
      <c r="A11" s="242" t="s">
        <v>361</v>
      </c>
      <c r="B11" s="243">
        <f>SUM(B3:B10)</f>
        <v>1044635</v>
      </c>
      <c r="C11" s="243">
        <f t="shared" ref="C11:D11" si="0">SUM(C3:C10)</f>
        <v>806389</v>
      </c>
      <c r="D11" s="243">
        <f t="shared" si="0"/>
        <v>810454</v>
      </c>
      <c r="E11" s="120"/>
      <c r="F11" s="15"/>
    </row>
    <row r="12" spans="1:6" x14ac:dyDescent="0.3">
      <c r="A12" s="39" t="s">
        <v>360</v>
      </c>
      <c r="B12" s="120"/>
      <c r="C12" s="120"/>
      <c r="D12" s="120"/>
      <c r="E12" s="120"/>
      <c r="F12" s="15"/>
    </row>
    <row r="13" spans="1:6" ht="3.6" customHeight="1" x14ac:dyDescent="0.3">
      <c r="A13" s="238" t="s">
        <v>165</v>
      </c>
      <c r="B13" s="239">
        <v>29514</v>
      </c>
      <c r="C13" s="239">
        <v>45049</v>
      </c>
      <c r="D13" s="239">
        <v>32346</v>
      </c>
      <c r="E13" s="120"/>
      <c r="F13" s="15"/>
    </row>
    <row r="14" spans="1:6" ht="64.2" hidden="1" customHeight="1" x14ac:dyDescent="0.3">
      <c r="A14" s="238" t="s">
        <v>166</v>
      </c>
      <c r="B14" s="239">
        <v>271686</v>
      </c>
      <c r="C14" s="239">
        <v>248760</v>
      </c>
      <c r="D14" s="239">
        <v>231999</v>
      </c>
      <c r="E14" s="120"/>
      <c r="F14" s="15"/>
    </row>
    <row r="15" spans="1:6" ht="57.6" hidden="1" x14ac:dyDescent="0.3">
      <c r="A15" s="238" t="s">
        <v>167</v>
      </c>
      <c r="B15" s="226">
        <v>59983</v>
      </c>
      <c r="C15" s="226">
        <v>57979</v>
      </c>
      <c r="D15" s="226">
        <v>56150</v>
      </c>
      <c r="E15" s="120"/>
      <c r="F15" s="15"/>
    </row>
    <row r="16" spans="1:6" hidden="1" x14ac:dyDescent="0.3">
      <c r="A16" s="20"/>
      <c r="B16" s="120"/>
      <c r="C16" s="120"/>
      <c r="D16" s="120"/>
      <c r="E16" s="120"/>
      <c r="F16" s="15"/>
    </row>
    <row r="17" spans="1:6" ht="57.6" hidden="1" x14ac:dyDescent="0.3">
      <c r="A17" s="238" t="s">
        <v>165</v>
      </c>
      <c r="B17" s="226">
        <v>9278</v>
      </c>
      <c r="C17" s="226">
        <v>10031</v>
      </c>
      <c r="D17" s="226">
        <v>68662</v>
      </c>
      <c r="E17" s="120"/>
      <c r="F17" s="15"/>
    </row>
    <row r="18" spans="1:6" ht="67.2" hidden="1" customHeight="1" x14ac:dyDescent="0.3">
      <c r="A18" s="238" t="s">
        <v>166</v>
      </c>
      <c r="B18" s="226">
        <v>20405</v>
      </c>
      <c r="C18" s="226">
        <v>25582</v>
      </c>
      <c r="D18" s="226">
        <v>-1852</v>
      </c>
      <c r="E18" s="120"/>
      <c r="F18" s="15"/>
    </row>
    <row r="19" spans="1:6" ht="57.6" hidden="1" x14ac:dyDescent="0.3">
      <c r="A19" s="238" t="s">
        <v>167</v>
      </c>
      <c r="B19" s="226">
        <v>463</v>
      </c>
      <c r="C19" s="226">
        <v>917</v>
      </c>
      <c r="D19" s="226">
        <v>697</v>
      </c>
      <c r="E19" s="120"/>
      <c r="F19" s="15"/>
    </row>
    <row r="20" spans="1:6" hidden="1" x14ac:dyDescent="0.3">
      <c r="A20" s="225"/>
      <c r="B20" s="226"/>
      <c r="C20" s="226"/>
      <c r="D20" s="226"/>
      <c r="E20" s="120"/>
      <c r="F20" s="15"/>
    </row>
    <row r="21" spans="1:6" ht="57.6" x14ac:dyDescent="0.3">
      <c r="A21" s="240" t="s">
        <v>147</v>
      </c>
      <c r="B21" s="226">
        <v>8104</v>
      </c>
      <c r="C21" s="226">
        <v>6719</v>
      </c>
      <c r="D21" s="226">
        <v>0</v>
      </c>
      <c r="E21" s="120"/>
      <c r="F21" s="15"/>
    </row>
    <row r="22" spans="1:6" x14ac:dyDescent="0.3">
      <c r="A22" s="56" t="s">
        <v>466</v>
      </c>
      <c r="B22" s="131">
        <f>SUM(B13:B21)</f>
        <v>399433</v>
      </c>
      <c r="C22" s="131">
        <f t="shared" ref="C22:D22" si="1">SUM(C13:C21)</f>
        <v>395037</v>
      </c>
      <c r="D22" s="131">
        <f t="shared" si="1"/>
        <v>388002</v>
      </c>
      <c r="E22" s="120"/>
      <c r="F22" s="15"/>
    </row>
    <row r="23" spans="1:6" x14ac:dyDescent="0.3">
      <c r="A23" s="20"/>
      <c r="B23" s="120"/>
      <c r="C23" s="120"/>
      <c r="D23" s="120"/>
      <c r="E23" s="120"/>
      <c r="F23" s="15"/>
    </row>
    <row r="24" spans="1:6" ht="15" thickBot="1" x14ac:dyDescent="0.35">
      <c r="A24" s="90" t="s">
        <v>38</v>
      </c>
      <c r="B24" s="241">
        <f xml:space="preserve"> B22 - B11</f>
        <v>-645202</v>
      </c>
      <c r="C24" s="241">
        <f t="shared" ref="C24:D24" si="2" xml:space="preserve"> C22 - C11</f>
        <v>-411352</v>
      </c>
      <c r="D24" s="241">
        <f t="shared" si="2"/>
        <v>-422452</v>
      </c>
      <c r="E24" s="72"/>
      <c r="F24" s="45"/>
    </row>
    <row r="25" spans="1:6" x14ac:dyDescent="0.3">
      <c r="A25" s="32"/>
      <c r="B25" s="32"/>
      <c r="C25" s="32"/>
      <c r="D25" s="32"/>
      <c r="E25" s="32"/>
      <c r="F25" s="32"/>
    </row>
    <row r="26" spans="1:6" x14ac:dyDescent="0.3">
      <c r="A26" s="276" t="s">
        <v>363</v>
      </c>
      <c r="B26" s="276"/>
      <c r="C26" s="276"/>
      <c r="D26" s="276"/>
      <c r="E26" s="32"/>
      <c r="F26" s="32"/>
    </row>
    <row r="27" spans="1:6" x14ac:dyDescent="0.3">
      <c r="A27" s="276"/>
      <c r="B27" s="276"/>
      <c r="C27" s="276"/>
      <c r="D27" s="276"/>
      <c r="E27" s="32"/>
      <c r="F27" s="32"/>
    </row>
    <row r="28" spans="1:6" x14ac:dyDescent="0.3">
      <c r="A28" s="276"/>
      <c r="B28" s="276"/>
      <c r="C28" s="276"/>
      <c r="D28" s="276"/>
      <c r="E28" s="32"/>
      <c r="F28" s="32"/>
    </row>
    <row r="29" spans="1:6" x14ac:dyDescent="0.3">
      <c r="A29" s="276"/>
      <c r="B29" s="276"/>
      <c r="C29" s="276"/>
      <c r="D29" s="276"/>
      <c r="E29" s="32"/>
      <c r="F29" s="32"/>
    </row>
  </sheetData>
  <mergeCells count="2">
    <mergeCell ref="A1:F1"/>
    <mergeCell ref="A26:D2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E34D7C-F3F9-485C-9956-F3A307BD2DEE}">
  <sheetPr codeName="Sheet5"/>
  <dimension ref="A1:E54"/>
  <sheetViews>
    <sheetView workbookViewId="0">
      <selection activeCell="A34" sqref="A34"/>
    </sheetView>
  </sheetViews>
  <sheetFormatPr defaultRowHeight="14.4" x14ac:dyDescent="0.3"/>
  <cols>
    <col min="1" max="2" width="80" customWidth="1"/>
    <col min="3" max="3" width="16" customWidth="1"/>
    <col min="4" max="5" width="14" customWidth="1"/>
  </cols>
  <sheetData>
    <row r="1" spans="1:5" x14ac:dyDescent="0.3">
      <c r="A1" s="249" t="s">
        <v>183</v>
      </c>
      <c r="B1" s="250"/>
      <c r="C1" s="266" t="s">
        <v>64</v>
      </c>
      <c r="D1" s="250"/>
      <c r="E1" s="250"/>
    </row>
    <row r="2" spans="1:5" x14ac:dyDescent="0.3">
      <c r="A2" s="250"/>
      <c r="B2" s="250"/>
      <c r="C2" s="30" t="s">
        <v>1</v>
      </c>
      <c r="D2" s="30" t="s">
        <v>2</v>
      </c>
      <c r="E2" s="30" t="s">
        <v>3</v>
      </c>
    </row>
    <row r="3" spans="1:5" x14ac:dyDescent="0.3">
      <c r="A3" s="3" t="s">
        <v>184</v>
      </c>
    </row>
    <row r="4" spans="1:5" x14ac:dyDescent="0.3">
      <c r="A4" s="9" t="s">
        <v>185</v>
      </c>
      <c r="C4" s="5">
        <v>58089</v>
      </c>
      <c r="D4" s="5">
        <v>76510</v>
      </c>
      <c r="E4" s="5">
        <v>70828</v>
      </c>
    </row>
    <row r="5" spans="1:5" x14ac:dyDescent="0.3">
      <c r="A5" s="9" t="s">
        <v>67</v>
      </c>
      <c r="C5" s="10">
        <v>14541</v>
      </c>
      <c r="D5" s="10">
        <v>29163</v>
      </c>
      <c r="E5" s="10">
        <v>24266</v>
      </c>
    </row>
    <row r="6" spans="1:5" x14ac:dyDescent="0.3">
      <c r="A6" s="9" t="s">
        <v>186</v>
      </c>
      <c r="C6" s="10">
        <v>43548</v>
      </c>
      <c r="D6" s="10">
        <v>47347</v>
      </c>
      <c r="E6" s="10">
        <v>46562</v>
      </c>
    </row>
    <row r="7" spans="1:5" x14ac:dyDescent="0.3">
      <c r="A7" s="9" t="s">
        <v>187</v>
      </c>
      <c r="C7" s="10">
        <v>11385</v>
      </c>
      <c r="D7" s="10">
        <v>11746</v>
      </c>
      <c r="E7" s="10">
        <v>11857</v>
      </c>
    </row>
    <row r="8" spans="1:5" x14ac:dyDescent="0.3">
      <c r="A8" s="9" t="s">
        <v>188</v>
      </c>
      <c r="C8" s="10">
        <v>13885</v>
      </c>
      <c r="D8" s="10">
        <v>8892</v>
      </c>
      <c r="E8" s="10">
        <v>8905</v>
      </c>
    </row>
    <row r="9" spans="1:5" x14ac:dyDescent="0.3">
      <c r="A9" s="9" t="s">
        <v>189</v>
      </c>
      <c r="C9" s="10">
        <v>3472</v>
      </c>
      <c r="D9" s="10">
        <v>3411</v>
      </c>
      <c r="E9" s="10">
        <v>3580</v>
      </c>
    </row>
    <row r="10" spans="1:5" x14ac:dyDescent="0.3">
      <c r="A10" s="9" t="s">
        <v>190</v>
      </c>
      <c r="C10" s="10">
        <v>1756</v>
      </c>
      <c r="D10" s="10">
        <v>1474</v>
      </c>
      <c r="E10" s="10">
        <v>421</v>
      </c>
    </row>
    <row r="11" spans="1:5" x14ac:dyDescent="0.3">
      <c r="A11" s="3" t="s">
        <v>191</v>
      </c>
    </row>
    <row r="12" spans="1:5" x14ac:dyDescent="0.3">
      <c r="A12" s="9" t="s">
        <v>192</v>
      </c>
      <c r="C12" s="10">
        <v>-165</v>
      </c>
      <c r="D12" s="10">
        <v>-32</v>
      </c>
      <c r="E12" s="10">
        <v>-132</v>
      </c>
    </row>
    <row r="13" spans="1:5" x14ac:dyDescent="0.3">
      <c r="A13" s="9" t="s">
        <v>193</v>
      </c>
      <c r="B13" s="9" t="s">
        <v>194</v>
      </c>
      <c r="C13" s="10">
        <v>-3</v>
      </c>
      <c r="D13" s="10">
        <v>0</v>
      </c>
      <c r="E13" s="10">
        <v>0</v>
      </c>
    </row>
    <row r="14" spans="1:5" x14ac:dyDescent="0.3">
      <c r="A14" s="9" t="s">
        <v>195</v>
      </c>
      <c r="C14" s="10">
        <v>-168</v>
      </c>
      <c r="D14" s="10">
        <v>-32</v>
      </c>
      <c r="E14" s="10">
        <v>-132</v>
      </c>
    </row>
    <row r="15" spans="1:5" x14ac:dyDescent="0.3">
      <c r="A15" s="9" t="s">
        <v>196</v>
      </c>
      <c r="C15" s="10">
        <v>420</v>
      </c>
      <c r="D15" s="10">
        <v>1448</v>
      </c>
      <c r="E15" s="10">
        <v>1661</v>
      </c>
    </row>
    <row r="16" spans="1:5" x14ac:dyDescent="0.3">
      <c r="A16" s="9" t="s">
        <v>197</v>
      </c>
      <c r="C16" s="10">
        <v>30750</v>
      </c>
      <c r="D16" s="10">
        <v>26939</v>
      </c>
      <c r="E16" s="10">
        <v>26292</v>
      </c>
    </row>
    <row r="17" spans="1:5" x14ac:dyDescent="0.3">
      <c r="A17" s="9" t="s">
        <v>198</v>
      </c>
      <c r="C17" s="10">
        <v>74298</v>
      </c>
      <c r="D17" s="10">
        <v>74286</v>
      </c>
      <c r="E17" s="10">
        <v>72854</v>
      </c>
    </row>
    <row r="18" spans="1:5" x14ac:dyDescent="0.3">
      <c r="A18" s="3" t="s">
        <v>199</v>
      </c>
    </row>
    <row r="19" spans="1:5" x14ac:dyDescent="0.3">
      <c r="A19" s="9" t="s">
        <v>200</v>
      </c>
      <c r="C19" s="10">
        <v>15922</v>
      </c>
      <c r="D19" s="10">
        <v>8218</v>
      </c>
      <c r="E19" s="10">
        <v>7354</v>
      </c>
    </row>
    <row r="20" spans="1:5" x14ac:dyDescent="0.3">
      <c r="A20" s="9" t="s">
        <v>201</v>
      </c>
      <c r="C20" s="10">
        <v>7</v>
      </c>
      <c r="D20" s="10">
        <v>0</v>
      </c>
      <c r="E20" s="10">
        <v>0</v>
      </c>
    </row>
    <row r="21" spans="1:5" x14ac:dyDescent="0.3">
      <c r="A21" s="9" t="s">
        <v>202</v>
      </c>
      <c r="C21" s="10">
        <v>7</v>
      </c>
      <c r="D21" s="10">
        <v>0</v>
      </c>
      <c r="E21" s="10">
        <v>0</v>
      </c>
    </row>
    <row r="22" spans="1:5" x14ac:dyDescent="0.3">
      <c r="A22" s="9" t="s">
        <v>203</v>
      </c>
      <c r="C22" s="10">
        <v>113</v>
      </c>
      <c r="D22" s="10">
        <v>73</v>
      </c>
      <c r="E22" s="10">
        <v>101</v>
      </c>
    </row>
    <row r="23" spans="1:5" x14ac:dyDescent="0.3">
      <c r="A23" s="9" t="s">
        <v>204</v>
      </c>
      <c r="C23" s="10">
        <v>1446</v>
      </c>
      <c r="D23" s="10">
        <v>92</v>
      </c>
      <c r="E23" s="10">
        <v>113</v>
      </c>
    </row>
    <row r="24" spans="1:5" x14ac:dyDescent="0.3">
      <c r="A24" s="9" t="s">
        <v>205</v>
      </c>
      <c r="C24" s="10">
        <v>17495</v>
      </c>
      <c r="D24" s="10">
        <v>8383</v>
      </c>
      <c r="E24" s="10">
        <v>7568</v>
      </c>
    </row>
    <row r="25" spans="1:5" x14ac:dyDescent="0.3">
      <c r="A25" s="3" t="s">
        <v>206</v>
      </c>
    </row>
    <row r="26" spans="1:5" x14ac:dyDescent="0.3">
      <c r="A26" s="9" t="s">
        <v>76</v>
      </c>
      <c r="C26" s="10">
        <v>22214</v>
      </c>
      <c r="D26" s="10">
        <v>21433</v>
      </c>
      <c r="E26" s="10">
        <v>21154</v>
      </c>
    </row>
    <row r="27" spans="1:5" x14ac:dyDescent="0.3">
      <c r="A27" s="9" t="s">
        <v>207</v>
      </c>
      <c r="C27" s="10">
        <v>2333</v>
      </c>
      <c r="D27" s="10">
        <v>2328</v>
      </c>
      <c r="E27" s="10">
        <v>2324</v>
      </c>
    </row>
    <row r="28" spans="1:5" x14ac:dyDescent="0.3">
      <c r="A28" s="9" t="s">
        <v>208</v>
      </c>
      <c r="C28" s="10">
        <v>7383</v>
      </c>
      <c r="D28" s="10">
        <v>7077</v>
      </c>
      <c r="E28" s="10">
        <v>7193</v>
      </c>
    </row>
    <row r="29" spans="1:5" x14ac:dyDescent="0.3">
      <c r="A29" s="9" t="s">
        <v>209</v>
      </c>
      <c r="C29" s="10">
        <v>1217</v>
      </c>
      <c r="D29" s="10">
        <v>1516</v>
      </c>
      <c r="E29" s="10">
        <v>1545</v>
      </c>
    </row>
    <row r="30" spans="1:5" x14ac:dyDescent="0.3">
      <c r="A30" s="9" t="s">
        <v>210</v>
      </c>
      <c r="C30" s="10">
        <v>10024</v>
      </c>
      <c r="D30" s="10">
        <v>9648</v>
      </c>
      <c r="E30" s="10">
        <v>9625</v>
      </c>
    </row>
    <row r="31" spans="1:5" x14ac:dyDescent="0.3">
      <c r="A31" s="9" t="s">
        <v>211</v>
      </c>
      <c r="C31" s="10">
        <v>43171</v>
      </c>
      <c r="D31" s="10">
        <v>42002</v>
      </c>
      <c r="E31" s="10">
        <v>41841</v>
      </c>
    </row>
    <row r="32" spans="1:5" x14ac:dyDescent="0.3">
      <c r="A32" s="113" t="s">
        <v>212</v>
      </c>
      <c r="C32" s="10">
        <v>13632</v>
      </c>
      <c r="D32" s="10">
        <v>23901</v>
      </c>
      <c r="E32" s="10">
        <v>23445</v>
      </c>
    </row>
    <row r="33" spans="1:5" x14ac:dyDescent="0.3">
      <c r="A33" s="9" t="s">
        <v>213</v>
      </c>
      <c r="C33" s="10">
        <v>2525</v>
      </c>
      <c r="D33" s="10">
        <v>4430</v>
      </c>
      <c r="E33" s="10">
        <v>5357</v>
      </c>
    </row>
    <row r="34" spans="1:5" x14ac:dyDescent="0.3">
      <c r="A34" s="113" t="s">
        <v>214</v>
      </c>
      <c r="C34" s="10">
        <v>11107</v>
      </c>
      <c r="D34" s="10">
        <v>19471</v>
      </c>
      <c r="E34" s="10">
        <v>18088</v>
      </c>
    </row>
    <row r="35" spans="1:5" x14ac:dyDescent="0.3">
      <c r="A35" s="3" t="s">
        <v>215</v>
      </c>
    </row>
    <row r="36" spans="1:5" x14ac:dyDescent="0.3">
      <c r="A36" s="9" t="s">
        <v>216</v>
      </c>
      <c r="C36" s="10">
        <v>-20</v>
      </c>
      <c r="D36" s="10">
        <v>-31</v>
      </c>
      <c r="E36" s="10">
        <v>-26</v>
      </c>
    </row>
    <row r="37" spans="1:5" x14ac:dyDescent="0.3">
      <c r="A37" s="9" t="s">
        <v>217</v>
      </c>
      <c r="C37" s="10">
        <v>0</v>
      </c>
      <c r="D37" s="10">
        <v>-27</v>
      </c>
      <c r="E37" s="10">
        <v>-18</v>
      </c>
    </row>
    <row r="38" spans="1:5" x14ac:dyDescent="0.3">
      <c r="A38" s="9" t="s">
        <v>218</v>
      </c>
      <c r="C38" s="10">
        <v>-20</v>
      </c>
      <c r="D38" s="10">
        <v>-4</v>
      </c>
      <c r="E38" s="10">
        <v>-8</v>
      </c>
    </row>
    <row r="39" spans="1:5" x14ac:dyDescent="0.3">
      <c r="A39" s="9" t="s">
        <v>219</v>
      </c>
      <c r="C39" s="10">
        <v>11087</v>
      </c>
      <c r="D39" s="10">
        <v>19467</v>
      </c>
      <c r="E39" s="10">
        <v>18080</v>
      </c>
    </row>
    <row r="40" spans="1:5" x14ac:dyDescent="0.3">
      <c r="A40" s="9" t="s">
        <v>175</v>
      </c>
      <c r="C40" s="10">
        <v>40</v>
      </c>
      <c r="D40" s="10">
        <v>66</v>
      </c>
      <c r="E40" s="10">
        <v>35</v>
      </c>
    </row>
    <row r="41" spans="1:5" x14ac:dyDescent="0.3">
      <c r="A41" s="9" t="s">
        <v>220</v>
      </c>
      <c r="C41" s="5">
        <v>11047</v>
      </c>
      <c r="D41" s="5">
        <v>19401</v>
      </c>
      <c r="E41" s="5">
        <v>18045</v>
      </c>
    </row>
    <row r="42" spans="1:5" x14ac:dyDescent="0.3">
      <c r="A42" s="3" t="s">
        <v>221</v>
      </c>
    </row>
    <row r="43" spans="1:5" x14ac:dyDescent="0.3">
      <c r="A43" s="9" t="s">
        <v>222</v>
      </c>
      <c r="B43" s="9" t="s">
        <v>223</v>
      </c>
      <c r="C43" s="28">
        <v>4.75</v>
      </c>
      <c r="D43" s="28">
        <v>8.08</v>
      </c>
      <c r="E43" s="28">
        <v>6.69</v>
      </c>
    </row>
    <row r="44" spans="1:5" x14ac:dyDescent="0.3">
      <c r="A44" s="9" t="s">
        <v>224</v>
      </c>
      <c r="B44" s="9" t="s">
        <v>223</v>
      </c>
      <c r="C44" s="31">
        <v>-0.01</v>
      </c>
      <c r="D44" s="10">
        <v>0</v>
      </c>
      <c r="E44" s="10">
        <v>0</v>
      </c>
    </row>
    <row r="45" spans="1:5" x14ac:dyDescent="0.3">
      <c r="A45" s="9" t="s">
        <v>225</v>
      </c>
      <c r="B45" s="9" t="s">
        <v>223</v>
      </c>
      <c r="C45" s="28">
        <v>4.74</v>
      </c>
      <c r="D45" s="28">
        <v>8.08</v>
      </c>
      <c r="E45" s="28">
        <v>6.69</v>
      </c>
    </row>
    <row r="46" spans="1:5" x14ac:dyDescent="0.3">
      <c r="A46" s="9" t="s">
        <v>226</v>
      </c>
      <c r="C46" s="29">
        <v>2085.8000000000002</v>
      </c>
      <c r="D46" s="29">
        <v>2249.1999999999998</v>
      </c>
      <c r="E46" s="29">
        <v>2493.3000000000002</v>
      </c>
    </row>
    <row r="47" spans="1:5" x14ac:dyDescent="0.3">
      <c r="A47" s="3" t="s">
        <v>227</v>
      </c>
    </row>
    <row r="48" spans="1:5" x14ac:dyDescent="0.3">
      <c r="A48" s="9" t="s">
        <v>222</v>
      </c>
      <c r="B48" s="9" t="s">
        <v>223</v>
      </c>
      <c r="C48" s="28">
        <v>4.7300000000000004</v>
      </c>
      <c r="D48" s="28">
        <v>8.0399999999999991</v>
      </c>
      <c r="E48" s="28">
        <v>6.69</v>
      </c>
    </row>
    <row r="49" spans="1:5" x14ac:dyDescent="0.3">
      <c r="A49" s="9" t="s">
        <v>228</v>
      </c>
      <c r="B49" s="9" t="s">
        <v>223</v>
      </c>
      <c r="C49" s="31">
        <v>-0.01</v>
      </c>
      <c r="D49" s="10">
        <v>0</v>
      </c>
      <c r="E49" s="10">
        <v>0</v>
      </c>
    </row>
    <row r="50" spans="1:5" x14ac:dyDescent="0.3">
      <c r="A50" s="9" t="s">
        <v>225</v>
      </c>
      <c r="B50" s="9" t="s">
        <v>223</v>
      </c>
      <c r="C50" s="28">
        <v>4.72</v>
      </c>
      <c r="D50" s="28">
        <v>8.0399999999999991</v>
      </c>
      <c r="E50" s="28">
        <v>6.68</v>
      </c>
    </row>
    <row r="51" spans="1:5" x14ac:dyDescent="0.3">
      <c r="A51" s="9" t="s">
        <v>229</v>
      </c>
      <c r="C51" s="10">
        <v>2099</v>
      </c>
      <c r="D51" s="29">
        <v>2265.3000000000002</v>
      </c>
      <c r="E51" s="29">
        <v>2494.8000000000002</v>
      </c>
    </row>
    <row r="52" spans="1:5" x14ac:dyDescent="0.3">
      <c r="A52" s="250"/>
      <c r="B52" s="250"/>
      <c r="C52" s="250"/>
      <c r="D52" s="250"/>
    </row>
    <row r="53" spans="1:5" x14ac:dyDescent="0.3">
      <c r="A53" s="9" t="s">
        <v>194</v>
      </c>
      <c r="B53" s="277" t="s">
        <v>230</v>
      </c>
      <c r="C53" s="250"/>
      <c r="D53" s="250"/>
    </row>
    <row r="54" spans="1:5" x14ac:dyDescent="0.3">
      <c r="A54" s="9" t="s">
        <v>223</v>
      </c>
      <c r="B54" s="277" t="s">
        <v>231</v>
      </c>
      <c r="C54" s="250"/>
      <c r="D54" s="250"/>
    </row>
  </sheetData>
  <mergeCells count="5">
    <mergeCell ref="A1:B2"/>
    <mergeCell ref="C1:E1"/>
    <mergeCell ref="A52:D52"/>
    <mergeCell ref="B53:D53"/>
    <mergeCell ref="B54:D5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5D313-A7FD-4E29-80D3-369E056121F4}">
  <sheetPr codeName="Sheet6"/>
  <dimension ref="A1:O64"/>
  <sheetViews>
    <sheetView topLeftCell="B24" workbookViewId="0">
      <selection activeCell="K26" sqref="K26:O32"/>
    </sheetView>
  </sheetViews>
  <sheetFormatPr defaultRowHeight="14.4" x14ac:dyDescent="0.3"/>
  <cols>
    <col min="1" max="1" width="80" customWidth="1"/>
    <col min="2" max="2" width="30.77734375" customWidth="1"/>
    <col min="3" max="3" width="16" customWidth="1"/>
    <col min="4" max="5" width="14" customWidth="1"/>
    <col min="11" max="11" width="15.21875" customWidth="1"/>
    <col min="12" max="12" width="25.109375" customWidth="1"/>
  </cols>
  <sheetData>
    <row r="1" spans="1:15" x14ac:dyDescent="0.3">
      <c r="A1" s="249" t="s">
        <v>232</v>
      </c>
      <c r="B1" s="250"/>
      <c r="C1" s="266" t="s">
        <v>64</v>
      </c>
      <c r="D1" s="250"/>
      <c r="E1" s="250"/>
      <c r="K1" s="278" t="s">
        <v>232</v>
      </c>
      <c r="L1" s="279"/>
      <c r="M1" s="280" t="s">
        <v>64</v>
      </c>
      <c r="N1" s="279"/>
      <c r="O1" s="279"/>
    </row>
    <row r="2" spans="1:15" ht="28.8" x14ac:dyDescent="0.3">
      <c r="A2" s="250"/>
      <c r="B2" s="250"/>
      <c r="C2" s="30" t="s">
        <v>1</v>
      </c>
      <c r="D2" s="30" t="s">
        <v>2</v>
      </c>
      <c r="E2" s="30" t="s">
        <v>3</v>
      </c>
      <c r="K2" s="279"/>
      <c r="L2" s="279"/>
      <c r="M2" s="156" t="s">
        <v>1</v>
      </c>
      <c r="N2" s="156" t="s">
        <v>2</v>
      </c>
      <c r="O2" s="156" t="s">
        <v>3</v>
      </c>
    </row>
    <row r="3" spans="1:15" ht="25.8" customHeight="1" x14ac:dyDescent="0.3">
      <c r="A3" s="3" t="s">
        <v>233</v>
      </c>
      <c r="K3" s="154" t="s">
        <v>233</v>
      </c>
      <c r="L3" s="160"/>
      <c r="M3" s="160"/>
      <c r="N3" s="160"/>
      <c r="O3" s="160"/>
    </row>
    <row r="4" spans="1:15" ht="25.8" customHeight="1" x14ac:dyDescent="0.3">
      <c r="A4" s="9" t="s">
        <v>219</v>
      </c>
      <c r="C4" s="5">
        <v>11087</v>
      </c>
      <c r="D4" s="5">
        <v>19467</v>
      </c>
      <c r="E4" s="5">
        <v>18080</v>
      </c>
      <c r="K4" s="161" t="s">
        <v>219</v>
      </c>
      <c r="L4" s="160"/>
      <c r="M4" s="162">
        <v>11087</v>
      </c>
      <c r="N4" s="162">
        <v>19467</v>
      </c>
      <c r="O4" s="162">
        <v>18080</v>
      </c>
    </row>
    <row r="5" spans="1:15" ht="33.6" customHeight="1" x14ac:dyDescent="0.3">
      <c r="A5" s="9" t="s">
        <v>234</v>
      </c>
      <c r="C5" s="10">
        <v>40</v>
      </c>
      <c r="D5" s="10">
        <v>66</v>
      </c>
      <c r="E5" s="10">
        <v>35</v>
      </c>
      <c r="K5" s="161" t="s">
        <v>234</v>
      </c>
      <c r="L5" s="160"/>
      <c r="M5" s="163">
        <v>40</v>
      </c>
      <c r="N5" s="163">
        <v>66</v>
      </c>
      <c r="O5" s="163">
        <v>35</v>
      </c>
    </row>
    <row r="6" spans="1:15" ht="24" customHeight="1" x14ac:dyDescent="0.3">
      <c r="A6" s="9" t="s">
        <v>220</v>
      </c>
      <c r="C6" s="10">
        <v>11047</v>
      </c>
      <c r="D6" s="10">
        <v>19401</v>
      </c>
      <c r="E6" s="10">
        <v>18045</v>
      </c>
      <c r="K6" s="161" t="s">
        <v>220</v>
      </c>
      <c r="L6" s="160"/>
      <c r="M6" s="163">
        <v>11047</v>
      </c>
      <c r="N6" s="163">
        <v>19401</v>
      </c>
      <c r="O6" s="163">
        <v>18045</v>
      </c>
    </row>
    <row r="7" spans="1:15" ht="37.200000000000003" customHeight="1" x14ac:dyDescent="0.3">
      <c r="A7" s="9" t="s">
        <v>218</v>
      </c>
      <c r="C7" s="10">
        <v>-20</v>
      </c>
      <c r="D7" s="10">
        <v>-4</v>
      </c>
      <c r="E7" s="10">
        <v>-8</v>
      </c>
      <c r="K7" s="161" t="s">
        <v>218</v>
      </c>
      <c r="L7" s="160"/>
      <c r="M7" s="163">
        <v>-20</v>
      </c>
      <c r="N7" s="163">
        <v>-4</v>
      </c>
      <c r="O7" s="163">
        <v>-8</v>
      </c>
    </row>
    <row r="8" spans="1:15" ht="31.2" customHeight="1" x14ac:dyDescent="0.3">
      <c r="A8" s="9" t="s">
        <v>235</v>
      </c>
      <c r="C8" s="10">
        <v>11067</v>
      </c>
      <c r="D8" s="10">
        <v>19405</v>
      </c>
      <c r="E8" s="10">
        <v>18053</v>
      </c>
      <c r="K8" s="161" t="s">
        <v>235</v>
      </c>
      <c r="L8" s="160"/>
      <c r="M8" s="163">
        <v>11067</v>
      </c>
      <c r="N8" s="163">
        <v>19405</v>
      </c>
      <c r="O8" s="163">
        <v>18053</v>
      </c>
    </row>
    <row r="9" spans="1:15" ht="51" customHeight="1" x14ac:dyDescent="0.3">
      <c r="A9" s="3" t="s">
        <v>236</v>
      </c>
      <c r="K9" s="154" t="s">
        <v>236</v>
      </c>
      <c r="L9" s="160"/>
      <c r="M9" s="160"/>
      <c r="N9" s="160"/>
      <c r="O9" s="160"/>
    </row>
    <row r="10" spans="1:15" ht="44.4" customHeight="1" x14ac:dyDescent="0.3">
      <c r="A10" s="9" t="s">
        <v>237</v>
      </c>
      <c r="B10" s="9" t="s">
        <v>194</v>
      </c>
      <c r="C10" s="10">
        <v>0</v>
      </c>
      <c r="D10" s="10">
        <v>0</v>
      </c>
      <c r="E10" s="10">
        <v>-247</v>
      </c>
      <c r="K10" s="161" t="s">
        <v>237</v>
      </c>
      <c r="L10" s="161" t="s">
        <v>194</v>
      </c>
      <c r="M10" s="163">
        <v>0</v>
      </c>
      <c r="N10" s="163">
        <v>0</v>
      </c>
      <c r="O10" s="163">
        <v>-247</v>
      </c>
    </row>
    <row r="11" spans="1:15" ht="32.4" customHeight="1" x14ac:dyDescent="0.3">
      <c r="A11" s="9" t="s">
        <v>98</v>
      </c>
      <c r="C11" s="10">
        <v>3937</v>
      </c>
      <c r="D11" s="10">
        <v>3905</v>
      </c>
      <c r="E11" s="10">
        <v>3754</v>
      </c>
      <c r="K11" s="161" t="s">
        <v>98</v>
      </c>
      <c r="L11" s="160"/>
      <c r="M11" s="163">
        <v>3937</v>
      </c>
      <c r="N11" s="163">
        <v>3905</v>
      </c>
      <c r="O11" s="163">
        <v>3754</v>
      </c>
    </row>
    <row r="12" spans="1:15" ht="33.6" customHeight="1" x14ac:dyDescent="0.3">
      <c r="A12" s="9" t="s">
        <v>100</v>
      </c>
      <c r="B12" s="9" t="s">
        <v>223</v>
      </c>
      <c r="C12" s="10">
        <v>-2333</v>
      </c>
      <c r="D12" s="10">
        <v>-610</v>
      </c>
      <c r="E12" s="10">
        <v>-51</v>
      </c>
      <c r="K12" s="161" t="s">
        <v>100</v>
      </c>
      <c r="L12" s="161" t="s">
        <v>223</v>
      </c>
      <c r="M12" s="163">
        <v>-2333</v>
      </c>
      <c r="N12" s="163">
        <v>-610</v>
      </c>
      <c r="O12" s="163">
        <v>-51</v>
      </c>
    </row>
    <row r="13" spans="1:15" ht="32.4" customHeight="1" x14ac:dyDescent="0.3">
      <c r="A13" s="9" t="s">
        <v>238</v>
      </c>
      <c r="C13" s="10">
        <v>17368</v>
      </c>
      <c r="D13" s="10">
        <v>8310</v>
      </c>
      <c r="E13" s="10">
        <v>7467</v>
      </c>
      <c r="K13" s="161" t="s">
        <v>238</v>
      </c>
      <c r="L13" s="160"/>
      <c r="M13" s="163">
        <v>17368</v>
      </c>
      <c r="N13" s="163">
        <v>8310</v>
      </c>
      <c r="O13" s="163">
        <v>7467</v>
      </c>
    </row>
    <row r="14" spans="1:15" ht="29.4" customHeight="1" x14ac:dyDescent="0.3">
      <c r="A14" s="9" t="s">
        <v>239</v>
      </c>
      <c r="C14" s="10">
        <v>-1756</v>
      </c>
      <c r="D14" s="10">
        <v>-1474</v>
      </c>
      <c r="E14" s="10">
        <v>-421</v>
      </c>
      <c r="K14" s="161" t="s">
        <v>239</v>
      </c>
      <c r="L14" s="160"/>
      <c r="M14" s="163">
        <v>-1756</v>
      </c>
      <c r="N14" s="163">
        <v>-1474</v>
      </c>
      <c r="O14" s="163">
        <v>-421</v>
      </c>
    </row>
    <row r="15" spans="1:15" ht="31.8" customHeight="1" x14ac:dyDescent="0.3">
      <c r="A15" s="9" t="s">
        <v>192</v>
      </c>
      <c r="C15" s="10">
        <v>165</v>
      </c>
      <c r="D15" s="10">
        <v>32</v>
      </c>
      <c r="E15" s="10">
        <v>132</v>
      </c>
      <c r="K15" s="161" t="s">
        <v>192</v>
      </c>
      <c r="L15" s="160"/>
      <c r="M15" s="163">
        <v>165</v>
      </c>
      <c r="N15" s="163">
        <v>32</v>
      </c>
      <c r="O15" s="163">
        <v>132</v>
      </c>
    </row>
    <row r="16" spans="1:15" ht="33" customHeight="1" x14ac:dyDescent="0.3">
      <c r="A16" s="9" t="s">
        <v>240</v>
      </c>
      <c r="C16" s="10">
        <v>-98997</v>
      </c>
      <c r="D16" s="10">
        <v>-20124</v>
      </c>
      <c r="E16" s="10">
        <v>-3469</v>
      </c>
      <c r="K16" s="161" t="s">
        <v>240</v>
      </c>
      <c r="L16" s="160"/>
      <c r="M16" s="163">
        <v>-98997</v>
      </c>
      <c r="N16" s="163">
        <v>-20124</v>
      </c>
      <c r="O16" s="163">
        <v>-3469</v>
      </c>
    </row>
    <row r="17" spans="1:15" ht="28.2" customHeight="1" x14ac:dyDescent="0.3">
      <c r="A17" s="9" t="s">
        <v>241</v>
      </c>
      <c r="C17" s="10">
        <v>48133</v>
      </c>
      <c r="D17" s="10">
        <v>-24411</v>
      </c>
      <c r="E17" s="10">
        <v>19135</v>
      </c>
      <c r="K17" s="161" t="s">
        <v>241</v>
      </c>
      <c r="L17" s="160"/>
      <c r="M17" s="163">
        <v>48133</v>
      </c>
      <c r="N17" s="163">
        <v>-24411</v>
      </c>
      <c r="O17" s="163">
        <v>19135</v>
      </c>
    </row>
    <row r="18" spans="1:15" ht="30.6" customHeight="1" x14ac:dyDescent="0.3">
      <c r="A18" s="9" t="s">
        <v>242</v>
      </c>
      <c r="C18" s="10">
        <v>-3066</v>
      </c>
      <c r="D18" s="10">
        <v>-20377</v>
      </c>
      <c r="E18" s="10">
        <v>6163</v>
      </c>
      <c r="K18" s="161" t="s">
        <v>242</v>
      </c>
      <c r="L18" s="160"/>
      <c r="M18" s="163">
        <v>-3066</v>
      </c>
      <c r="N18" s="163">
        <v>-20377</v>
      </c>
      <c r="O18" s="163">
        <v>6163</v>
      </c>
    </row>
    <row r="19" spans="1:15" ht="21.6" customHeight="1" x14ac:dyDescent="0.3">
      <c r="A19" s="9" t="s">
        <v>243</v>
      </c>
      <c r="C19" s="10">
        <v>1202</v>
      </c>
      <c r="D19" s="10">
        <v>-909</v>
      </c>
      <c r="E19" s="10">
        <v>770</v>
      </c>
      <c r="K19" s="161" t="s">
        <v>243</v>
      </c>
      <c r="L19" s="160"/>
      <c r="M19" s="163">
        <v>1202</v>
      </c>
      <c r="N19" s="163">
        <v>-909</v>
      </c>
      <c r="O19" s="163">
        <v>770</v>
      </c>
    </row>
    <row r="20" spans="1:15" ht="34.200000000000003" customHeight="1" x14ac:dyDescent="0.3">
      <c r="A20" s="9" t="s">
        <v>244</v>
      </c>
      <c r="C20" s="10">
        <v>-1012</v>
      </c>
      <c r="D20" s="10">
        <v>4724</v>
      </c>
      <c r="E20" s="10">
        <v>-5791</v>
      </c>
      <c r="K20" s="161" t="s">
        <v>244</v>
      </c>
      <c r="L20" s="160"/>
      <c r="M20" s="163">
        <v>-1012</v>
      </c>
      <c r="N20" s="163">
        <v>4724</v>
      </c>
      <c r="O20" s="163">
        <v>-5791</v>
      </c>
    </row>
    <row r="21" spans="1:15" ht="31.2" customHeight="1" x14ac:dyDescent="0.3">
      <c r="A21" s="9" t="s">
        <v>245</v>
      </c>
      <c r="C21" s="10">
        <v>558</v>
      </c>
      <c r="D21" s="10">
        <v>1737</v>
      </c>
      <c r="E21" s="10">
        <v>-984</v>
      </c>
      <c r="K21" s="161" t="s">
        <v>245</v>
      </c>
      <c r="L21" s="160"/>
      <c r="M21" s="163">
        <v>558</v>
      </c>
      <c r="N21" s="163">
        <v>1737</v>
      </c>
      <c r="O21" s="163">
        <v>-984</v>
      </c>
    </row>
    <row r="22" spans="1:15" ht="28.8" x14ac:dyDescent="0.3">
      <c r="A22" s="9" t="s">
        <v>246</v>
      </c>
      <c r="C22" s="10">
        <v>4113</v>
      </c>
      <c r="D22" s="10">
        <v>16955</v>
      </c>
      <c r="E22" s="10">
        <v>-7559</v>
      </c>
      <c r="K22" s="161" t="s">
        <v>246</v>
      </c>
      <c r="L22" s="160"/>
      <c r="M22" s="163">
        <v>4113</v>
      </c>
      <c r="N22" s="163">
        <v>16955</v>
      </c>
      <c r="O22" s="163">
        <v>-7559</v>
      </c>
    </row>
    <row r="23" spans="1:15" ht="43.2" x14ac:dyDescent="0.3">
      <c r="A23" s="9" t="s">
        <v>247</v>
      </c>
      <c r="C23" s="10">
        <v>-31688</v>
      </c>
      <c r="D23" s="10">
        <v>-32242</v>
      </c>
      <c r="E23" s="10">
        <v>18899</v>
      </c>
      <c r="K23" s="161" t="s">
        <v>247</v>
      </c>
      <c r="L23" s="160"/>
      <c r="M23" s="163">
        <v>-31688</v>
      </c>
      <c r="N23" s="163">
        <v>-32242</v>
      </c>
      <c r="O23" s="163">
        <v>18899</v>
      </c>
    </row>
    <row r="24" spans="1:15" ht="57.6" customHeight="1" x14ac:dyDescent="0.3">
      <c r="A24" s="154" t="s">
        <v>248</v>
      </c>
      <c r="B24" s="89"/>
      <c r="C24" s="155">
        <v>-20621</v>
      </c>
      <c r="D24" s="155">
        <v>-12837</v>
      </c>
      <c r="E24" s="155">
        <v>36952</v>
      </c>
      <c r="K24" s="157" t="s">
        <v>248</v>
      </c>
      <c r="L24" s="92"/>
      <c r="M24" s="159">
        <v>-20621</v>
      </c>
      <c r="N24" s="159">
        <v>-12837</v>
      </c>
      <c r="O24" s="159">
        <v>36952</v>
      </c>
    </row>
    <row r="25" spans="1:15" ht="31.8" customHeight="1" x14ac:dyDescent="0.3">
      <c r="A25" s="3" t="s">
        <v>249</v>
      </c>
      <c r="K25" s="281" t="s">
        <v>413</v>
      </c>
      <c r="L25" s="281"/>
      <c r="M25" s="281"/>
      <c r="N25" s="281"/>
      <c r="O25" s="281"/>
    </row>
    <row r="26" spans="1:15" ht="105.6" customHeight="1" x14ac:dyDescent="0.3">
      <c r="A26" s="9" t="s">
        <v>250</v>
      </c>
      <c r="C26" s="10">
        <v>-43390</v>
      </c>
      <c r="D26" s="10">
        <v>19362</v>
      </c>
      <c r="E26" s="10">
        <v>-38206</v>
      </c>
      <c r="K26" s="154" t="s">
        <v>257</v>
      </c>
      <c r="L26" s="89"/>
      <c r="M26" s="155">
        <v>-3446</v>
      </c>
      <c r="N26" s="155">
        <v>-5336</v>
      </c>
      <c r="O26" s="155">
        <v>-3774</v>
      </c>
    </row>
    <row r="27" spans="1:15" ht="127.8" customHeight="1" x14ac:dyDescent="0.3">
      <c r="A27" s="9" t="s">
        <v>251</v>
      </c>
      <c r="C27" s="10">
        <v>14249</v>
      </c>
      <c r="D27" s="10">
        <v>-22466</v>
      </c>
      <c r="E27" s="10">
        <v>-29002</v>
      </c>
      <c r="K27" s="154" t="s">
        <v>258</v>
      </c>
      <c r="L27" s="89"/>
      <c r="M27" s="155">
        <v>50</v>
      </c>
      <c r="N27" s="155">
        <v>259</v>
      </c>
      <c r="O27" s="155">
        <v>212</v>
      </c>
    </row>
    <row r="28" spans="1:15" ht="72" customHeight="1" x14ac:dyDescent="0.3">
      <c r="A28" s="9" t="s">
        <v>252</v>
      </c>
      <c r="C28" s="10">
        <v>1495</v>
      </c>
      <c r="D28" s="10">
        <v>2878</v>
      </c>
      <c r="E28" s="10">
        <v>4549</v>
      </c>
      <c r="K28" s="157" t="s">
        <v>416</v>
      </c>
      <c r="L28" s="49"/>
      <c r="M28" s="158">
        <f xml:space="preserve"> SUM(M26:M27)</f>
        <v>-3396</v>
      </c>
      <c r="N28" s="158">
        <f t="shared" ref="N28:O28" si="0" xml:space="preserve"> SUM(N26:N27)</f>
        <v>-5077</v>
      </c>
      <c r="O28" s="158">
        <f t="shared" si="0"/>
        <v>-3562</v>
      </c>
    </row>
    <row r="29" spans="1:15" x14ac:dyDescent="0.3">
      <c r="A29" s="9" t="s">
        <v>253</v>
      </c>
      <c r="C29" s="10">
        <v>-334900</v>
      </c>
      <c r="D29" s="10">
        <v>-274491</v>
      </c>
      <c r="E29" s="10">
        <v>-152487</v>
      </c>
      <c r="K29" t="s">
        <v>470</v>
      </c>
      <c r="M29" s="12">
        <f>SUM(M26:M27)</f>
        <v>-3396</v>
      </c>
      <c r="N29" s="12">
        <f t="shared" ref="N29:O29" si="1">SUM(N26:N27)</f>
        <v>-5077</v>
      </c>
      <c r="O29" s="12">
        <f t="shared" si="1"/>
        <v>-3562</v>
      </c>
    </row>
    <row r="30" spans="1:15" x14ac:dyDescent="0.3">
      <c r="A30" s="9" t="s">
        <v>254</v>
      </c>
      <c r="C30" s="10">
        <v>146285</v>
      </c>
      <c r="D30" s="10">
        <v>137173</v>
      </c>
      <c r="E30" s="10">
        <v>61491</v>
      </c>
      <c r="K30" t="s">
        <v>471</v>
      </c>
      <c r="L30" s="12">
        <f xml:space="preserve"> M24 +M28</f>
        <v>-24017</v>
      </c>
      <c r="M30" s="12">
        <f t="shared" ref="M30:N30" si="2" xml:space="preserve"> N24 +N28</f>
        <v>-17914</v>
      </c>
      <c r="N30" s="12">
        <f t="shared" si="2"/>
        <v>33390</v>
      </c>
      <c r="O30" s="12"/>
    </row>
    <row r="31" spans="1:15" ht="15" thickBot="1" x14ac:dyDescent="0.35">
      <c r="A31" s="9" t="s">
        <v>255</v>
      </c>
      <c r="C31" s="10">
        <v>124229</v>
      </c>
      <c r="D31" s="10">
        <v>119051</v>
      </c>
      <c r="E31" s="10">
        <v>83604</v>
      </c>
      <c r="K31" t="s">
        <v>415</v>
      </c>
      <c r="L31">
        <f>(1 - C64) * C57</f>
        <v>9271.8382984094915</v>
      </c>
      <c r="M31" s="32">
        <f t="shared" ref="M31:N31" si="3">(1 - D64) * D57</f>
        <v>22909.937914282185</v>
      </c>
      <c r="N31" s="32">
        <f t="shared" si="3"/>
        <v>18533.291662939439</v>
      </c>
      <c r="O31" s="32"/>
    </row>
    <row r="32" spans="1:15" ht="15" thickBot="1" x14ac:dyDescent="0.35">
      <c r="A32" s="9" t="s">
        <v>256</v>
      </c>
      <c r="B32" s="9" t="s">
        <v>194</v>
      </c>
      <c r="C32" s="10">
        <v>0</v>
      </c>
      <c r="D32" s="10">
        <v>0</v>
      </c>
      <c r="E32" s="10">
        <v>314</v>
      </c>
      <c r="K32" s="165" t="s">
        <v>414</v>
      </c>
      <c r="L32" s="166">
        <f xml:space="preserve"> SUM(L30, L31)</f>
        <v>-14745.161701590509</v>
      </c>
      <c r="M32" s="166">
        <f t="shared" ref="M32:N32" si="4" xml:space="preserve"> SUM(M30, M31)</f>
        <v>4995.9379142821854</v>
      </c>
      <c r="N32" s="167">
        <f t="shared" si="4"/>
        <v>51923.291662939439</v>
      </c>
    </row>
    <row r="33" spans="1:14" x14ac:dyDescent="0.3">
      <c r="A33" s="154" t="s">
        <v>257</v>
      </c>
      <c r="B33" s="89"/>
      <c r="C33" s="155">
        <v>-3446</v>
      </c>
      <c r="D33" s="155">
        <v>-5336</v>
      </c>
      <c r="E33" s="155">
        <v>-3774</v>
      </c>
    </row>
    <row r="34" spans="1:14" ht="28.8" x14ac:dyDescent="0.3">
      <c r="A34" s="154" t="s">
        <v>258</v>
      </c>
      <c r="B34" s="89"/>
      <c r="C34" s="155">
        <v>50</v>
      </c>
      <c r="D34" s="155">
        <v>259</v>
      </c>
      <c r="E34" s="155">
        <v>212</v>
      </c>
      <c r="L34" s="12"/>
      <c r="M34" s="12"/>
      <c r="N34" s="12"/>
    </row>
    <row r="35" spans="1:14" x14ac:dyDescent="0.3">
      <c r="A35" s="9" t="s">
        <v>246</v>
      </c>
      <c r="C35" s="10">
        <v>116</v>
      </c>
      <c r="D35" s="10">
        <v>196</v>
      </c>
      <c r="E35" s="10">
        <v>181</v>
      </c>
      <c r="M35" s="116"/>
      <c r="N35" s="116"/>
    </row>
    <row r="36" spans="1:14" x14ac:dyDescent="0.3">
      <c r="A36" s="3" t="s">
        <v>259</v>
      </c>
      <c r="B36" s="19"/>
      <c r="C36" s="25">
        <v>-95312</v>
      </c>
      <c r="D36" s="25">
        <v>-23374</v>
      </c>
      <c r="E36" s="25">
        <v>-73118</v>
      </c>
      <c r="L36" s="12"/>
      <c r="M36" s="12"/>
      <c r="N36" s="12"/>
    </row>
    <row r="37" spans="1:14" x14ac:dyDescent="0.3">
      <c r="A37" s="3" t="s">
        <v>260</v>
      </c>
    </row>
    <row r="38" spans="1:14" x14ac:dyDescent="0.3">
      <c r="A38" s="9" t="s">
        <v>261</v>
      </c>
      <c r="C38" s="10">
        <v>-5352</v>
      </c>
      <c r="D38" s="10">
        <v>-5447</v>
      </c>
      <c r="E38" s="10">
        <v>-5020</v>
      </c>
    </row>
    <row r="39" spans="1:14" x14ac:dyDescent="0.3">
      <c r="A39" s="9" t="s">
        <v>262</v>
      </c>
      <c r="C39" s="10">
        <v>2995</v>
      </c>
      <c r="D39" s="10">
        <v>1496</v>
      </c>
      <c r="E39" s="10">
        <v>0</v>
      </c>
    </row>
    <row r="40" spans="1:14" x14ac:dyDescent="0.3">
      <c r="A40" s="9" t="s">
        <v>263</v>
      </c>
      <c r="C40" s="10">
        <v>-1500</v>
      </c>
      <c r="D40" s="10">
        <v>-1980</v>
      </c>
      <c r="E40" s="10">
        <v>-793</v>
      </c>
    </row>
    <row r="41" spans="1:14" x14ac:dyDescent="0.3">
      <c r="A41" s="9" t="s">
        <v>264</v>
      </c>
      <c r="C41" s="10">
        <v>-2925</v>
      </c>
      <c r="D41" s="10">
        <v>-17571</v>
      </c>
      <c r="E41" s="10">
        <v>-14433</v>
      </c>
    </row>
    <row r="42" spans="1:14" x14ac:dyDescent="0.3">
      <c r="A42" s="9" t="s">
        <v>265</v>
      </c>
      <c r="C42" s="10">
        <v>-411</v>
      </c>
      <c r="D42" s="10">
        <v>-364</v>
      </c>
      <c r="E42" s="10">
        <v>-482</v>
      </c>
    </row>
    <row r="43" spans="1:14" x14ac:dyDescent="0.3">
      <c r="A43" s="9" t="s">
        <v>266</v>
      </c>
      <c r="C43" s="10">
        <v>33186</v>
      </c>
      <c r="D43" s="10">
        <v>-11429</v>
      </c>
      <c r="E43" s="10">
        <v>21491</v>
      </c>
    </row>
    <row r="44" spans="1:14" x14ac:dyDescent="0.3">
      <c r="A44" s="9" t="s">
        <v>267</v>
      </c>
      <c r="C44" s="10">
        <v>76458</v>
      </c>
      <c r="D44" s="10">
        <v>59134</v>
      </c>
      <c r="E44" s="10">
        <v>60655</v>
      </c>
    </row>
    <row r="45" spans="1:14" x14ac:dyDescent="0.3">
      <c r="A45" s="9" t="s">
        <v>268</v>
      </c>
      <c r="C45" s="10">
        <v>-63402</v>
      </c>
      <c r="D45" s="10">
        <v>-51029</v>
      </c>
      <c r="E45" s="10">
        <v>-58132</v>
      </c>
    </row>
    <row r="46" spans="1:14" x14ac:dyDescent="0.3">
      <c r="A46" s="9" t="s">
        <v>269</v>
      </c>
      <c r="C46" s="10">
        <v>210081</v>
      </c>
      <c r="D46" s="10">
        <v>57420</v>
      </c>
      <c r="E46" s="10">
        <v>53348</v>
      </c>
    </row>
    <row r="47" spans="1:14" x14ac:dyDescent="0.3">
      <c r="A47" s="9" t="s">
        <v>270</v>
      </c>
      <c r="C47" s="10">
        <v>-15535</v>
      </c>
      <c r="E47" s="10">
        <v>-12106</v>
      </c>
    </row>
    <row r="48" spans="1:14" x14ac:dyDescent="0.3">
      <c r="A48" s="9" t="s">
        <v>270</v>
      </c>
      <c r="D48" s="10">
        <v>12703</v>
      </c>
    </row>
    <row r="49" spans="1:5" x14ac:dyDescent="0.3">
      <c r="A49" s="9" t="s">
        <v>271</v>
      </c>
      <c r="C49" s="10">
        <v>233595</v>
      </c>
      <c r="D49" s="10">
        <v>42933</v>
      </c>
      <c r="E49" s="10">
        <v>44528</v>
      </c>
    </row>
    <row r="50" spans="1:5" x14ac:dyDescent="0.3">
      <c r="A50" s="9" t="s">
        <v>272</v>
      </c>
      <c r="C50" s="10">
        <v>-1966</v>
      </c>
      <c r="D50" s="10">
        <v>-908</v>
      </c>
      <c r="E50" s="10">
        <v>-773</v>
      </c>
    </row>
    <row r="51" spans="1:5" x14ac:dyDescent="0.3">
      <c r="A51" s="9" t="s">
        <v>273</v>
      </c>
      <c r="C51" s="10">
        <v>115696</v>
      </c>
      <c r="D51" s="10">
        <v>5814</v>
      </c>
      <c r="E51" s="10">
        <v>7589</v>
      </c>
    </row>
    <row r="52" spans="1:5" x14ac:dyDescent="0.3">
      <c r="A52" s="9" t="s">
        <v>274</v>
      </c>
      <c r="C52" s="10">
        <v>193919</v>
      </c>
      <c r="D52" s="10">
        <v>188105</v>
      </c>
      <c r="E52" s="10">
        <v>180516</v>
      </c>
    </row>
    <row r="53" spans="1:5" x14ac:dyDescent="0.3">
      <c r="A53" s="9" t="s">
        <v>275</v>
      </c>
      <c r="C53" s="10">
        <v>309615</v>
      </c>
      <c r="D53" s="10">
        <v>193919</v>
      </c>
      <c r="E53" s="10">
        <v>188105</v>
      </c>
    </row>
    <row r="54" spans="1:5" x14ac:dyDescent="0.3">
      <c r="A54" s="9" t="s">
        <v>276</v>
      </c>
      <c r="C54" s="10">
        <v>309615</v>
      </c>
      <c r="D54" s="10">
        <v>188105</v>
      </c>
      <c r="E54" s="10">
        <v>188105</v>
      </c>
    </row>
    <row r="55" spans="1:5" x14ac:dyDescent="0.3">
      <c r="A55" s="3" t="s">
        <v>277</v>
      </c>
    </row>
    <row r="56" spans="1:5" x14ac:dyDescent="0.3">
      <c r="A56" s="9" t="s">
        <v>278</v>
      </c>
      <c r="C56" s="10">
        <v>4797</v>
      </c>
      <c r="D56" s="10">
        <v>4888</v>
      </c>
      <c r="E56" s="10">
        <v>4313</v>
      </c>
    </row>
    <row r="57" spans="1:5" x14ac:dyDescent="0.3">
      <c r="A57" s="9" t="s">
        <v>279</v>
      </c>
      <c r="C57" s="10">
        <v>13298</v>
      </c>
      <c r="D57" s="10">
        <v>28682</v>
      </c>
      <c r="E57" s="10">
        <v>22963</v>
      </c>
    </row>
    <row r="58" spans="1:5" x14ac:dyDescent="0.3">
      <c r="A58" s="3" t="s">
        <v>280</v>
      </c>
    </row>
    <row r="59" spans="1:5" x14ac:dyDescent="0.3">
      <c r="A59" s="9" t="s">
        <v>281</v>
      </c>
      <c r="B59" s="9" t="s">
        <v>223</v>
      </c>
      <c r="C59" s="5">
        <v>2614</v>
      </c>
      <c r="D59" s="5">
        <v>5500</v>
      </c>
      <c r="E59" s="5">
        <v>4200</v>
      </c>
    </row>
    <row r="60" spans="1:5" x14ac:dyDescent="0.3">
      <c r="A60" s="250"/>
      <c r="B60" s="250"/>
      <c r="C60" s="250"/>
      <c r="D60" s="250"/>
    </row>
    <row r="61" spans="1:5" x14ac:dyDescent="0.3">
      <c r="A61" s="9" t="s">
        <v>194</v>
      </c>
      <c r="B61" s="277" t="s">
        <v>282</v>
      </c>
      <c r="C61" s="250"/>
      <c r="D61" s="250"/>
    </row>
    <row r="62" spans="1:5" x14ac:dyDescent="0.3">
      <c r="A62" s="9" t="s">
        <v>223</v>
      </c>
      <c r="B62" s="277" t="s">
        <v>283</v>
      </c>
      <c r="C62" s="250"/>
      <c r="D62" s="250"/>
    </row>
    <row r="64" spans="1:5" x14ac:dyDescent="0.3">
      <c r="A64" s="154" t="s">
        <v>382</v>
      </c>
      <c r="B64" s="164"/>
      <c r="C64" s="164">
        <f xml:space="preserve"> C56/ (C56 +C6)</f>
        <v>0.30276445342085334</v>
      </c>
      <c r="D64" s="164">
        <f t="shared" ref="D64:E64" si="5" xml:space="preserve"> D56/ (D56 +D6)</f>
        <v>0.20124336119230929</v>
      </c>
      <c r="E64" s="164">
        <f t="shared" si="5"/>
        <v>0.19290634224885947</v>
      </c>
    </row>
  </sheetData>
  <mergeCells count="8">
    <mergeCell ref="A60:D60"/>
    <mergeCell ref="B61:D61"/>
    <mergeCell ref="B62:D62"/>
    <mergeCell ref="K1:L2"/>
    <mergeCell ref="M1:O1"/>
    <mergeCell ref="K25:O25"/>
    <mergeCell ref="A1:B2"/>
    <mergeCell ref="C1:E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D3BE0-88DC-42EF-A6F9-D9DE8FF9418A}">
  <sheetPr codeName="Sheet14"/>
  <dimension ref="A1:P21"/>
  <sheetViews>
    <sheetView workbookViewId="0">
      <selection activeCell="K16" sqref="K16"/>
    </sheetView>
  </sheetViews>
  <sheetFormatPr defaultRowHeight="14.4" x14ac:dyDescent="0.3"/>
  <cols>
    <col min="1" max="1" width="31" customWidth="1"/>
    <col min="2" max="2" width="16.6640625" customWidth="1"/>
    <col min="3" max="3" width="12.77734375" customWidth="1"/>
    <col min="4" max="4" width="12.21875" customWidth="1"/>
    <col min="10" max="10" width="14.88671875" customWidth="1"/>
    <col min="11" max="11" width="12" bestFit="1" customWidth="1"/>
  </cols>
  <sheetData>
    <row r="1" spans="1:16" s="268" customFormat="1" ht="36" customHeight="1" x14ac:dyDescent="0.3">
      <c r="A1" s="268" t="s">
        <v>417</v>
      </c>
    </row>
    <row r="2" spans="1:16" ht="15" thickBot="1" x14ac:dyDescent="0.35"/>
    <row r="3" spans="1:16" x14ac:dyDescent="0.3">
      <c r="A3" s="144" t="s">
        <v>395</v>
      </c>
      <c r="B3" s="145">
        <f xml:space="preserve"> CITI_cash_flow!M32</f>
        <v>4995.9379142821854</v>
      </c>
      <c r="C3" s="132"/>
      <c r="D3" s="132"/>
      <c r="E3" s="132"/>
      <c r="F3" s="132"/>
      <c r="G3" s="132"/>
      <c r="H3" s="32"/>
      <c r="I3" s="32"/>
      <c r="J3" s="144" t="s">
        <v>405</v>
      </c>
      <c r="K3" s="137">
        <f>CITI_cash_flow!L32</f>
        <v>-14745.161701590509</v>
      </c>
      <c r="L3" s="132"/>
      <c r="M3" s="132"/>
      <c r="N3" s="132"/>
      <c r="O3" s="132"/>
      <c r="P3" s="132"/>
    </row>
    <row r="4" spans="1:16" x14ac:dyDescent="0.3">
      <c r="A4" s="141" t="s">
        <v>387</v>
      </c>
      <c r="B4" s="146">
        <v>0.08</v>
      </c>
      <c r="C4" s="133"/>
      <c r="D4" s="133"/>
      <c r="E4" s="133"/>
      <c r="F4" s="133"/>
      <c r="G4" s="133"/>
      <c r="H4" s="32"/>
      <c r="I4" s="32"/>
      <c r="J4" s="141" t="s">
        <v>387</v>
      </c>
      <c r="K4" s="146">
        <v>0.08</v>
      </c>
      <c r="L4" s="133"/>
      <c r="M4" s="133"/>
      <c r="N4" s="133"/>
      <c r="O4" s="133"/>
      <c r="P4" s="133"/>
    </row>
    <row r="5" spans="1:16" x14ac:dyDescent="0.3">
      <c r="A5" s="141" t="s">
        <v>388</v>
      </c>
      <c r="B5" s="146">
        <v>0.05</v>
      </c>
      <c r="C5" s="133"/>
      <c r="D5" s="133"/>
      <c r="E5" s="133"/>
      <c r="F5" s="133"/>
      <c r="G5" s="133"/>
      <c r="H5" s="32"/>
      <c r="I5" s="32"/>
      <c r="J5" s="141" t="s">
        <v>388</v>
      </c>
      <c r="K5" s="146">
        <v>0.05</v>
      </c>
      <c r="L5" s="133"/>
      <c r="M5" s="133"/>
      <c r="N5" s="133"/>
      <c r="O5" s="133"/>
      <c r="P5" s="133"/>
    </row>
    <row r="6" spans="1:16" x14ac:dyDescent="0.3">
      <c r="A6" s="141" t="s">
        <v>389</v>
      </c>
      <c r="B6" s="147">
        <f xml:space="preserve"> task1_wacc_final!B63</f>
        <v>0.73141041995616585</v>
      </c>
      <c r="C6" s="133"/>
      <c r="D6" s="133"/>
      <c r="E6" s="133"/>
      <c r="F6" s="133"/>
      <c r="G6" s="133"/>
      <c r="H6" s="32"/>
      <c r="I6" s="32"/>
      <c r="J6" s="141" t="s">
        <v>389</v>
      </c>
      <c r="K6" s="147">
        <f>task1_wacc_final!R63</f>
        <v>0.41626596362458784</v>
      </c>
      <c r="L6" s="133"/>
      <c r="M6" s="133"/>
      <c r="N6" s="133"/>
      <c r="O6" s="133"/>
      <c r="P6" s="133"/>
    </row>
    <row r="7" spans="1:16" ht="15" thickBot="1" x14ac:dyDescent="0.35">
      <c r="A7" s="133"/>
      <c r="B7" s="133"/>
      <c r="C7" s="133"/>
      <c r="D7" s="133"/>
      <c r="E7" s="133"/>
      <c r="F7" s="133"/>
      <c r="G7" s="133"/>
      <c r="H7" s="32"/>
      <c r="I7" s="32"/>
      <c r="J7" s="141"/>
      <c r="K7" s="141"/>
      <c r="L7" s="133"/>
      <c r="M7" s="133"/>
      <c r="N7" s="133"/>
      <c r="O7" s="133"/>
      <c r="P7" s="133"/>
    </row>
    <row r="8" spans="1:16" ht="15" thickBot="1" x14ac:dyDescent="0.35">
      <c r="A8" s="142" t="s">
        <v>390</v>
      </c>
      <c r="B8" s="142">
        <v>2019</v>
      </c>
      <c r="C8" s="142">
        <v>2020</v>
      </c>
      <c r="D8" s="142">
        <v>2021</v>
      </c>
      <c r="E8" s="142">
        <v>2022</v>
      </c>
      <c r="F8" s="142">
        <v>2023</v>
      </c>
      <c r="G8" s="142">
        <v>2024</v>
      </c>
      <c r="H8" s="32"/>
      <c r="I8" s="32"/>
      <c r="J8" s="142" t="s">
        <v>390</v>
      </c>
      <c r="K8" s="142">
        <v>2020</v>
      </c>
      <c r="L8" s="142">
        <v>2021</v>
      </c>
      <c r="M8" s="142">
        <v>2022</v>
      </c>
      <c r="N8" s="142">
        <v>2023</v>
      </c>
      <c r="O8" s="142">
        <v>2024</v>
      </c>
      <c r="P8" s="142">
        <v>2025</v>
      </c>
    </row>
    <row r="9" spans="1:16" x14ac:dyDescent="0.3">
      <c r="A9" s="133"/>
      <c r="B9" s="247">
        <f>B3</f>
        <v>4995.9379142821854</v>
      </c>
      <c r="C9" s="141">
        <f xml:space="preserve"> B9 * (1 +$B$3)</f>
        <v>24964391.581276514</v>
      </c>
      <c r="D9" s="141">
        <f t="shared" ref="D9:G9" si="0" xml:space="preserve"> C9 * (1 +$B$3)</f>
        <v>124745514799.46761</v>
      </c>
      <c r="E9" s="141">
        <f t="shared" si="0"/>
        <v>623345592538109.13</v>
      </c>
      <c r="F9" s="141">
        <f t="shared" si="0"/>
        <v>3.1148192250543718E+18</v>
      </c>
      <c r="G9" s="141">
        <f t="shared" si="0"/>
        <v>1.5564558281809246E+22</v>
      </c>
      <c r="H9" s="32"/>
      <c r="I9" s="32"/>
      <c r="J9" s="133"/>
      <c r="K9" s="140">
        <f xml:space="preserve"> CITI_cash_flow!L32</f>
        <v>-14745.161701590509</v>
      </c>
      <c r="L9" s="133">
        <f xml:space="preserve"> K9 * (1 +$B$3)</f>
        <v>-73680657.558899239</v>
      </c>
      <c r="M9" s="133">
        <f t="shared" ref="M9:P9" si="1" xml:space="preserve"> L9 * (1 +$B$3)</f>
        <v>-368177671305.30591</v>
      </c>
      <c r="N9" s="133">
        <f t="shared" si="1"/>
        <v>-1839760964937607.3</v>
      </c>
      <c r="O9" s="133">
        <f t="shared" si="1"/>
        <v>-9.193171318913108E+18</v>
      </c>
      <c r="P9" s="133">
        <f t="shared" si="1"/>
        <v>-4.593770631596847E+22</v>
      </c>
    </row>
    <row r="10" spans="1:16" x14ac:dyDescent="0.3">
      <c r="A10" s="133" t="s">
        <v>391</v>
      </c>
      <c r="B10" s="133"/>
      <c r="C10" s="133">
        <v>0.5</v>
      </c>
      <c r="D10" s="133">
        <v>1.5</v>
      </c>
      <c r="E10" s="133">
        <v>2.5</v>
      </c>
      <c r="F10" s="133">
        <v>3.5</v>
      </c>
      <c r="G10" s="133">
        <v>4.5</v>
      </c>
      <c r="H10" s="32"/>
      <c r="I10" s="32"/>
      <c r="J10" s="133" t="s">
        <v>391</v>
      </c>
      <c r="K10" s="133"/>
      <c r="L10" s="133">
        <v>0.5</v>
      </c>
      <c r="M10" s="133">
        <v>1.5</v>
      </c>
      <c r="N10" s="133">
        <v>2.5</v>
      </c>
      <c r="O10" s="133">
        <v>3.5</v>
      </c>
      <c r="P10" s="133">
        <v>4.5</v>
      </c>
    </row>
    <row r="11" spans="1:16" x14ac:dyDescent="0.3">
      <c r="A11" s="133" t="s">
        <v>392</v>
      </c>
      <c r="B11" s="133"/>
      <c r="C11" s="133">
        <f>1/(1 + $B$5)^C10</f>
        <v>0.97590007294853309</v>
      </c>
      <c r="D11" s="133">
        <f t="shared" ref="D11:G11" si="2">1/(1 + $B$5)^D10</f>
        <v>0.92942864090336497</v>
      </c>
      <c r="E11" s="133">
        <f t="shared" si="2"/>
        <v>0.88517013419368074</v>
      </c>
      <c r="F11" s="133">
        <f t="shared" si="2"/>
        <v>0.843019175422553</v>
      </c>
      <c r="G11" s="133">
        <f t="shared" si="2"/>
        <v>0.80287540516433631</v>
      </c>
      <c r="H11" s="32"/>
      <c r="I11" s="32"/>
      <c r="J11" s="133" t="s">
        <v>392</v>
      </c>
      <c r="K11" s="133"/>
      <c r="L11" s="133">
        <f>1/(1 + $B$5)^L10</f>
        <v>0.97590007294853309</v>
      </c>
      <c r="M11" s="133">
        <f t="shared" ref="M11:P11" si="3">1/(1 + $B$5)^M10</f>
        <v>0.92942864090336497</v>
      </c>
      <c r="N11" s="133">
        <f t="shared" si="3"/>
        <v>0.88517013419368074</v>
      </c>
      <c r="O11" s="133">
        <f t="shared" si="3"/>
        <v>0.843019175422553</v>
      </c>
      <c r="P11" s="133">
        <f t="shared" si="3"/>
        <v>0.80287540516433631</v>
      </c>
    </row>
    <row r="12" spans="1:16" x14ac:dyDescent="0.3">
      <c r="A12" s="133" t="s">
        <v>393</v>
      </c>
      <c r="B12" s="133"/>
      <c r="C12" s="133">
        <f>C9 *C11</f>
        <v>24362751.565283496</v>
      </c>
      <c r="D12" s="133">
        <f t="shared" ref="D12:G12" si="4">D9 *D11</f>
        <v>115942054278.85977</v>
      </c>
      <c r="E12" s="133">
        <f t="shared" si="4"/>
        <v>551766901795997.5</v>
      </c>
      <c r="F12" s="133">
        <f t="shared" si="4"/>
        <v>2.6258523346956518E+18</v>
      </c>
      <c r="G12" s="133">
        <f t="shared" si="4"/>
        <v>1.2496401036711526E+22</v>
      </c>
      <c r="H12" s="32"/>
      <c r="I12" s="32"/>
      <c r="J12" s="133" t="s">
        <v>393</v>
      </c>
      <c r="K12" s="133"/>
      <c r="L12" s="133">
        <f>L9 *L11</f>
        <v>-71904959.086625651</v>
      </c>
      <c r="M12" s="133">
        <f t="shared" ref="M12:P12" si="5">M9 *M11</f>
        <v>-342194872652.25629</v>
      </c>
      <c r="N12" s="133">
        <f t="shared" si="5"/>
        <v>-1628501460218117.3</v>
      </c>
      <c r="O12" s="133">
        <f t="shared" si="5"/>
        <v>-7.7500197047883919E+18</v>
      </c>
      <c r="P12" s="133">
        <f t="shared" si="5"/>
        <v>-3.6882254570753477E+22</v>
      </c>
    </row>
    <row r="13" spans="1:16" x14ac:dyDescent="0.3">
      <c r="A13" s="141" t="s">
        <v>396</v>
      </c>
      <c r="B13" s="141"/>
      <c r="C13" s="141"/>
      <c r="D13" s="141"/>
      <c r="E13" s="141"/>
      <c r="F13" s="141"/>
      <c r="G13" s="141">
        <f>G9 *(1 +B5)/(B6-B5)</f>
        <v>2.3983763261135656E+22</v>
      </c>
      <c r="H13" s="32"/>
      <c r="I13" s="32"/>
      <c r="J13" s="133" t="s">
        <v>396</v>
      </c>
      <c r="K13" s="133"/>
      <c r="L13" s="133"/>
      <c r="M13" s="133"/>
      <c r="N13" s="133"/>
      <c r="O13" s="133"/>
      <c r="P13" s="133">
        <f>P9 *(1 +K5)/(K6-K5)</f>
        <v>-1.3169280365129961E+23</v>
      </c>
    </row>
    <row r="14" spans="1:16" x14ac:dyDescent="0.3">
      <c r="A14" s="141" t="s">
        <v>397</v>
      </c>
      <c r="B14" s="141"/>
      <c r="C14" s="141">
        <f xml:space="preserve"> C9</f>
        <v>24964391.581276514</v>
      </c>
      <c r="D14" s="141">
        <f>D9</f>
        <v>124745514799.46761</v>
      </c>
      <c r="E14" s="141">
        <f>E9</f>
        <v>623345592538109.13</v>
      </c>
      <c r="F14" s="141">
        <f>F9</f>
        <v>3.1148192250543718E+18</v>
      </c>
      <c r="G14" s="141">
        <f>SUM(G9, G13)</f>
        <v>3.9548321542944904E+22</v>
      </c>
      <c r="H14" s="32"/>
      <c r="I14" s="32"/>
      <c r="J14" s="141" t="s">
        <v>397</v>
      </c>
      <c r="K14" s="141"/>
      <c r="L14" s="141">
        <f xml:space="preserve"> L9</f>
        <v>-73680657.558899239</v>
      </c>
      <c r="M14" s="141">
        <f>M9</f>
        <v>-368177671305.30591</v>
      </c>
      <c r="N14" s="141">
        <f>N9</f>
        <v>-1839760964937607.3</v>
      </c>
      <c r="O14" s="141">
        <f>O9</f>
        <v>-9.193171318913108E+18</v>
      </c>
      <c r="P14" s="141">
        <f>SUM(P9, P13)</f>
        <v>-1.7763050996726808E+23</v>
      </c>
    </row>
    <row r="15" spans="1:16" ht="15" thickBot="1" x14ac:dyDescent="0.35">
      <c r="A15" s="133"/>
      <c r="B15" s="133"/>
      <c r="C15" s="133"/>
      <c r="D15" s="133"/>
      <c r="E15" s="133"/>
      <c r="F15" s="133"/>
      <c r="G15" s="133"/>
      <c r="H15" s="32"/>
      <c r="I15" s="32"/>
      <c r="J15" s="133"/>
      <c r="K15" s="133"/>
      <c r="L15" s="133"/>
      <c r="M15" s="133"/>
      <c r="N15" s="133"/>
      <c r="O15" s="133"/>
      <c r="P15" s="133"/>
    </row>
    <row r="16" spans="1:16" ht="15" thickBot="1" x14ac:dyDescent="0.35">
      <c r="A16" s="142" t="s">
        <v>394</v>
      </c>
      <c r="B16" s="142">
        <f>NPV(B6,C14:G14)*(1+ B6)^0.5</f>
        <v>3.3449310883453762E+21</v>
      </c>
      <c r="C16" s="143"/>
      <c r="D16" s="142"/>
      <c r="E16" s="142"/>
      <c r="F16" s="142"/>
      <c r="G16" s="142"/>
      <c r="H16" s="32"/>
      <c r="I16" s="32"/>
      <c r="J16" s="142" t="s">
        <v>394</v>
      </c>
      <c r="K16" s="142">
        <f>NPV(K6,L14:P14)*(1+ K6)^0.5</f>
        <v>-3.7102034248183304E+22</v>
      </c>
      <c r="L16" s="143"/>
      <c r="M16" s="142"/>
      <c r="N16" s="142"/>
      <c r="O16" s="142"/>
      <c r="P16" s="142"/>
    </row>
    <row r="17" spans="1:16" ht="153" thickBot="1" x14ac:dyDescent="0.35">
      <c r="A17" s="168" t="s">
        <v>401</v>
      </c>
      <c r="B17" s="169">
        <f xml:space="preserve"> 'CITI_blance sheet'!I11</f>
        <v>806389</v>
      </c>
      <c r="C17" s="170"/>
      <c r="D17" s="170"/>
      <c r="E17" s="170"/>
      <c r="F17" s="170"/>
      <c r="G17" s="170"/>
      <c r="H17" s="32"/>
      <c r="I17" s="32"/>
      <c r="J17" s="168" t="s">
        <v>401</v>
      </c>
      <c r="K17" s="169">
        <f>'CITI_blance sheet'!H11</f>
        <v>1044635</v>
      </c>
      <c r="L17" s="170"/>
      <c r="M17" s="170"/>
      <c r="N17" s="170"/>
      <c r="O17" s="170"/>
      <c r="P17" s="170"/>
    </row>
    <row r="18" spans="1:16" ht="15" thickBot="1" x14ac:dyDescent="0.35">
      <c r="A18" s="171" t="s">
        <v>404</v>
      </c>
      <c r="B18" s="169">
        <f xml:space="preserve"> -'CITI_blance sheet'!I24</f>
        <v>411352</v>
      </c>
      <c r="C18" s="170"/>
      <c r="D18" s="170"/>
      <c r="E18" s="169"/>
      <c r="F18" s="170"/>
      <c r="G18" s="170"/>
      <c r="H18" s="32"/>
      <c r="I18" s="32"/>
      <c r="J18" s="172" t="s">
        <v>398</v>
      </c>
      <c r="K18" s="173">
        <f xml:space="preserve"> -'CITI_blance sheet'!H24</f>
        <v>645202</v>
      </c>
      <c r="L18" s="174"/>
      <c r="M18" s="174"/>
      <c r="N18" s="173"/>
      <c r="O18" s="174"/>
      <c r="P18" s="174"/>
    </row>
    <row r="19" spans="1:16" ht="15" thickBot="1" x14ac:dyDescent="0.35">
      <c r="A19" s="171" t="s">
        <v>399</v>
      </c>
      <c r="B19" s="170">
        <f xml:space="preserve"> SUM(B16:B18)</f>
        <v>3.3449310883453778E+21</v>
      </c>
      <c r="C19" s="170"/>
      <c r="D19" s="170"/>
      <c r="E19" s="169"/>
      <c r="F19" s="170"/>
      <c r="G19" s="170"/>
      <c r="H19" s="32"/>
      <c r="I19" s="32"/>
      <c r="J19" s="171" t="s">
        <v>399</v>
      </c>
      <c r="K19" s="170">
        <f xml:space="preserve"> SUM(K16:K18)</f>
        <v>-3.7102034248183304E+22</v>
      </c>
      <c r="L19" s="170"/>
      <c r="M19" s="170"/>
      <c r="N19" s="169"/>
      <c r="O19" s="170"/>
      <c r="P19" s="170"/>
    </row>
    <row r="20" spans="1:16" ht="15" thickBot="1" x14ac:dyDescent="0.35">
      <c r="A20" s="171" t="s">
        <v>400</v>
      </c>
      <c r="B20" s="170">
        <f>B19/1000000</f>
        <v>3344931088345378</v>
      </c>
      <c r="C20" s="170"/>
      <c r="D20" s="170"/>
      <c r="E20" s="170"/>
      <c r="F20" s="170"/>
      <c r="G20" s="170"/>
      <c r="H20" s="32"/>
      <c r="I20" s="32"/>
      <c r="J20" s="171" t="s">
        <v>400</v>
      </c>
      <c r="K20" s="170">
        <f xml:space="preserve"> K19/1000000</f>
        <v>-3.7102034248183304E+16</v>
      </c>
      <c r="L20" s="170"/>
      <c r="M20" s="170"/>
      <c r="N20" s="170"/>
      <c r="O20" s="170"/>
      <c r="P20" s="170"/>
    </row>
    <row r="21" spans="1:16" ht="15" thickBot="1" x14ac:dyDescent="0.35">
      <c r="A21" s="136"/>
      <c r="B21" s="136"/>
      <c r="C21" s="136"/>
      <c r="D21" s="136"/>
      <c r="E21" s="136"/>
      <c r="F21" s="136"/>
      <c r="G21" s="136"/>
      <c r="H21" s="32"/>
      <c r="I21" s="32"/>
      <c r="J21" s="136"/>
      <c r="K21" s="136"/>
      <c r="L21" s="136"/>
      <c r="M21" s="136"/>
      <c r="N21" s="136"/>
      <c r="O21" s="136"/>
      <c r="P21" s="136"/>
    </row>
  </sheetData>
  <mergeCells count="1">
    <mergeCell ref="A1:XFD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DA286-9AD9-4085-87D9-5C9B4E5DC833}">
  <sheetPr codeName="Sheet8"/>
  <dimension ref="A1:AF71"/>
  <sheetViews>
    <sheetView topLeftCell="A47" workbookViewId="0">
      <selection activeCell="S21" sqref="S21"/>
    </sheetView>
  </sheetViews>
  <sheetFormatPr defaultRowHeight="14.4" x14ac:dyDescent="0.3"/>
  <cols>
    <col min="1" max="2" width="12.33203125" customWidth="1"/>
    <col min="3" max="3" width="15.109375" customWidth="1"/>
    <col min="4" max="4" width="15.6640625" customWidth="1"/>
    <col min="5" max="5" width="9" bestFit="1" customWidth="1"/>
    <col min="6" max="6" width="10" bestFit="1" customWidth="1"/>
    <col min="7" max="7" width="12.44140625" customWidth="1"/>
    <col min="8" max="8" width="13.109375" customWidth="1"/>
    <col min="17" max="17" width="58.21875" customWidth="1"/>
    <col min="18" max="18" width="18.77734375" customWidth="1"/>
    <col min="19" max="19" width="48.44140625" customWidth="1"/>
    <col min="20" max="20" width="14.44140625" customWidth="1"/>
    <col min="21" max="21" width="12.77734375" customWidth="1"/>
    <col min="22" max="22" width="16" customWidth="1"/>
  </cols>
  <sheetData>
    <row r="1" spans="1:32" s="50" customFormat="1" ht="30.6" customHeight="1" x14ac:dyDescent="0.3">
      <c r="A1" s="282" t="s">
        <v>460</v>
      </c>
      <c r="B1" s="283"/>
      <c r="C1" s="283"/>
      <c r="D1" s="283"/>
      <c r="E1" s="283"/>
      <c r="F1" s="283"/>
      <c r="G1" s="283"/>
      <c r="H1" s="283"/>
      <c r="I1" s="283"/>
    </row>
    <row r="2" spans="1:32" s="49" customFormat="1" ht="15" thickBot="1" x14ac:dyDescent="0.35">
      <c r="A2" s="92" t="s">
        <v>292</v>
      </c>
      <c r="F2" s="92" t="s">
        <v>339</v>
      </c>
      <c r="Q2" s="92" t="s">
        <v>345</v>
      </c>
      <c r="R2" s="92" t="s">
        <v>347</v>
      </c>
      <c r="T2" s="92" t="s">
        <v>346</v>
      </c>
      <c r="U2" s="92" t="s">
        <v>344</v>
      </c>
      <c r="V2" s="92" t="s">
        <v>339</v>
      </c>
    </row>
    <row r="3" spans="1:32" x14ac:dyDescent="0.3">
      <c r="A3" s="19" t="s">
        <v>461</v>
      </c>
      <c r="B3" s="51" t="s">
        <v>284</v>
      </c>
      <c r="C3" s="36">
        <v>311200000000</v>
      </c>
      <c r="D3" s="37" t="s">
        <v>459</v>
      </c>
      <c r="E3" s="198">
        <v>311200</v>
      </c>
      <c r="F3">
        <f xml:space="preserve"> 1000*E3</f>
        <v>311200000</v>
      </c>
      <c r="G3" t="s">
        <v>340</v>
      </c>
      <c r="Q3" s="6" t="s">
        <v>293</v>
      </c>
      <c r="R3" s="94" t="s">
        <v>290</v>
      </c>
      <c r="S3" s="95">
        <v>262200000000</v>
      </c>
      <c r="T3" s="76" t="s">
        <v>294</v>
      </c>
      <c r="U3" s="7">
        <f>W4</f>
        <v>262200</v>
      </c>
      <c r="V3" s="76" t="s">
        <v>342</v>
      </c>
      <c r="W3" s="76" t="s">
        <v>343</v>
      </c>
      <c r="X3" s="60"/>
      <c r="Y3" s="63"/>
      <c r="Z3" s="268" t="s">
        <v>370</v>
      </c>
      <c r="AA3" s="268"/>
      <c r="AB3" s="268"/>
      <c r="AC3" s="268"/>
      <c r="AD3" s="268"/>
      <c r="AE3" s="268"/>
      <c r="AF3" s="268"/>
    </row>
    <row r="4" spans="1:32" x14ac:dyDescent="0.3">
      <c r="A4" s="19" t="s">
        <v>295</v>
      </c>
      <c r="B4" s="52">
        <f>'BAC__Balance sheet '!H23</f>
        <v>1260609</v>
      </c>
      <c r="D4" t="s">
        <v>296</v>
      </c>
      <c r="F4">
        <f xml:space="preserve"> 311.2 * 1000</f>
        <v>311200</v>
      </c>
      <c r="Q4" s="39" t="s">
        <v>295</v>
      </c>
      <c r="R4" s="96">
        <f>'BAC__Balance sheet '!G23</f>
        <v>1176802</v>
      </c>
      <c r="S4" s="81"/>
      <c r="T4" s="81" t="s">
        <v>296</v>
      </c>
      <c r="U4" s="81"/>
      <c r="V4" s="81">
        <v>262.2</v>
      </c>
      <c r="W4" s="81">
        <f>1000*V4</f>
        <v>262200</v>
      </c>
      <c r="X4" s="82"/>
      <c r="Y4" s="63"/>
      <c r="Z4" s="268"/>
      <c r="AA4" s="268"/>
      <c r="AB4" s="268"/>
      <c r="AC4" s="268"/>
      <c r="AD4" s="268"/>
      <c r="AE4" s="268"/>
      <c r="AF4" s="268"/>
    </row>
    <row r="5" spans="1:32" x14ac:dyDescent="0.3">
      <c r="A5" s="19" t="s">
        <v>285</v>
      </c>
      <c r="B5" s="48">
        <f>( BAC_Income_statement!C24)/ BAC_Income_statement!C23</f>
        <v>0.16254503266776577</v>
      </c>
      <c r="D5" t="s">
        <v>297</v>
      </c>
      <c r="Q5" s="39" t="s">
        <v>285</v>
      </c>
      <c r="R5" s="80">
        <f xml:space="preserve"> BAC_Income_statement!B24/BAC_Income_statement!B23</f>
        <v>5.7962621742563836E-2</v>
      </c>
      <c r="S5" s="81"/>
      <c r="T5" s="81" t="s">
        <v>297</v>
      </c>
      <c r="U5" s="81"/>
      <c r="V5" s="81"/>
      <c r="W5" s="81"/>
      <c r="X5" s="82"/>
      <c r="Y5" s="63"/>
      <c r="Z5" s="268"/>
      <c r="AA5" s="268"/>
      <c r="AB5" s="268"/>
      <c r="AC5" s="268"/>
      <c r="AD5" s="268"/>
      <c r="AE5" s="268"/>
      <c r="AF5" s="268"/>
    </row>
    <row r="6" spans="1:32" ht="19.2" customHeight="1" x14ac:dyDescent="0.3">
      <c r="A6" s="19" t="s">
        <v>300</v>
      </c>
      <c r="Q6" s="39" t="s">
        <v>300</v>
      </c>
      <c r="R6" s="81"/>
      <c r="S6" s="81"/>
      <c r="T6" s="81"/>
      <c r="U6" s="81"/>
      <c r="V6" s="81"/>
      <c r="W6" s="81"/>
      <c r="X6" s="82"/>
      <c r="Y6" s="63"/>
      <c r="Z6" s="268"/>
      <c r="AA6" s="268"/>
      <c r="AB6" s="268"/>
      <c r="AC6" s="268"/>
      <c r="AD6" s="268"/>
      <c r="AE6" s="268"/>
      <c r="AF6" s="268"/>
    </row>
    <row r="7" spans="1:32" ht="15" thickBot="1" x14ac:dyDescent="0.35">
      <c r="A7" s="89" t="s">
        <v>298</v>
      </c>
      <c r="Q7" s="90" t="s">
        <v>348</v>
      </c>
      <c r="R7" s="77"/>
      <c r="S7" s="77"/>
      <c r="T7" s="77"/>
      <c r="U7" s="77"/>
      <c r="V7" s="77"/>
      <c r="W7" s="77"/>
      <c r="X7" s="62"/>
      <c r="Y7" s="63"/>
      <c r="Z7" s="268"/>
      <c r="AA7" s="268"/>
      <c r="AB7" s="268"/>
      <c r="AC7" s="268"/>
      <c r="AD7" s="268"/>
      <c r="AE7" s="268"/>
      <c r="AF7" s="268"/>
    </row>
    <row r="8" spans="1:32" x14ac:dyDescent="0.3">
      <c r="A8" s="6" t="s">
        <v>286</v>
      </c>
      <c r="B8" s="8">
        <v>2019</v>
      </c>
      <c r="C8" s="38">
        <v>2018</v>
      </c>
      <c r="Q8" s="99" t="s">
        <v>286</v>
      </c>
      <c r="R8" s="100">
        <v>2020</v>
      </c>
      <c r="S8" s="101">
        <v>2019</v>
      </c>
      <c r="T8" s="102" t="s">
        <v>346</v>
      </c>
      <c r="U8" s="32"/>
      <c r="V8" s="32"/>
      <c r="W8" s="32"/>
      <c r="X8" s="32"/>
      <c r="Y8" s="63"/>
      <c r="Z8" s="268"/>
      <c r="AA8" s="268"/>
      <c r="AB8" s="268"/>
      <c r="AC8" s="268"/>
      <c r="AD8" s="268"/>
      <c r="AE8" s="268"/>
      <c r="AF8" s="268"/>
    </row>
    <row r="9" spans="1:32" x14ac:dyDescent="0.3">
      <c r="A9" s="39" t="s">
        <v>287</v>
      </c>
      <c r="B9" s="54">
        <f>'BAC__Balance sheet '!H23</f>
        <v>1260609</v>
      </c>
      <c r="C9" s="55">
        <f>'BAC__Balance sheet '!I23</f>
        <v>1182185</v>
      </c>
      <c r="D9" t="s">
        <v>296</v>
      </c>
      <c r="Q9" s="39" t="s">
        <v>287</v>
      </c>
      <c r="R9" s="54">
        <f>'BAC__Balance sheet '!G23</f>
        <v>1176802</v>
      </c>
      <c r="S9" s="55">
        <f>'BAC__Balance sheet '!H23</f>
        <v>1260609</v>
      </c>
      <c r="T9" s="97" t="s">
        <v>296</v>
      </c>
      <c r="U9" s="32"/>
      <c r="V9" s="32"/>
      <c r="W9" s="32"/>
      <c r="X9" s="32"/>
      <c r="Y9" s="63"/>
      <c r="Z9" s="268"/>
      <c r="AA9" s="268"/>
      <c r="AB9" s="268"/>
      <c r="AC9" s="268"/>
      <c r="AD9" s="268"/>
      <c r="AE9" s="268"/>
      <c r="AF9" s="268"/>
    </row>
    <row r="10" spans="1:32" x14ac:dyDescent="0.3">
      <c r="A10" s="20"/>
      <c r="B10" s="15"/>
      <c r="C10" s="42"/>
      <c r="Q10" s="20"/>
      <c r="R10" s="15"/>
      <c r="S10" s="42"/>
      <c r="T10" s="97"/>
      <c r="U10" s="32"/>
      <c r="V10" s="32"/>
      <c r="W10" s="32"/>
      <c r="X10" s="32"/>
      <c r="Y10" s="63"/>
      <c r="Z10" s="268"/>
      <c r="AA10" s="268"/>
      <c r="AB10" s="268"/>
      <c r="AC10" s="268"/>
      <c r="AD10" s="268"/>
      <c r="AE10" s="268"/>
      <c r="AF10" s="268"/>
    </row>
    <row r="11" spans="1:32" x14ac:dyDescent="0.3">
      <c r="A11" s="20" t="s">
        <v>288</v>
      </c>
      <c r="B11" s="21">
        <f>BAC_Income_statement!C5</f>
        <v>22345</v>
      </c>
      <c r="C11" s="41">
        <f>BAC_Income_statement!D5</f>
        <v>18607</v>
      </c>
      <c r="D11" t="s">
        <v>299</v>
      </c>
      <c r="Q11" s="20" t="s">
        <v>288</v>
      </c>
      <c r="R11" s="21">
        <f>BAC_Income_statement!B5</f>
        <v>8225</v>
      </c>
      <c r="S11" s="41">
        <f>BAC_Income_statement!C5</f>
        <v>22345</v>
      </c>
      <c r="T11" s="97" t="s">
        <v>299</v>
      </c>
      <c r="U11" s="32"/>
      <c r="V11" s="32"/>
      <c r="W11" s="32"/>
      <c r="X11" s="32"/>
      <c r="Z11" t="s">
        <v>369</v>
      </c>
    </row>
    <row r="12" spans="1:32" x14ac:dyDescent="0.3">
      <c r="A12" s="20"/>
      <c r="B12" s="40"/>
      <c r="C12" s="40"/>
      <c r="Q12" s="20"/>
      <c r="R12" s="40"/>
      <c r="S12" s="40"/>
      <c r="T12" s="97"/>
      <c r="U12" s="32"/>
      <c r="V12" s="32"/>
      <c r="W12" s="32"/>
      <c r="X12" s="32"/>
    </row>
    <row r="13" spans="1:32" x14ac:dyDescent="0.3">
      <c r="A13" s="56" t="s">
        <v>289</v>
      </c>
      <c r="B13" s="57">
        <f>B11/AVERAGE(B9:C9)</f>
        <v>1.829462492539281E-2</v>
      </c>
      <c r="C13" s="43"/>
      <c r="Q13" s="56" t="s">
        <v>289</v>
      </c>
      <c r="R13" s="57">
        <f>R11/AVERAGE(R9:S9)</f>
        <v>6.7489643724427274E-3</v>
      </c>
      <c r="S13" s="43"/>
      <c r="T13" s="97"/>
      <c r="U13" s="32"/>
      <c r="V13" s="32"/>
      <c r="W13" s="32"/>
      <c r="X13" s="32"/>
    </row>
    <row r="14" spans="1:32" x14ac:dyDescent="0.3">
      <c r="A14" s="20"/>
      <c r="B14" s="15"/>
      <c r="C14" s="42"/>
      <c r="Q14" s="20"/>
      <c r="R14" s="15"/>
      <c r="S14" s="42"/>
      <c r="T14" s="97"/>
      <c r="U14" s="32"/>
      <c r="V14" s="32"/>
      <c r="W14" s="32"/>
      <c r="X14" s="32"/>
    </row>
    <row r="15" spans="1:32" ht="15" thickBot="1" x14ac:dyDescent="0.35">
      <c r="A15" s="44"/>
      <c r="B15" s="45"/>
      <c r="C15" s="46"/>
      <c r="Q15" s="44"/>
      <c r="R15" s="45"/>
      <c r="S15" s="46"/>
      <c r="T15" s="98"/>
      <c r="U15" s="32"/>
      <c r="V15" s="32"/>
      <c r="W15" s="32"/>
      <c r="X15" s="32"/>
    </row>
    <row r="16" spans="1:32" ht="15" thickBot="1" x14ac:dyDescent="0.35">
      <c r="Q16" s="32"/>
      <c r="R16" s="32"/>
      <c r="S16" s="32"/>
      <c r="T16" s="32"/>
      <c r="U16" s="32"/>
      <c r="V16" s="32"/>
      <c r="W16" s="32"/>
      <c r="X16" s="32"/>
    </row>
    <row r="17" spans="1:24" x14ac:dyDescent="0.3">
      <c r="A17" s="86" t="s">
        <v>301</v>
      </c>
      <c r="B17" s="87"/>
      <c r="C17" s="88"/>
      <c r="Q17" s="103" t="s">
        <v>301</v>
      </c>
      <c r="R17" s="104"/>
      <c r="S17" s="105"/>
      <c r="T17" s="32"/>
      <c r="U17" s="32"/>
      <c r="V17" s="32"/>
      <c r="W17" s="32"/>
      <c r="X17" s="32"/>
    </row>
    <row r="18" spans="1:24" x14ac:dyDescent="0.3">
      <c r="A18" s="39" t="s">
        <v>334</v>
      </c>
      <c r="B18" s="81"/>
      <c r="C18" s="82"/>
      <c r="Q18" s="39" t="s">
        <v>349</v>
      </c>
      <c r="R18" s="81"/>
      <c r="S18" s="82"/>
      <c r="T18" s="32"/>
      <c r="U18" s="32"/>
      <c r="V18" s="32"/>
      <c r="W18" s="32"/>
      <c r="X18" s="32"/>
    </row>
    <row r="19" spans="1:24" x14ac:dyDescent="0.3">
      <c r="A19" s="39" t="s">
        <v>307</v>
      </c>
      <c r="B19" s="84">
        <f xml:space="preserve"> 2.14%</f>
        <v>2.1400000000000002E-2</v>
      </c>
      <c r="C19" s="82"/>
      <c r="Q19" s="39" t="s">
        <v>308</v>
      </c>
      <c r="R19" s="85">
        <f xml:space="preserve"> 0.89%</f>
        <v>8.8999999999999999E-3</v>
      </c>
      <c r="S19" s="82" t="s">
        <v>53</v>
      </c>
      <c r="T19" s="32"/>
      <c r="U19" s="32"/>
      <c r="V19" s="32"/>
      <c r="W19" s="32"/>
      <c r="X19" s="32"/>
    </row>
    <row r="20" spans="1:24" x14ac:dyDescent="0.3">
      <c r="A20" s="39" t="s">
        <v>332</v>
      </c>
      <c r="B20" s="85">
        <f xml:space="preserve"> task1_erm!O10</f>
        <v>1.1111243211021967E-3</v>
      </c>
      <c r="C20" s="82"/>
      <c r="Q20" s="39" t="s">
        <v>350</v>
      </c>
      <c r="R20" s="93">
        <f xml:space="preserve"> task1_erm!O11</f>
        <v>6.3100159757296318E-4</v>
      </c>
      <c r="S20" s="82"/>
      <c r="T20" s="32"/>
      <c r="U20" s="32"/>
      <c r="V20" s="32"/>
      <c r="W20" s="32"/>
      <c r="X20" s="32"/>
    </row>
    <row r="21" spans="1:24" x14ac:dyDescent="0.3">
      <c r="A21" s="39" t="s">
        <v>330</v>
      </c>
      <c r="B21" s="80">
        <f xml:space="preserve"> (1 + B20)^365-1</f>
        <v>0.49980519543619883</v>
      </c>
      <c r="C21" s="82" t="s">
        <v>331</v>
      </c>
      <c r="Q21" s="39" t="s">
        <v>351</v>
      </c>
      <c r="R21" s="80">
        <f xml:space="preserve"> (1 + R20)^365-1</f>
        <v>0.25890582258568928</v>
      </c>
      <c r="S21" s="82"/>
      <c r="T21" s="32"/>
      <c r="U21" s="32"/>
      <c r="V21" s="32"/>
      <c r="W21" s="32"/>
      <c r="X21" s="32"/>
    </row>
    <row r="22" spans="1:24" x14ac:dyDescent="0.3">
      <c r="A22" s="39" t="s">
        <v>333</v>
      </c>
      <c r="B22" s="81">
        <f>task1_erm!P7</f>
        <v>1.2400260440937179</v>
      </c>
      <c r="C22" s="82" t="s">
        <v>335</v>
      </c>
      <c r="Q22" s="39" t="s">
        <v>333</v>
      </c>
      <c r="R22" s="81">
        <f>task1_erm!U7</f>
        <v>1.4330730560196496</v>
      </c>
      <c r="S22" s="82" t="s">
        <v>335</v>
      </c>
      <c r="T22" s="32"/>
      <c r="U22" s="32"/>
      <c r="V22" s="32"/>
      <c r="W22" s="32"/>
      <c r="X22" s="32"/>
    </row>
    <row r="23" spans="1:24" ht="15" thickBot="1" x14ac:dyDescent="0.35">
      <c r="A23" s="90" t="s">
        <v>301</v>
      </c>
      <c r="B23" s="91">
        <f xml:space="preserve"> B19+ (B21- B19)*B22</f>
        <v>0.61463490197063164</v>
      </c>
      <c r="C23" s="62"/>
      <c r="Q23" s="90" t="s">
        <v>301</v>
      </c>
      <c r="R23" s="91">
        <f xml:space="preserve"> R19+ (R21- R19)*R22</f>
        <v>0.36717660819558007</v>
      </c>
      <c r="S23" s="62"/>
      <c r="T23" s="32"/>
      <c r="U23" s="32"/>
      <c r="V23" s="32"/>
      <c r="W23" s="32"/>
      <c r="X23" s="32"/>
    </row>
    <row r="25" spans="1:24" s="284" customFormat="1" ht="15" thickBot="1" x14ac:dyDescent="0.35">
      <c r="A25" s="276" t="s">
        <v>355</v>
      </c>
    </row>
    <row r="26" spans="1:24" x14ac:dyDescent="0.3">
      <c r="A26" s="59" t="s">
        <v>336</v>
      </c>
      <c r="B26" s="60">
        <f xml:space="preserve"> B4/(B4+ E3)</f>
        <v>0.80201156756323444</v>
      </c>
      <c r="Q26" s="59" t="s">
        <v>352</v>
      </c>
      <c r="R26" s="60">
        <f xml:space="preserve"> R4/(R4+ U3)</f>
        <v>0.81779038528090997</v>
      </c>
    </row>
    <row r="27" spans="1:24" x14ac:dyDescent="0.3">
      <c r="A27" s="83" t="s">
        <v>337</v>
      </c>
      <c r="B27" s="82">
        <f xml:space="preserve"> E3/ (E3 +B4)</f>
        <v>0.19798843243676553</v>
      </c>
      <c r="Q27" s="83" t="s">
        <v>353</v>
      </c>
      <c r="R27" s="82">
        <f xml:space="preserve"> U3/ (U3 +R4)</f>
        <v>0.18220961471909003</v>
      </c>
    </row>
    <row r="28" spans="1:24" x14ac:dyDescent="0.3">
      <c r="A28" s="83" t="s">
        <v>341</v>
      </c>
      <c r="B28" s="106">
        <f xml:space="preserve"> 1 - B5</f>
        <v>0.83745496733223423</v>
      </c>
      <c r="Q28" s="83" t="s">
        <v>354</v>
      </c>
      <c r="R28" s="106">
        <f xml:space="preserve"> 1 - R5</f>
        <v>0.94203737825743616</v>
      </c>
    </row>
    <row r="29" spans="1:24" ht="15" thickBot="1" x14ac:dyDescent="0.35">
      <c r="A29" s="107" t="s">
        <v>338</v>
      </c>
      <c r="B29" s="108">
        <f xml:space="preserve"> (B23 * B27) +( B13 * B26*B28)</f>
        <v>0.13397815945229236</v>
      </c>
      <c r="Q29" s="107" t="s">
        <v>356</v>
      </c>
      <c r="R29" s="108">
        <f xml:space="preserve"> (R23 * R27) +( R13 * R26 *R28)</f>
        <v>7.2102436972956874E-2</v>
      </c>
    </row>
    <row r="32" spans="1:24" s="283" customFormat="1" ht="18" x14ac:dyDescent="0.3">
      <c r="A32" s="285" t="s">
        <v>357</v>
      </c>
    </row>
    <row r="33" spans="1:32" x14ac:dyDescent="0.3">
      <c r="A33" s="19" t="s">
        <v>291</v>
      </c>
      <c r="Q33" s="19" t="s">
        <v>291</v>
      </c>
    </row>
    <row r="34" spans="1:32" x14ac:dyDescent="0.3">
      <c r="A34" s="19" t="s">
        <v>371</v>
      </c>
      <c r="Q34" s="19" t="s">
        <v>372</v>
      </c>
    </row>
    <row r="35" spans="1:32" ht="15" thickBot="1" x14ac:dyDescent="0.35">
      <c r="S35" s="19" t="s">
        <v>376</v>
      </c>
      <c r="V35" s="19" t="s">
        <v>377</v>
      </c>
    </row>
    <row r="36" spans="1:32" x14ac:dyDescent="0.3">
      <c r="A36" s="6" t="s">
        <v>293</v>
      </c>
      <c r="B36" s="94" t="s">
        <v>458</v>
      </c>
      <c r="C36" s="95">
        <v>168.89</v>
      </c>
      <c r="D36" s="193" t="s">
        <v>374</v>
      </c>
      <c r="E36" s="7">
        <v>168890</v>
      </c>
      <c r="F36" s="60">
        <f xml:space="preserve"> 1000*C36</f>
        <v>168890</v>
      </c>
      <c r="G36" s="32" t="s">
        <v>340</v>
      </c>
      <c r="Q36" s="6" t="s">
        <v>378</v>
      </c>
      <c r="R36" s="94" t="s">
        <v>375</v>
      </c>
      <c r="S36" s="95">
        <v>128.37</v>
      </c>
      <c r="T36" s="193" t="s">
        <v>374</v>
      </c>
      <c r="U36" s="60">
        <v>128370</v>
      </c>
      <c r="V36" s="60">
        <f xml:space="preserve"> 1000 *S36</f>
        <v>128370</v>
      </c>
      <c r="W36" s="32"/>
      <c r="Y36" s="268" t="s">
        <v>373</v>
      </c>
      <c r="Z36" s="268"/>
      <c r="AA36" s="268"/>
      <c r="AB36" s="268"/>
      <c r="AC36" s="268"/>
      <c r="AD36" s="268"/>
      <c r="AF36" s="32" t="s">
        <v>374</v>
      </c>
    </row>
    <row r="37" spans="1:32" x14ac:dyDescent="0.3">
      <c r="A37" s="39" t="s">
        <v>295</v>
      </c>
      <c r="B37" s="96">
        <f>'BAC__Balance sheet '!H56</f>
        <v>0</v>
      </c>
      <c r="C37" s="81"/>
      <c r="D37" s="81" t="s">
        <v>296</v>
      </c>
      <c r="E37" s="81"/>
      <c r="F37" s="82"/>
      <c r="G37" s="32"/>
      <c r="Q37" s="39" t="s">
        <v>379</v>
      </c>
      <c r="R37" s="96">
        <f>'BAC__Balance sheet '!X56</f>
        <v>0</v>
      </c>
      <c r="S37" s="81"/>
      <c r="T37" s="81" t="s">
        <v>296</v>
      </c>
      <c r="U37" s="81"/>
      <c r="V37" s="82"/>
      <c r="W37" s="32"/>
      <c r="Y37" s="268"/>
      <c r="Z37" s="268"/>
      <c r="AA37" s="268"/>
      <c r="AB37" s="268"/>
      <c r="AC37" s="268"/>
      <c r="AD37" s="268"/>
    </row>
    <row r="38" spans="1:32" x14ac:dyDescent="0.3">
      <c r="A38" s="39" t="s">
        <v>285</v>
      </c>
      <c r="B38" s="80"/>
      <c r="C38" s="81"/>
      <c r="D38" s="81" t="s">
        <v>297</v>
      </c>
      <c r="E38" s="81"/>
      <c r="F38" s="82"/>
      <c r="G38" s="32"/>
      <c r="Q38" s="39" t="s">
        <v>285</v>
      </c>
      <c r="R38" s="80">
        <f>G51</f>
        <v>0.1852</v>
      </c>
      <c r="S38" s="81"/>
      <c r="T38" s="81" t="s">
        <v>297</v>
      </c>
      <c r="U38" s="81"/>
      <c r="V38" s="82"/>
      <c r="W38" s="32"/>
      <c r="Y38" s="268"/>
      <c r="Z38" s="268"/>
      <c r="AA38" s="268"/>
      <c r="AB38" s="268"/>
      <c r="AC38" s="268"/>
      <c r="AD38" s="268"/>
    </row>
    <row r="39" spans="1:32" x14ac:dyDescent="0.3">
      <c r="A39" s="39" t="s">
        <v>300</v>
      </c>
      <c r="B39" s="81"/>
      <c r="C39" s="81"/>
      <c r="D39" s="81"/>
      <c r="E39" s="81"/>
      <c r="F39" s="82"/>
      <c r="G39" s="32"/>
      <c r="Q39" s="39" t="s">
        <v>300</v>
      </c>
      <c r="R39" s="81"/>
      <c r="S39" s="81"/>
      <c r="T39" s="81"/>
      <c r="U39" s="81"/>
      <c r="V39" s="82"/>
      <c r="W39" s="32"/>
      <c r="Y39" s="32" t="s">
        <v>374</v>
      </c>
    </row>
    <row r="40" spans="1:32" ht="15" thickBot="1" x14ac:dyDescent="0.35">
      <c r="A40" s="90" t="s">
        <v>298</v>
      </c>
      <c r="B40" s="77"/>
      <c r="C40" s="77"/>
      <c r="D40" s="77"/>
      <c r="E40" s="77"/>
      <c r="F40" s="62"/>
      <c r="G40" s="32"/>
      <c r="Q40" s="90" t="s">
        <v>298</v>
      </c>
      <c r="R40" s="77"/>
      <c r="S40" s="77"/>
      <c r="T40" s="77"/>
      <c r="U40" s="77"/>
      <c r="V40" s="62"/>
      <c r="W40" s="32"/>
    </row>
    <row r="41" spans="1:32" x14ac:dyDescent="0.3">
      <c r="A41" s="39" t="s">
        <v>286</v>
      </c>
      <c r="B41" s="118">
        <v>2019</v>
      </c>
      <c r="C41" s="119">
        <v>2018</v>
      </c>
      <c r="D41" s="32"/>
      <c r="E41" s="32"/>
      <c r="F41" s="32"/>
      <c r="G41" s="32"/>
      <c r="Q41" s="39" t="s">
        <v>286</v>
      </c>
      <c r="R41" s="118">
        <v>2020</v>
      </c>
      <c r="S41" s="119">
        <v>2018</v>
      </c>
      <c r="T41" s="32"/>
      <c r="U41" s="32"/>
      <c r="V41" s="32"/>
      <c r="W41" s="32"/>
    </row>
    <row r="42" spans="1:32" x14ac:dyDescent="0.3">
      <c r="A42" s="39" t="s">
        <v>365</v>
      </c>
      <c r="B42" s="54">
        <f>'BAC__Balance sheet '!H56</f>
        <v>0</v>
      </c>
      <c r="C42" s="55">
        <f>'BAC__Balance sheet '!I56</f>
        <v>0</v>
      </c>
      <c r="D42" s="32" t="s">
        <v>296</v>
      </c>
      <c r="E42" s="32"/>
      <c r="F42" s="32"/>
      <c r="G42" s="32"/>
      <c r="Q42" s="39" t="s">
        <v>365</v>
      </c>
      <c r="R42" s="54">
        <f>'BAC__Balance sheet '!X56</f>
        <v>0</v>
      </c>
      <c r="S42" s="55">
        <f>'BAC__Balance sheet '!Y56</f>
        <v>0</v>
      </c>
      <c r="T42" s="32" t="s">
        <v>296</v>
      </c>
      <c r="U42" s="32"/>
      <c r="V42" s="32"/>
      <c r="W42" s="32"/>
    </row>
    <row r="43" spans="1:32" x14ac:dyDescent="0.3">
      <c r="A43" s="20"/>
      <c r="B43" s="15"/>
      <c r="C43" s="42"/>
      <c r="D43" s="32"/>
      <c r="E43" s="32"/>
      <c r="F43" s="32"/>
      <c r="G43" s="32"/>
      <c r="Q43" s="20"/>
      <c r="R43" s="15"/>
      <c r="S43" s="42"/>
      <c r="T43" s="32"/>
      <c r="U43" s="32"/>
      <c r="V43" s="32"/>
      <c r="W43" s="32"/>
    </row>
    <row r="44" spans="1:32" x14ac:dyDescent="0.3">
      <c r="A44" s="20" t="s">
        <v>288</v>
      </c>
      <c r="B44" s="21">
        <f>BAC_Income_statement!C38</f>
        <v>0</v>
      </c>
      <c r="C44" s="41">
        <f>BAC_Income_statement!D38</f>
        <v>0</v>
      </c>
      <c r="D44" s="32" t="s">
        <v>299</v>
      </c>
      <c r="E44" s="32"/>
      <c r="F44" s="32"/>
      <c r="G44" s="32"/>
      <c r="Q44" s="20" t="s">
        <v>288</v>
      </c>
      <c r="R44" s="21">
        <f>BAC_Income_statement!S38</f>
        <v>0</v>
      </c>
      <c r="S44" s="41">
        <f>BAC_Income_statement!T38</f>
        <v>0</v>
      </c>
      <c r="T44" s="32" t="s">
        <v>299</v>
      </c>
      <c r="U44" s="32"/>
      <c r="V44" s="32"/>
      <c r="W44" s="32"/>
    </row>
    <row r="45" spans="1:32" x14ac:dyDescent="0.3">
      <c r="A45" s="20"/>
      <c r="B45" s="40"/>
      <c r="C45" s="40"/>
      <c r="D45" s="32"/>
      <c r="E45" s="32"/>
      <c r="F45" s="32"/>
      <c r="G45" s="32"/>
      <c r="Q45" s="20"/>
      <c r="R45" s="40"/>
      <c r="S45" s="40"/>
      <c r="T45" s="32"/>
      <c r="U45" s="32"/>
      <c r="V45" s="32"/>
      <c r="W45" s="32"/>
    </row>
    <row r="46" spans="1:32" x14ac:dyDescent="0.3">
      <c r="A46" s="56" t="s">
        <v>364</v>
      </c>
      <c r="B46" s="57">
        <v>0</v>
      </c>
      <c r="C46" s="43"/>
      <c r="D46" s="32"/>
      <c r="E46" s="32"/>
      <c r="F46" s="32"/>
      <c r="G46" s="32"/>
      <c r="Q46" s="56" t="s">
        <v>364</v>
      </c>
      <c r="R46" s="57">
        <v>0</v>
      </c>
      <c r="S46" s="43"/>
      <c r="T46" s="32"/>
      <c r="U46" s="32"/>
      <c r="V46" s="32"/>
      <c r="W46" s="32"/>
    </row>
    <row r="47" spans="1:32" x14ac:dyDescent="0.3">
      <c r="A47" s="20"/>
      <c r="B47" s="15"/>
      <c r="C47" s="42"/>
      <c r="D47" s="32"/>
      <c r="E47" s="32"/>
      <c r="F47" s="32"/>
      <c r="G47" s="32"/>
      <c r="Q47" s="20"/>
      <c r="R47" s="15"/>
      <c r="S47" s="42"/>
      <c r="T47" s="32"/>
      <c r="U47" s="32"/>
      <c r="V47" s="32"/>
      <c r="W47" s="32"/>
    </row>
    <row r="48" spans="1:32" ht="15" thickBot="1" x14ac:dyDescent="0.35">
      <c r="A48" s="44"/>
      <c r="B48" s="45"/>
      <c r="C48" s="46"/>
      <c r="D48" s="32"/>
      <c r="E48" s="32"/>
      <c r="F48" s="32"/>
      <c r="G48" s="32"/>
      <c r="Q48" s="44"/>
      <c r="R48" s="45"/>
      <c r="S48" s="46"/>
      <c r="T48" s="32"/>
      <c r="U48" s="32"/>
      <c r="V48" s="32"/>
      <c r="W48" s="32"/>
    </row>
    <row r="49" spans="1:19" ht="15" thickBot="1" x14ac:dyDescent="0.35">
      <c r="F49" s="286" t="s">
        <v>468</v>
      </c>
      <c r="G49" s="286"/>
      <c r="H49" s="286"/>
      <c r="J49" s="252" t="s">
        <v>368</v>
      </c>
      <c r="K49" s="252"/>
      <c r="L49" s="252"/>
    </row>
    <row r="50" spans="1:19" ht="15.6" customHeight="1" x14ac:dyDescent="0.3">
      <c r="A50" s="86" t="s">
        <v>301</v>
      </c>
      <c r="B50" s="87"/>
      <c r="C50" s="88"/>
      <c r="F50" s="86">
        <v>2019</v>
      </c>
      <c r="G50" s="130">
        <v>2020</v>
      </c>
      <c r="H50" s="245" t="s">
        <v>467</v>
      </c>
      <c r="J50" s="117" t="s">
        <v>367</v>
      </c>
      <c r="K50" s="115"/>
      <c r="Q50" s="86" t="s">
        <v>301</v>
      </c>
      <c r="R50" s="87"/>
      <c r="S50" s="88"/>
    </row>
    <row r="51" spans="1:19" ht="72.599999999999994" customHeight="1" x14ac:dyDescent="0.3">
      <c r="A51" s="39" t="s">
        <v>419</v>
      </c>
      <c r="B51" s="81"/>
      <c r="C51" s="82"/>
      <c r="F51" s="114">
        <v>0.18529999999999999</v>
      </c>
      <c r="G51" s="106">
        <v>0.1852</v>
      </c>
      <c r="H51" s="246" t="s">
        <v>469</v>
      </c>
      <c r="Q51" s="39" t="s">
        <v>380</v>
      </c>
      <c r="R51" s="81"/>
      <c r="S51" s="82"/>
    </row>
    <row r="52" spans="1:19" ht="15" thickBot="1" x14ac:dyDescent="0.35">
      <c r="A52" s="39" t="s">
        <v>307</v>
      </c>
      <c r="B52" s="84">
        <f xml:space="preserve"> 2.14%</f>
        <v>2.1400000000000002E-2</v>
      </c>
      <c r="C52" s="82"/>
      <c r="F52" s="61"/>
      <c r="G52" s="62"/>
      <c r="H52" s="244"/>
      <c r="Q52" s="39" t="s">
        <v>308</v>
      </c>
      <c r="R52" s="85">
        <f xml:space="preserve"> 0.89%</f>
        <v>8.8999999999999999E-3</v>
      </c>
      <c r="S52" s="82" t="s">
        <v>366</v>
      </c>
    </row>
    <row r="53" spans="1:19" x14ac:dyDescent="0.3">
      <c r="A53" s="39" t="s">
        <v>332</v>
      </c>
      <c r="B53" s="85">
        <f xml:space="preserve"> task1_erm!O10</f>
        <v>1.1111243211021967E-3</v>
      </c>
      <c r="C53" s="82"/>
      <c r="Q53" s="39" t="s">
        <v>350</v>
      </c>
      <c r="R53" s="85">
        <f xml:space="preserve"> task1_erm!O11</f>
        <v>6.3100159757296318E-4</v>
      </c>
      <c r="S53" s="82"/>
    </row>
    <row r="54" spans="1:19" x14ac:dyDescent="0.3">
      <c r="A54" s="39" t="s">
        <v>330</v>
      </c>
      <c r="B54" s="80">
        <f xml:space="preserve"> (1 + B53)^365-1</f>
        <v>0.49980519543619883</v>
      </c>
      <c r="C54" s="82"/>
      <c r="Q54" s="39" t="s">
        <v>351</v>
      </c>
      <c r="R54" s="80">
        <f xml:space="preserve"> (1 + R53)^365-1</f>
        <v>0.25890582258568928</v>
      </c>
      <c r="S54" s="82"/>
    </row>
    <row r="55" spans="1:19" x14ac:dyDescent="0.3">
      <c r="A55" s="39" t="s">
        <v>333</v>
      </c>
      <c r="B55" s="81">
        <f>task1_erm!Q7</f>
        <v>1.4841193756451467</v>
      </c>
      <c r="C55" s="82" t="s">
        <v>335</v>
      </c>
      <c r="Q55" s="39" t="s">
        <v>333</v>
      </c>
      <c r="R55" s="81">
        <f>task1_erm!V7</f>
        <v>1.6294259046105357</v>
      </c>
      <c r="S55" s="82" t="s">
        <v>335</v>
      </c>
    </row>
    <row r="56" spans="1:19" ht="15" thickBot="1" x14ac:dyDescent="0.35">
      <c r="A56" s="90" t="s">
        <v>301</v>
      </c>
      <c r="B56" s="91">
        <f xml:space="preserve"> B52+ (B54- B52)*B55</f>
        <v>0.73141041995616585</v>
      </c>
      <c r="C56" s="62"/>
      <c r="Q56" s="90" t="s">
        <v>301</v>
      </c>
      <c r="R56" s="91">
        <f xml:space="preserve"> R52+ (R54- R52)*R55</f>
        <v>0.41626596362458784</v>
      </c>
      <c r="S56" s="62"/>
    </row>
    <row r="58" spans="1:19" s="265" customFormat="1" x14ac:dyDescent="0.3"/>
    <row r="59" spans="1:19" ht="15" thickBot="1" x14ac:dyDescent="0.35"/>
    <row r="60" spans="1:19" x14ac:dyDescent="0.3">
      <c r="A60" s="59" t="s">
        <v>336</v>
      </c>
      <c r="B60" s="60">
        <f xml:space="preserve"> 0</f>
        <v>0</v>
      </c>
      <c r="Q60" s="59" t="s">
        <v>336</v>
      </c>
      <c r="R60" s="60">
        <f xml:space="preserve"> 0</f>
        <v>0</v>
      </c>
    </row>
    <row r="61" spans="1:19" x14ac:dyDescent="0.3">
      <c r="A61" s="83" t="s">
        <v>337</v>
      </c>
      <c r="B61" s="82">
        <f xml:space="preserve"> E36/ (E36 + B37)</f>
        <v>1</v>
      </c>
      <c r="Q61" s="83" t="s">
        <v>337</v>
      </c>
      <c r="R61" s="82">
        <f xml:space="preserve"> U36/ (U36 + R37)</f>
        <v>1</v>
      </c>
    </row>
    <row r="62" spans="1:19" ht="15" thickBot="1" x14ac:dyDescent="0.35">
      <c r="A62" s="83" t="s">
        <v>341</v>
      </c>
      <c r="B62" s="106">
        <f xml:space="preserve"> 1 - F51</f>
        <v>0.81469999999999998</v>
      </c>
      <c r="Q62" s="83" t="s">
        <v>341</v>
      </c>
      <c r="R62" s="106">
        <f xml:space="preserve"> 1- G51</f>
        <v>0.81479999999999997</v>
      </c>
    </row>
    <row r="63" spans="1:19" ht="15" thickBot="1" x14ac:dyDescent="0.35">
      <c r="A63" s="107" t="s">
        <v>338</v>
      </c>
      <c r="B63" s="108">
        <f xml:space="preserve"> (B61 * B56)</f>
        <v>0.73141041995616585</v>
      </c>
      <c r="C63" s="142">
        <f>NPV(C53,D61:H61)*(1+ C53)^0.5</f>
        <v>0</v>
      </c>
      <c r="Q63" s="107" t="s">
        <v>418</v>
      </c>
      <c r="R63" s="108">
        <f xml:space="preserve"> (R61 * R56)</f>
        <v>0.41626596362458784</v>
      </c>
    </row>
    <row r="67" spans="1:7" s="283" customFormat="1" ht="39.6" customHeight="1" thickBot="1" x14ac:dyDescent="0.35">
      <c r="A67" s="287" t="s">
        <v>420</v>
      </c>
    </row>
    <row r="68" spans="1:7" ht="15" thickBot="1" x14ac:dyDescent="0.35">
      <c r="A68" s="170"/>
      <c r="B68" s="288" t="s">
        <v>422</v>
      </c>
      <c r="C68" s="289"/>
      <c r="E68" s="170"/>
      <c r="F68" s="290" t="s">
        <v>421</v>
      </c>
      <c r="G68" s="291"/>
    </row>
    <row r="69" spans="1:7" ht="15" thickBot="1" x14ac:dyDescent="0.35">
      <c r="A69" s="183" t="s">
        <v>407</v>
      </c>
      <c r="B69" s="175">
        <v>2019</v>
      </c>
      <c r="C69" s="176">
        <v>2020</v>
      </c>
      <c r="E69" s="183" t="s">
        <v>407</v>
      </c>
      <c r="F69" s="175">
        <v>2019</v>
      </c>
      <c r="G69" s="176">
        <v>2020</v>
      </c>
    </row>
    <row r="70" spans="1:7" x14ac:dyDescent="0.3">
      <c r="A70" s="177"/>
      <c r="B70" s="184">
        <f>B29</f>
        <v>0.13397815945229236</v>
      </c>
      <c r="C70" s="185">
        <f xml:space="preserve"> R29</f>
        <v>7.2102436972956874E-2</v>
      </c>
      <c r="E70" s="177"/>
      <c r="F70" s="184">
        <f>B63</f>
        <v>0.73141041995616585</v>
      </c>
      <c r="G70" s="185">
        <f xml:space="preserve"> R63</f>
        <v>0.41626596362458784</v>
      </c>
    </row>
    <row r="71" spans="1:7" ht="15" thickBot="1" x14ac:dyDescent="0.35">
      <c r="A71" s="180"/>
      <c r="B71" s="181"/>
      <c r="C71" s="182"/>
      <c r="E71" s="180"/>
      <c r="F71" s="181"/>
      <c r="G71" s="182"/>
    </row>
  </sheetData>
  <mergeCells count="11">
    <mergeCell ref="A58:XFD58"/>
    <mergeCell ref="Z3:AF10"/>
    <mergeCell ref="Y36:AD38"/>
    <mergeCell ref="A67:XFD67"/>
    <mergeCell ref="B68:C68"/>
    <mergeCell ref="F68:G68"/>
    <mergeCell ref="A1:I1"/>
    <mergeCell ref="A25:XFD25"/>
    <mergeCell ref="A32:XFD32"/>
    <mergeCell ref="F49:H49"/>
    <mergeCell ref="J49:L49"/>
  </mergeCells>
  <hyperlinks>
    <hyperlink ref="J50" r:id="rId1" xr:uid="{7E02642C-0EFD-4541-AB59-E1F72A97FAB3}"/>
    <hyperlink ref="T36" r:id="rId2" xr:uid="{C40E3130-ED0B-453C-BC3D-E34870EA2A21}"/>
    <hyperlink ref="D36" r:id="rId3" xr:uid="{D1B9FA91-5EBF-4FB4-A232-9F4D4EFE6485}"/>
    <hyperlink ref="D3" r:id="rId4" xr:uid="{B4E51402-9796-408D-BE18-4EADD27223BE}"/>
    <hyperlink ref="H51" r:id="rId5" display="https://csimarket.com/stocks/singleProfitabilityRatiosy.php?code=C&amp;itx" xr:uid="{75527D0A-6956-4515-B737-86C2A5011C2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41C75-1B4B-4777-BEF0-F1C994C6FD0C}">
  <sheetPr codeName="Sheet9"/>
  <dimension ref="A1:R252"/>
  <sheetViews>
    <sheetView workbookViewId="0">
      <selection activeCell="I15" sqref="I15"/>
    </sheetView>
  </sheetViews>
  <sheetFormatPr defaultRowHeight="14.4" x14ac:dyDescent="0.3"/>
  <cols>
    <col min="1" max="1" width="12" style="32" customWidth="1"/>
    <col min="2" max="2" width="28" style="32" customWidth="1"/>
    <col min="3" max="3" width="8.88671875" style="32" customWidth="1"/>
    <col min="4" max="4" width="18.88671875" style="32" customWidth="1"/>
    <col min="5" max="7" width="8.88671875" style="32"/>
    <col min="8" max="8" width="19.21875" style="32" customWidth="1"/>
    <col min="9" max="9" width="49.21875" style="32" customWidth="1"/>
    <col min="10" max="14" width="8.88671875" style="32"/>
    <col min="15" max="15" width="66.21875" style="32" customWidth="1"/>
    <col min="16" max="17" width="8.88671875" style="32"/>
    <col min="18" max="18" width="18.6640625" style="32" customWidth="1"/>
    <col min="19" max="16384" width="8.88671875" style="32"/>
  </cols>
  <sheetData>
    <row r="1" spans="1:18" x14ac:dyDescent="0.3">
      <c r="A1" s="203">
        <f>AVERAGE(B2:B251)</f>
        <v>2.1062000000000007</v>
      </c>
      <c r="B1" s="204" t="s">
        <v>302</v>
      </c>
      <c r="C1" s="205" t="s">
        <v>305</v>
      </c>
      <c r="D1" s="206" t="s">
        <v>303</v>
      </c>
      <c r="E1" s="89">
        <f>AVERAGE(D2:D250)</f>
        <v>0.36204819277108424</v>
      </c>
      <c r="F1" s="201">
        <f>AVERAGE(D2:D251)</f>
        <v>0.36091999999999991</v>
      </c>
      <c r="G1" s="160"/>
      <c r="H1" s="59" t="s">
        <v>463</v>
      </c>
      <c r="I1" s="60">
        <f>A1</f>
        <v>2.1062000000000007</v>
      </c>
      <c r="K1" s="248" t="s">
        <v>304</v>
      </c>
      <c r="L1" s="250"/>
      <c r="M1" s="250"/>
      <c r="N1" s="250"/>
      <c r="O1" s="250"/>
      <c r="P1" s="250"/>
      <c r="Q1" s="250"/>
      <c r="R1" s="250"/>
    </row>
    <row r="2" spans="1:18" ht="15" thickBot="1" x14ac:dyDescent="0.35">
      <c r="A2" s="207">
        <v>43467</v>
      </c>
      <c r="B2" s="208">
        <v>2.42</v>
      </c>
      <c r="C2" s="209"/>
      <c r="D2" s="210">
        <v>1.54</v>
      </c>
      <c r="H2" s="61" t="s">
        <v>464</v>
      </c>
      <c r="I2" s="62">
        <f>F1</f>
        <v>0.36091999999999991</v>
      </c>
      <c r="K2" s="250"/>
      <c r="L2" s="250"/>
      <c r="M2" s="250"/>
      <c r="N2" s="250"/>
      <c r="O2" s="250"/>
      <c r="P2" s="250"/>
      <c r="Q2" s="250"/>
      <c r="R2" s="250"/>
    </row>
    <row r="3" spans="1:18" ht="15" thickBot="1" x14ac:dyDescent="0.35">
      <c r="A3" s="211">
        <v>43468</v>
      </c>
      <c r="B3" s="212">
        <v>2.41</v>
      </c>
      <c r="C3" s="209"/>
      <c r="D3" s="213">
        <v>1.52</v>
      </c>
      <c r="I3" s="53"/>
      <c r="K3" s="268" t="s">
        <v>306</v>
      </c>
      <c r="L3" s="268"/>
      <c r="M3" s="268"/>
      <c r="N3" s="268"/>
      <c r="O3" s="268"/>
      <c r="P3" s="268"/>
      <c r="Q3" s="268"/>
      <c r="R3" s="268"/>
    </row>
    <row r="4" spans="1:18" ht="15" thickBot="1" x14ac:dyDescent="0.35">
      <c r="A4" s="207">
        <v>43469</v>
      </c>
      <c r="B4" s="208">
        <v>2.42</v>
      </c>
      <c r="C4" s="214"/>
      <c r="D4" s="210">
        <v>1.56</v>
      </c>
      <c r="K4" s="268"/>
      <c r="L4" s="268"/>
      <c r="M4" s="268"/>
      <c r="N4" s="268"/>
      <c r="O4" s="268"/>
      <c r="P4" s="268"/>
      <c r="Q4" s="268"/>
      <c r="R4" s="268"/>
    </row>
    <row r="5" spans="1:18" ht="15" thickBot="1" x14ac:dyDescent="0.35">
      <c r="A5" s="211">
        <v>43472</v>
      </c>
      <c r="B5" s="212">
        <v>2.46</v>
      </c>
      <c r="C5" s="214"/>
      <c r="D5" s="213">
        <v>1.54</v>
      </c>
      <c r="K5" s="268"/>
      <c r="L5" s="268"/>
      <c r="M5" s="268"/>
      <c r="N5" s="268"/>
      <c r="O5" s="268"/>
      <c r="P5" s="268"/>
      <c r="Q5" s="268"/>
      <c r="R5" s="268"/>
    </row>
    <row r="6" spans="1:18" ht="18.600000000000001" thickBot="1" x14ac:dyDescent="0.35">
      <c r="A6" s="207">
        <v>43473</v>
      </c>
      <c r="B6" s="208">
        <v>2.46</v>
      </c>
      <c r="C6" s="214"/>
      <c r="D6" s="210">
        <v>1.54</v>
      </c>
      <c r="G6" s="292" t="s">
        <v>462</v>
      </c>
      <c r="H6" s="293"/>
      <c r="I6" s="294"/>
      <c r="K6" s="268"/>
      <c r="L6" s="268"/>
      <c r="M6" s="268"/>
      <c r="N6" s="268"/>
      <c r="O6" s="268"/>
      <c r="P6" s="268"/>
      <c r="Q6" s="268"/>
      <c r="R6" s="268"/>
    </row>
    <row r="7" spans="1:18" ht="29.4" thickBot="1" x14ac:dyDescent="0.35">
      <c r="A7" s="211">
        <v>43474</v>
      </c>
      <c r="B7" s="212">
        <v>2.4500000000000002</v>
      </c>
      <c r="C7" s="214"/>
      <c r="D7" s="213">
        <v>1.54</v>
      </c>
      <c r="G7" s="66" t="s">
        <v>307</v>
      </c>
      <c r="H7" s="199">
        <v>2.1399999999999999E-2</v>
      </c>
      <c r="I7" s="200" t="s">
        <v>362</v>
      </c>
      <c r="K7" s="268"/>
      <c r="L7" s="268"/>
      <c r="M7" s="268"/>
      <c r="N7" s="268"/>
      <c r="O7" s="268"/>
      <c r="P7" s="268"/>
      <c r="Q7" s="268"/>
      <c r="R7" s="268"/>
    </row>
    <row r="8" spans="1:18" ht="15" thickBot="1" x14ac:dyDescent="0.35">
      <c r="A8" s="207">
        <v>43475</v>
      </c>
      <c r="B8" s="208">
        <v>2.4300000000000002</v>
      </c>
      <c r="C8" s="214"/>
      <c r="D8" s="210">
        <v>1.54</v>
      </c>
      <c r="G8" s="67" t="s">
        <v>308</v>
      </c>
      <c r="H8" s="64">
        <v>8.8999999999999999E-3</v>
      </c>
      <c r="I8" s="65"/>
      <c r="K8" s="268"/>
      <c r="L8" s="268"/>
      <c r="M8" s="268"/>
      <c r="N8" s="268"/>
      <c r="O8" s="268"/>
      <c r="P8" s="268"/>
      <c r="Q8" s="268"/>
      <c r="R8" s="268"/>
    </row>
    <row r="9" spans="1:18" ht="15" thickBot="1" x14ac:dyDescent="0.35">
      <c r="A9" s="211">
        <v>43476</v>
      </c>
      <c r="B9" s="212">
        <v>2.4300000000000002</v>
      </c>
      <c r="C9" s="214"/>
      <c r="D9" s="213">
        <v>1.57</v>
      </c>
      <c r="G9" s="63"/>
      <c r="H9" s="63"/>
      <c r="I9" s="63"/>
    </row>
    <row r="10" spans="1:18" ht="15" thickBot="1" x14ac:dyDescent="0.35">
      <c r="A10" s="207">
        <v>43479</v>
      </c>
      <c r="B10" s="208">
        <v>2.4500000000000002</v>
      </c>
      <c r="C10" s="214"/>
      <c r="D10" s="210">
        <v>1.57</v>
      </c>
      <c r="K10" s="267" t="s">
        <v>465</v>
      </c>
      <c r="L10" s="267"/>
      <c r="M10" s="267"/>
      <c r="N10" s="267"/>
      <c r="O10" s="267"/>
    </row>
    <row r="11" spans="1:18" ht="15" thickBot="1" x14ac:dyDescent="0.35">
      <c r="A11" s="211">
        <v>43480</v>
      </c>
      <c r="B11" s="212">
        <v>2.4500000000000002</v>
      </c>
      <c r="C11" s="214"/>
      <c r="D11" s="213">
        <v>1.57</v>
      </c>
      <c r="K11" s="267"/>
      <c r="L11" s="267"/>
      <c r="M11" s="267"/>
      <c r="N11" s="267"/>
      <c r="O11" s="267"/>
    </row>
    <row r="12" spans="1:18" ht="15" thickBot="1" x14ac:dyDescent="0.35">
      <c r="A12" s="207">
        <v>43481</v>
      </c>
      <c r="B12" s="208">
        <v>2.4300000000000002</v>
      </c>
      <c r="C12" s="214"/>
      <c r="D12" s="210">
        <v>1.55</v>
      </c>
      <c r="K12" s="267"/>
      <c r="L12" s="267"/>
      <c r="M12" s="267"/>
      <c r="N12" s="267"/>
      <c r="O12" s="267"/>
    </row>
    <row r="13" spans="1:18" ht="15" thickBot="1" x14ac:dyDescent="0.35">
      <c r="A13" s="211">
        <v>43482</v>
      </c>
      <c r="B13" s="212">
        <v>2.42</v>
      </c>
      <c r="C13" s="214"/>
      <c r="D13" s="213">
        <v>1.56</v>
      </c>
      <c r="K13" s="267"/>
      <c r="L13" s="267"/>
      <c r="M13" s="267"/>
      <c r="N13" s="267"/>
      <c r="O13" s="267"/>
    </row>
    <row r="14" spans="1:18" ht="15" thickBot="1" x14ac:dyDescent="0.35">
      <c r="A14" s="207">
        <v>43483</v>
      </c>
      <c r="B14" s="208">
        <v>2.41</v>
      </c>
      <c r="C14" s="214"/>
      <c r="D14" s="210">
        <v>1.56</v>
      </c>
      <c r="K14" s="267"/>
      <c r="L14" s="267"/>
      <c r="M14" s="267"/>
      <c r="N14" s="267"/>
      <c r="O14" s="267"/>
    </row>
    <row r="15" spans="1:18" ht="15" thickBot="1" x14ac:dyDescent="0.35">
      <c r="A15" s="211">
        <v>43487</v>
      </c>
      <c r="B15" s="212">
        <v>2.4300000000000002</v>
      </c>
      <c r="C15" s="214"/>
      <c r="D15" s="213">
        <v>1.55</v>
      </c>
      <c r="J15" s="32" t="s">
        <v>53</v>
      </c>
    </row>
    <row r="16" spans="1:18" ht="15" thickBot="1" x14ac:dyDescent="0.35">
      <c r="A16" s="207">
        <v>43488</v>
      </c>
      <c r="B16" s="208">
        <v>2.41</v>
      </c>
      <c r="C16" s="214"/>
      <c r="D16" s="210">
        <v>1.55</v>
      </c>
    </row>
    <row r="17" spans="1:11" ht="15" thickBot="1" x14ac:dyDescent="0.35">
      <c r="A17" s="211">
        <v>43489</v>
      </c>
      <c r="B17" s="212">
        <v>2.37</v>
      </c>
      <c r="C17" s="214"/>
      <c r="D17" s="213">
        <v>1.54</v>
      </c>
    </row>
    <row r="18" spans="1:11" ht="15" thickBot="1" x14ac:dyDescent="0.35">
      <c r="A18" s="207">
        <v>43490</v>
      </c>
      <c r="B18" s="208">
        <v>2.39</v>
      </c>
      <c r="C18" s="214"/>
      <c r="D18" s="210">
        <v>1.55</v>
      </c>
      <c r="K18" s="202"/>
    </row>
    <row r="19" spans="1:11" ht="15" thickBot="1" x14ac:dyDescent="0.35">
      <c r="A19" s="211">
        <v>43493</v>
      </c>
      <c r="B19" s="212">
        <v>2.42</v>
      </c>
      <c r="C19" s="214"/>
      <c r="D19" s="213">
        <v>1.57</v>
      </c>
      <c r="K19" s="202"/>
    </row>
    <row r="20" spans="1:11" ht="15" thickBot="1" x14ac:dyDescent="0.35">
      <c r="A20" s="207">
        <v>43494</v>
      </c>
      <c r="B20" s="208">
        <v>2.42</v>
      </c>
      <c r="C20" s="214"/>
      <c r="D20" s="210">
        <v>1.56</v>
      </c>
    </row>
    <row r="21" spans="1:11" ht="15" thickBot="1" x14ac:dyDescent="0.35">
      <c r="A21" s="211">
        <v>43495</v>
      </c>
      <c r="B21" s="212">
        <v>2.42</v>
      </c>
      <c r="C21" s="214"/>
      <c r="D21" s="213">
        <v>1.57</v>
      </c>
    </row>
    <row r="22" spans="1:11" ht="15" thickBot="1" x14ac:dyDescent="0.35">
      <c r="A22" s="207">
        <v>43496</v>
      </c>
      <c r="B22" s="208">
        <v>2.41</v>
      </c>
      <c r="C22" s="214"/>
      <c r="D22" s="210">
        <v>1.55</v>
      </c>
    </row>
    <row r="23" spans="1:11" ht="15" thickBot="1" x14ac:dyDescent="0.35">
      <c r="A23" s="211">
        <v>43497</v>
      </c>
      <c r="B23" s="212">
        <v>2.4</v>
      </c>
      <c r="C23" s="214"/>
      <c r="D23" s="213">
        <v>1.57</v>
      </c>
    </row>
    <row r="24" spans="1:11" ht="15" thickBot="1" x14ac:dyDescent="0.35">
      <c r="A24" s="207">
        <v>43500</v>
      </c>
      <c r="B24" s="208">
        <v>2.42</v>
      </c>
      <c r="C24" s="214"/>
      <c r="D24" s="210">
        <v>1.57</v>
      </c>
    </row>
    <row r="25" spans="1:11" ht="15" thickBot="1" x14ac:dyDescent="0.35">
      <c r="A25" s="211">
        <v>43501</v>
      </c>
      <c r="B25" s="212">
        <v>2.42</v>
      </c>
      <c r="C25" s="214"/>
      <c r="D25" s="213">
        <v>1.57</v>
      </c>
    </row>
    <row r="26" spans="1:11" ht="15" thickBot="1" x14ac:dyDescent="0.35">
      <c r="A26" s="207">
        <v>43502</v>
      </c>
      <c r="B26" s="208">
        <v>2.42</v>
      </c>
      <c r="C26" s="214"/>
      <c r="D26" s="210">
        <v>1.57</v>
      </c>
    </row>
    <row r="27" spans="1:11" ht="15" thickBot="1" x14ac:dyDescent="0.35">
      <c r="A27" s="211">
        <v>43503</v>
      </c>
      <c r="B27" s="212">
        <v>2.42</v>
      </c>
      <c r="C27" s="214"/>
      <c r="D27" s="213">
        <v>1.56</v>
      </c>
    </row>
    <row r="28" spans="1:11" ht="15" thickBot="1" x14ac:dyDescent="0.35">
      <c r="A28" s="207">
        <v>43504</v>
      </c>
      <c r="B28" s="208">
        <v>2.4300000000000002</v>
      </c>
      <c r="C28" s="214"/>
      <c r="D28" s="210">
        <v>1.58</v>
      </c>
    </row>
    <row r="29" spans="1:11" ht="15" thickBot="1" x14ac:dyDescent="0.35">
      <c r="A29" s="211">
        <v>43507</v>
      </c>
      <c r="B29" s="212">
        <v>2.4500000000000002</v>
      </c>
      <c r="C29" s="214"/>
      <c r="D29" s="213">
        <v>1.57</v>
      </c>
    </row>
    <row r="30" spans="1:11" ht="15" thickBot="1" x14ac:dyDescent="0.35">
      <c r="A30" s="207">
        <v>43508</v>
      </c>
      <c r="B30" s="208">
        <v>2.4300000000000002</v>
      </c>
      <c r="C30" s="214"/>
      <c r="D30" s="210">
        <v>1.58</v>
      </c>
    </row>
    <row r="31" spans="1:11" ht="15" thickBot="1" x14ac:dyDescent="0.35">
      <c r="A31" s="211">
        <v>43509</v>
      </c>
      <c r="B31" s="212">
        <v>2.44</v>
      </c>
      <c r="C31" s="214"/>
      <c r="D31" s="213">
        <v>1.59</v>
      </c>
    </row>
    <row r="32" spans="1:11" ht="15" thickBot="1" x14ac:dyDescent="0.35">
      <c r="A32" s="207">
        <v>43510</v>
      </c>
      <c r="B32" s="208">
        <v>2.4300000000000002</v>
      </c>
      <c r="C32" s="214"/>
      <c r="D32" s="210">
        <v>1.58</v>
      </c>
    </row>
    <row r="33" spans="1:4" ht="15" thickBot="1" x14ac:dyDescent="0.35">
      <c r="A33" s="211">
        <v>43511</v>
      </c>
      <c r="B33" s="212">
        <v>2.4300000000000002</v>
      </c>
      <c r="C33" s="214"/>
      <c r="D33" s="213">
        <v>1.58</v>
      </c>
    </row>
    <row r="34" spans="1:4" ht="15" thickBot="1" x14ac:dyDescent="0.35">
      <c r="A34" s="207">
        <v>43515</v>
      </c>
      <c r="B34" s="208">
        <v>2.46</v>
      </c>
      <c r="C34" s="214"/>
      <c r="D34" s="210">
        <v>1.58</v>
      </c>
    </row>
    <row r="35" spans="1:4" ht="15" thickBot="1" x14ac:dyDescent="0.35">
      <c r="A35" s="211">
        <v>43516</v>
      </c>
      <c r="B35" s="212">
        <v>2.4500000000000002</v>
      </c>
      <c r="C35" s="214"/>
      <c r="D35" s="213">
        <v>1.58</v>
      </c>
    </row>
    <row r="36" spans="1:4" ht="15" thickBot="1" x14ac:dyDescent="0.35">
      <c r="A36" s="207">
        <v>43517</v>
      </c>
      <c r="B36" s="208">
        <v>2.4500000000000002</v>
      </c>
      <c r="C36" s="214"/>
      <c r="D36" s="210">
        <v>1.56</v>
      </c>
    </row>
    <row r="37" spans="1:4" ht="15" thickBot="1" x14ac:dyDescent="0.35">
      <c r="A37" s="211">
        <v>43518</v>
      </c>
      <c r="B37" s="212">
        <v>2.46</v>
      </c>
      <c r="C37" s="214"/>
      <c r="D37" s="213">
        <v>1.53</v>
      </c>
    </row>
    <row r="38" spans="1:4" ht="15" thickBot="1" x14ac:dyDescent="0.35">
      <c r="A38" s="207">
        <v>43521</v>
      </c>
      <c r="B38" s="208">
        <v>2.4700000000000002</v>
      </c>
      <c r="C38" s="214"/>
      <c r="D38" s="210">
        <v>1.53</v>
      </c>
    </row>
    <row r="39" spans="1:4" ht="15" thickBot="1" x14ac:dyDescent="0.35">
      <c r="A39" s="211">
        <v>43522</v>
      </c>
      <c r="B39" s="212">
        <v>2.4500000000000002</v>
      </c>
      <c r="C39" s="214"/>
      <c r="D39" s="213">
        <v>1.53</v>
      </c>
    </row>
    <row r="40" spans="1:4" ht="15" thickBot="1" x14ac:dyDescent="0.35">
      <c r="A40" s="207">
        <v>43523</v>
      </c>
      <c r="B40" s="208">
        <v>2.4500000000000002</v>
      </c>
      <c r="C40" s="214"/>
      <c r="D40" s="210">
        <v>1.45</v>
      </c>
    </row>
    <row r="41" spans="1:4" ht="15" thickBot="1" x14ac:dyDescent="0.35">
      <c r="A41" s="211">
        <v>43524</v>
      </c>
      <c r="B41" s="212">
        <v>2.4500000000000002</v>
      </c>
      <c r="C41" s="214"/>
      <c r="D41" s="213">
        <v>1.27</v>
      </c>
    </row>
    <row r="42" spans="1:4" ht="15" thickBot="1" x14ac:dyDescent="0.35">
      <c r="A42" s="207">
        <v>43525</v>
      </c>
      <c r="B42" s="208">
        <v>2.44</v>
      </c>
      <c r="C42" s="214"/>
      <c r="D42" s="210">
        <v>1.1200000000000001</v>
      </c>
    </row>
    <row r="43" spans="1:4" ht="15" thickBot="1" x14ac:dyDescent="0.35">
      <c r="A43" s="211">
        <v>43528</v>
      </c>
      <c r="B43" s="212">
        <v>2.4700000000000002</v>
      </c>
      <c r="C43" s="214"/>
      <c r="D43" s="213">
        <v>0.95</v>
      </c>
    </row>
    <row r="44" spans="1:4" ht="15" thickBot="1" x14ac:dyDescent="0.35">
      <c r="A44" s="207">
        <v>43529</v>
      </c>
      <c r="B44" s="208">
        <v>2.4700000000000002</v>
      </c>
      <c r="C44" s="214"/>
      <c r="D44" s="210">
        <v>0.72</v>
      </c>
    </row>
    <row r="45" spans="1:4" ht="15" thickBot="1" x14ac:dyDescent="0.35">
      <c r="A45" s="211">
        <v>43530</v>
      </c>
      <c r="B45" s="212">
        <v>2.4700000000000002</v>
      </c>
      <c r="C45" s="214"/>
      <c r="D45" s="213">
        <v>0.62</v>
      </c>
    </row>
    <row r="46" spans="1:4" ht="15" thickBot="1" x14ac:dyDescent="0.35">
      <c r="A46" s="207">
        <v>43531</v>
      </c>
      <c r="B46" s="208">
        <v>2.4500000000000002</v>
      </c>
      <c r="C46" s="214"/>
      <c r="D46" s="210">
        <v>0.46</v>
      </c>
    </row>
    <row r="47" spans="1:4" ht="15" thickBot="1" x14ac:dyDescent="0.35">
      <c r="A47" s="211">
        <v>43532</v>
      </c>
      <c r="B47" s="212">
        <v>2.46</v>
      </c>
      <c r="C47" s="214"/>
      <c r="D47" s="213">
        <v>0.32</v>
      </c>
    </row>
    <row r="48" spans="1:4" ht="15" thickBot="1" x14ac:dyDescent="0.35">
      <c r="A48" s="207">
        <v>43535</v>
      </c>
      <c r="B48" s="208">
        <v>2.4700000000000002</v>
      </c>
      <c r="C48" s="214"/>
      <c r="D48" s="210">
        <v>0.44</v>
      </c>
    </row>
    <row r="49" spans="1:4" ht="15" thickBot="1" x14ac:dyDescent="0.35">
      <c r="A49" s="211">
        <v>43536</v>
      </c>
      <c r="B49" s="212">
        <v>2.4700000000000002</v>
      </c>
      <c r="C49" s="214"/>
      <c r="D49" s="213">
        <v>0.42</v>
      </c>
    </row>
    <row r="50" spans="1:4" ht="15" thickBot="1" x14ac:dyDescent="0.35">
      <c r="A50" s="207">
        <v>43537</v>
      </c>
      <c r="B50" s="208">
        <v>2.4500000000000002</v>
      </c>
      <c r="C50" s="214"/>
      <c r="D50" s="210">
        <v>0.33</v>
      </c>
    </row>
    <row r="51" spans="1:4" ht="15" thickBot="1" x14ac:dyDescent="0.35">
      <c r="A51" s="211">
        <v>43538</v>
      </c>
      <c r="B51" s="212">
        <v>2.4500000000000002</v>
      </c>
      <c r="C51" s="214"/>
      <c r="D51" s="213">
        <v>0.27</v>
      </c>
    </row>
    <row r="52" spans="1:4" ht="15" thickBot="1" x14ac:dyDescent="0.35">
      <c r="A52" s="207">
        <v>43539</v>
      </c>
      <c r="B52" s="208">
        <v>2.4500000000000002</v>
      </c>
      <c r="C52" s="214"/>
      <c r="D52" s="210">
        <v>0.24</v>
      </c>
    </row>
    <row r="53" spans="1:4" ht="15" thickBot="1" x14ac:dyDescent="0.35">
      <c r="A53" s="211">
        <v>43542</v>
      </c>
      <c r="B53" s="212">
        <v>2.44</v>
      </c>
      <c r="C53" s="214"/>
      <c r="D53" s="213">
        <v>0.19</v>
      </c>
    </row>
    <row r="54" spans="1:4" ht="15" thickBot="1" x14ac:dyDescent="0.35">
      <c r="A54" s="207">
        <v>43543</v>
      </c>
      <c r="B54" s="208">
        <v>2.4700000000000002</v>
      </c>
      <c r="C54" s="214"/>
      <c r="D54" s="210">
        <v>0.02</v>
      </c>
    </row>
    <row r="55" spans="1:4" ht="15" thickBot="1" x14ac:dyDescent="0.35">
      <c r="A55" s="211">
        <v>43544</v>
      </c>
      <c r="B55" s="212">
        <v>2.48</v>
      </c>
      <c r="C55" s="214"/>
      <c r="D55" s="213">
        <v>0.04</v>
      </c>
    </row>
    <row r="56" spans="1:4" ht="15" thickBot="1" x14ac:dyDescent="0.35">
      <c r="A56" s="207">
        <v>43545</v>
      </c>
      <c r="B56" s="208">
        <v>2.4900000000000002</v>
      </c>
      <c r="C56" s="214"/>
      <c r="D56" s="210">
        <v>0.05</v>
      </c>
    </row>
    <row r="57" spans="1:4" ht="15" thickBot="1" x14ac:dyDescent="0.35">
      <c r="A57" s="211">
        <v>43546</v>
      </c>
      <c r="B57" s="212">
        <v>2.46</v>
      </c>
      <c r="C57" s="214"/>
      <c r="D57" s="213">
        <v>0.02</v>
      </c>
    </row>
    <row r="58" spans="1:4" ht="15" thickBot="1" x14ac:dyDescent="0.35">
      <c r="A58" s="207">
        <v>43549</v>
      </c>
      <c r="B58" s="208">
        <v>2.4700000000000002</v>
      </c>
      <c r="C58" s="214"/>
      <c r="D58" s="210">
        <v>0.01</v>
      </c>
    </row>
    <row r="59" spans="1:4" ht="15" thickBot="1" x14ac:dyDescent="0.35">
      <c r="A59" s="211">
        <v>43550</v>
      </c>
      <c r="B59" s="212">
        <v>2.4700000000000002</v>
      </c>
      <c r="C59" s="214"/>
      <c r="D59" s="213">
        <v>-0.04</v>
      </c>
    </row>
    <row r="60" spans="1:4" ht="15" thickBot="1" x14ac:dyDescent="0.35">
      <c r="A60" s="207">
        <v>43551</v>
      </c>
      <c r="B60" s="208">
        <v>2.44</v>
      </c>
      <c r="C60" s="214"/>
      <c r="D60" s="210">
        <v>-0.05</v>
      </c>
    </row>
    <row r="61" spans="1:4" ht="15" thickBot="1" x14ac:dyDescent="0.35">
      <c r="A61" s="211">
        <v>43552</v>
      </c>
      <c r="B61" s="212">
        <v>2.4300000000000002</v>
      </c>
      <c r="C61" s="214"/>
      <c r="D61" s="213">
        <v>0.03</v>
      </c>
    </row>
    <row r="62" spans="1:4" ht="15" thickBot="1" x14ac:dyDescent="0.35">
      <c r="A62" s="207">
        <v>43553</v>
      </c>
      <c r="B62" s="208">
        <v>2.4</v>
      </c>
      <c r="C62" s="214"/>
      <c r="D62" s="210">
        <v>0.12</v>
      </c>
    </row>
    <row r="63" spans="1:4" ht="15" thickBot="1" x14ac:dyDescent="0.35">
      <c r="A63" s="211">
        <v>43556</v>
      </c>
      <c r="B63" s="212">
        <v>2.4300000000000002</v>
      </c>
      <c r="C63" s="214"/>
      <c r="D63" s="213">
        <v>0.11</v>
      </c>
    </row>
    <row r="64" spans="1:4" ht="15" thickBot="1" x14ac:dyDescent="0.35">
      <c r="A64" s="207">
        <v>43557</v>
      </c>
      <c r="B64" s="208">
        <v>2.42</v>
      </c>
      <c r="C64" s="214"/>
      <c r="D64" s="210">
        <v>0.09</v>
      </c>
    </row>
    <row r="65" spans="1:4" ht="15" thickBot="1" x14ac:dyDescent="0.35">
      <c r="A65" s="211">
        <v>43558</v>
      </c>
      <c r="B65" s="212">
        <v>2.44</v>
      </c>
      <c r="C65" s="214"/>
      <c r="D65" s="213">
        <v>0.09</v>
      </c>
    </row>
    <row r="66" spans="1:4" ht="15" thickBot="1" x14ac:dyDescent="0.35">
      <c r="A66" s="207">
        <v>43559</v>
      </c>
      <c r="B66" s="208">
        <v>2.44</v>
      </c>
      <c r="C66" s="214"/>
      <c r="D66" s="210">
        <v>0.1</v>
      </c>
    </row>
    <row r="67" spans="1:4" ht="15" thickBot="1" x14ac:dyDescent="0.35">
      <c r="A67" s="211">
        <v>43560</v>
      </c>
      <c r="B67" s="212">
        <v>2.44</v>
      </c>
      <c r="C67" s="214"/>
      <c r="D67" s="213">
        <v>0.15</v>
      </c>
    </row>
    <row r="68" spans="1:4" ht="15" thickBot="1" x14ac:dyDescent="0.35">
      <c r="A68" s="207">
        <v>43563</v>
      </c>
      <c r="B68" s="208">
        <v>2.4300000000000002</v>
      </c>
      <c r="C68" s="214"/>
      <c r="D68" s="210">
        <v>0.14000000000000001</v>
      </c>
    </row>
    <row r="69" spans="1:4" ht="15" thickBot="1" x14ac:dyDescent="0.35">
      <c r="A69" s="211">
        <v>43564</v>
      </c>
      <c r="B69" s="212">
        <v>2.42</v>
      </c>
      <c r="C69" s="214"/>
      <c r="D69" s="213">
        <v>0.22</v>
      </c>
    </row>
    <row r="70" spans="1:4" ht="15" thickBot="1" x14ac:dyDescent="0.35">
      <c r="A70" s="207">
        <v>43565</v>
      </c>
      <c r="B70" s="208">
        <v>2.4300000000000002</v>
      </c>
      <c r="C70" s="214"/>
      <c r="D70" s="210">
        <v>0.25</v>
      </c>
    </row>
    <row r="71" spans="1:4" ht="15" thickBot="1" x14ac:dyDescent="0.35">
      <c r="A71" s="211">
        <v>43566</v>
      </c>
      <c r="B71" s="212">
        <v>2.4300000000000002</v>
      </c>
      <c r="C71" s="214"/>
      <c r="D71" s="213">
        <v>0.26</v>
      </c>
    </row>
    <row r="72" spans="1:4" ht="15" thickBot="1" x14ac:dyDescent="0.35">
      <c r="A72" s="207">
        <v>43567</v>
      </c>
      <c r="B72" s="208">
        <v>2.44</v>
      </c>
      <c r="C72" s="214"/>
      <c r="D72" s="210">
        <v>0.2</v>
      </c>
    </row>
    <row r="73" spans="1:4" ht="15" thickBot="1" x14ac:dyDescent="0.35">
      <c r="A73" s="211">
        <v>43570</v>
      </c>
      <c r="B73" s="212">
        <v>2.4300000000000002</v>
      </c>
      <c r="C73" s="214"/>
      <c r="D73" s="213">
        <v>0.14000000000000001</v>
      </c>
    </row>
    <row r="74" spans="1:4" ht="15" thickBot="1" x14ac:dyDescent="0.35">
      <c r="A74" s="207">
        <v>43571</v>
      </c>
      <c r="B74" s="208">
        <v>2.4300000000000002</v>
      </c>
      <c r="C74" s="214"/>
      <c r="D74" s="210">
        <v>0.14000000000000001</v>
      </c>
    </row>
    <row r="75" spans="1:4" ht="15" thickBot="1" x14ac:dyDescent="0.35">
      <c r="A75" s="211">
        <v>43572</v>
      </c>
      <c r="B75" s="212">
        <v>2.44</v>
      </c>
      <c r="C75" s="214"/>
      <c r="D75" s="213">
        <v>0.12</v>
      </c>
    </row>
    <row r="76" spans="1:4" ht="15" thickBot="1" x14ac:dyDescent="0.35">
      <c r="A76" s="207">
        <v>43573</v>
      </c>
      <c r="B76" s="208">
        <v>2.42</v>
      </c>
      <c r="C76" s="214"/>
      <c r="D76" s="210">
        <v>0.12</v>
      </c>
    </row>
    <row r="77" spans="1:4" ht="15" thickBot="1" x14ac:dyDescent="0.35">
      <c r="A77" s="211">
        <v>43577</v>
      </c>
      <c r="B77" s="212">
        <v>2.44</v>
      </c>
      <c r="C77" s="214"/>
      <c r="D77" s="213">
        <v>0.11</v>
      </c>
    </row>
    <row r="78" spans="1:4" ht="15" thickBot="1" x14ac:dyDescent="0.35">
      <c r="A78" s="207">
        <v>43578</v>
      </c>
      <c r="B78" s="208">
        <v>2.4500000000000002</v>
      </c>
      <c r="C78" s="214"/>
      <c r="D78" s="210">
        <v>0.12</v>
      </c>
    </row>
    <row r="79" spans="1:4" ht="15" thickBot="1" x14ac:dyDescent="0.35">
      <c r="A79" s="211">
        <v>43579</v>
      </c>
      <c r="B79" s="212">
        <v>2.44</v>
      </c>
      <c r="C79" s="214"/>
      <c r="D79" s="213">
        <v>0.11</v>
      </c>
    </row>
    <row r="80" spans="1:4" ht="15" thickBot="1" x14ac:dyDescent="0.35">
      <c r="A80" s="207">
        <v>43580</v>
      </c>
      <c r="B80" s="208">
        <v>2.4300000000000002</v>
      </c>
      <c r="C80" s="214"/>
      <c r="D80" s="210">
        <v>0.12</v>
      </c>
    </row>
    <row r="81" spans="1:4" ht="15" thickBot="1" x14ac:dyDescent="0.35">
      <c r="A81" s="211">
        <v>43581</v>
      </c>
      <c r="B81" s="212">
        <v>2.42</v>
      </c>
      <c r="C81" s="214"/>
      <c r="D81" s="213">
        <v>0.12</v>
      </c>
    </row>
    <row r="82" spans="1:4" ht="15" thickBot="1" x14ac:dyDescent="0.35">
      <c r="A82" s="207">
        <v>43584</v>
      </c>
      <c r="B82" s="208">
        <v>2.44</v>
      </c>
      <c r="C82" s="214"/>
      <c r="D82" s="210">
        <v>0.11</v>
      </c>
    </row>
    <row r="83" spans="1:4" ht="15" thickBot="1" x14ac:dyDescent="0.35">
      <c r="A83" s="211">
        <v>43585</v>
      </c>
      <c r="B83" s="212">
        <v>2.4300000000000002</v>
      </c>
      <c r="C83" s="214"/>
      <c r="D83" s="213">
        <v>0.1</v>
      </c>
    </row>
    <row r="84" spans="1:4" ht="15" thickBot="1" x14ac:dyDescent="0.35">
      <c r="A84" s="207">
        <v>43586</v>
      </c>
      <c r="B84" s="208">
        <v>2.4300000000000002</v>
      </c>
      <c r="C84" s="214"/>
      <c r="D84" s="210">
        <v>0.09</v>
      </c>
    </row>
    <row r="85" spans="1:4" ht="15" thickBot="1" x14ac:dyDescent="0.35">
      <c r="A85" s="211">
        <v>43587</v>
      </c>
      <c r="B85" s="212">
        <v>2.4700000000000002</v>
      </c>
      <c r="C85" s="214"/>
      <c r="D85" s="213">
        <v>0.12</v>
      </c>
    </row>
    <row r="86" spans="1:4" ht="15" thickBot="1" x14ac:dyDescent="0.35">
      <c r="A86" s="207">
        <v>43588</v>
      </c>
      <c r="B86" s="208">
        <v>2.4300000000000002</v>
      </c>
      <c r="C86" s="214"/>
      <c r="D86" s="210">
        <v>0.13</v>
      </c>
    </row>
    <row r="87" spans="1:4" ht="15" thickBot="1" x14ac:dyDescent="0.35">
      <c r="A87" s="211">
        <v>43591</v>
      </c>
      <c r="B87" s="212">
        <v>2.44</v>
      </c>
      <c r="C87" s="214"/>
      <c r="D87" s="213">
        <v>0.13</v>
      </c>
    </row>
    <row r="88" spans="1:4" ht="15" thickBot="1" x14ac:dyDescent="0.35">
      <c r="A88" s="207">
        <v>43592</v>
      </c>
      <c r="B88" s="208">
        <v>2.4300000000000002</v>
      </c>
      <c r="C88" s="214"/>
      <c r="D88" s="210">
        <v>0.12</v>
      </c>
    </row>
    <row r="89" spans="1:4" ht="15" thickBot="1" x14ac:dyDescent="0.35">
      <c r="A89" s="211">
        <v>43593</v>
      </c>
      <c r="B89" s="212">
        <v>2.4300000000000002</v>
      </c>
      <c r="C89" s="214"/>
      <c r="D89" s="213">
        <v>0.11</v>
      </c>
    </row>
    <row r="90" spans="1:4" ht="15" thickBot="1" x14ac:dyDescent="0.35">
      <c r="A90" s="207">
        <v>43594</v>
      </c>
      <c r="B90" s="208">
        <v>2.4300000000000002</v>
      </c>
      <c r="C90" s="214"/>
      <c r="D90" s="210">
        <v>0.12</v>
      </c>
    </row>
    <row r="91" spans="1:4" ht="15" thickBot="1" x14ac:dyDescent="0.35">
      <c r="A91" s="211">
        <v>43595</v>
      </c>
      <c r="B91" s="212">
        <v>2.4300000000000002</v>
      </c>
      <c r="C91" s="214"/>
      <c r="D91" s="213">
        <v>0.12</v>
      </c>
    </row>
    <row r="92" spans="1:4" ht="15" thickBot="1" x14ac:dyDescent="0.35">
      <c r="A92" s="207">
        <v>43598</v>
      </c>
      <c r="B92" s="208">
        <v>2.41</v>
      </c>
      <c r="C92" s="214"/>
      <c r="D92" s="210">
        <v>0.13</v>
      </c>
    </row>
    <row r="93" spans="1:4" ht="15" thickBot="1" x14ac:dyDescent="0.35">
      <c r="A93" s="211">
        <v>43599</v>
      </c>
      <c r="B93" s="212">
        <v>2.41</v>
      </c>
      <c r="C93" s="214"/>
      <c r="D93" s="213">
        <v>0.13</v>
      </c>
    </row>
    <row r="94" spans="1:4" ht="15" thickBot="1" x14ac:dyDescent="0.35">
      <c r="A94" s="207">
        <v>43600</v>
      </c>
      <c r="B94" s="208">
        <v>2.42</v>
      </c>
      <c r="C94" s="214"/>
      <c r="D94" s="210">
        <v>0.12</v>
      </c>
    </row>
    <row r="95" spans="1:4" ht="15" thickBot="1" x14ac:dyDescent="0.35">
      <c r="A95" s="211">
        <v>43601</v>
      </c>
      <c r="B95" s="212">
        <v>2.4</v>
      </c>
      <c r="C95" s="214"/>
      <c r="D95" s="213">
        <v>0.12</v>
      </c>
    </row>
    <row r="96" spans="1:4" ht="15" thickBot="1" x14ac:dyDescent="0.35">
      <c r="A96" s="207">
        <v>43602</v>
      </c>
      <c r="B96" s="208">
        <v>2.39</v>
      </c>
      <c r="C96" s="214"/>
      <c r="D96" s="210">
        <v>0.13</v>
      </c>
    </row>
    <row r="97" spans="1:4" ht="15" thickBot="1" x14ac:dyDescent="0.35">
      <c r="A97" s="211">
        <v>43605</v>
      </c>
      <c r="B97" s="212">
        <v>2.39</v>
      </c>
      <c r="C97" s="214"/>
      <c r="D97" s="213">
        <v>0.13</v>
      </c>
    </row>
    <row r="98" spans="1:4" ht="15" thickBot="1" x14ac:dyDescent="0.35">
      <c r="A98" s="207">
        <v>43606</v>
      </c>
      <c r="B98" s="208">
        <v>2.39</v>
      </c>
      <c r="C98" s="214"/>
      <c r="D98" s="210">
        <v>0.12</v>
      </c>
    </row>
    <row r="99" spans="1:4" ht="15" thickBot="1" x14ac:dyDescent="0.35">
      <c r="A99" s="211">
        <v>43607</v>
      </c>
      <c r="B99" s="212">
        <v>2.38</v>
      </c>
      <c r="C99" s="214"/>
      <c r="D99" s="213">
        <v>0.12</v>
      </c>
    </row>
    <row r="100" spans="1:4" ht="15" thickBot="1" x14ac:dyDescent="0.35">
      <c r="A100" s="207">
        <v>43608</v>
      </c>
      <c r="B100" s="208">
        <v>2.37</v>
      </c>
      <c r="C100" s="214"/>
      <c r="D100" s="210">
        <v>0.12</v>
      </c>
    </row>
    <row r="101" spans="1:4" ht="15" thickBot="1" x14ac:dyDescent="0.35">
      <c r="A101" s="211">
        <v>43609</v>
      </c>
      <c r="B101" s="212">
        <v>2.35</v>
      </c>
      <c r="C101" s="214"/>
      <c r="D101" s="213">
        <v>0.14000000000000001</v>
      </c>
    </row>
    <row r="102" spans="1:4" ht="15" thickBot="1" x14ac:dyDescent="0.35">
      <c r="A102" s="207">
        <v>43613</v>
      </c>
      <c r="B102" s="208">
        <v>2.37</v>
      </c>
      <c r="C102" s="214"/>
      <c r="D102" s="210">
        <v>0.15</v>
      </c>
    </row>
    <row r="103" spans="1:4" ht="15" thickBot="1" x14ac:dyDescent="0.35">
      <c r="A103" s="211">
        <v>43614</v>
      </c>
      <c r="B103" s="212">
        <v>2.37</v>
      </c>
      <c r="C103" s="214"/>
      <c r="D103" s="213">
        <v>0.15</v>
      </c>
    </row>
    <row r="104" spans="1:4" ht="15" thickBot="1" x14ac:dyDescent="0.35">
      <c r="A104" s="207">
        <v>43615</v>
      </c>
      <c r="B104" s="208">
        <v>2.38</v>
      </c>
      <c r="C104" s="214"/>
      <c r="D104" s="210">
        <v>0.14000000000000001</v>
      </c>
    </row>
    <row r="105" spans="1:4" ht="15" thickBot="1" x14ac:dyDescent="0.35">
      <c r="A105" s="211">
        <v>43616</v>
      </c>
      <c r="B105" s="212">
        <v>2.35</v>
      </c>
      <c r="C105" s="214"/>
      <c r="D105" s="213">
        <v>0.14000000000000001</v>
      </c>
    </row>
    <row r="106" spans="1:4" ht="15" thickBot="1" x14ac:dyDescent="0.35">
      <c r="A106" s="207">
        <v>43619</v>
      </c>
      <c r="B106" s="208">
        <v>2.35</v>
      </c>
      <c r="C106" s="214"/>
      <c r="D106" s="210">
        <v>0.15</v>
      </c>
    </row>
    <row r="107" spans="1:4" ht="15" thickBot="1" x14ac:dyDescent="0.35">
      <c r="A107" s="211">
        <v>43620</v>
      </c>
      <c r="B107" s="212">
        <v>2.35</v>
      </c>
      <c r="C107" s="214"/>
      <c r="D107" s="213">
        <v>0.16</v>
      </c>
    </row>
    <row r="108" spans="1:4" ht="15" thickBot="1" x14ac:dyDescent="0.35">
      <c r="A108" s="207">
        <v>43621</v>
      </c>
      <c r="B108" s="208">
        <v>2.35</v>
      </c>
      <c r="C108" s="214"/>
      <c r="D108" s="210">
        <v>0.15</v>
      </c>
    </row>
    <row r="109" spans="1:4" ht="15" thickBot="1" x14ac:dyDescent="0.35">
      <c r="A109" s="211">
        <v>43622</v>
      </c>
      <c r="B109" s="212">
        <v>2.33</v>
      </c>
      <c r="C109" s="214"/>
      <c r="D109" s="213">
        <v>0.15</v>
      </c>
    </row>
    <row r="110" spans="1:4" ht="15" thickBot="1" x14ac:dyDescent="0.35">
      <c r="A110" s="207">
        <v>43623</v>
      </c>
      <c r="B110" s="208">
        <v>2.2799999999999998</v>
      </c>
      <c r="C110" s="214"/>
      <c r="D110" s="210">
        <v>0.17</v>
      </c>
    </row>
    <row r="111" spans="1:4" ht="15" thickBot="1" x14ac:dyDescent="0.35">
      <c r="A111" s="211">
        <v>43626</v>
      </c>
      <c r="B111" s="212">
        <v>2.29</v>
      </c>
      <c r="C111" s="214"/>
      <c r="D111" s="213">
        <v>0.19</v>
      </c>
    </row>
    <row r="112" spans="1:4" ht="15" thickBot="1" x14ac:dyDescent="0.35">
      <c r="A112" s="207">
        <v>43627</v>
      </c>
      <c r="B112" s="208">
        <v>2.27</v>
      </c>
      <c r="C112" s="214"/>
      <c r="D112" s="210">
        <v>0.17</v>
      </c>
    </row>
    <row r="113" spans="1:4" ht="15" thickBot="1" x14ac:dyDescent="0.35">
      <c r="A113" s="211">
        <v>43628</v>
      </c>
      <c r="B113" s="212">
        <v>2.2400000000000002</v>
      </c>
      <c r="C113" s="214"/>
      <c r="D113" s="213">
        <v>0.17</v>
      </c>
    </row>
    <row r="114" spans="1:4" ht="15" thickBot="1" x14ac:dyDescent="0.35">
      <c r="A114" s="207">
        <v>43629</v>
      </c>
      <c r="B114" s="208">
        <v>2.19</v>
      </c>
      <c r="C114" s="214"/>
      <c r="D114" s="210">
        <v>0.16</v>
      </c>
    </row>
    <row r="115" spans="1:4" ht="15" thickBot="1" x14ac:dyDescent="0.35">
      <c r="A115" s="211">
        <v>43630</v>
      </c>
      <c r="B115" s="212">
        <v>2.2000000000000002</v>
      </c>
      <c r="C115" s="214"/>
      <c r="D115" s="213">
        <v>0.18</v>
      </c>
    </row>
    <row r="116" spans="1:4" ht="15" thickBot="1" x14ac:dyDescent="0.35">
      <c r="A116" s="207">
        <v>43633</v>
      </c>
      <c r="B116" s="208">
        <v>2.23</v>
      </c>
      <c r="C116" s="214"/>
      <c r="D116" s="210">
        <v>0.17</v>
      </c>
    </row>
    <row r="117" spans="1:4" ht="15" thickBot="1" x14ac:dyDescent="0.35">
      <c r="A117" s="211">
        <v>43634</v>
      </c>
      <c r="B117" s="212">
        <v>2.2200000000000002</v>
      </c>
      <c r="C117" s="214"/>
      <c r="D117" s="213">
        <v>0.17</v>
      </c>
    </row>
    <row r="118" spans="1:4" ht="15" thickBot="1" x14ac:dyDescent="0.35">
      <c r="A118" s="207">
        <v>43635</v>
      </c>
      <c r="B118" s="208">
        <v>2.1800000000000002</v>
      </c>
      <c r="C118" s="214"/>
      <c r="D118" s="210">
        <v>0.16</v>
      </c>
    </row>
    <row r="119" spans="1:4" ht="15" thickBot="1" x14ac:dyDescent="0.35">
      <c r="A119" s="211">
        <v>43636</v>
      </c>
      <c r="B119" s="212">
        <v>2.14</v>
      </c>
      <c r="C119" s="214"/>
      <c r="D119" s="213">
        <v>0.15</v>
      </c>
    </row>
    <row r="120" spans="1:4" ht="15" thickBot="1" x14ac:dyDescent="0.35">
      <c r="A120" s="207">
        <v>43637</v>
      </c>
      <c r="B120" s="208">
        <v>2.12</v>
      </c>
      <c r="C120" s="214"/>
      <c r="D120" s="210">
        <v>0.16</v>
      </c>
    </row>
    <row r="121" spans="1:4" ht="15" thickBot="1" x14ac:dyDescent="0.35">
      <c r="A121" s="211">
        <v>43640</v>
      </c>
      <c r="B121" s="212">
        <v>2.13</v>
      </c>
      <c r="C121" s="214"/>
      <c r="D121" s="213">
        <v>0.16</v>
      </c>
    </row>
    <row r="122" spans="1:4" ht="15" thickBot="1" x14ac:dyDescent="0.35">
      <c r="A122" s="207">
        <v>43641</v>
      </c>
      <c r="B122" s="208">
        <v>2.12</v>
      </c>
      <c r="C122" s="214"/>
      <c r="D122" s="210">
        <v>0.15</v>
      </c>
    </row>
    <row r="123" spans="1:4" ht="15" thickBot="1" x14ac:dyDescent="0.35">
      <c r="A123" s="211">
        <v>43642</v>
      </c>
      <c r="B123" s="212">
        <v>2.15</v>
      </c>
      <c r="C123" s="214"/>
      <c r="D123" s="213">
        <v>0.16</v>
      </c>
    </row>
    <row r="124" spans="1:4" ht="15" thickBot="1" x14ac:dyDescent="0.35">
      <c r="A124" s="207">
        <v>43643</v>
      </c>
      <c r="B124" s="208">
        <v>2.14</v>
      </c>
      <c r="C124" s="214"/>
      <c r="D124" s="210">
        <v>0.14000000000000001</v>
      </c>
    </row>
    <row r="125" spans="1:4" ht="15" thickBot="1" x14ac:dyDescent="0.35">
      <c r="A125" s="211">
        <v>43644</v>
      </c>
      <c r="B125" s="212">
        <v>2.13</v>
      </c>
      <c r="C125" s="214"/>
      <c r="D125" s="213">
        <v>0.14000000000000001</v>
      </c>
    </row>
    <row r="126" spans="1:4" ht="15" thickBot="1" x14ac:dyDescent="0.35">
      <c r="A126" s="207">
        <v>43647</v>
      </c>
      <c r="B126" s="208">
        <v>2.21</v>
      </c>
      <c r="C126" s="214"/>
      <c r="D126" s="210">
        <v>0.16</v>
      </c>
    </row>
    <row r="127" spans="1:4" ht="15" thickBot="1" x14ac:dyDescent="0.35">
      <c r="A127" s="211">
        <v>43648</v>
      </c>
      <c r="B127" s="212">
        <v>2.2000000000000002</v>
      </c>
      <c r="C127" s="214"/>
      <c r="D127" s="213">
        <v>0.14000000000000001</v>
      </c>
    </row>
    <row r="128" spans="1:4" ht="15" thickBot="1" x14ac:dyDescent="0.35">
      <c r="A128" s="207">
        <v>43649</v>
      </c>
      <c r="B128" s="208">
        <v>2.21</v>
      </c>
      <c r="C128" s="214"/>
      <c r="D128" s="210">
        <v>0.14000000000000001</v>
      </c>
    </row>
    <row r="129" spans="1:4" ht="15" thickBot="1" x14ac:dyDescent="0.35">
      <c r="A129" s="211">
        <v>43651</v>
      </c>
      <c r="B129" s="212">
        <v>2.23</v>
      </c>
      <c r="C129" s="214"/>
      <c r="D129" s="213">
        <v>0.15</v>
      </c>
    </row>
    <row r="130" spans="1:4" ht="15" thickBot="1" x14ac:dyDescent="0.35">
      <c r="A130" s="207">
        <v>43654</v>
      </c>
      <c r="B130" s="208">
        <v>2.2599999999999998</v>
      </c>
      <c r="C130" s="214"/>
      <c r="D130" s="210">
        <v>0.15</v>
      </c>
    </row>
    <row r="131" spans="1:4" ht="15" thickBot="1" x14ac:dyDescent="0.35">
      <c r="A131" s="211">
        <v>43655</v>
      </c>
      <c r="B131" s="212">
        <v>2.2599999999999998</v>
      </c>
      <c r="C131" s="214"/>
      <c r="D131" s="213">
        <v>0.15</v>
      </c>
    </row>
    <row r="132" spans="1:4" ht="15" thickBot="1" x14ac:dyDescent="0.35">
      <c r="A132" s="207">
        <v>43656</v>
      </c>
      <c r="B132" s="208">
        <v>2.2000000000000002</v>
      </c>
      <c r="C132" s="214"/>
      <c r="D132" s="210">
        <v>0.13</v>
      </c>
    </row>
    <row r="133" spans="1:4" ht="15" thickBot="1" x14ac:dyDescent="0.35">
      <c r="A133" s="211">
        <v>43657</v>
      </c>
      <c r="B133" s="212">
        <v>2.17</v>
      </c>
      <c r="C133" s="214"/>
      <c r="D133" s="213">
        <v>0.13</v>
      </c>
    </row>
    <row r="134" spans="1:4" ht="15" thickBot="1" x14ac:dyDescent="0.35">
      <c r="A134" s="207">
        <v>43658</v>
      </c>
      <c r="B134" s="208">
        <v>2.15</v>
      </c>
      <c r="C134" s="214"/>
      <c r="D134" s="210">
        <v>0.14000000000000001</v>
      </c>
    </row>
    <row r="135" spans="1:4" ht="15" thickBot="1" x14ac:dyDescent="0.35">
      <c r="A135" s="211">
        <v>43661</v>
      </c>
      <c r="B135" s="212">
        <v>2.16</v>
      </c>
      <c r="C135" s="214"/>
      <c r="D135" s="213">
        <v>0.15</v>
      </c>
    </row>
    <row r="136" spans="1:4" ht="15" thickBot="1" x14ac:dyDescent="0.35">
      <c r="A136" s="207">
        <v>43662</v>
      </c>
      <c r="B136" s="208">
        <v>2.15</v>
      </c>
      <c r="C136" s="214"/>
      <c r="D136" s="210">
        <v>0.16</v>
      </c>
    </row>
    <row r="137" spans="1:4" ht="15" thickBot="1" x14ac:dyDescent="0.35">
      <c r="A137" s="211">
        <v>43663</v>
      </c>
      <c r="B137" s="212">
        <v>2.14</v>
      </c>
      <c r="C137" s="214"/>
      <c r="D137" s="213">
        <v>0.11</v>
      </c>
    </row>
    <row r="138" spans="1:4" ht="15" thickBot="1" x14ac:dyDescent="0.35">
      <c r="A138" s="207">
        <v>43664</v>
      </c>
      <c r="B138" s="208">
        <v>2.0499999999999998</v>
      </c>
      <c r="C138" s="214"/>
      <c r="D138" s="210">
        <v>0.11</v>
      </c>
    </row>
    <row r="139" spans="1:4" ht="15" thickBot="1" x14ac:dyDescent="0.35">
      <c r="A139" s="211">
        <v>43665</v>
      </c>
      <c r="B139" s="212">
        <v>2.06</v>
      </c>
      <c r="C139" s="214"/>
      <c r="D139" s="213">
        <v>0.13</v>
      </c>
    </row>
    <row r="140" spans="1:4" ht="15" thickBot="1" x14ac:dyDescent="0.35">
      <c r="A140" s="207">
        <v>43668</v>
      </c>
      <c r="B140" s="208">
        <v>2.08</v>
      </c>
      <c r="C140" s="214"/>
      <c r="D140" s="210">
        <v>0.13</v>
      </c>
    </row>
    <row r="141" spans="1:4" ht="15" thickBot="1" x14ac:dyDescent="0.35">
      <c r="A141" s="211">
        <v>43669</v>
      </c>
      <c r="B141" s="212">
        <v>2.06</v>
      </c>
      <c r="C141" s="214"/>
      <c r="D141" s="213">
        <v>0.13</v>
      </c>
    </row>
    <row r="142" spans="1:4" ht="15" thickBot="1" x14ac:dyDescent="0.35">
      <c r="A142" s="207">
        <v>43670</v>
      </c>
      <c r="B142" s="208">
        <v>2.1</v>
      </c>
      <c r="C142" s="214"/>
      <c r="D142" s="210">
        <v>0.12</v>
      </c>
    </row>
    <row r="143" spans="1:4" ht="15" thickBot="1" x14ac:dyDescent="0.35">
      <c r="A143" s="211">
        <v>43671</v>
      </c>
      <c r="B143" s="212">
        <v>2.11</v>
      </c>
      <c r="C143" s="214"/>
      <c r="D143" s="213">
        <v>0.11</v>
      </c>
    </row>
    <row r="144" spans="1:4" ht="15" thickBot="1" x14ac:dyDescent="0.35">
      <c r="A144" s="207">
        <v>43672</v>
      </c>
      <c r="B144" s="208">
        <v>2.13</v>
      </c>
      <c r="C144" s="214"/>
      <c r="D144" s="210">
        <v>0.11</v>
      </c>
    </row>
    <row r="145" spans="1:4" ht="15" thickBot="1" x14ac:dyDescent="0.35">
      <c r="A145" s="211">
        <v>43675</v>
      </c>
      <c r="B145" s="212">
        <v>2.12</v>
      </c>
      <c r="C145" s="214"/>
      <c r="D145" s="213">
        <v>0.11</v>
      </c>
    </row>
    <row r="146" spans="1:4" ht="15" thickBot="1" x14ac:dyDescent="0.35">
      <c r="A146" s="207">
        <v>43676</v>
      </c>
      <c r="B146" s="208">
        <v>2.08</v>
      </c>
      <c r="C146" s="214"/>
      <c r="D146" s="210">
        <v>0.11</v>
      </c>
    </row>
    <row r="147" spans="1:4" ht="15" thickBot="1" x14ac:dyDescent="0.35">
      <c r="A147" s="211">
        <v>43677</v>
      </c>
      <c r="B147" s="212">
        <v>2.08</v>
      </c>
      <c r="C147" s="214"/>
      <c r="D147" s="213">
        <v>0.09</v>
      </c>
    </row>
    <row r="148" spans="1:4" ht="15" thickBot="1" x14ac:dyDescent="0.35">
      <c r="A148" s="207">
        <v>43678</v>
      </c>
      <c r="B148" s="208">
        <v>2.0699999999999998</v>
      </c>
      <c r="C148" s="214"/>
      <c r="D148" s="210">
        <v>0.09</v>
      </c>
    </row>
    <row r="149" spans="1:4" ht="15" thickBot="1" x14ac:dyDescent="0.35">
      <c r="A149" s="211">
        <v>43679</v>
      </c>
      <c r="B149" s="212">
        <v>2.06</v>
      </c>
      <c r="C149" s="214"/>
      <c r="D149" s="213">
        <v>0.1</v>
      </c>
    </row>
    <row r="150" spans="1:4" ht="15" thickBot="1" x14ac:dyDescent="0.35">
      <c r="A150" s="207">
        <v>43682</v>
      </c>
      <c r="B150" s="208">
        <v>2.04</v>
      </c>
      <c r="C150" s="214"/>
      <c r="D150" s="210">
        <v>0.09</v>
      </c>
    </row>
    <row r="151" spans="1:4" ht="15" thickBot="1" x14ac:dyDescent="0.35">
      <c r="A151" s="211">
        <v>43683</v>
      </c>
      <c r="B151" s="212">
        <v>2.0499999999999998</v>
      </c>
      <c r="C151" s="214"/>
      <c r="D151" s="213">
        <v>0.1</v>
      </c>
    </row>
    <row r="152" spans="1:4" ht="15" thickBot="1" x14ac:dyDescent="0.35">
      <c r="A152" s="207">
        <v>43684</v>
      </c>
      <c r="B152" s="208">
        <v>2.02</v>
      </c>
      <c r="C152" s="214"/>
      <c r="D152" s="210">
        <v>0.1</v>
      </c>
    </row>
    <row r="153" spans="1:4" ht="15" thickBot="1" x14ac:dyDescent="0.35">
      <c r="A153" s="211">
        <v>43685</v>
      </c>
      <c r="B153" s="212">
        <v>2.02</v>
      </c>
      <c r="C153" s="214"/>
      <c r="D153" s="213">
        <v>0.1</v>
      </c>
    </row>
    <row r="154" spans="1:4" ht="15" thickBot="1" x14ac:dyDescent="0.35">
      <c r="A154" s="207">
        <v>43686</v>
      </c>
      <c r="B154" s="208">
        <v>2</v>
      </c>
      <c r="C154" s="214"/>
      <c r="D154" s="210">
        <v>0.11</v>
      </c>
    </row>
    <row r="155" spans="1:4" ht="15" thickBot="1" x14ac:dyDescent="0.35">
      <c r="A155" s="211">
        <v>43689</v>
      </c>
      <c r="B155" s="212">
        <v>2</v>
      </c>
      <c r="C155" s="214"/>
      <c r="D155" s="213">
        <v>0.11</v>
      </c>
    </row>
    <row r="156" spans="1:4" ht="15" thickBot="1" x14ac:dyDescent="0.35">
      <c r="A156" s="207">
        <v>43690</v>
      </c>
      <c r="B156" s="208">
        <v>2</v>
      </c>
      <c r="C156" s="214"/>
      <c r="D156" s="210">
        <v>0.11</v>
      </c>
    </row>
    <row r="157" spans="1:4" ht="15" thickBot="1" x14ac:dyDescent="0.35">
      <c r="A157" s="211">
        <v>43691</v>
      </c>
      <c r="B157" s="212">
        <v>1.96</v>
      </c>
      <c r="C157" s="214"/>
      <c r="D157" s="213">
        <v>0.1</v>
      </c>
    </row>
    <row r="158" spans="1:4" ht="15" thickBot="1" x14ac:dyDescent="0.35">
      <c r="A158" s="207">
        <v>43692</v>
      </c>
      <c r="B158" s="208">
        <v>1.91</v>
      </c>
      <c r="C158" s="214"/>
      <c r="D158" s="210">
        <v>0.1</v>
      </c>
    </row>
    <row r="159" spans="1:4" ht="15" thickBot="1" x14ac:dyDescent="0.35">
      <c r="A159" s="211">
        <v>43693</v>
      </c>
      <c r="B159" s="212">
        <v>1.87</v>
      </c>
      <c r="C159" s="214"/>
      <c r="D159" s="213">
        <v>0.1</v>
      </c>
    </row>
    <row r="160" spans="1:4" ht="15" thickBot="1" x14ac:dyDescent="0.35">
      <c r="A160" s="207">
        <v>43696</v>
      </c>
      <c r="B160" s="208">
        <v>1.94</v>
      </c>
      <c r="C160" s="214"/>
      <c r="D160" s="210">
        <v>0.09</v>
      </c>
    </row>
    <row r="161" spans="1:4" ht="15" thickBot="1" x14ac:dyDescent="0.35">
      <c r="A161" s="211">
        <v>43697</v>
      </c>
      <c r="B161" s="212">
        <v>1.94</v>
      </c>
      <c r="C161" s="214"/>
      <c r="D161" s="213">
        <v>0.11</v>
      </c>
    </row>
    <row r="162" spans="1:4" ht="15" thickBot="1" x14ac:dyDescent="0.35">
      <c r="A162" s="207">
        <v>43698</v>
      </c>
      <c r="B162" s="208">
        <v>1.97</v>
      </c>
      <c r="C162" s="214"/>
      <c r="D162" s="210">
        <v>0.11</v>
      </c>
    </row>
    <row r="163" spans="1:4" ht="15" thickBot="1" x14ac:dyDescent="0.35">
      <c r="A163" s="211">
        <v>43699</v>
      </c>
      <c r="B163" s="212">
        <v>2</v>
      </c>
      <c r="C163" s="214"/>
      <c r="D163" s="213">
        <v>0.1</v>
      </c>
    </row>
    <row r="164" spans="1:4" ht="15" thickBot="1" x14ac:dyDescent="0.35">
      <c r="A164" s="207">
        <v>43700</v>
      </c>
      <c r="B164" s="208">
        <v>1.97</v>
      </c>
      <c r="C164" s="214"/>
      <c r="D164" s="210">
        <v>0.12</v>
      </c>
    </row>
    <row r="165" spans="1:4" ht="15" thickBot="1" x14ac:dyDescent="0.35">
      <c r="A165" s="211">
        <v>43703</v>
      </c>
      <c r="B165" s="212">
        <v>2</v>
      </c>
      <c r="C165" s="214"/>
      <c r="D165" s="213">
        <v>0.11</v>
      </c>
    </row>
    <row r="166" spans="1:4" ht="15" thickBot="1" x14ac:dyDescent="0.35">
      <c r="A166" s="207">
        <v>43704</v>
      </c>
      <c r="B166" s="208">
        <v>1.98</v>
      </c>
      <c r="C166" s="214"/>
      <c r="D166" s="210">
        <v>0.11</v>
      </c>
    </row>
    <row r="167" spans="1:4" ht="15" thickBot="1" x14ac:dyDescent="0.35">
      <c r="A167" s="211">
        <v>43705</v>
      </c>
      <c r="B167" s="212">
        <v>1.99</v>
      </c>
      <c r="C167" s="214"/>
      <c r="D167" s="213">
        <v>0.11</v>
      </c>
    </row>
    <row r="168" spans="1:4" ht="15" thickBot="1" x14ac:dyDescent="0.35">
      <c r="A168" s="207">
        <v>43706</v>
      </c>
      <c r="B168" s="208">
        <v>1.99</v>
      </c>
      <c r="C168" s="214"/>
      <c r="D168" s="210">
        <v>0.1</v>
      </c>
    </row>
    <row r="169" spans="1:4" ht="15" thickBot="1" x14ac:dyDescent="0.35">
      <c r="A169" s="211">
        <v>43707</v>
      </c>
      <c r="B169" s="212">
        <v>1.99</v>
      </c>
      <c r="C169" s="214"/>
      <c r="D169" s="213">
        <v>0.11</v>
      </c>
    </row>
    <row r="170" spans="1:4" ht="15" thickBot="1" x14ac:dyDescent="0.35">
      <c r="A170" s="207">
        <v>43711</v>
      </c>
      <c r="B170" s="208">
        <v>1.98</v>
      </c>
      <c r="C170" s="214"/>
      <c r="D170" s="210">
        <v>0.12</v>
      </c>
    </row>
    <row r="171" spans="1:4" ht="15" thickBot="1" x14ac:dyDescent="0.35">
      <c r="A171" s="211">
        <v>43712</v>
      </c>
      <c r="B171" s="212">
        <v>1.97</v>
      </c>
      <c r="C171" s="214"/>
      <c r="D171" s="213">
        <v>0.12</v>
      </c>
    </row>
    <row r="172" spans="1:4" ht="15" thickBot="1" x14ac:dyDescent="0.35">
      <c r="A172" s="207">
        <v>43713</v>
      </c>
      <c r="B172" s="208">
        <v>1.97</v>
      </c>
      <c r="C172" s="214"/>
      <c r="D172" s="210">
        <v>0.11</v>
      </c>
    </row>
    <row r="173" spans="1:4" ht="15" thickBot="1" x14ac:dyDescent="0.35">
      <c r="A173" s="211">
        <v>43714</v>
      </c>
      <c r="B173" s="212">
        <v>1.96</v>
      </c>
      <c r="C173" s="214"/>
      <c r="D173" s="213">
        <v>0.11</v>
      </c>
    </row>
    <row r="174" spans="1:4" ht="15" thickBot="1" x14ac:dyDescent="0.35">
      <c r="A174" s="207">
        <v>43717</v>
      </c>
      <c r="B174" s="208">
        <v>1.96</v>
      </c>
      <c r="C174" s="214"/>
      <c r="D174" s="210">
        <v>0.13</v>
      </c>
    </row>
    <row r="175" spans="1:4" ht="15" thickBot="1" x14ac:dyDescent="0.35">
      <c r="A175" s="211">
        <v>43718</v>
      </c>
      <c r="B175" s="212">
        <v>1.95</v>
      </c>
      <c r="C175" s="214"/>
      <c r="D175" s="213">
        <v>0.12</v>
      </c>
    </row>
    <row r="176" spans="1:4" ht="15" thickBot="1" x14ac:dyDescent="0.35">
      <c r="A176" s="207">
        <v>43719</v>
      </c>
      <c r="B176" s="208">
        <v>1.96</v>
      </c>
      <c r="C176" s="214"/>
      <c r="D176" s="210">
        <v>0.12</v>
      </c>
    </row>
    <row r="177" spans="1:4" ht="15" thickBot="1" x14ac:dyDescent="0.35">
      <c r="A177" s="211">
        <v>43720</v>
      </c>
      <c r="B177" s="212">
        <v>1.95</v>
      </c>
      <c r="C177" s="214"/>
      <c r="D177" s="213">
        <v>0.11</v>
      </c>
    </row>
    <row r="178" spans="1:4" ht="15" thickBot="1" x14ac:dyDescent="0.35">
      <c r="A178" s="207">
        <v>43721</v>
      </c>
      <c r="B178" s="208">
        <v>1.96</v>
      </c>
      <c r="C178" s="214"/>
      <c r="D178" s="210">
        <v>0.11</v>
      </c>
    </row>
    <row r="179" spans="1:4" ht="15" thickBot="1" x14ac:dyDescent="0.35">
      <c r="A179" s="211">
        <v>43724</v>
      </c>
      <c r="B179" s="212">
        <v>1.99</v>
      </c>
      <c r="C179" s="214"/>
      <c r="D179" s="213">
        <v>0.11</v>
      </c>
    </row>
    <row r="180" spans="1:4" ht="15" thickBot="1" x14ac:dyDescent="0.35">
      <c r="A180" s="207">
        <v>43725</v>
      </c>
      <c r="B180" s="208">
        <v>1.99</v>
      </c>
      <c r="C180" s="214"/>
      <c r="D180" s="210">
        <v>0.12</v>
      </c>
    </row>
    <row r="181" spans="1:4" ht="15" thickBot="1" x14ac:dyDescent="0.35">
      <c r="A181" s="211">
        <v>43726</v>
      </c>
      <c r="B181" s="212">
        <v>1.95</v>
      </c>
      <c r="C181" s="214"/>
      <c r="D181" s="213">
        <v>0.09</v>
      </c>
    </row>
    <row r="182" spans="1:4" ht="15" thickBot="1" x14ac:dyDescent="0.35">
      <c r="A182" s="207">
        <v>43727</v>
      </c>
      <c r="B182" s="208">
        <v>1.93</v>
      </c>
      <c r="C182" s="214"/>
      <c r="D182" s="210">
        <v>0.1</v>
      </c>
    </row>
    <row r="183" spans="1:4" ht="15" thickBot="1" x14ac:dyDescent="0.35">
      <c r="A183" s="211">
        <v>43728</v>
      </c>
      <c r="B183" s="212">
        <v>1.91</v>
      </c>
      <c r="C183" s="214"/>
      <c r="D183" s="213">
        <v>0.1</v>
      </c>
    </row>
    <row r="184" spans="1:4" ht="15" thickBot="1" x14ac:dyDescent="0.35">
      <c r="A184" s="207">
        <v>43731</v>
      </c>
      <c r="B184" s="208">
        <v>1.94</v>
      </c>
      <c r="C184" s="214"/>
      <c r="D184" s="210">
        <v>0.1</v>
      </c>
    </row>
    <row r="185" spans="1:4" ht="15" thickBot="1" x14ac:dyDescent="0.35">
      <c r="A185" s="211">
        <v>43732</v>
      </c>
      <c r="B185" s="212">
        <v>1.92</v>
      </c>
      <c r="C185" s="214"/>
      <c r="D185" s="213">
        <v>0.11</v>
      </c>
    </row>
    <row r="186" spans="1:4" ht="15" thickBot="1" x14ac:dyDescent="0.35">
      <c r="A186" s="207">
        <v>43733</v>
      </c>
      <c r="B186" s="208">
        <v>1.89</v>
      </c>
      <c r="C186" s="214"/>
      <c r="D186" s="210">
        <v>0.1</v>
      </c>
    </row>
    <row r="187" spans="1:4" ht="15" thickBot="1" x14ac:dyDescent="0.35">
      <c r="A187" s="211">
        <v>43734</v>
      </c>
      <c r="B187" s="212">
        <v>1.83</v>
      </c>
      <c r="C187" s="214"/>
      <c r="D187" s="213">
        <v>0.1</v>
      </c>
    </row>
    <row r="188" spans="1:4" ht="15" thickBot="1" x14ac:dyDescent="0.35">
      <c r="A188" s="207">
        <v>43735</v>
      </c>
      <c r="B188" s="208">
        <v>1.8</v>
      </c>
      <c r="C188" s="214"/>
      <c r="D188" s="210">
        <v>0.11</v>
      </c>
    </row>
    <row r="189" spans="1:4" ht="15" thickBot="1" x14ac:dyDescent="0.35">
      <c r="A189" s="211">
        <v>43738</v>
      </c>
      <c r="B189" s="212">
        <v>1.88</v>
      </c>
      <c r="C189" s="214"/>
      <c r="D189" s="213">
        <v>0.09</v>
      </c>
    </row>
    <row r="190" spans="1:4" ht="15" thickBot="1" x14ac:dyDescent="0.35">
      <c r="A190" s="207">
        <v>43739</v>
      </c>
      <c r="B190" s="208">
        <v>1.82</v>
      </c>
      <c r="C190" s="214"/>
      <c r="D190" s="210">
        <v>0.1</v>
      </c>
    </row>
    <row r="191" spans="1:4" ht="15" thickBot="1" x14ac:dyDescent="0.35">
      <c r="A191" s="211">
        <v>43740</v>
      </c>
      <c r="B191" s="212">
        <v>1.79</v>
      </c>
      <c r="C191" s="214"/>
      <c r="D191" s="213">
        <v>0.09</v>
      </c>
    </row>
    <row r="192" spans="1:4" ht="15" thickBot="1" x14ac:dyDescent="0.35">
      <c r="A192" s="207">
        <v>43741</v>
      </c>
      <c r="B192" s="208">
        <v>1.7</v>
      </c>
      <c r="C192" s="214"/>
      <c r="D192" s="210">
        <v>0.09</v>
      </c>
    </row>
    <row r="193" spans="1:4" ht="15" thickBot="1" x14ac:dyDescent="0.35">
      <c r="A193" s="211">
        <v>43742</v>
      </c>
      <c r="B193" s="212">
        <v>1.71</v>
      </c>
      <c r="C193" s="214"/>
      <c r="D193" s="213">
        <v>0.1</v>
      </c>
    </row>
    <row r="194" spans="1:4" ht="15" thickBot="1" x14ac:dyDescent="0.35">
      <c r="A194" s="207">
        <v>43745</v>
      </c>
      <c r="B194" s="208">
        <v>1.75</v>
      </c>
      <c r="C194" s="214"/>
      <c r="D194" s="210">
        <v>0.1</v>
      </c>
    </row>
    <row r="195" spans="1:4" ht="15" thickBot="1" x14ac:dyDescent="0.35">
      <c r="A195" s="211">
        <v>43746</v>
      </c>
      <c r="B195" s="212">
        <v>1.72</v>
      </c>
      <c r="C195" s="214"/>
      <c r="D195" s="213">
        <v>0.1</v>
      </c>
    </row>
    <row r="196" spans="1:4" ht="15" thickBot="1" x14ac:dyDescent="0.35">
      <c r="A196" s="207">
        <v>43747</v>
      </c>
      <c r="B196" s="208">
        <v>1.69</v>
      </c>
      <c r="C196" s="214"/>
      <c r="D196" s="210">
        <v>0.09</v>
      </c>
    </row>
    <row r="197" spans="1:4" ht="15" thickBot="1" x14ac:dyDescent="0.35">
      <c r="A197" s="211">
        <v>43748</v>
      </c>
      <c r="B197" s="212">
        <v>1.68</v>
      </c>
      <c r="C197" s="214"/>
      <c r="D197" s="213">
        <v>0.1</v>
      </c>
    </row>
    <row r="198" spans="1:4" ht="15" thickBot="1" x14ac:dyDescent="0.35">
      <c r="A198" s="207">
        <v>43749</v>
      </c>
      <c r="B198" s="208">
        <v>1.68</v>
      </c>
      <c r="C198" s="214"/>
      <c r="D198" s="210">
        <v>0.11</v>
      </c>
    </row>
    <row r="199" spans="1:4" ht="15" thickBot="1" x14ac:dyDescent="0.35">
      <c r="A199" s="211">
        <v>43753</v>
      </c>
      <c r="B199" s="212">
        <v>1.67</v>
      </c>
      <c r="C199" s="214"/>
      <c r="D199" s="213">
        <v>0.12</v>
      </c>
    </row>
    <row r="200" spans="1:4" ht="15" thickBot="1" x14ac:dyDescent="0.35">
      <c r="A200" s="207">
        <v>43754</v>
      </c>
      <c r="B200" s="208">
        <v>1.66</v>
      </c>
      <c r="C200" s="214"/>
      <c r="D200" s="210">
        <v>0.11</v>
      </c>
    </row>
    <row r="201" spans="1:4" ht="15" thickBot="1" x14ac:dyDescent="0.35">
      <c r="A201" s="211">
        <v>43755</v>
      </c>
      <c r="B201" s="212">
        <v>1.66</v>
      </c>
      <c r="C201" s="214"/>
      <c r="D201" s="213">
        <v>0.11</v>
      </c>
    </row>
    <row r="202" spans="1:4" ht="15" thickBot="1" x14ac:dyDescent="0.35">
      <c r="A202" s="207">
        <v>43756</v>
      </c>
      <c r="B202" s="208">
        <v>1.66</v>
      </c>
      <c r="C202" s="214"/>
      <c r="D202" s="210">
        <v>0.11</v>
      </c>
    </row>
    <row r="203" spans="1:4" ht="15" thickBot="1" x14ac:dyDescent="0.35">
      <c r="A203" s="211">
        <v>43759</v>
      </c>
      <c r="B203" s="212">
        <v>1.67</v>
      </c>
      <c r="C203" s="214"/>
      <c r="D203" s="213">
        <v>0.1</v>
      </c>
    </row>
    <row r="204" spans="1:4" ht="15" thickBot="1" x14ac:dyDescent="0.35">
      <c r="A204" s="207">
        <v>43760</v>
      </c>
      <c r="B204" s="208">
        <v>1.65</v>
      </c>
      <c r="C204" s="214"/>
      <c r="D204" s="210">
        <v>0.1</v>
      </c>
    </row>
    <row r="205" spans="1:4" ht="15" thickBot="1" x14ac:dyDescent="0.35">
      <c r="A205" s="211">
        <v>43761</v>
      </c>
      <c r="B205" s="212">
        <v>1.65</v>
      </c>
      <c r="C205" s="214"/>
      <c r="D205" s="213">
        <v>0.09</v>
      </c>
    </row>
    <row r="206" spans="1:4" ht="15" thickBot="1" x14ac:dyDescent="0.35">
      <c r="A206" s="207">
        <v>43762</v>
      </c>
      <c r="B206" s="208">
        <v>1.67</v>
      </c>
      <c r="C206" s="214"/>
      <c r="D206" s="210">
        <v>0.1</v>
      </c>
    </row>
    <row r="207" spans="1:4" ht="15" thickBot="1" x14ac:dyDescent="0.35">
      <c r="A207" s="211">
        <v>43763</v>
      </c>
      <c r="B207" s="212">
        <v>1.66</v>
      </c>
      <c r="C207" s="214"/>
      <c r="D207" s="213">
        <v>0.11</v>
      </c>
    </row>
    <row r="208" spans="1:4" ht="15" thickBot="1" x14ac:dyDescent="0.35">
      <c r="A208" s="207">
        <v>43766</v>
      </c>
      <c r="B208" s="208">
        <v>1.65</v>
      </c>
      <c r="C208" s="214"/>
      <c r="D208" s="210">
        <v>0.1</v>
      </c>
    </row>
    <row r="209" spans="1:4" ht="15" thickBot="1" x14ac:dyDescent="0.35">
      <c r="A209" s="211">
        <v>43767</v>
      </c>
      <c r="B209" s="212">
        <v>1.63</v>
      </c>
      <c r="C209" s="214"/>
      <c r="D209" s="213">
        <v>0.1</v>
      </c>
    </row>
    <row r="210" spans="1:4" ht="15" thickBot="1" x14ac:dyDescent="0.35">
      <c r="A210" s="207">
        <v>43768</v>
      </c>
      <c r="B210" s="208">
        <v>1.62</v>
      </c>
      <c r="C210" s="214"/>
      <c r="D210" s="210">
        <v>0.09</v>
      </c>
    </row>
    <row r="211" spans="1:4" ht="15" thickBot="1" x14ac:dyDescent="0.35">
      <c r="A211" s="211">
        <v>43769</v>
      </c>
      <c r="B211" s="212">
        <v>1.54</v>
      </c>
      <c r="C211" s="214"/>
      <c r="D211" s="213">
        <v>0.09</v>
      </c>
    </row>
    <row r="212" spans="1:4" ht="15" thickBot="1" x14ac:dyDescent="0.35">
      <c r="A212" s="207">
        <v>43770</v>
      </c>
      <c r="B212" s="208">
        <v>1.52</v>
      </c>
      <c r="C212" s="214"/>
      <c r="D212" s="210">
        <v>0.09</v>
      </c>
    </row>
    <row r="213" spans="1:4" ht="15" thickBot="1" x14ac:dyDescent="0.35">
      <c r="A213" s="211">
        <v>43773</v>
      </c>
      <c r="B213" s="212">
        <v>1.53</v>
      </c>
      <c r="C213" s="214"/>
      <c r="D213" s="213">
        <v>0.1</v>
      </c>
    </row>
    <row r="214" spans="1:4" ht="15" thickBot="1" x14ac:dyDescent="0.35">
      <c r="A214" s="207">
        <v>43774</v>
      </c>
      <c r="B214" s="208">
        <v>1.56</v>
      </c>
      <c r="C214" s="214"/>
      <c r="D214" s="210">
        <v>0.1</v>
      </c>
    </row>
    <row r="215" spans="1:4" ht="15" thickBot="1" x14ac:dyDescent="0.35">
      <c r="A215" s="211">
        <v>43775</v>
      </c>
      <c r="B215" s="212">
        <v>1.56</v>
      </c>
      <c r="C215" s="214"/>
      <c r="D215" s="213">
        <v>0.1</v>
      </c>
    </row>
    <row r="216" spans="1:4" ht="15" thickBot="1" x14ac:dyDescent="0.35">
      <c r="A216" s="207">
        <v>43776</v>
      </c>
      <c r="B216" s="208">
        <v>1.56</v>
      </c>
      <c r="C216" s="214"/>
      <c r="D216" s="210">
        <v>0.1</v>
      </c>
    </row>
    <row r="217" spans="1:4" ht="15" thickBot="1" x14ac:dyDescent="0.35">
      <c r="A217" s="211">
        <v>43777</v>
      </c>
      <c r="B217" s="212">
        <v>1.55</v>
      </c>
      <c r="C217" s="214"/>
      <c r="D217" s="213">
        <v>0.11</v>
      </c>
    </row>
    <row r="218" spans="1:4" ht="15" thickBot="1" x14ac:dyDescent="0.35">
      <c r="A218" s="207">
        <v>43781</v>
      </c>
      <c r="B218" s="208">
        <v>1.59</v>
      </c>
      <c r="C218" s="214"/>
      <c r="D218" s="210">
        <v>0.1</v>
      </c>
    </row>
    <row r="219" spans="1:4" ht="15" thickBot="1" x14ac:dyDescent="0.35">
      <c r="A219" s="211">
        <v>43782</v>
      </c>
      <c r="B219" s="212">
        <v>1.57</v>
      </c>
      <c r="C219" s="214"/>
      <c r="D219" s="213">
        <v>0.1</v>
      </c>
    </row>
    <row r="220" spans="1:4" ht="15" thickBot="1" x14ac:dyDescent="0.35">
      <c r="A220" s="207">
        <v>43783</v>
      </c>
      <c r="B220" s="208">
        <v>1.57</v>
      </c>
      <c r="C220" s="214"/>
      <c r="D220" s="210">
        <v>0.09</v>
      </c>
    </row>
    <row r="221" spans="1:4" ht="15" thickBot="1" x14ac:dyDescent="0.35">
      <c r="A221" s="211">
        <v>43784</v>
      </c>
      <c r="B221" s="212">
        <v>1.57</v>
      </c>
      <c r="C221" s="214"/>
      <c r="D221" s="213">
        <v>0.09</v>
      </c>
    </row>
    <row r="222" spans="1:4" ht="15" thickBot="1" x14ac:dyDescent="0.35">
      <c r="A222" s="207">
        <v>43787</v>
      </c>
      <c r="B222" s="208">
        <v>1.57</v>
      </c>
      <c r="C222" s="214"/>
      <c r="D222" s="210">
        <v>0.09</v>
      </c>
    </row>
    <row r="223" spans="1:4" ht="15" thickBot="1" x14ac:dyDescent="0.35">
      <c r="A223" s="211">
        <v>43788</v>
      </c>
      <c r="B223" s="212">
        <v>1.57</v>
      </c>
      <c r="C223" s="214"/>
      <c r="D223" s="213">
        <v>0.09</v>
      </c>
    </row>
    <row r="224" spans="1:4" ht="15" thickBot="1" x14ac:dyDescent="0.35">
      <c r="A224" s="207">
        <v>43789</v>
      </c>
      <c r="B224" s="208">
        <v>1.57</v>
      </c>
      <c r="C224" s="214"/>
      <c r="D224" s="210">
        <v>7.0000000000000007E-2</v>
      </c>
    </row>
    <row r="225" spans="1:4" ht="15" thickBot="1" x14ac:dyDescent="0.35">
      <c r="A225" s="211">
        <v>43790</v>
      </c>
      <c r="B225" s="212">
        <v>1.58</v>
      </c>
      <c r="C225" s="214"/>
      <c r="D225" s="213">
        <v>7.0000000000000007E-2</v>
      </c>
    </row>
    <row r="226" spans="1:4" ht="15" thickBot="1" x14ac:dyDescent="0.35">
      <c r="A226" s="207">
        <v>43791</v>
      </c>
      <c r="B226" s="208">
        <v>1.58</v>
      </c>
      <c r="C226" s="214"/>
      <c r="D226" s="210">
        <v>0.08</v>
      </c>
    </row>
    <row r="227" spans="1:4" ht="15" thickBot="1" x14ac:dyDescent="0.35">
      <c r="A227" s="211">
        <v>43794</v>
      </c>
      <c r="B227" s="212">
        <v>1.61</v>
      </c>
      <c r="C227" s="214"/>
      <c r="D227" s="213">
        <v>0.09</v>
      </c>
    </row>
    <row r="228" spans="1:4" ht="15" thickBot="1" x14ac:dyDescent="0.35">
      <c r="A228" s="207">
        <v>43795</v>
      </c>
      <c r="B228" s="208">
        <v>1.6</v>
      </c>
      <c r="C228" s="214"/>
      <c r="D228" s="210">
        <v>0.09</v>
      </c>
    </row>
    <row r="229" spans="1:4" ht="15" thickBot="1" x14ac:dyDescent="0.35">
      <c r="A229" s="211">
        <v>43796</v>
      </c>
      <c r="B229" s="212">
        <v>1.62</v>
      </c>
      <c r="C229" s="214"/>
      <c r="D229" s="213">
        <v>0.09</v>
      </c>
    </row>
    <row r="230" spans="1:4" ht="15" thickBot="1" x14ac:dyDescent="0.35">
      <c r="A230" s="207">
        <v>43798</v>
      </c>
      <c r="B230" s="208">
        <v>1.59</v>
      </c>
      <c r="C230" s="214"/>
      <c r="D230" s="210">
        <v>0.08</v>
      </c>
    </row>
    <row r="231" spans="1:4" ht="15" thickBot="1" x14ac:dyDescent="0.35">
      <c r="A231" s="211">
        <v>43801</v>
      </c>
      <c r="B231" s="212">
        <v>1.6</v>
      </c>
      <c r="C231" s="214"/>
      <c r="D231" s="213">
        <v>0.09</v>
      </c>
    </row>
    <row r="232" spans="1:4" ht="15" thickBot="1" x14ac:dyDescent="0.35">
      <c r="A232" s="207">
        <v>43802</v>
      </c>
      <c r="B232" s="208">
        <v>1.57</v>
      </c>
      <c r="C232" s="214"/>
      <c r="D232" s="210">
        <v>0.09</v>
      </c>
    </row>
    <row r="233" spans="1:4" ht="15" thickBot="1" x14ac:dyDescent="0.35">
      <c r="A233" s="211">
        <v>43803</v>
      </c>
      <c r="B233" s="212">
        <v>1.55</v>
      </c>
      <c r="C233" s="214"/>
      <c r="D233" s="213">
        <v>0.08</v>
      </c>
    </row>
    <row r="234" spans="1:4" ht="15" thickBot="1" x14ac:dyDescent="0.35">
      <c r="A234" s="207">
        <v>43804</v>
      </c>
      <c r="B234" s="208">
        <v>1.54</v>
      </c>
      <c r="C234" s="214"/>
      <c r="D234" s="210">
        <v>0.09</v>
      </c>
    </row>
    <row r="235" spans="1:4" ht="15" thickBot="1" x14ac:dyDescent="0.35">
      <c r="A235" s="211">
        <v>43805</v>
      </c>
      <c r="B235" s="212">
        <v>1.53</v>
      </c>
      <c r="C235" s="214"/>
      <c r="D235" s="213">
        <v>0.08</v>
      </c>
    </row>
    <row r="236" spans="1:4" ht="15" thickBot="1" x14ac:dyDescent="0.35">
      <c r="A236" s="207">
        <v>43808</v>
      </c>
      <c r="B236" s="208">
        <v>1.54</v>
      </c>
      <c r="C236" s="214"/>
      <c r="D236" s="210">
        <v>0.09</v>
      </c>
    </row>
    <row r="237" spans="1:4" ht="15" thickBot="1" x14ac:dyDescent="0.35">
      <c r="A237" s="211">
        <v>43809</v>
      </c>
      <c r="B237" s="212">
        <v>1.56</v>
      </c>
      <c r="C237" s="214"/>
      <c r="D237" s="213">
        <v>0.08</v>
      </c>
    </row>
    <row r="238" spans="1:4" ht="15" thickBot="1" x14ac:dyDescent="0.35">
      <c r="A238" s="207">
        <v>43810</v>
      </c>
      <c r="B238" s="208">
        <v>1.57</v>
      </c>
      <c r="C238" s="214"/>
      <c r="D238" s="210">
        <v>0.08</v>
      </c>
    </row>
    <row r="239" spans="1:4" ht="15" thickBot="1" x14ac:dyDescent="0.35">
      <c r="A239" s="211">
        <v>43811</v>
      </c>
      <c r="B239" s="212">
        <v>1.56</v>
      </c>
      <c r="C239" s="214"/>
      <c r="D239" s="213">
        <v>0.08</v>
      </c>
    </row>
    <row r="240" spans="1:4" ht="15" thickBot="1" x14ac:dyDescent="0.35">
      <c r="A240" s="207">
        <v>43812</v>
      </c>
      <c r="B240" s="208">
        <v>1.57</v>
      </c>
      <c r="C240" s="214"/>
      <c r="D240" s="210">
        <v>0.09</v>
      </c>
    </row>
    <row r="241" spans="1:4" ht="15" thickBot="1" x14ac:dyDescent="0.35">
      <c r="A241" s="211">
        <v>43815</v>
      </c>
      <c r="B241" s="212">
        <v>1.57</v>
      </c>
      <c r="C241" s="214"/>
      <c r="D241" s="213">
        <v>0.08</v>
      </c>
    </row>
    <row r="242" spans="1:4" ht="15" thickBot="1" x14ac:dyDescent="0.35">
      <c r="A242" s="207">
        <v>43816</v>
      </c>
      <c r="B242" s="208">
        <v>1.56</v>
      </c>
      <c r="C242" s="214"/>
      <c r="D242" s="210">
        <v>0.09</v>
      </c>
    </row>
    <row r="243" spans="1:4" ht="15" thickBot="1" x14ac:dyDescent="0.35">
      <c r="A243" s="211">
        <v>43817</v>
      </c>
      <c r="B243" s="212">
        <v>1.56</v>
      </c>
      <c r="C243" s="214"/>
      <c r="D243" s="213">
        <v>0.08</v>
      </c>
    </row>
    <row r="244" spans="1:4" ht="15" thickBot="1" x14ac:dyDescent="0.35">
      <c r="A244" s="207">
        <v>43818</v>
      </c>
      <c r="B244" s="208">
        <v>1.57</v>
      </c>
      <c r="C244" s="214"/>
      <c r="D244" s="210">
        <v>0.08</v>
      </c>
    </row>
    <row r="245" spans="1:4" ht="15" thickBot="1" x14ac:dyDescent="0.35">
      <c r="A245" s="211">
        <v>43819</v>
      </c>
      <c r="B245" s="212">
        <v>1.58</v>
      </c>
      <c r="C245" s="214"/>
      <c r="D245" s="213">
        <v>0.09</v>
      </c>
    </row>
    <row r="246" spans="1:4" ht="15" thickBot="1" x14ac:dyDescent="0.35">
      <c r="A246" s="207">
        <v>43822</v>
      </c>
      <c r="B246" s="208">
        <v>1.59</v>
      </c>
      <c r="C246" s="214"/>
      <c r="D246" s="210">
        <v>0.09</v>
      </c>
    </row>
    <row r="247" spans="1:4" ht="15" thickBot="1" x14ac:dyDescent="0.35">
      <c r="A247" s="211">
        <v>43823</v>
      </c>
      <c r="B247" s="212">
        <v>1.58</v>
      </c>
      <c r="C247" s="214"/>
      <c r="D247" s="213">
        <v>0.09</v>
      </c>
    </row>
    <row r="248" spans="1:4" ht="15" thickBot="1" x14ac:dyDescent="0.35">
      <c r="A248" s="207">
        <v>43825</v>
      </c>
      <c r="B248" s="208">
        <v>1.58</v>
      </c>
      <c r="C248" s="214"/>
      <c r="D248" s="210">
        <v>0.09</v>
      </c>
    </row>
    <row r="249" spans="1:4" ht="15" thickBot="1" x14ac:dyDescent="0.35">
      <c r="A249" s="211">
        <v>43826</v>
      </c>
      <c r="B249" s="212">
        <v>1.57</v>
      </c>
      <c r="C249" s="214"/>
      <c r="D249" s="213">
        <v>0.11</v>
      </c>
    </row>
    <row r="250" spans="1:4" ht="15" thickBot="1" x14ac:dyDescent="0.35">
      <c r="A250" s="207">
        <v>43829</v>
      </c>
      <c r="B250" s="208">
        <v>1.57</v>
      </c>
      <c r="C250" s="214"/>
      <c r="D250" s="210">
        <v>0.1</v>
      </c>
    </row>
    <row r="251" spans="1:4" ht="15" thickBot="1" x14ac:dyDescent="0.35">
      <c r="A251" s="215">
        <v>43830</v>
      </c>
      <c r="B251" s="216">
        <v>1.55</v>
      </c>
      <c r="C251" s="217"/>
      <c r="D251" s="218">
        <v>0.08</v>
      </c>
    </row>
    <row r="252" spans="1:4" x14ac:dyDescent="0.3">
      <c r="D252" s="58">
        <v>0.09</v>
      </c>
    </row>
  </sheetData>
  <mergeCells count="4">
    <mergeCell ref="K1:R2"/>
    <mergeCell ref="K3:R8"/>
    <mergeCell ref="K10:O14"/>
    <mergeCell ref="G6:I6"/>
  </mergeCells>
  <hyperlinks>
    <hyperlink ref="I7" r:id="rId1" xr:uid="{52226C69-8188-4FAB-80BC-6838BAE7106B}"/>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34049-D191-4D65-85AC-531371AE8F79}">
  <sheetPr codeName="Sheet10"/>
  <dimension ref="A1:V565"/>
  <sheetViews>
    <sheetView topLeftCell="G1" workbookViewId="0">
      <selection activeCell="N3" sqref="N3:V8"/>
    </sheetView>
  </sheetViews>
  <sheetFormatPr defaultRowHeight="14.4" x14ac:dyDescent="0.3"/>
  <cols>
    <col min="1" max="1" width="12.21875" style="32" customWidth="1"/>
    <col min="2" max="2" width="14.77734375" style="32" customWidth="1"/>
    <col min="3" max="3" width="16.44140625" style="32" customWidth="1"/>
    <col min="4" max="4" width="11.6640625" style="32" customWidth="1"/>
    <col min="5" max="5" width="8.88671875" style="32"/>
    <col min="6" max="6" width="19.88671875" style="32" customWidth="1"/>
    <col min="7" max="7" width="14.44140625" style="32" customWidth="1"/>
    <col min="8" max="8" width="14.21875" style="32" customWidth="1"/>
    <col min="9" max="9" width="15.21875" style="32" customWidth="1"/>
    <col min="10" max="10" width="14.88671875" style="32" customWidth="1"/>
    <col min="11" max="11" width="17.109375" style="32" customWidth="1"/>
    <col min="12" max="12" width="13.44140625" style="32" customWidth="1"/>
    <col min="13" max="13" width="17.44140625" style="32" customWidth="1"/>
    <col min="14" max="14" width="12.109375" style="32" customWidth="1"/>
    <col min="15" max="18" width="8.88671875" style="32"/>
    <col min="19" max="19" width="11.88671875" style="32" customWidth="1"/>
    <col min="20" max="20" width="9.33203125" style="32" customWidth="1"/>
    <col min="21" max="21" width="8.88671875" style="32"/>
    <col min="22" max="22" width="14" style="32" customWidth="1"/>
    <col min="23" max="16384" width="8.88671875" style="32"/>
  </cols>
  <sheetData>
    <row r="1" spans="1:22" x14ac:dyDescent="0.3">
      <c r="A1" s="19" t="s">
        <v>309</v>
      </c>
      <c r="B1" s="19" t="s">
        <v>310</v>
      </c>
      <c r="C1" s="19" t="s">
        <v>311</v>
      </c>
      <c r="D1" s="19" t="s">
        <v>312</v>
      </c>
      <c r="E1" s="19"/>
      <c r="F1" s="19" t="s">
        <v>313</v>
      </c>
      <c r="G1" s="19" t="s">
        <v>314</v>
      </c>
      <c r="H1" s="19" t="s">
        <v>315</v>
      </c>
      <c r="I1" s="19" t="s">
        <v>316</v>
      </c>
      <c r="J1" s="19" t="s">
        <v>317</v>
      </c>
      <c r="K1" s="19" t="s">
        <v>318</v>
      </c>
      <c r="L1" s="19" t="s">
        <v>319</v>
      </c>
      <c r="M1" s="19" t="s">
        <v>320</v>
      </c>
      <c r="N1" s="19"/>
      <c r="O1" s="19"/>
      <c r="P1" s="19"/>
      <c r="Q1" s="19"/>
      <c r="R1" s="19"/>
    </row>
    <row r="2" spans="1:22" ht="15" thickBot="1" x14ac:dyDescent="0.35">
      <c r="A2" s="68">
        <v>43467</v>
      </c>
      <c r="B2" s="32">
        <v>237.122208</v>
      </c>
      <c r="C2" s="32">
        <v>23.204999999999998</v>
      </c>
      <c r="D2" s="32">
        <v>47.678241999999997</v>
      </c>
      <c r="F2" s="32">
        <f>LN(B3/B2)</f>
        <v>-2.4152004144349485E-2</v>
      </c>
      <c r="G2" s="32">
        <f>LN(B255/B254)</f>
        <v>-7.6011008720125129E-3</v>
      </c>
      <c r="H2" s="32">
        <f>LN(C3/C2)</f>
        <v>-1.6155484018306084E-2</v>
      </c>
      <c r="I2" s="32">
        <f>LN(D3/D2)</f>
        <v>-1.8286759880382645E-2</v>
      </c>
      <c r="J2" s="32">
        <f>LN(C255/C254)</f>
        <v>-2.0981672065642429E-2</v>
      </c>
      <c r="K2" s="32">
        <f>LN(D255/D254)</f>
        <v>-1.9015066959129232E-2</v>
      </c>
      <c r="L2" s="32">
        <f>AVERAGE(F2:F253)</f>
        <v>1.1111243211021967E-3</v>
      </c>
      <c r="M2" s="32">
        <f>AVERAGE(G2:G253)</f>
        <v>6.3100159757296318E-4</v>
      </c>
    </row>
    <row r="3" spans="1:22" x14ac:dyDescent="0.3">
      <c r="A3" s="68">
        <v>43468</v>
      </c>
      <c r="B3" s="32">
        <v>231.46383700000001</v>
      </c>
      <c r="C3" s="32">
        <v>22.833124000000002</v>
      </c>
      <c r="D3" s="32">
        <v>46.814284999999998</v>
      </c>
      <c r="F3" s="32">
        <f t="shared" ref="F3:F66" si="0">LN(B4/B3)</f>
        <v>3.2947038814959757E-2</v>
      </c>
      <c r="G3" s="32">
        <f t="shared" ref="G3:G66" si="1">LN(B256/B255)</f>
        <v>3.8078221014411751E-3</v>
      </c>
      <c r="H3" s="32">
        <f t="shared" ref="H3:I66" si="2">LN(C4/C3)</f>
        <v>4.0691894353981004E-2</v>
      </c>
      <c r="I3" s="32">
        <f t="shared" si="2"/>
        <v>4.7738584074381328E-2</v>
      </c>
      <c r="J3" s="32">
        <f t="shared" ref="J3:K18" si="3">LN(C256/C255)</f>
        <v>-1.4339358038233476E-3</v>
      </c>
      <c r="K3" s="32">
        <f t="shared" si="3"/>
        <v>-3.1416340060978418E-3</v>
      </c>
      <c r="N3" s="295">
        <v>2019</v>
      </c>
      <c r="O3" s="296"/>
      <c r="P3" s="296"/>
      <c r="Q3" s="69"/>
      <c r="S3" s="295">
        <v>2020</v>
      </c>
      <c r="T3" s="296"/>
      <c r="U3" s="296"/>
      <c r="V3" s="69"/>
    </row>
    <row r="4" spans="1:22" x14ac:dyDescent="0.3">
      <c r="A4" s="68">
        <v>43469</v>
      </c>
      <c r="B4" s="32">
        <v>239.216904</v>
      </c>
      <c r="C4" s="32">
        <v>23.781410000000001</v>
      </c>
      <c r="D4" s="32">
        <v>49.103335999999999</v>
      </c>
      <c r="F4" s="32">
        <f t="shared" si="0"/>
        <v>7.8535893748237339E-3</v>
      </c>
      <c r="G4" s="32">
        <f t="shared" si="1"/>
        <v>-2.8157580869515833E-3</v>
      </c>
      <c r="H4" s="32">
        <f t="shared" si="2"/>
        <v>-7.8226120372866515E-4</v>
      </c>
      <c r="I4" s="32">
        <f t="shared" si="2"/>
        <v>8.6691159025263781E-3</v>
      </c>
      <c r="J4" s="32">
        <f t="shared" si="3"/>
        <v>-6.6212294716707018E-3</v>
      </c>
      <c r="K4" s="32">
        <f t="shared" si="3"/>
        <v>-8.7225065696009633E-3</v>
      </c>
      <c r="N4" s="70" t="s">
        <v>321</v>
      </c>
      <c r="O4" s="47" t="s">
        <v>322</v>
      </c>
      <c r="P4" s="47" t="s">
        <v>323</v>
      </c>
      <c r="Q4" s="71" t="s">
        <v>291</v>
      </c>
      <c r="S4" s="70" t="s">
        <v>321</v>
      </c>
      <c r="T4" s="47" t="s">
        <v>322</v>
      </c>
      <c r="U4" s="47" t="s">
        <v>323</v>
      </c>
      <c r="V4" s="71" t="s">
        <v>291</v>
      </c>
    </row>
    <row r="5" spans="1:22" x14ac:dyDescent="0.3">
      <c r="A5" s="68">
        <v>43472</v>
      </c>
      <c r="B5" s="32">
        <v>241.10301200000001</v>
      </c>
      <c r="C5" s="32">
        <v>23.762813999999999</v>
      </c>
      <c r="D5" s="32">
        <v>49.530869000000003</v>
      </c>
      <c r="F5" s="32">
        <f t="shared" si="0"/>
        <v>9.3515367691460478E-3</v>
      </c>
      <c r="G5" s="32">
        <f t="shared" si="1"/>
        <v>5.3154958901941995E-3</v>
      </c>
      <c r="H5" s="32">
        <f t="shared" si="2"/>
        <v>-1.9580392549611698E-3</v>
      </c>
      <c r="I5" s="32">
        <f t="shared" si="2"/>
        <v>-2.7011545439837156E-3</v>
      </c>
      <c r="J5" s="32">
        <f t="shared" si="3"/>
        <v>1.0058896474954363E-2</v>
      </c>
      <c r="K5" s="32">
        <f t="shared" si="3"/>
        <v>7.5891517493793031E-3</v>
      </c>
      <c r="N5" s="20" t="s">
        <v>324</v>
      </c>
      <c r="O5" s="48">
        <f>L2</f>
        <v>1.1111243211021967E-3</v>
      </c>
      <c r="P5" s="48">
        <f>AVERAGE(H2:H253)</f>
        <v>1.5027364945434426E-3</v>
      </c>
      <c r="Q5" s="74">
        <f>AVERAGE(I2:I253)</f>
        <v>1.76617530080435E-3</v>
      </c>
      <c r="S5" s="20" t="s">
        <v>324</v>
      </c>
      <c r="T5" s="73">
        <f>M2</f>
        <v>6.3100159757296318E-4</v>
      </c>
      <c r="U5" s="73">
        <f>AVERAGE(J2:J253)</f>
        <v>-5.3779934928580616E-4</v>
      </c>
      <c r="V5" s="75">
        <f>AVERAGE(K2:K253)</f>
        <v>-9.3686120134993151E-4</v>
      </c>
    </row>
    <row r="6" spans="1:22" x14ac:dyDescent="0.3">
      <c r="A6" s="68">
        <v>43473</v>
      </c>
      <c r="B6" s="32">
        <v>243.36827099999999</v>
      </c>
      <c r="C6" s="32">
        <v>23.716331</v>
      </c>
      <c r="D6" s="32">
        <v>49.397258999999998</v>
      </c>
      <c r="F6" s="32">
        <f t="shared" si="0"/>
        <v>4.6626474012856417E-3</v>
      </c>
      <c r="G6" s="32">
        <f t="shared" si="1"/>
        <v>6.757838955385365E-3</v>
      </c>
      <c r="H6" s="32">
        <f t="shared" si="2"/>
        <v>9.7523731254315175E-3</v>
      </c>
      <c r="I6" s="32">
        <f t="shared" si="2"/>
        <v>1.6452425081945284E-2</v>
      </c>
      <c r="J6" s="32">
        <f t="shared" si="3"/>
        <v>1.7142469248620841E-3</v>
      </c>
      <c r="K6" s="32">
        <f t="shared" si="3"/>
        <v>9.0315524154667131E-3</v>
      </c>
      <c r="N6" s="20" t="s">
        <v>325</v>
      </c>
      <c r="O6" s="32">
        <f>INTERCEPT(F2:F253,F2:F253)</f>
        <v>0</v>
      </c>
      <c r="P6" s="32">
        <f>INTERCEPT(H2:H253,$F$2:$F$253)</f>
        <v>1.2491339815076771E-4</v>
      </c>
      <c r="Q6" s="15">
        <f>INTERCEPT(I2:I253,$F$2:$F$253)</f>
        <v>1.1713416710602029E-4</v>
      </c>
      <c r="S6" s="20" t="s">
        <v>325</v>
      </c>
      <c r="T6" s="32">
        <f>INTERCEPT(G2:G253,G2:G253)</f>
        <v>0</v>
      </c>
      <c r="U6" s="32">
        <f>INTERCEPT(J2:J253,$G$2:$G$253)</f>
        <v>-1.4420707370729736E-3</v>
      </c>
      <c r="V6" s="32">
        <f>INTERCEPT(K2:K253,$G$2:$G$253)</f>
        <v>-1.9650315502859504E-3</v>
      </c>
    </row>
    <row r="7" spans="1:22" x14ac:dyDescent="0.3">
      <c r="A7" s="68">
        <v>43474</v>
      </c>
      <c r="B7" s="32">
        <v>244.505661</v>
      </c>
      <c r="C7" s="32">
        <v>23.948753</v>
      </c>
      <c r="D7" s="32">
        <v>50.216686000000003</v>
      </c>
      <c r="F7" s="32">
        <f t="shared" si="0"/>
        <v>3.521330788541104E-3</v>
      </c>
      <c r="G7" s="32">
        <f t="shared" si="1"/>
        <v>-2.882034256622837E-3</v>
      </c>
      <c r="H7" s="32">
        <f t="shared" si="2"/>
        <v>-1.1652068641127334E-3</v>
      </c>
      <c r="I7" s="32">
        <f t="shared" si="2"/>
        <v>1.0637018300818295E-3</v>
      </c>
      <c r="J7" s="32">
        <f t="shared" si="3"/>
        <v>-8.3131328644460156E-3</v>
      </c>
      <c r="K7" s="32">
        <f t="shared" si="3"/>
        <v>-1.0418622242355556E-2</v>
      </c>
      <c r="N7" s="20" t="s">
        <v>326</v>
      </c>
      <c r="O7" s="32">
        <f>SLOPE(F2:F253,$F$2:$F$253)</f>
        <v>1</v>
      </c>
      <c r="P7" s="32">
        <f>SLOPE(H2:H253,$F$2:$F$253)</f>
        <v>1.2400260440937179</v>
      </c>
      <c r="Q7" s="15">
        <f>SLOPE(I2:I253,$F$2:$F$253)</f>
        <v>1.4841193756451467</v>
      </c>
      <c r="S7" s="20" t="s">
        <v>326</v>
      </c>
      <c r="T7" s="32">
        <f>SLOPE(G2:G253,$G$2:$G$253)</f>
        <v>1</v>
      </c>
      <c r="U7" s="32">
        <f>SLOPE(J2:J253,$G$2:$G$253)</f>
        <v>1.4330730560196496</v>
      </c>
      <c r="V7" s="32">
        <f>SLOPE(K2:K253,$G$2:$G$253)</f>
        <v>1.6294259046105357</v>
      </c>
    </row>
    <row r="8" spans="1:22" ht="15" thickBot="1" x14ac:dyDescent="0.35">
      <c r="A8" s="68">
        <v>43475</v>
      </c>
      <c r="B8" s="32">
        <v>245.36816400000001</v>
      </c>
      <c r="C8" s="32">
        <v>23.920864000000002</v>
      </c>
      <c r="D8" s="32">
        <v>50.270130000000002</v>
      </c>
      <c r="F8" s="32">
        <f t="shared" si="0"/>
        <v>3.8623468679334729E-4</v>
      </c>
      <c r="G8" s="32">
        <f t="shared" si="1"/>
        <v>6.8537779097935288E-3</v>
      </c>
      <c r="H8" s="32">
        <f t="shared" si="2"/>
        <v>1.159191486296101E-2</v>
      </c>
      <c r="I8" s="32">
        <f t="shared" si="2"/>
        <v>4.4197871466782742E-3</v>
      </c>
      <c r="J8" s="32">
        <f t="shared" si="3"/>
        <v>9.1693205786796822E-3</v>
      </c>
      <c r="K8" s="32">
        <f t="shared" si="3"/>
        <v>1.7511225134588648E-2</v>
      </c>
      <c r="N8" s="44"/>
      <c r="O8" s="72"/>
      <c r="P8" s="72"/>
      <c r="Q8" s="45"/>
      <c r="S8" s="44"/>
      <c r="T8" s="72"/>
      <c r="U8" s="72"/>
      <c r="V8" s="45"/>
    </row>
    <row r="9" spans="1:22" ht="15" thickBot="1" x14ac:dyDescent="0.35">
      <c r="A9" s="68">
        <v>43476</v>
      </c>
      <c r="B9" s="32">
        <v>245.462952</v>
      </c>
      <c r="C9" s="32">
        <v>24.199766</v>
      </c>
      <c r="D9" s="32">
        <v>50.492804999999997</v>
      </c>
      <c r="F9" s="32">
        <f t="shared" si="0"/>
        <v>-6.1196442295748162E-3</v>
      </c>
      <c r="G9" s="32">
        <f t="shared" si="1"/>
        <v>-1.5256975308834202E-3</v>
      </c>
      <c r="H9" s="32">
        <f t="shared" si="2"/>
        <v>1.2977291356404649E-2</v>
      </c>
      <c r="I9" s="32">
        <f t="shared" si="2"/>
        <v>3.8752539936277065E-2</v>
      </c>
      <c r="J9" s="32">
        <f t="shared" si="3"/>
        <v>7.3881979178547913E-3</v>
      </c>
      <c r="K9" s="32">
        <f t="shared" si="3"/>
        <v>1.5502393712653037E-2</v>
      </c>
      <c r="N9" s="19" t="s">
        <v>329</v>
      </c>
    </row>
    <row r="10" spans="1:22" x14ac:dyDescent="0.3">
      <c r="A10" s="68">
        <v>43479</v>
      </c>
      <c r="B10" s="32">
        <v>243.96539300000001</v>
      </c>
      <c r="C10" s="32">
        <v>24.51586</v>
      </c>
      <c r="D10" s="32">
        <v>52.487938</v>
      </c>
      <c r="F10" s="32">
        <f t="shared" si="0"/>
        <v>1.1395486482399094E-2</v>
      </c>
      <c r="G10" s="32">
        <f t="shared" si="1"/>
        <v>2.257248881437874E-3</v>
      </c>
      <c r="H10" s="32">
        <f t="shared" si="2"/>
        <v>6.8029193317617311E-3</v>
      </c>
      <c r="I10" s="32">
        <f t="shared" si="2"/>
        <v>4.0733642700156135E-2</v>
      </c>
      <c r="J10" s="32">
        <f t="shared" si="3"/>
        <v>-1.8574529200207759E-2</v>
      </c>
      <c r="K10" s="32">
        <f t="shared" si="3"/>
        <v>-8.2133539616573992E-3</v>
      </c>
      <c r="N10" s="6" t="s">
        <v>327</v>
      </c>
      <c r="O10" s="78">
        <f>O5</f>
        <v>1.1111243211021967E-3</v>
      </c>
      <c r="P10" s="60"/>
    </row>
    <row r="11" spans="1:22" ht="15" thickBot="1" x14ac:dyDescent="0.35">
      <c r="A11" s="68">
        <v>43480</v>
      </c>
      <c r="B11" s="32">
        <v>246.76139800000001</v>
      </c>
      <c r="C11" s="32">
        <v>24.683208</v>
      </c>
      <c r="D11" s="32">
        <v>54.670105</v>
      </c>
      <c r="F11" s="32">
        <f t="shared" si="0"/>
        <v>2.4170377736258417E-3</v>
      </c>
      <c r="G11" s="32">
        <f t="shared" si="1"/>
        <v>8.2840285067642058E-3</v>
      </c>
      <c r="H11" s="32">
        <f t="shared" si="2"/>
        <v>6.9118390242471864E-2</v>
      </c>
      <c r="I11" s="32">
        <f t="shared" si="2"/>
        <v>1.3109985417737356E-2</v>
      </c>
      <c r="J11" s="32">
        <f t="shared" si="3"/>
        <v>1.4411326201953238E-3</v>
      </c>
      <c r="K11" s="32">
        <f t="shared" si="3"/>
        <v>-2.958484450564089E-3</v>
      </c>
      <c r="N11" s="16" t="s">
        <v>328</v>
      </c>
      <c r="O11" s="79">
        <f>T5</f>
        <v>6.3100159757296318E-4</v>
      </c>
      <c r="P11" s="62"/>
    </row>
    <row r="12" spans="1:22" x14ac:dyDescent="0.3">
      <c r="A12" s="68">
        <v>43481</v>
      </c>
      <c r="B12" s="32">
        <v>247.35855100000001</v>
      </c>
      <c r="C12" s="32">
        <v>26.449614</v>
      </c>
      <c r="D12" s="32">
        <v>55.391548</v>
      </c>
      <c r="F12" s="32">
        <f t="shared" si="0"/>
        <v>7.5579930288969142E-3</v>
      </c>
      <c r="G12" s="32">
        <f t="shared" si="1"/>
        <v>3.1075863482088691E-3</v>
      </c>
      <c r="H12" s="32">
        <f t="shared" si="2"/>
        <v>1.8802769828201199E-2</v>
      </c>
      <c r="I12" s="32">
        <f t="shared" si="2"/>
        <v>4.492332157655341E-3</v>
      </c>
      <c r="J12" s="32">
        <f t="shared" si="3"/>
        <v>-2.8798770352788403E-4</v>
      </c>
      <c r="K12" s="32">
        <f t="shared" si="3"/>
        <v>1.4802286412473453E-3</v>
      </c>
    </row>
    <row r="13" spans="1:22" x14ac:dyDescent="0.3">
      <c r="A13" s="68">
        <v>43482</v>
      </c>
      <c r="B13" s="32">
        <v>249.23516799999999</v>
      </c>
      <c r="C13" s="32">
        <v>26.951644999999999</v>
      </c>
      <c r="D13" s="32">
        <v>55.640945000000002</v>
      </c>
      <c r="F13" s="32">
        <f t="shared" si="0"/>
        <v>1.3222148353831842E-2</v>
      </c>
      <c r="G13" s="32">
        <f t="shared" si="1"/>
        <v>-1.9601612452146183E-3</v>
      </c>
      <c r="H13" s="32">
        <f t="shared" si="2"/>
        <v>1.0636530072206088E-2</v>
      </c>
      <c r="I13" s="32">
        <f t="shared" si="2"/>
        <v>1.0351275569642767E-2</v>
      </c>
      <c r="J13" s="32">
        <f t="shared" si="3"/>
        <v>-1.3049389723651848E-2</v>
      </c>
      <c r="K13" s="32">
        <f t="shared" si="3"/>
        <v>-1.5153642782852127E-2</v>
      </c>
    </row>
    <row r="14" spans="1:22" x14ac:dyDescent="0.3">
      <c r="A14" s="68">
        <v>43483</v>
      </c>
      <c r="B14" s="32">
        <v>252.55247499999999</v>
      </c>
      <c r="C14" s="32">
        <v>27.239847000000001</v>
      </c>
      <c r="D14" s="32">
        <v>56.219890999999997</v>
      </c>
      <c r="F14" s="32">
        <f t="shared" si="0"/>
        <v>-1.3602471981184978E-2</v>
      </c>
      <c r="G14" s="32">
        <f t="shared" si="1"/>
        <v>1.2084122445733609E-4</v>
      </c>
      <c r="H14" s="32">
        <f t="shared" si="2"/>
        <v>-7.1931766924066944E-3</v>
      </c>
      <c r="I14" s="32">
        <f t="shared" si="2"/>
        <v>-2.032568646191734E-2</v>
      </c>
      <c r="J14" s="32">
        <f t="shared" si="3"/>
        <v>2.9145174338329454E-3</v>
      </c>
      <c r="K14" s="32">
        <f t="shared" si="3"/>
        <v>2.5000553923380533E-3</v>
      </c>
    </row>
    <row r="15" spans="1:22" x14ac:dyDescent="0.3">
      <c r="A15" s="68">
        <v>43487</v>
      </c>
      <c r="B15" s="32">
        <v>249.14039600000001</v>
      </c>
      <c r="C15" s="32">
        <v>27.044609000000001</v>
      </c>
      <c r="D15" s="32">
        <v>55.088718</v>
      </c>
      <c r="F15" s="32">
        <f t="shared" si="0"/>
        <v>2.0902125196033323E-3</v>
      </c>
      <c r="G15" s="32">
        <f t="shared" si="1"/>
        <v>1.1463524394861552E-3</v>
      </c>
      <c r="H15" s="32">
        <f t="shared" si="2"/>
        <v>-5.8610055606174759E-3</v>
      </c>
      <c r="I15" s="32">
        <f t="shared" si="2"/>
        <v>4.5169172025035283E-3</v>
      </c>
      <c r="J15" s="32">
        <f t="shared" si="3"/>
        <v>-7.0093071398129193E-3</v>
      </c>
      <c r="K15" s="32">
        <f t="shared" si="3"/>
        <v>-3.7522735308703216E-3</v>
      </c>
    </row>
    <row r="16" spans="1:22" x14ac:dyDescent="0.3">
      <c r="A16" s="68">
        <v>43488</v>
      </c>
      <c r="B16" s="32">
        <v>249.661697</v>
      </c>
      <c r="C16" s="32">
        <v>26.886564</v>
      </c>
      <c r="D16" s="32">
        <v>55.338112000000002</v>
      </c>
      <c r="F16" s="32">
        <f t="shared" si="0"/>
        <v>5.3128197289012804E-4</v>
      </c>
      <c r="G16" s="32">
        <f t="shared" si="1"/>
        <v>-8.9328981644922322E-3</v>
      </c>
      <c r="H16" s="32">
        <f t="shared" si="2"/>
        <v>5.5172920564528138E-3</v>
      </c>
      <c r="I16" s="32">
        <f t="shared" si="2"/>
        <v>9.291925974637608E-3</v>
      </c>
      <c r="J16" s="32">
        <f t="shared" si="3"/>
        <v>-1.7144990233012317E-2</v>
      </c>
      <c r="K16" s="32">
        <f t="shared" si="3"/>
        <v>-1.7444879558557964E-2</v>
      </c>
    </row>
    <row r="17" spans="1:11" x14ac:dyDescent="0.3">
      <c r="A17" s="68">
        <v>43489</v>
      </c>
      <c r="B17" s="32">
        <v>249.79437300000001</v>
      </c>
      <c r="C17" s="32">
        <v>27.035315000000001</v>
      </c>
      <c r="D17" s="32">
        <v>55.854706</v>
      </c>
      <c r="F17" s="32">
        <f t="shared" si="0"/>
        <v>8.4258899202182685E-3</v>
      </c>
      <c r="G17" s="32">
        <f t="shared" si="1"/>
        <v>-1.615935287032402E-2</v>
      </c>
      <c r="H17" s="32">
        <f t="shared" si="2"/>
        <v>1.7047848508540003E-2</v>
      </c>
      <c r="I17" s="32">
        <f t="shared" si="2"/>
        <v>2.067465892943008E-2</v>
      </c>
      <c r="J17" s="32">
        <f t="shared" si="3"/>
        <v>-2.0786997518589534E-2</v>
      </c>
      <c r="K17" s="32">
        <f t="shared" si="3"/>
        <v>-2.2046699176088275E-2</v>
      </c>
    </row>
    <row r="18" spans="1:11" x14ac:dyDescent="0.3">
      <c r="A18" s="68">
        <v>43490</v>
      </c>
      <c r="B18" s="32">
        <v>251.908005</v>
      </c>
      <c r="C18" s="32">
        <v>27.500160000000001</v>
      </c>
      <c r="D18" s="32">
        <v>57.021503000000003</v>
      </c>
      <c r="F18" s="32">
        <f t="shared" si="0"/>
        <v>-7.6292878192977887E-3</v>
      </c>
      <c r="G18" s="32">
        <f t="shared" si="1"/>
        <v>1.042467215524817E-2</v>
      </c>
      <c r="H18" s="32">
        <f t="shared" si="2"/>
        <v>1.6888178553089695E-3</v>
      </c>
      <c r="I18" s="32">
        <f t="shared" si="2"/>
        <v>-2.6589511869932973E-3</v>
      </c>
      <c r="J18" s="32">
        <f t="shared" si="3"/>
        <v>1.1802321651604634E-2</v>
      </c>
      <c r="K18" s="32">
        <f t="shared" si="3"/>
        <v>6.8854683184481945E-3</v>
      </c>
    </row>
    <row r="19" spans="1:11" x14ac:dyDescent="0.3">
      <c r="A19" s="68">
        <v>43493</v>
      </c>
      <c r="B19" s="32">
        <v>249.993439</v>
      </c>
      <c r="C19" s="32">
        <v>27.546641999999999</v>
      </c>
      <c r="D19" s="32">
        <v>56.870086999999998</v>
      </c>
      <c r="F19" s="32">
        <f t="shared" si="0"/>
        <v>-1.3278840738107198E-3</v>
      </c>
      <c r="G19" s="32">
        <f t="shared" si="1"/>
        <v>-8.2636873793623953E-4</v>
      </c>
      <c r="H19" s="32">
        <f t="shared" si="2"/>
        <v>-8.1328075500204638E-3</v>
      </c>
      <c r="I19" s="32">
        <f t="shared" si="2"/>
        <v>-1.0074085639612302E-2</v>
      </c>
      <c r="J19" s="32">
        <f t="shared" ref="J19:K34" si="4">LN(C272/C271)</f>
        <v>-6.9437798075700618E-3</v>
      </c>
      <c r="K19" s="32">
        <f t="shared" si="4"/>
        <v>-9.8882321352804503E-3</v>
      </c>
    </row>
    <row r="20" spans="1:11" x14ac:dyDescent="0.3">
      <c r="A20" s="68">
        <v>43494</v>
      </c>
      <c r="B20" s="32">
        <v>249.661697</v>
      </c>
      <c r="C20" s="32">
        <v>27.323519000000001</v>
      </c>
      <c r="D20" s="32">
        <v>56.300049000000001</v>
      </c>
      <c r="F20" s="32">
        <f t="shared" si="0"/>
        <v>1.570686927956336E-2</v>
      </c>
      <c r="G20" s="32">
        <f t="shared" si="1"/>
        <v>3.240147098940117E-3</v>
      </c>
      <c r="H20" s="32">
        <f t="shared" si="2"/>
        <v>-1.0947801501725356E-2</v>
      </c>
      <c r="I20" s="32">
        <f t="shared" si="2"/>
        <v>1.5852374003169155E-2</v>
      </c>
      <c r="J20" s="32">
        <f t="shared" si="4"/>
        <v>1.4137860046626609E-2</v>
      </c>
      <c r="K20" s="32">
        <f t="shared" si="4"/>
        <v>1.2345189889056415E-2</v>
      </c>
    </row>
    <row r="21" spans="1:11" x14ac:dyDescent="0.3">
      <c r="A21" s="68">
        <v>43495</v>
      </c>
      <c r="B21" s="32">
        <v>253.614059</v>
      </c>
      <c r="C21" s="32">
        <v>27.026018000000001</v>
      </c>
      <c r="D21" s="32">
        <v>57.199649999999998</v>
      </c>
      <c r="F21" s="32">
        <f t="shared" si="0"/>
        <v>8.7443009460945065E-3</v>
      </c>
      <c r="G21" s="32">
        <f t="shared" si="1"/>
        <v>-1.8324868488444064E-2</v>
      </c>
      <c r="H21" s="32">
        <f t="shared" si="2"/>
        <v>-2.0855792538230687E-2</v>
      </c>
      <c r="I21" s="32">
        <f t="shared" si="2"/>
        <v>3.7299983244793887E-3</v>
      </c>
      <c r="J21" s="32">
        <f t="shared" si="4"/>
        <v>-1.9605422787449502E-2</v>
      </c>
      <c r="K21" s="32">
        <f t="shared" si="4"/>
        <v>-3.3175543098153584E-2</v>
      </c>
    </row>
    <row r="22" spans="1:11" x14ac:dyDescent="0.3">
      <c r="A22" s="68">
        <v>43496</v>
      </c>
      <c r="B22" s="32">
        <v>255.84146100000001</v>
      </c>
      <c r="C22" s="32">
        <v>26.468205999999999</v>
      </c>
      <c r="D22" s="32">
        <v>57.413403000000002</v>
      </c>
      <c r="F22" s="32">
        <f t="shared" si="0"/>
        <v>4.8107288761048666E-4</v>
      </c>
      <c r="G22" s="32">
        <f t="shared" si="1"/>
        <v>7.4010817663724745E-3</v>
      </c>
      <c r="H22" s="32">
        <f t="shared" si="2"/>
        <v>-3.1662718522020138E-3</v>
      </c>
      <c r="I22" s="32">
        <f t="shared" si="2"/>
        <v>-5.3258612132326749E-3</v>
      </c>
      <c r="J22" s="32">
        <f t="shared" si="4"/>
        <v>4.2552820408549002E-3</v>
      </c>
      <c r="K22" s="32">
        <f t="shared" si="4"/>
        <v>9.6293642957012843E-3</v>
      </c>
    </row>
    <row r="23" spans="1:11" x14ac:dyDescent="0.3">
      <c r="A23" s="68">
        <v>43497</v>
      </c>
      <c r="B23" s="32">
        <v>255.96456900000001</v>
      </c>
      <c r="C23" s="32">
        <v>26.384533000000001</v>
      </c>
      <c r="D23" s="32">
        <v>57.108440000000002</v>
      </c>
      <c r="F23" s="32">
        <f t="shared" si="0"/>
        <v>7.0111156962860896E-3</v>
      </c>
      <c r="G23" s="32">
        <f t="shared" si="1"/>
        <v>1.5126251054986509E-2</v>
      </c>
      <c r="H23" s="32">
        <f t="shared" si="2"/>
        <v>1.7464650455615707E-2</v>
      </c>
      <c r="I23" s="32">
        <f t="shared" si="2"/>
        <v>6.1067849444625989E-3</v>
      </c>
      <c r="J23" s="32">
        <f t="shared" si="4"/>
        <v>1.9523293619148403E-2</v>
      </c>
      <c r="K23" s="32">
        <f t="shared" si="4"/>
        <v>1.8070744377785806E-2</v>
      </c>
    </row>
    <row r="24" spans="1:11" x14ac:dyDescent="0.3">
      <c r="A24" s="68">
        <v>43500</v>
      </c>
      <c r="B24" s="32">
        <v>257.76547199999999</v>
      </c>
      <c r="C24" s="32">
        <v>26.849377</v>
      </c>
      <c r="D24" s="32">
        <v>57.458255999999999</v>
      </c>
      <c r="F24" s="32">
        <f t="shared" si="0"/>
        <v>4.1830570172391715E-3</v>
      </c>
      <c r="G24" s="32">
        <f t="shared" si="1"/>
        <v>1.1481957401316432E-2</v>
      </c>
      <c r="H24" s="32">
        <f t="shared" si="2"/>
        <v>-3.4685095274682391E-3</v>
      </c>
      <c r="I24" s="32">
        <f t="shared" si="2"/>
        <v>-3.910294596424258E-3</v>
      </c>
      <c r="J24" s="32">
        <f t="shared" si="4"/>
        <v>3.1906612418018378E-2</v>
      </c>
      <c r="K24" s="32">
        <f t="shared" si="4"/>
        <v>3.0256691625448445E-2</v>
      </c>
    </row>
    <row r="25" spans="1:11" x14ac:dyDescent="0.3">
      <c r="A25" s="68">
        <v>43501</v>
      </c>
      <c r="B25" s="32">
        <v>258.845978</v>
      </c>
      <c r="C25" s="32">
        <v>26.756411</v>
      </c>
      <c r="D25" s="32">
        <v>57.234015999999997</v>
      </c>
      <c r="F25" s="32">
        <f t="shared" si="0"/>
        <v>-1.3192136174295524E-3</v>
      </c>
      <c r="G25" s="32">
        <f t="shared" si="1"/>
        <v>3.3591965101792453E-3</v>
      </c>
      <c r="H25" s="32">
        <f t="shared" si="2"/>
        <v>-1.7388141193410904E-3</v>
      </c>
      <c r="I25" s="32">
        <f t="shared" si="2"/>
        <v>1.2529272363133478E-3</v>
      </c>
      <c r="J25" s="32">
        <f t="shared" si="4"/>
        <v>-1.1531449166675642E-3</v>
      </c>
      <c r="K25" s="32">
        <f t="shared" si="4"/>
        <v>1.5208241083123181E-3</v>
      </c>
    </row>
    <row r="26" spans="1:11" x14ac:dyDescent="0.3">
      <c r="A26" s="68">
        <v>43502</v>
      </c>
      <c r="B26" s="32">
        <v>258.50473</v>
      </c>
      <c r="C26" s="32">
        <v>26.709927</v>
      </c>
      <c r="D26" s="32">
        <v>57.305771</v>
      </c>
      <c r="F26" s="32">
        <f t="shared" si="0"/>
        <v>-9.5783682785487989E-3</v>
      </c>
      <c r="G26" s="32">
        <f t="shared" si="1"/>
        <v>-5.3438600522286777E-3</v>
      </c>
      <c r="H26" s="32">
        <f t="shared" si="2"/>
        <v>-1.7202576064624584E-2</v>
      </c>
      <c r="I26" s="32">
        <f t="shared" si="2"/>
        <v>-1.704850776422322E-2</v>
      </c>
      <c r="J26" s="32">
        <f t="shared" si="4"/>
        <v>-1.7323056453013529E-3</v>
      </c>
      <c r="K26" s="32">
        <f t="shared" si="4"/>
        <v>-3.5520057869616699E-3</v>
      </c>
    </row>
    <row r="27" spans="1:11" x14ac:dyDescent="0.3">
      <c r="A27" s="68">
        <v>43503</v>
      </c>
      <c r="B27" s="32">
        <v>256.04049700000002</v>
      </c>
      <c r="C27" s="32">
        <v>26.254377000000002</v>
      </c>
      <c r="D27" s="32">
        <v>56.337074000000001</v>
      </c>
      <c r="F27" s="32">
        <f t="shared" si="0"/>
        <v>1.2205967190957348E-3</v>
      </c>
      <c r="G27" s="32">
        <f t="shared" si="1"/>
        <v>7.4376845522226434E-3</v>
      </c>
      <c r="H27" s="32">
        <f t="shared" si="2"/>
        <v>1.7691864250966359E-3</v>
      </c>
      <c r="I27" s="32">
        <f t="shared" si="2"/>
        <v>-1.2818715513722292E-2</v>
      </c>
      <c r="J27" s="32">
        <f t="shared" si="4"/>
        <v>2.3089836871360075E-3</v>
      </c>
      <c r="K27" s="32">
        <f t="shared" si="4"/>
        <v>-2.672135928707642E-3</v>
      </c>
    </row>
    <row r="28" spans="1:11" x14ac:dyDescent="0.3">
      <c r="A28" s="68">
        <v>43504</v>
      </c>
      <c r="B28" s="32">
        <v>256.35320999999999</v>
      </c>
      <c r="C28" s="32">
        <v>26.300867</v>
      </c>
      <c r="D28" s="32">
        <v>55.619514000000002</v>
      </c>
      <c r="F28" s="32">
        <f t="shared" si="0"/>
        <v>5.5447944320525264E-4</v>
      </c>
      <c r="G28" s="32">
        <f t="shared" si="1"/>
        <v>1.731256623701191E-3</v>
      </c>
      <c r="H28" s="32">
        <f t="shared" si="2"/>
        <v>4.2326768146843871E-3</v>
      </c>
      <c r="I28" s="32">
        <f t="shared" si="2"/>
        <v>-6.471436448613227E-3</v>
      </c>
      <c r="J28" s="32">
        <f t="shared" si="4"/>
        <v>2.3034225813730927E-3</v>
      </c>
      <c r="K28" s="32">
        <f t="shared" si="4"/>
        <v>7.7424507451793268E-3</v>
      </c>
    </row>
    <row r="29" spans="1:11" x14ac:dyDescent="0.3">
      <c r="A29" s="68">
        <v>43507</v>
      </c>
      <c r="B29" s="32">
        <v>256.49539199999998</v>
      </c>
      <c r="C29" s="32">
        <v>26.412426</v>
      </c>
      <c r="D29" s="32">
        <v>55.260738000000003</v>
      </c>
      <c r="F29" s="32">
        <f t="shared" si="0"/>
        <v>1.2777278157321671E-2</v>
      </c>
      <c r="G29" s="32">
        <f t="shared" si="1"/>
        <v>6.4222838676260847E-3</v>
      </c>
      <c r="H29" s="32">
        <f t="shared" si="2"/>
        <v>9.8073763657760844E-3</v>
      </c>
      <c r="I29" s="32">
        <f t="shared" si="2"/>
        <v>1.7058652266190792E-2</v>
      </c>
      <c r="J29" s="32">
        <f t="shared" si="4"/>
        <v>4.3047326162781807E-3</v>
      </c>
      <c r="K29" s="32">
        <f t="shared" si="4"/>
        <v>3.0299111151122411E-3</v>
      </c>
    </row>
    <row r="30" spans="1:11" x14ac:dyDescent="0.3">
      <c r="A30" s="68">
        <v>43508</v>
      </c>
      <c r="B30" s="32">
        <v>259.79373199999998</v>
      </c>
      <c r="C30" s="32">
        <v>26.672737000000001</v>
      </c>
      <c r="D30" s="32">
        <v>56.211497999999999</v>
      </c>
      <c r="F30" s="32">
        <f t="shared" si="0"/>
        <v>3.241804152813259E-3</v>
      </c>
      <c r="G30" s="32">
        <f t="shared" si="1"/>
        <v>-1.067441595073532E-3</v>
      </c>
      <c r="H30" s="32">
        <f t="shared" si="2"/>
        <v>3.4849742281138559E-4</v>
      </c>
      <c r="I30" s="32">
        <f t="shared" si="2"/>
        <v>5.8866806449847479E-3</v>
      </c>
      <c r="J30" s="32">
        <f t="shared" si="4"/>
        <v>-2.8621758894942906E-4</v>
      </c>
      <c r="K30" s="32">
        <f t="shared" si="4"/>
        <v>-4.1685845853895696E-3</v>
      </c>
    </row>
    <row r="31" spans="1:11" x14ac:dyDescent="0.3">
      <c r="A31" s="68">
        <v>43509</v>
      </c>
      <c r="B31" s="32">
        <v>260.63729899999998</v>
      </c>
      <c r="C31" s="32">
        <v>26.682034000000002</v>
      </c>
      <c r="D31" s="32">
        <v>56.543373000000003</v>
      </c>
      <c r="F31" s="32">
        <f t="shared" si="0"/>
        <v>-2.2205844192877324E-3</v>
      </c>
      <c r="G31" s="32">
        <f t="shared" si="1"/>
        <v>1.6007354096217454E-3</v>
      </c>
      <c r="H31" s="32">
        <f t="shared" si="2"/>
        <v>-1.0860070644052667E-2</v>
      </c>
      <c r="I31" s="32">
        <f t="shared" si="2"/>
        <v>-9.8838603742360167E-3</v>
      </c>
      <c r="J31" s="32">
        <f t="shared" si="4"/>
        <v>-1.7203860105628891E-3</v>
      </c>
      <c r="K31" s="32">
        <f t="shared" si="4"/>
        <v>-2.6617330594815919E-3</v>
      </c>
    </row>
    <row r="32" spans="1:11" x14ac:dyDescent="0.3">
      <c r="A32" s="68">
        <v>43510</v>
      </c>
      <c r="B32" s="32">
        <v>260.05917399999998</v>
      </c>
      <c r="C32" s="32">
        <v>26.393833000000001</v>
      </c>
      <c r="D32" s="32">
        <v>55.987259000000002</v>
      </c>
      <c r="F32" s="32">
        <f t="shared" si="0"/>
        <v>1.0838276831102008E-2</v>
      </c>
      <c r="G32" s="32">
        <f t="shared" si="1"/>
        <v>-2.5802572830909707E-3</v>
      </c>
      <c r="H32" s="32">
        <f t="shared" si="2"/>
        <v>2.5044708803198024E-2</v>
      </c>
      <c r="I32" s="32">
        <f t="shared" si="2"/>
        <v>2.9207225483616994E-2</v>
      </c>
      <c r="J32" s="32">
        <f t="shared" si="4"/>
        <v>-1.6782581849206064E-2</v>
      </c>
      <c r="K32" s="32">
        <f t="shared" si="4"/>
        <v>-1.5476311410406472E-2</v>
      </c>
    </row>
    <row r="33" spans="1:11" x14ac:dyDescent="0.3">
      <c r="A33" s="68">
        <v>43511</v>
      </c>
      <c r="B33" s="32">
        <v>262.89309700000001</v>
      </c>
      <c r="C33" s="32">
        <v>27.063206000000001</v>
      </c>
      <c r="D33" s="32">
        <v>57.646605999999998</v>
      </c>
      <c r="F33" s="32">
        <f t="shared" si="0"/>
        <v>1.7290784399849029E-3</v>
      </c>
      <c r="G33" s="32">
        <f t="shared" si="1"/>
        <v>4.7698107537770904E-3</v>
      </c>
      <c r="H33" s="32">
        <f t="shared" si="2"/>
        <v>6.8682237216628771E-4</v>
      </c>
      <c r="I33" s="32">
        <f t="shared" si="2"/>
        <v>1.7101380798511239E-3</v>
      </c>
      <c r="J33" s="32">
        <f t="shared" si="4"/>
        <v>1.3045484829428067E-2</v>
      </c>
      <c r="K33" s="32">
        <f t="shared" si="4"/>
        <v>6.0398189132647015E-3</v>
      </c>
    </row>
    <row r="34" spans="1:11" x14ac:dyDescent="0.3">
      <c r="A34" s="68">
        <v>43515</v>
      </c>
      <c r="B34" s="32">
        <v>263.34805299999999</v>
      </c>
      <c r="C34" s="32">
        <v>27.081800000000001</v>
      </c>
      <c r="D34" s="32">
        <v>57.745274000000002</v>
      </c>
      <c r="F34" s="32">
        <f t="shared" si="0"/>
        <v>2.0134109678995979E-3</v>
      </c>
      <c r="G34" s="32">
        <f t="shared" si="1"/>
        <v>-4.1168780557528217E-3</v>
      </c>
      <c r="H34" s="32">
        <f t="shared" si="2"/>
        <v>9.5660890619195683E-3</v>
      </c>
      <c r="I34" s="32">
        <f t="shared" si="2"/>
        <v>4.0304139057542173E-3</v>
      </c>
      <c r="J34" s="32">
        <f t="shared" si="4"/>
        <v>3.7370970197780086E-3</v>
      </c>
      <c r="K34" s="32">
        <f t="shared" si="4"/>
        <v>2.175828589468068E-3</v>
      </c>
    </row>
    <row r="35" spans="1:11" x14ac:dyDescent="0.3">
      <c r="A35" s="68">
        <v>43516</v>
      </c>
      <c r="B35" s="32">
        <v>263.87881499999997</v>
      </c>
      <c r="C35" s="32">
        <v>27.342110000000002</v>
      </c>
      <c r="D35" s="32">
        <v>57.978481000000002</v>
      </c>
      <c r="F35" s="32">
        <f t="shared" si="0"/>
        <v>-3.5623449515350338E-3</v>
      </c>
      <c r="G35" s="32">
        <f t="shared" si="1"/>
        <v>-1.0351560839730184E-2</v>
      </c>
      <c r="H35" s="32">
        <f t="shared" si="2"/>
        <v>-4.0883896535857276E-3</v>
      </c>
      <c r="I35" s="32">
        <f t="shared" si="2"/>
        <v>-4.9627688335766662E-3</v>
      </c>
      <c r="J35" s="32">
        <f t="shared" ref="J35:K50" si="5">LN(C288/C287)</f>
        <v>-1.4159957013124906E-2</v>
      </c>
      <c r="K35" s="32">
        <f t="shared" si="5"/>
        <v>-2.3019422511023874E-2</v>
      </c>
    </row>
    <row r="36" spans="1:11" x14ac:dyDescent="0.3">
      <c r="A36" s="68">
        <v>43517</v>
      </c>
      <c r="B36" s="32">
        <v>262.94045999999997</v>
      </c>
      <c r="C36" s="32">
        <v>27.230553</v>
      </c>
      <c r="D36" s="32">
        <v>57.691459999999999</v>
      </c>
      <c r="F36" s="32">
        <f t="shared" si="0"/>
        <v>6.1809276692227823E-3</v>
      </c>
      <c r="G36" s="32">
        <f t="shared" si="1"/>
        <v>-3.3727963013018752E-2</v>
      </c>
      <c r="H36" s="32">
        <f t="shared" si="2"/>
        <v>-7.1956406338660349E-3</v>
      </c>
      <c r="I36" s="32">
        <f t="shared" si="2"/>
        <v>-2.802361401070444E-3</v>
      </c>
      <c r="J36" s="32">
        <f t="shared" si="5"/>
        <v>-4.8600867793254954E-2</v>
      </c>
      <c r="K36" s="32">
        <f t="shared" si="5"/>
        <v>-5.2505572637663492E-2</v>
      </c>
    </row>
    <row r="37" spans="1:11" x14ac:dyDescent="0.3">
      <c r="A37" s="68">
        <v>43518</v>
      </c>
      <c r="B37" s="32">
        <v>264.57070900000002</v>
      </c>
      <c r="C37" s="32">
        <v>27.035315000000001</v>
      </c>
      <c r="D37" s="32">
        <v>57.530014000000001</v>
      </c>
      <c r="F37" s="32">
        <f t="shared" si="0"/>
        <v>1.3601775928370598E-3</v>
      </c>
      <c r="G37" s="32">
        <f t="shared" si="1"/>
        <v>-3.077061642652618E-2</v>
      </c>
      <c r="H37" s="32">
        <f t="shared" si="2"/>
        <v>6.51246121892323E-3</v>
      </c>
      <c r="I37" s="32">
        <f t="shared" si="2"/>
        <v>6.0618939863861113E-3</v>
      </c>
      <c r="J37" s="32">
        <f t="shared" si="5"/>
        <v>-5.1727516706570283E-2</v>
      </c>
      <c r="K37" s="32">
        <f t="shared" si="5"/>
        <v>-4.368134611681844E-2</v>
      </c>
    </row>
    <row r="38" spans="1:11" x14ac:dyDescent="0.3">
      <c r="A38" s="68">
        <v>43521</v>
      </c>
      <c r="B38" s="32">
        <v>264.93081699999999</v>
      </c>
      <c r="C38" s="32">
        <v>27.211956000000001</v>
      </c>
      <c r="D38" s="32">
        <v>57.879814000000003</v>
      </c>
      <c r="F38" s="32">
        <f t="shared" si="0"/>
        <v>-7.1559367121276152E-4</v>
      </c>
      <c r="G38" s="32">
        <f t="shared" si="1"/>
        <v>-3.6848425397557555E-3</v>
      </c>
      <c r="H38" s="32">
        <f t="shared" si="2"/>
        <v>6.8317941494283987E-4</v>
      </c>
      <c r="I38" s="32">
        <f t="shared" si="2"/>
        <v>-6.3737798441155583E-3</v>
      </c>
      <c r="J38" s="32">
        <f t="shared" si="5"/>
        <v>-1.4584868966994605E-2</v>
      </c>
      <c r="K38" s="32">
        <f t="shared" si="5"/>
        <v>-1.8167749467972848E-2</v>
      </c>
    </row>
    <row r="39" spans="1:11" x14ac:dyDescent="0.3">
      <c r="A39" s="68">
        <v>43522</v>
      </c>
      <c r="B39" s="32">
        <v>264.74130200000002</v>
      </c>
      <c r="C39" s="32">
        <v>27.230553</v>
      </c>
      <c r="D39" s="32">
        <v>57.512073999999998</v>
      </c>
      <c r="F39" s="32">
        <f t="shared" si="0"/>
        <v>-4.297154943187571E-4</v>
      </c>
      <c r="G39" s="32">
        <f t="shared" si="1"/>
        <v>-4.5951691715064587E-2</v>
      </c>
      <c r="H39" s="32">
        <f t="shared" si="2"/>
        <v>8.1605330880997716E-3</v>
      </c>
      <c r="I39" s="32">
        <f t="shared" si="2"/>
        <v>4.3572979603035342E-3</v>
      </c>
      <c r="J39" s="32">
        <f t="shared" si="5"/>
        <v>-5.0211230847505145E-2</v>
      </c>
      <c r="K39" s="32">
        <f t="shared" si="5"/>
        <v>-5.6261620258104113E-2</v>
      </c>
    </row>
    <row r="40" spans="1:11" x14ac:dyDescent="0.3">
      <c r="A40" s="68">
        <v>43523</v>
      </c>
      <c r="B40" s="32">
        <v>264.62756300000001</v>
      </c>
      <c r="C40" s="32">
        <v>27.453678</v>
      </c>
      <c r="D40" s="32">
        <v>57.763218000000002</v>
      </c>
      <c r="F40" s="32">
        <f t="shared" si="0"/>
        <v>-1.8641955848964073E-3</v>
      </c>
      <c r="G40" s="32">
        <f t="shared" si="1"/>
        <v>-4.2102526634530514E-3</v>
      </c>
      <c r="H40" s="32">
        <f t="shared" si="2"/>
        <v>-1.0263581661315309E-2</v>
      </c>
      <c r="I40" s="32">
        <f t="shared" si="2"/>
        <v>-6.5431048773410177E-3</v>
      </c>
      <c r="J40" s="32">
        <f t="shared" si="5"/>
        <v>-2.1864552483969384E-2</v>
      </c>
      <c r="K40" s="32">
        <f t="shared" si="5"/>
        <v>-1.5479862737975398E-2</v>
      </c>
    </row>
    <row r="41" spans="1:11" x14ac:dyDescent="0.3">
      <c r="A41" s="68">
        <v>43524</v>
      </c>
      <c r="B41" s="32">
        <v>264.134705</v>
      </c>
      <c r="C41" s="32">
        <v>27.173345999999999</v>
      </c>
      <c r="D41" s="32">
        <v>57.386501000000003</v>
      </c>
      <c r="F41" s="32">
        <f t="shared" si="0"/>
        <v>6.224488807328228E-3</v>
      </c>
      <c r="G41" s="32">
        <f t="shared" si="1"/>
        <v>4.2394739569319544E-2</v>
      </c>
      <c r="H41" s="32">
        <f t="shared" si="2"/>
        <v>7.8780340808997304E-3</v>
      </c>
      <c r="I41" s="32">
        <f t="shared" si="2"/>
        <v>7.6294692474539755E-3</v>
      </c>
      <c r="J41" s="32">
        <f t="shared" si="5"/>
        <v>3.006979137070238E-2</v>
      </c>
      <c r="K41" s="32">
        <f t="shared" si="5"/>
        <v>6.3050345355898679E-2</v>
      </c>
    </row>
    <row r="42" spans="1:11" x14ac:dyDescent="0.3">
      <c r="A42" s="68">
        <v>43525</v>
      </c>
      <c r="B42" s="32">
        <v>265.78393599999998</v>
      </c>
      <c r="C42" s="32">
        <v>27.388263999999999</v>
      </c>
      <c r="D42" s="32">
        <v>57.826003999999998</v>
      </c>
      <c r="F42" s="32">
        <f t="shared" si="0"/>
        <v>-3.6442788077813812E-3</v>
      </c>
      <c r="G42" s="32">
        <f t="shared" si="1"/>
        <v>-2.9050181722967996E-2</v>
      </c>
      <c r="H42" s="32">
        <f t="shared" si="2"/>
        <v>-9.5989562984107723E-3</v>
      </c>
      <c r="I42" s="32">
        <f t="shared" si="2"/>
        <v>-1.1231043481781392E-2</v>
      </c>
      <c r="J42" s="32">
        <f t="shared" si="5"/>
        <v>-5.6737898824136615E-2</v>
      </c>
      <c r="K42" s="32">
        <f t="shared" si="5"/>
        <v>-3.8303841942477102E-2</v>
      </c>
    </row>
    <row r="43" spans="1:11" x14ac:dyDescent="0.3">
      <c r="A43" s="68">
        <v>43528</v>
      </c>
      <c r="B43" s="32">
        <v>264.81710800000002</v>
      </c>
      <c r="C43" s="32">
        <v>27.126622999999999</v>
      </c>
      <c r="D43" s="32">
        <v>57.180191000000001</v>
      </c>
      <c r="F43" s="32">
        <f t="shared" si="0"/>
        <v>-1.3608754728425031E-3</v>
      </c>
      <c r="G43" s="32">
        <f t="shared" si="1"/>
        <v>4.1173617172511619E-2</v>
      </c>
      <c r="H43" s="32">
        <f t="shared" si="2"/>
        <v>1.7209222175111271E-3</v>
      </c>
      <c r="I43" s="32">
        <f t="shared" si="2"/>
        <v>-1.2945952261768407E-2</v>
      </c>
      <c r="J43" s="32">
        <f t="shared" si="5"/>
        <v>2.2801109467219988E-2</v>
      </c>
      <c r="K43" s="32">
        <f t="shared" si="5"/>
        <v>3.5340465631416074E-2</v>
      </c>
    </row>
    <row r="44" spans="1:11" x14ac:dyDescent="0.3">
      <c r="A44" s="68">
        <v>43529</v>
      </c>
      <c r="B44" s="32">
        <v>264.45697000000001</v>
      </c>
      <c r="C44" s="32">
        <v>27.173345999999999</v>
      </c>
      <c r="D44" s="32">
        <v>56.444710000000001</v>
      </c>
      <c r="F44" s="32">
        <f t="shared" si="0"/>
        <v>-6.0752663640090635E-3</v>
      </c>
      <c r="G44" s="32">
        <f t="shared" si="1"/>
        <v>-3.3806915609141501E-2</v>
      </c>
      <c r="H44" s="32">
        <f t="shared" si="2"/>
        <v>-8.2874069084933593E-3</v>
      </c>
      <c r="I44" s="32">
        <f t="shared" si="2"/>
        <v>-6.6966561935836912E-3</v>
      </c>
      <c r="J44" s="32">
        <f t="shared" si="5"/>
        <v>-5.2021157236980753E-2</v>
      </c>
      <c r="K44" s="32">
        <f t="shared" si="5"/>
        <v>-5.96143139538634E-2</v>
      </c>
    </row>
    <row r="45" spans="1:11" x14ac:dyDescent="0.3">
      <c r="A45" s="68">
        <v>43530</v>
      </c>
      <c r="B45" s="32">
        <v>262.85519399999998</v>
      </c>
      <c r="C45" s="32">
        <v>26.949079999999999</v>
      </c>
      <c r="D45" s="32">
        <v>56.067982000000001</v>
      </c>
      <c r="F45" s="32">
        <f t="shared" si="0"/>
        <v>-8.4005639232431692E-3</v>
      </c>
      <c r="G45" s="32">
        <f t="shared" si="1"/>
        <v>-1.6669156593730659E-2</v>
      </c>
      <c r="H45" s="32">
        <f t="shared" si="2"/>
        <v>-1.0106267814073845E-2</v>
      </c>
      <c r="I45" s="32">
        <f t="shared" si="2"/>
        <v>-9.8062748711433799E-3</v>
      </c>
      <c r="J45" s="32">
        <f t="shared" si="5"/>
        <v>-4.0775286731697398E-2</v>
      </c>
      <c r="K45" s="32">
        <f t="shared" si="5"/>
        <v>-3.5428928541650397E-2</v>
      </c>
    </row>
    <row r="46" spans="1:11" x14ac:dyDescent="0.3">
      <c r="A46" s="68">
        <v>43531</v>
      </c>
      <c r="B46" s="32">
        <v>260.65631100000002</v>
      </c>
      <c r="C46" s="32">
        <v>26.678097000000001</v>
      </c>
      <c r="D46" s="32">
        <v>55.520851</v>
      </c>
      <c r="F46" s="32">
        <f t="shared" si="0"/>
        <v>-2.0019579938712942E-3</v>
      </c>
      <c r="G46" s="32">
        <f t="shared" si="1"/>
        <v>-8.1312302165983258E-2</v>
      </c>
      <c r="H46" s="32">
        <f t="shared" si="2"/>
        <v>3.4964165870335915E-3</v>
      </c>
      <c r="I46" s="32">
        <f t="shared" si="2"/>
        <v>2.5814418734778533E-3</v>
      </c>
      <c r="J46" s="32">
        <f t="shared" si="5"/>
        <v>-0.1590244786988802</v>
      </c>
      <c r="K46" s="32">
        <f t="shared" si="5"/>
        <v>-0.17639917030775321</v>
      </c>
    </row>
    <row r="47" spans="1:11" x14ac:dyDescent="0.3">
      <c r="A47" s="68">
        <v>43532</v>
      </c>
      <c r="B47" s="32">
        <v>260.13501000000002</v>
      </c>
      <c r="C47" s="32">
        <v>26.771538</v>
      </c>
      <c r="D47" s="32">
        <v>55.664360000000002</v>
      </c>
      <c r="F47" s="32">
        <f t="shared" si="0"/>
        <v>1.4396745569341144E-2</v>
      </c>
      <c r="G47" s="32">
        <f t="shared" si="1"/>
        <v>5.0450537044784173E-2</v>
      </c>
      <c r="H47" s="32">
        <f t="shared" si="2"/>
        <v>1.0071355717420389E-2</v>
      </c>
      <c r="I47" s="32">
        <f t="shared" si="2"/>
        <v>4.0203916779299144E-3</v>
      </c>
      <c r="J47" s="32">
        <f t="shared" si="5"/>
        <v>7.3814783520833455E-2</v>
      </c>
      <c r="K47" s="32">
        <f t="shared" si="5"/>
        <v>7.8769064846581791E-2</v>
      </c>
    </row>
    <row r="48" spans="1:11" x14ac:dyDescent="0.3">
      <c r="A48" s="68">
        <v>43535</v>
      </c>
      <c r="B48" s="32">
        <v>263.907196</v>
      </c>
      <c r="C48" s="32">
        <v>27.042525999999999</v>
      </c>
      <c r="D48" s="32">
        <v>55.888603000000003</v>
      </c>
      <c r="F48" s="32">
        <f t="shared" si="0"/>
        <v>3.7638470682462197E-3</v>
      </c>
      <c r="G48" s="32">
        <f t="shared" si="1"/>
        <v>-4.9976821369816717E-2</v>
      </c>
      <c r="H48" s="32">
        <f t="shared" si="2"/>
        <v>0</v>
      </c>
      <c r="I48" s="32">
        <f t="shared" si="2"/>
        <v>7.9923489750025056E-3</v>
      </c>
      <c r="J48" s="32">
        <f t="shared" si="5"/>
        <v>-4.0627928243608995E-2</v>
      </c>
      <c r="K48" s="32">
        <f t="shared" si="5"/>
        <v>-9.0123997773704764E-2</v>
      </c>
    </row>
    <row r="49" spans="1:11" x14ac:dyDescent="0.3">
      <c r="A49" s="68">
        <v>43536</v>
      </c>
      <c r="B49" s="32">
        <v>264.90237400000001</v>
      </c>
      <c r="C49" s="32">
        <v>27.042525999999999</v>
      </c>
      <c r="D49" s="32">
        <v>56.337074000000001</v>
      </c>
      <c r="F49" s="32">
        <f t="shared" si="0"/>
        <v>6.597528817322066E-3</v>
      </c>
      <c r="G49" s="32">
        <f t="shared" si="1"/>
        <v>-0.10056892405122571</v>
      </c>
      <c r="H49" s="32">
        <f t="shared" si="2"/>
        <v>1.202136754722221E-2</v>
      </c>
      <c r="I49" s="32">
        <f t="shared" si="2"/>
        <v>1.3285041750154131E-2</v>
      </c>
      <c r="J49" s="32">
        <f t="shared" si="5"/>
        <v>-0.10012980967951088</v>
      </c>
      <c r="K49" s="32">
        <f t="shared" si="5"/>
        <v>-0.16047128733717675</v>
      </c>
    </row>
    <row r="50" spans="1:11" x14ac:dyDescent="0.3">
      <c r="A50" s="68">
        <v>43537</v>
      </c>
      <c r="B50" s="32">
        <v>266.65585299999998</v>
      </c>
      <c r="C50" s="32">
        <v>27.369575999999999</v>
      </c>
      <c r="D50" s="32">
        <v>57.090508</v>
      </c>
      <c r="F50" s="32">
        <f t="shared" si="0"/>
        <v>-6.399544198050517E-4</v>
      </c>
      <c r="G50" s="32">
        <f t="shared" si="1"/>
        <v>8.2028071624659901E-2</v>
      </c>
      <c r="H50" s="32">
        <f t="shared" si="2"/>
        <v>5.7871483354612159E-3</v>
      </c>
      <c r="I50" s="32">
        <f t="shared" si="2"/>
        <v>7.2010086164515262E-3</v>
      </c>
      <c r="J50" s="32">
        <f t="shared" si="5"/>
        <v>0.16378576068009534</v>
      </c>
      <c r="K50" s="32">
        <f t="shared" si="5"/>
        <v>0.1653813220411888</v>
      </c>
    </row>
    <row r="51" spans="1:11" x14ac:dyDescent="0.3">
      <c r="A51" s="68">
        <v>43538</v>
      </c>
      <c r="B51" s="32">
        <v>266.48525999999998</v>
      </c>
      <c r="C51" s="32">
        <v>27.528427000000001</v>
      </c>
      <c r="D51" s="32">
        <v>57.503101000000001</v>
      </c>
      <c r="F51" s="32">
        <f t="shared" si="0"/>
        <v>4.9286329120500653E-3</v>
      </c>
      <c r="G51" s="32">
        <f t="shared" si="1"/>
        <v>-0.11588660086710316</v>
      </c>
      <c r="H51" s="32">
        <f t="shared" si="2"/>
        <v>-5.4458056220200455E-3</v>
      </c>
      <c r="I51" s="32">
        <f t="shared" si="2"/>
        <v>1.6705812561356753E-2</v>
      </c>
      <c r="J51" s="32">
        <f t="shared" ref="J51:K66" si="6">LN(C304/C303)</f>
        <v>-0.16720459901243778</v>
      </c>
      <c r="K51" s="32">
        <f t="shared" si="6"/>
        <v>-0.2144139690168492</v>
      </c>
    </row>
    <row r="52" spans="1:11" x14ac:dyDescent="0.3">
      <c r="A52" s="68">
        <v>43539</v>
      </c>
      <c r="B52" s="32">
        <v>267.80191000000002</v>
      </c>
      <c r="C52" s="32">
        <v>27.378920000000001</v>
      </c>
      <c r="D52" s="32">
        <v>58.471806000000001</v>
      </c>
      <c r="F52" s="32">
        <f t="shared" si="0"/>
        <v>3.6191750468939996E-3</v>
      </c>
      <c r="G52" s="32">
        <f t="shared" si="1"/>
        <v>5.2585006907006536E-2</v>
      </c>
      <c r="H52" s="32">
        <f t="shared" si="2"/>
        <v>1.7591730602238946E-2</v>
      </c>
      <c r="I52" s="32">
        <f t="shared" si="2"/>
        <v>1.1287272681613881E-2</v>
      </c>
      <c r="J52" s="32">
        <f t="shared" si="6"/>
        <v>7.2639118835715943E-2</v>
      </c>
      <c r="K52" s="32">
        <f t="shared" si="6"/>
        <v>-2.3085455378587878E-2</v>
      </c>
    </row>
    <row r="53" spans="1:11" x14ac:dyDescent="0.3">
      <c r="A53" s="68">
        <v>43542</v>
      </c>
      <c r="B53" s="32">
        <v>268.77288800000002</v>
      </c>
      <c r="C53" s="32">
        <v>27.864823999999999</v>
      </c>
      <c r="D53" s="32">
        <v>59.135531999999998</v>
      </c>
      <c r="F53" s="32">
        <f t="shared" si="0"/>
        <v>2.480634496975873E-4</v>
      </c>
      <c r="G53" s="32">
        <f t="shared" si="1"/>
        <v>-5.1959729919584301E-2</v>
      </c>
      <c r="H53" s="32">
        <f t="shared" si="2"/>
        <v>-5.7172274904712748E-3</v>
      </c>
      <c r="I53" s="32">
        <f t="shared" si="2"/>
        <v>-4.5607450917247135E-3</v>
      </c>
      <c r="J53" s="32">
        <f t="shared" si="6"/>
        <v>-5.5660777309101794E-2</v>
      </c>
      <c r="K53" s="32">
        <f t="shared" si="6"/>
        <v>-9.9717476487413831E-2</v>
      </c>
    </row>
    <row r="54" spans="1:11" x14ac:dyDescent="0.3">
      <c r="A54" s="68">
        <v>43543</v>
      </c>
      <c r="B54" s="32">
        <v>268.83956899999998</v>
      </c>
      <c r="C54" s="32">
        <v>27.705969</v>
      </c>
      <c r="D54" s="32">
        <v>58.866444000000001</v>
      </c>
      <c r="F54" s="32">
        <f t="shared" si="0"/>
        <v>-3.0145275849811468E-3</v>
      </c>
      <c r="G54" s="32">
        <f t="shared" si="1"/>
        <v>2.1227645824805027E-3</v>
      </c>
      <c r="H54" s="32">
        <f t="shared" si="2"/>
        <v>-3.4657732135092212E-2</v>
      </c>
      <c r="I54" s="32">
        <f t="shared" si="2"/>
        <v>-2.0473091575195033E-2</v>
      </c>
      <c r="J54" s="32">
        <f t="shared" si="6"/>
        <v>1.9529019251438143E-2</v>
      </c>
      <c r="K54" s="32">
        <f t="shared" si="6"/>
        <v>8.4446125619963439E-2</v>
      </c>
    </row>
    <row r="55" spans="1:11" x14ac:dyDescent="0.3">
      <c r="A55" s="68">
        <v>43544</v>
      </c>
      <c r="B55" s="32">
        <v>268.03036500000002</v>
      </c>
      <c r="C55" s="32">
        <v>26.762191999999999</v>
      </c>
      <c r="D55" s="32">
        <v>57.673518999999999</v>
      </c>
      <c r="F55" s="32">
        <f t="shared" si="0"/>
        <v>1.1231355850659904E-2</v>
      </c>
      <c r="G55" s="32">
        <f t="shared" si="1"/>
        <v>-4.4050205205591712E-2</v>
      </c>
      <c r="H55" s="32">
        <f t="shared" si="2"/>
        <v>-1.6191582094359204E-2</v>
      </c>
      <c r="I55" s="32">
        <f t="shared" si="2"/>
        <v>-6.0837129160642182E-3</v>
      </c>
      <c r="J55" s="32">
        <f t="shared" si="6"/>
        <v>-7.4906643454590693E-2</v>
      </c>
      <c r="K55" s="32">
        <f t="shared" si="6"/>
        <v>-4.0674674340009549E-2</v>
      </c>
    </row>
    <row r="56" spans="1:11" x14ac:dyDescent="0.3">
      <c r="A56" s="68">
        <v>43545</v>
      </c>
      <c r="B56" s="32">
        <v>271.05767800000001</v>
      </c>
      <c r="C56" s="32">
        <v>26.332359</v>
      </c>
      <c r="D56" s="32">
        <v>57.323715</v>
      </c>
      <c r="F56" s="32">
        <f t="shared" si="0"/>
        <v>-1.9434153039033238E-2</v>
      </c>
      <c r="G56" s="32">
        <f t="shared" si="1"/>
        <v>-2.5900906548924976E-2</v>
      </c>
      <c r="H56" s="32">
        <f t="shared" si="2"/>
        <v>-4.240557050155179E-2</v>
      </c>
      <c r="I56" s="32">
        <f t="shared" si="2"/>
        <v>-4.6930048028393914E-2</v>
      </c>
      <c r="J56" s="32">
        <f t="shared" si="6"/>
        <v>-8.4288138327535456E-2</v>
      </c>
      <c r="K56" s="32">
        <f t="shared" si="6"/>
        <v>-7.2734656183003482E-2</v>
      </c>
    </row>
    <row r="57" spans="1:11" x14ac:dyDescent="0.3">
      <c r="A57" s="68">
        <v>43546</v>
      </c>
      <c r="B57" s="32">
        <v>265.84075899999999</v>
      </c>
      <c r="C57" s="32">
        <v>25.239065</v>
      </c>
      <c r="D57" s="32">
        <v>54.695659999999997</v>
      </c>
      <c r="F57" s="32">
        <f t="shared" si="0"/>
        <v>-7.521991312364315E-4</v>
      </c>
      <c r="G57" s="32">
        <f t="shared" si="1"/>
        <v>8.6731050678993379E-2</v>
      </c>
      <c r="H57" s="32">
        <f t="shared" si="2"/>
        <v>-6.3139036774365748E-3</v>
      </c>
      <c r="I57" s="32">
        <f t="shared" si="2"/>
        <v>-1.0716342688523837E-2</v>
      </c>
      <c r="J57" s="32">
        <f t="shared" si="6"/>
        <v>0.15114368493790312</v>
      </c>
      <c r="K57" s="32">
        <f t="shared" si="6"/>
        <v>0.13881545320213542</v>
      </c>
    </row>
    <row r="58" spans="1:11" x14ac:dyDescent="0.3">
      <c r="A58" s="68">
        <v>43549</v>
      </c>
      <c r="B58" s="32">
        <v>265.64086900000001</v>
      </c>
      <c r="C58" s="32">
        <v>25.080210000000001</v>
      </c>
      <c r="D58" s="32">
        <v>54.112651999999997</v>
      </c>
      <c r="F58" s="32">
        <f t="shared" si="0"/>
        <v>7.4264158739523068E-3</v>
      </c>
      <c r="G58" s="32">
        <f t="shared" si="1"/>
        <v>1.4859215361459021E-2</v>
      </c>
      <c r="H58" s="32">
        <f t="shared" si="2"/>
        <v>1.3691256429493575E-2</v>
      </c>
      <c r="I58" s="32">
        <f t="shared" si="2"/>
        <v>1.4644414437384751E-2</v>
      </c>
      <c r="J58" s="32">
        <f t="shared" si="6"/>
        <v>3.3230813366015122E-3</v>
      </c>
      <c r="K58" s="32">
        <f t="shared" si="6"/>
        <v>2.9085850145664966E-2</v>
      </c>
    </row>
    <row r="59" spans="1:11" x14ac:dyDescent="0.3">
      <c r="A59" s="68">
        <v>43550</v>
      </c>
      <c r="B59" s="32">
        <v>267.62097199999999</v>
      </c>
      <c r="C59" s="32">
        <v>25.425951000000001</v>
      </c>
      <c r="D59" s="32">
        <v>54.910930999999998</v>
      </c>
      <c r="F59" s="32">
        <f t="shared" si="0"/>
        <v>-5.242808981436E-3</v>
      </c>
      <c r="G59" s="32">
        <f t="shared" si="1"/>
        <v>5.6748580297511141E-2</v>
      </c>
      <c r="H59" s="32">
        <f t="shared" si="2"/>
        <v>-6.6371872686328635E-3</v>
      </c>
      <c r="I59" s="32">
        <f t="shared" si="2"/>
        <v>-8.036128846570274E-3</v>
      </c>
      <c r="J59" s="32">
        <f t="shared" si="6"/>
        <v>7.3972465694622028E-2</v>
      </c>
      <c r="K59" s="32">
        <f t="shared" si="6"/>
        <v>9.474542511377336E-2</v>
      </c>
    </row>
    <row r="60" spans="1:11" x14ac:dyDescent="0.3">
      <c r="A60" s="68">
        <v>43551</v>
      </c>
      <c r="B60" s="32">
        <v>266.22155800000002</v>
      </c>
      <c r="C60" s="32">
        <v>25.257753000000001</v>
      </c>
      <c r="D60" s="32">
        <v>54.471428000000003</v>
      </c>
      <c r="F60" s="32">
        <f t="shared" si="0"/>
        <v>3.7832637476698729E-3</v>
      </c>
      <c r="G60" s="32">
        <f t="shared" si="1"/>
        <v>-3.0238170532346054E-2</v>
      </c>
      <c r="H60" s="32">
        <f t="shared" si="2"/>
        <v>1.1037748431290309E-2</v>
      </c>
      <c r="I60" s="32">
        <f t="shared" si="2"/>
        <v>2.0373899483878233E-2</v>
      </c>
      <c r="J60" s="32">
        <f t="shared" si="6"/>
        <v>-5.0552276096413058E-2</v>
      </c>
      <c r="K60" s="32">
        <f t="shared" si="6"/>
        <v>-4.9442307157853839E-2</v>
      </c>
    </row>
    <row r="61" spans="1:11" x14ac:dyDescent="0.3">
      <c r="A61" s="68">
        <v>43552</v>
      </c>
      <c r="B61" s="32">
        <v>267.23065200000002</v>
      </c>
      <c r="C61" s="32">
        <v>25.538086</v>
      </c>
      <c r="D61" s="32">
        <v>55.592606000000004</v>
      </c>
      <c r="F61" s="32">
        <f t="shared" si="0"/>
        <v>6.2857225627510746E-3</v>
      </c>
      <c r="G61" s="32">
        <f t="shared" si="1"/>
        <v>3.195946348897289E-2</v>
      </c>
      <c r="H61" s="32">
        <f t="shared" si="2"/>
        <v>9.4682763668858944E-3</v>
      </c>
      <c r="I61" s="32">
        <f t="shared" si="2"/>
        <v>3.8648174973383567E-3</v>
      </c>
      <c r="J61" s="32">
        <f t="shared" si="6"/>
        <v>2.0165651418691949E-2</v>
      </c>
      <c r="K61" s="32">
        <f t="shared" si="6"/>
        <v>6.372544669313346E-3</v>
      </c>
    </row>
    <row r="62" spans="1:11" x14ac:dyDescent="0.3">
      <c r="A62" s="68">
        <v>43553</v>
      </c>
      <c r="B62" s="32">
        <v>268.91568000000001</v>
      </c>
      <c r="C62" s="32">
        <v>25.781036</v>
      </c>
      <c r="D62" s="32">
        <v>55.807876999999998</v>
      </c>
      <c r="F62" s="32">
        <f t="shared" si="0"/>
        <v>1.1789401966985988E-2</v>
      </c>
      <c r="G62" s="32">
        <f t="shared" si="1"/>
        <v>-1.5017493950770707E-2</v>
      </c>
      <c r="H62" s="32">
        <f t="shared" si="2"/>
        <v>3.3853247562658104E-2</v>
      </c>
      <c r="I62" s="32">
        <f t="shared" si="2"/>
        <v>3.3815884471793345E-2</v>
      </c>
      <c r="J62" s="32">
        <f t="shared" si="6"/>
        <v>-3.7443788637476605E-2</v>
      </c>
      <c r="K62" s="32">
        <f t="shared" si="6"/>
        <v>-4.5483651436370724E-2</v>
      </c>
    </row>
    <row r="63" spans="1:11" x14ac:dyDescent="0.3">
      <c r="A63" s="68">
        <v>43556</v>
      </c>
      <c r="B63" s="32">
        <v>272.10479700000002</v>
      </c>
      <c r="C63" s="32">
        <v>26.668748999999998</v>
      </c>
      <c r="D63" s="32">
        <v>57.727341000000003</v>
      </c>
      <c r="F63" s="32">
        <f t="shared" si="0"/>
        <v>4.8988237487066432E-4</v>
      </c>
      <c r="G63" s="32">
        <f t="shared" si="1"/>
        <v>-4.6049053761644067E-2</v>
      </c>
      <c r="H63" s="32">
        <f t="shared" si="2"/>
        <v>1.149652061338551E-2</v>
      </c>
      <c r="I63" s="32">
        <f t="shared" si="2"/>
        <v>9.3163722984122518E-4</v>
      </c>
      <c r="J63" s="32">
        <f t="shared" si="6"/>
        <v>-7.1249650633343292E-2</v>
      </c>
      <c r="K63" s="32">
        <f t="shared" si="6"/>
        <v>-8.960489375321104E-2</v>
      </c>
    </row>
    <row r="64" spans="1:11" x14ac:dyDescent="0.3">
      <c r="A64" s="68">
        <v>43557</v>
      </c>
      <c r="B64" s="32">
        <v>272.23812900000001</v>
      </c>
      <c r="C64" s="32">
        <v>26.977115999999999</v>
      </c>
      <c r="D64" s="32">
        <v>57.781146999999997</v>
      </c>
      <c r="F64" s="32">
        <f t="shared" si="0"/>
        <v>1.5722938008092674E-3</v>
      </c>
      <c r="G64" s="32">
        <f t="shared" si="1"/>
        <v>2.2813118150023143E-2</v>
      </c>
      <c r="H64" s="32">
        <f t="shared" si="2"/>
        <v>-1.0397915894518131E-3</v>
      </c>
      <c r="I64" s="32">
        <f t="shared" si="2"/>
        <v>9.8857547918985919E-3</v>
      </c>
      <c r="J64" s="32">
        <f t="shared" si="6"/>
        <v>3.9668155446917298E-2</v>
      </c>
      <c r="K64" s="32">
        <f t="shared" si="6"/>
        <v>1.852396597380266E-2</v>
      </c>
    </row>
    <row r="65" spans="1:11" x14ac:dyDescent="0.3">
      <c r="A65" s="68">
        <v>43558</v>
      </c>
      <c r="B65" s="32">
        <v>272.66650399999997</v>
      </c>
      <c r="C65" s="32">
        <v>26.949079999999999</v>
      </c>
      <c r="D65" s="32">
        <v>58.35519</v>
      </c>
      <c r="F65" s="32">
        <f t="shared" si="0"/>
        <v>2.6498372942490821E-3</v>
      </c>
      <c r="G65" s="32">
        <f t="shared" si="1"/>
        <v>-1.4559593250501518E-2</v>
      </c>
      <c r="H65" s="32">
        <f t="shared" si="2"/>
        <v>1.0691652622359816E-2</v>
      </c>
      <c r="I65" s="32">
        <f t="shared" si="2"/>
        <v>1.1613981759165913E-2</v>
      </c>
      <c r="J65" s="32">
        <f t="shared" si="6"/>
        <v>-2.6602454129533239E-2</v>
      </c>
      <c r="K65" s="32">
        <f t="shared" si="6"/>
        <v>-4.5367394840644192E-2</v>
      </c>
    </row>
    <row r="66" spans="1:11" x14ac:dyDescent="0.3">
      <c r="A66" s="68">
        <v>43559</v>
      </c>
      <c r="B66" s="32">
        <v>273.38998400000003</v>
      </c>
      <c r="C66" s="32">
        <v>27.238755999999999</v>
      </c>
      <c r="D66" s="32">
        <v>59.036876999999997</v>
      </c>
      <c r="F66" s="32">
        <f t="shared" si="0"/>
        <v>4.8286724097480445E-3</v>
      </c>
      <c r="G66" s="32">
        <f t="shared" si="1"/>
        <v>6.5006680771634476E-2</v>
      </c>
      <c r="H66" s="32">
        <f t="shared" si="2"/>
        <v>-2.4042457138664024E-3</v>
      </c>
      <c r="I66" s="32">
        <f t="shared" si="2"/>
        <v>-4.1104316973545876E-3</v>
      </c>
      <c r="J66" s="32">
        <f t="shared" si="6"/>
        <v>6.569235051293118E-2</v>
      </c>
      <c r="K66" s="32">
        <f t="shared" si="6"/>
        <v>9.242029705180306E-2</v>
      </c>
    </row>
    <row r="67" spans="1:11" x14ac:dyDescent="0.3">
      <c r="A67" s="68">
        <v>43560</v>
      </c>
      <c r="B67" s="32">
        <v>274.71328699999998</v>
      </c>
      <c r="C67" s="32">
        <v>27.173345999999999</v>
      </c>
      <c r="D67" s="32">
        <v>58.794708</v>
      </c>
      <c r="F67" s="32">
        <f t="shared" ref="F67:F130" si="7">LN(B68/B67)</f>
        <v>7.6211166677717785E-4</v>
      </c>
      <c r="G67" s="32">
        <f t="shared" ref="G67:G130" si="8">LN(B320/B319)</f>
        <v>1.0191711915742961E-3</v>
      </c>
      <c r="H67" s="32">
        <f t="shared" ref="H67:I130" si="9">LN(C68/C67)</f>
        <v>3.0899816646591605E-3</v>
      </c>
      <c r="I67" s="32">
        <f t="shared" si="9"/>
        <v>7.9013883825735116E-3</v>
      </c>
      <c r="J67" s="32">
        <f t="shared" ref="J67:K82" si="10">LN(C320/C319)</f>
        <v>3.4462352152277061E-2</v>
      </c>
      <c r="K67" s="32">
        <f t="shared" si="10"/>
        <v>3.1563545327919834E-3</v>
      </c>
    </row>
    <row r="68" spans="1:11" x14ac:dyDescent="0.3">
      <c r="A68" s="68">
        <v>43563</v>
      </c>
      <c r="B68" s="32">
        <v>274.922729</v>
      </c>
      <c r="C68" s="32">
        <v>27.257441</v>
      </c>
      <c r="D68" s="32">
        <v>59.261108</v>
      </c>
      <c r="F68" s="32">
        <f t="shared" si="7"/>
        <v>-5.138130377250325E-3</v>
      </c>
      <c r="G68" s="32">
        <f t="shared" si="8"/>
        <v>3.3016961974778165E-2</v>
      </c>
      <c r="H68" s="32">
        <f t="shared" si="9"/>
        <v>-9.6453237910359389E-3</v>
      </c>
      <c r="I68" s="32">
        <f t="shared" si="9"/>
        <v>-1.3255188588856709E-2</v>
      </c>
      <c r="J68" s="32">
        <f t="shared" si="10"/>
        <v>5.7484474014460156E-2</v>
      </c>
      <c r="K68" s="32">
        <f t="shared" si="10"/>
        <v>7.0430292167542319E-2</v>
      </c>
    </row>
    <row r="69" spans="1:11" x14ac:dyDescent="0.3">
      <c r="A69" s="68">
        <v>43564</v>
      </c>
      <c r="B69" s="32">
        <v>273.51376299999998</v>
      </c>
      <c r="C69" s="32">
        <v>26.995798000000001</v>
      </c>
      <c r="D69" s="32">
        <v>58.480773999999997</v>
      </c>
      <c r="F69" s="32">
        <f t="shared" si="7"/>
        <v>3.4051868236606472E-3</v>
      </c>
      <c r="G69" s="32">
        <f t="shared" si="8"/>
        <v>1.5102798696662192E-2</v>
      </c>
      <c r="H69" s="32">
        <f t="shared" si="9"/>
        <v>6.2113429883930106E-3</v>
      </c>
      <c r="I69" s="32">
        <f t="shared" si="9"/>
        <v>4.8958990818549538E-3</v>
      </c>
      <c r="J69" s="32">
        <f t="shared" si="10"/>
        <v>5.8389653573280742E-2</v>
      </c>
      <c r="K69" s="32">
        <f t="shared" si="10"/>
        <v>6.8751972290268304E-2</v>
      </c>
    </row>
    <row r="70" spans="1:11" x14ac:dyDescent="0.3">
      <c r="A70" s="68">
        <v>43565</v>
      </c>
      <c r="B70" s="32">
        <v>274.44671599999998</v>
      </c>
      <c r="C70" s="32">
        <v>27.164000000000001</v>
      </c>
      <c r="D70" s="32">
        <v>58.767792</v>
      </c>
      <c r="F70" s="32">
        <f t="shared" si="7"/>
        <v>-2.7758602376717808E-4</v>
      </c>
      <c r="G70" s="32">
        <f t="shared" si="8"/>
        <v>-9.1719396102486785E-3</v>
      </c>
      <c r="H70" s="32">
        <f t="shared" si="9"/>
        <v>0</v>
      </c>
      <c r="I70" s="32">
        <f t="shared" si="9"/>
        <v>5.9349167566152463E-3</v>
      </c>
      <c r="J70" s="32">
        <f t="shared" si="10"/>
        <v>-3.8545066705326016E-2</v>
      </c>
      <c r="K70" s="32">
        <f t="shared" si="10"/>
        <v>-1.5517499547308217E-2</v>
      </c>
    </row>
    <row r="71" spans="1:11" x14ac:dyDescent="0.3">
      <c r="A71" s="68">
        <v>43566</v>
      </c>
      <c r="B71" s="32">
        <v>274.370544</v>
      </c>
      <c r="C71" s="32">
        <v>27.164000000000001</v>
      </c>
      <c r="D71" s="32">
        <v>59.117610999999997</v>
      </c>
      <c r="F71" s="32">
        <f t="shared" si="7"/>
        <v>6.7429704284634445E-3</v>
      </c>
      <c r="G71" s="32">
        <f t="shared" si="8"/>
        <v>2.9066254326580002E-2</v>
      </c>
      <c r="H71" s="32">
        <f t="shared" si="9"/>
        <v>3.7141390495283512E-2</v>
      </c>
      <c r="I71" s="32">
        <f t="shared" si="9"/>
        <v>2.2651267308301748E-2</v>
      </c>
      <c r="J71" s="32">
        <f t="shared" si="10"/>
        <v>-7.9748568489136033E-3</v>
      </c>
      <c r="K71" s="32">
        <f t="shared" si="10"/>
        <v>-2.7363367999457117E-2</v>
      </c>
    </row>
    <row r="72" spans="1:11" x14ac:dyDescent="0.3">
      <c r="A72" s="68">
        <v>43567</v>
      </c>
      <c r="B72" s="32">
        <v>276.22686800000002</v>
      </c>
      <c r="C72" s="32">
        <v>28.191879</v>
      </c>
      <c r="D72" s="32">
        <v>60.471981</v>
      </c>
      <c r="F72" s="32">
        <f t="shared" si="7"/>
        <v>-6.5491900857756868E-4</v>
      </c>
      <c r="G72" s="32">
        <f t="shared" si="8"/>
        <v>-2.1477046125996074E-2</v>
      </c>
      <c r="H72" s="32">
        <f t="shared" si="9"/>
        <v>-1.099841135170765E-2</v>
      </c>
      <c r="I72" s="32">
        <f t="shared" si="9"/>
        <v>-5.9334326526891976E-4</v>
      </c>
      <c r="J72" s="32">
        <f t="shared" si="10"/>
        <v>-6.7098454227209878E-2</v>
      </c>
      <c r="K72" s="32">
        <f t="shared" si="10"/>
        <v>-5.8013400772175747E-2</v>
      </c>
    </row>
    <row r="73" spans="1:11" x14ac:dyDescent="0.3">
      <c r="A73" s="68">
        <v>43570</v>
      </c>
      <c r="B73" s="32">
        <v>276.046021</v>
      </c>
      <c r="C73" s="32">
        <v>27.883512</v>
      </c>
      <c r="D73" s="32">
        <v>60.436110999999997</v>
      </c>
      <c r="F73" s="32">
        <f t="shared" si="7"/>
        <v>6.5491900857759806E-4</v>
      </c>
      <c r="G73" s="32">
        <f t="shared" si="8"/>
        <v>4.8127341496247292E-3</v>
      </c>
      <c r="H73" s="32">
        <f t="shared" si="9"/>
        <v>1.33964359730443E-3</v>
      </c>
      <c r="I73" s="32">
        <f t="shared" si="9"/>
        <v>2.8240771109179514E-2</v>
      </c>
      <c r="J73" s="32">
        <f t="shared" si="10"/>
        <v>-3.5316714402637228E-2</v>
      </c>
      <c r="K73" s="32">
        <f t="shared" si="10"/>
        <v>-5.6143475911792647E-2</v>
      </c>
    </row>
    <row r="74" spans="1:11" x14ac:dyDescent="0.3">
      <c r="A74" s="68">
        <v>43571</v>
      </c>
      <c r="B74" s="32">
        <v>276.22686800000002</v>
      </c>
      <c r="C74" s="32">
        <v>27.920891000000001</v>
      </c>
      <c r="D74" s="32">
        <v>62.167202000000003</v>
      </c>
      <c r="F74" s="32">
        <f t="shared" si="7"/>
        <v>-2.4496934239361021E-3</v>
      </c>
      <c r="G74" s="32">
        <f t="shared" si="8"/>
        <v>2.6656972343076991E-2</v>
      </c>
      <c r="H74" s="32">
        <f t="shared" si="9"/>
        <v>5.0074463427994508E-3</v>
      </c>
      <c r="I74" s="32">
        <f t="shared" si="9"/>
        <v>1.4893794279097967E-2</v>
      </c>
      <c r="J74" s="32">
        <f t="shared" si="10"/>
        <v>8.3269652150015805E-2</v>
      </c>
      <c r="K74" s="32">
        <f t="shared" si="10"/>
        <v>0.11481729538305009</v>
      </c>
    </row>
    <row r="75" spans="1:11" x14ac:dyDescent="0.3">
      <c r="A75" s="68">
        <v>43572</v>
      </c>
      <c r="B75" s="32">
        <v>275.55102499999998</v>
      </c>
      <c r="C75" s="32">
        <v>28.061053999999999</v>
      </c>
      <c r="D75" s="32">
        <v>63.100037</v>
      </c>
      <c r="F75" s="32">
        <f t="shared" si="7"/>
        <v>1.9671076389372287E-3</v>
      </c>
      <c r="G75" s="32">
        <f t="shared" si="8"/>
        <v>-1.777516581144678E-2</v>
      </c>
      <c r="H75" s="32">
        <f t="shared" si="9"/>
        <v>0</v>
      </c>
      <c r="I75" s="32">
        <f t="shared" si="9"/>
        <v>-9.7131957195499483E-3</v>
      </c>
      <c r="J75" s="32">
        <f t="shared" si="10"/>
        <v>-3.4079442696184466E-2</v>
      </c>
      <c r="K75" s="32">
        <f t="shared" si="10"/>
        <v>-3.2195937116676211E-2</v>
      </c>
    </row>
    <row r="76" spans="1:11" x14ac:dyDescent="0.3">
      <c r="A76" s="68">
        <v>43573</v>
      </c>
      <c r="B76" s="32">
        <v>276.09359699999999</v>
      </c>
      <c r="C76" s="32">
        <v>28.061053999999999</v>
      </c>
      <c r="D76" s="32">
        <v>62.490101000000003</v>
      </c>
      <c r="F76" s="32">
        <f t="shared" si="7"/>
        <v>8.6156832687698116E-4</v>
      </c>
      <c r="G76" s="32">
        <f t="shared" si="8"/>
        <v>-3.0833710192887786E-2</v>
      </c>
      <c r="H76" s="32">
        <f t="shared" si="9"/>
        <v>6.657191331240032E-4</v>
      </c>
      <c r="I76" s="32">
        <f t="shared" si="9"/>
        <v>-8.3598287419746516E-3</v>
      </c>
      <c r="J76" s="32">
        <f t="shared" si="10"/>
        <v>-3.8971780454858974E-2</v>
      </c>
      <c r="K76" s="32">
        <f t="shared" si="10"/>
        <v>-5.7038084178100801E-2</v>
      </c>
    </row>
    <row r="77" spans="1:11" x14ac:dyDescent="0.3">
      <c r="A77" s="68">
        <v>43577</v>
      </c>
      <c r="B77" s="32">
        <v>276.33157299999999</v>
      </c>
      <c r="C77" s="32">
        <v>28.079740999999999</v>
      </c>
      <c r="D77" s="32">
        <v>61.969872000000002</v>
      </c>
      <c r="F77" s="32">
        <f t="shared" si="7"/>
        <v>8.9515885200637212E-3</v>
      </c>
      <c r="G77" s="32">
        <f t="shared" si="8"/>
        <v>2.1951903661257502E-2</v>
      </c>
      <c r="H77" s="32">
        <f t="shared" si="9"/>
        <v>6.6556095937797988E-4</v>
      </c>
      <c r="I77" s="32">
        <f t="shared" si="9"/>
        <v>1.590846306305098E-3</v>
      </c>
      <c r="J77" s="32">
        <f t="shared" si="10"/>
        <v>7.3665226396462903E-3</v>
      </c>
      <c r="K77" s="32">
        <f t="shared" si="10"/>
        <v>1.5989023352227006E-2</v>
      </c>
    </row>
    <row r="78" spans="1:11" x14ac:dyDescent="0.3">
      <c r="A78" s="68">
        <v>43578</v>
      </c>
      <c r="B78" s="32">
        <v>278.816284</v>
      </c>
      <c r="C78" s="32">
        <v>28.098436</v>
      </c>
      <c r="D78" s="32">
        <v>62.068534999999997</v>
      </c>
      <c r="F78" s="32">
        <f t="shared" si="7"/>
        <v>-2.2217555873761154E-3</v>
      </c>
      <c r="G78" s="32">
        <f t="shared" si="8"/>
        <v>-7.1813956162572904E-5</v>
      </c>
      <c r="H78" s="32">
        <f t="shared" si="9"/>
        <v>-1.6641811565256154E-3</v>
      </c>
      <c r="I78" s="32">
        <f t="shared" si="9"/>
        <v>-5.3608206402032104E-3</v>
      </c>
      <c r="J78" s="32">
        <f t="shared" si="10"/>
        <v>3.2057991577937807E-3</v>
      </c>
      <c r="K78" s="32">
        <f t="shared" si="10"/>
        <v>5.1946299694232301E-3</v>
      </c>
    </row>
    <row r="79" spans="1:11" x14ac:dyDescent="0.3">
      <c r="A79" s="68">
        <v>43579</v>
      </c>
      <c r="B79" s="32">
        <v>278.19751000000002</v>
      </c>
      <c r="C79" s="32">
        <v>28.051714</v>
      </c>
      <c r="D79" s="32">
        <v>61.736687000000003</v>
      </c>
      <c r="F79" s="32">
        <f t="shared" si="7"/>
        <v>-6.1625215203307804E-4</v>
      </c>
      <c r="G79" s="32">
        <f t="shared" si="8"/>
        <v>1.3842279173872219E-2</v>
      </c>
      <c r="H79" s="32">
        <f t="shared" si="9"/>
        <v>1.9966710749390556E-3</v>
      </c>
      <c r="I79" s="32">
        <f t="shared" si="9"/>
        <v>-1.4539202676945532E-3</v>
      </c>
      <c r="J79" s="32">
        <f t="shared" si="10"/>
        <v>1.4075211110674744E-2</v>
      </c>
      <c r="K79" s="32">
        <f t="shared" si="10"/>
        <v>1.4960534078747173E-2</v>
      </c>
    </row>
    <row r="80" spans="1:11" x14ac:dyDescent="0.3">
      <c r="A80" s="68">
        <v>43580</v>
      </c>
      <c r="B80" s="32">
        <v>278.02612299999998</v>
      </c>
      <c r="C80" s="32">
        <v>28.107780000000002</v>
      </c>
      <c r="D80" s="32">
        <v>61.646991999999997</v>
      </c>
      <c r="F80" s="32">
        <f t="shared" si="7"/>
        <v>4.6460871373777786E-3</v>
      </c>
      <c r="G80" s="32">
        <f t="shared" si="8"/>
        <v>1.4315619256232169E-2</v>
      </c>
      <c r="H80" s="32">
        <f t="shared" si="9"/>
        <v>8.9360104057793991E-3</v>
      </c>
      <c r="I80" s="32">
        <f t="shared" si="9"/>
        <v>1.1284751028467269E-2</v>
      </c>
      <c r="J80" s="32">
        <f t="shared" si="10"/>
        <v>5.6532075980276403E-2</v>
      </c>
      <c r="K80" s="32">
        <f t="shared" si="10"/>
        <v>7.7218789019624756E-2</v>
      </c>
    </row>
    <row r="81" spans="1:11" x14ac:dyDescent="0.3">
      <c r="A81" s="68">
        <v>43581</v>
      </c>
      <c r="B81" s="32">
        <v>279.32086199999998</v>
      </c>
      <c r="C81" s="32">
        <v>28.360077</v>
      </c>
      <c r="D81" s="32">
        <v>62.346603000000002</v>
      </c>
      <c r="F81" s="32">
        <f t="shared" si="7"/>
        <v>1.5665999961950797E-3</v>
      </c>
      <c r="G81" s="32">
        <f t="shared" si="8"/>
        <v>-4.6088722836761546E-3</v>
      </c>
      <c r="H81" s="32">
        <f t="shared" si="9"/>
        <v>1.3743763974157296E-2</v>
      </c>
      <c r="I81" s="32">
        <f t="shared" si="9"/>
        <v>2.1631610527155492E-2</v>
      </c>
      <c r="J81" s="32">
        <f t="shared" si="10"/>
        <v>1.7736852059129869E-2</v>
      </c>
      <c r="K81" s="32">
        <f t="shared" si="10"/>
        <v>1.3863907255223856E-2</v>
      </c>
    </row>
    <row r="82" spans="1:11" x14ac:dyDescent="0.3">
      <c r="A82" s="68">
        <v>43584</v>
      </c>
      <c r="B82" s="32">
        <v>279.75878899999998</v>
      </c>
      <c r="C82" s="32">
        <v>28.752541999999998</v>
      </c>
      <c r="D82" s="32">
        <v>63.709952999999999</v>
      </c>
      <c r="F82" s="32">
        <f t="shared" si="7"/>
        <v>5.1006298213118447E-4</v>
      </c>
      <c r="G82" s="32">
        <f t="shared" si="8"/>
        <v>2.5841579986562828E-2</v>
      </c>
      <c r="H82" s="32">
        <f t="shared" si="9"/>
        <v>-6.1941460233452678E-3</v>
      </c>
      <c r="I82" s="32">
        <f t="shared" si="9"/>
        <v>-4.656771930813171E-3</v>
      </c>
      <c r="J82" s="32">
        <f t="shared" si="10"/>
        <v>3.6577010541445201E-2</v>
      </c>
      <c r="K82" s="32">
        <f t="shared" si="10"/>
        <v>6.2603723631954405E-2</v>
      </c>
    </row>
    <row r="83" spans="1:11" x14ac:dyDescent="0.3">
      <c r="A83" s="68">
        <v>43585</v>
      </c>
      <c r="B83" s="32">
        <v>279.90152</v>
      </c>
      <c r="C83" s="32">
        <v>28.574995000000001</v>
      </c>
      <c r="D83" s="32">
        <v>63.413960000000003</v>
      </c>
      <c r="F83" s="32">
        <f t="shared" si="7"/>
        <v>-7.5447912609880154E-3</v>
      </c>
      <c r="G83" s="32">
        <f t="shared" si="8"/>
        <v>-9.3542291797047566E-3</v>
      </c>
      <c r="H83" s="32">
        <f t="shared" si="9"/>
        <v>-1.051942443931164E-2</v>
      </c>
      <c r="I83" s="32">
        <f t="shared" si="9"/>
        <v>-1.0521990306283395E-2</v>
      </c>
      <c r="J83" s="32">
        <f t="shared" ref="J83:K98" si="11">LN(C336/C335)</f>
        <v>-2.9902055739295379E-2</v>
      </c>
      <c r="K83" s="32">
        <f t="shared" si="11"/>
        <v>-3.4409087556907726E-2</v>
      </c>
    </row>
    <row r="84" spans="1:11" x14ac:dyDescent="0.3">
      <c r="A84" s="68">
        <v>43586</v>
      </c>
      <c r="B84" s="32">
        <v>277.79766799999999</v>
      </c>
      <c r="C84" s="32">
        <v>28.275977999999999</v>
      </c>
      <c r="D84" s="32">
        <v>62.750216999999999</v>
      </c>
      <c r="F84" s="32">
        <f t="shared" si="7"/>
        <v>-2.1614308078413578E-3</v>
      </c>
      <c r="G84" s="32">
        <f t="shared" si="8"/>
        <v>-2.6830217478183521E-2</v>
      </c>
      <c r="H84" s="32">
        <f t="shared" si="9"/>
        <v>7.8998980283599817E-3</v>
      </c>
      <c r="I84" s="32">
        <f t="shared" si="9"/>
        <v>5.7011954919575954E-3</v>
      </c>
      <c r="J84" s="32">
        <f t="shared" si="11"/>
        <v>-4.116846064529088E-2</v>
      </c>
      <c r="K84" s="32">
        <f t="shared" si="11"/>
        <v>-5.4090535048792666E-2</v>
      </c>
    </row>
    <row r="85" spans="1:11" x14ac:dyDescent="0.3">
      <c r="A85" s="68">
        <v>43587</v>
      </c>
      <c r="B85" s="32">
        <v>277.19787600000001</v>
      </c>
      <c r="C85" s="32">
        <v>28.500240000000002</v>
      </c>
      <c r="D85" s="32">
        <v>63.108989999999999</v>
      </c>
      <c r="F85" s="32">
        <f t="shared" si="7"/>
        <v>9.7404549518491472E-3</v>
      </c>
      <c r="G85" s="32">
        <f t="shared" si="8"/>
        <v>2.7544455969463169E-3</v>
      </c>
      <c r="H85" s="32">
        <f t="shared" si="9"/>
        <v>6.8616800884056259E-3</v>
      </c>
      <c r="I85" s="32">
        <f t="shared" si="9"/>
        <v>1.0812400819074346E-2</v>
      </c>
      <c r="J85" s="32">
        <f t="shared" si="11"/>
        <v>-6.5202627626785199E-3</v>
      </c>
      <c r="K85" s="32">
        <f t="shared" si="11"/>
        <v>-8.826059697546915E-3</v>
      </c>
    </row>
    <row r="86" spans="1:11" x14ac:dyDescent="0.3">
      <c r="A86" s="68">
        <v>43588</v>
      </c>
      <c r="B86" s="32">
        <v>279.91110200000003</v>
      </c>
      <c r="C86" s="32">
        <v>28.696472</v>
      </c>
      <c r="D86" s="32">
        <v>63.795051999999998</v>
      </c>
      <c r="F86" s="32">
        <f t="shared" si="7"/>
        <v>-4.1240022360341747E-3</v>
      </c>
      <c r="G86" s="32">
        <f t="shared" si="8"/>
        <v>9.1969617415495735E-3</v>
      </c>
      <c r="H86" s="32">
        <f t="shared" si="9"/>
        <v>-7.8457347761066443E-3</v>
      </c>
      <c r="I86" s="32">
        <f t="shared" si="9"/>
        <v>-3.6855639599129809E-3</v>
      </c>
      <c r="J86" s="32">
        <f t="shared" si="11"/>
        <v>-1.1844958405422334E-2</v>
      </c>
      <c r="K86" s="32">
        <f t="shared" si="11"/>
        <v>-2.6273088599378814E-2</v>
      </c>
    </row>
    <row r="87" spans="1:11" x14ac:dyDescent="0.3">
      <c r="A87" s="68">
        <v>43591</v>
      </c>
      <c r="B87" s="32">
        <v>278.75912499999998</v>
      </c>
      <c r="C87" s="32">
        <v>28.472207999999998</v>
      </c>
      <c r="D87" s="32">
        <v>63.560364</v>
      </c>
      <c r="F87" s="32">
        <f t="shared" si="7"/>
        <v>-1.6840559750892395E-2</v>
      </c>
      <c r="G87" s="32">
        <f t="shared" si="8"/>
        <v>-6.8019128707926023E-3</v>
      </c>
      <c r="H87" s="32">
        <f t="shared" si="9"/>
        <v>-1.8215519561398469E-2</v>
      </c>
      <c r="I87" s="32">
        <f t="shared" si="9"/>
        <v>-3.247755954660593E-2</v>
      </c>
      <c r="J87" s="32">
        <f t="shared" si="11"/>
        <v>-1.3774951295483463E-2</v>
      </c>
      <c r="K87" s="32">
        <f t="shared" si="11"/>
        <v>-2.3015964757440929E-2</v>
      </c>
    </row>
    <row r="88" spans="1:11" x14ac:dyDescent="0.3">
      <c r="A88" s="68">
        <v>43592</v>
      </c>
      <c r="B88" s="32">
        <v>274.103973</v>
      </c>
      <c r="C88" s="32">
        <v>27.958266999999999</v>
      </c>
      <c r="D88" s="32">
        <v>61.529240000000001</v>
      </c>
      <c r="F88" s="32">
        <f t="shared" si="7"/>
        <v>-1.3902124519406796E-3</v>
      </c>
      <c r="G88" s="32">
        <f t="shared" si="8"/>
        <v>1.199456957120959E-2</v>
      </c>
      <c r="H88" s="32">
        <f t="shared" si="9"/>
        <v>-4.0187205626290431E-3</v>
      </c>
      <c r="I88" s="32">
        <f t="shared" si="9"/>
        <v>8.801045360759918E-4</v>
      </c>
      <c r="J88" s="32">
        <f t="shared" si="11"/>
        <v>2.1687265642221801E-2</v>
      </c>
      <c r="K88" s="32">
        <f t="shared" si="11"/>
        <v>3.8593558882698803E-2</v>
      </c>
    </row>
    <row r="89" spans="1:11" x14ac:dyDescent="0.3">
      <c r="A89" s="68">
        <v>43593</v>
      </c>
      <c r="B89" s="32">
        <v>273.72317500000003</v>
      </c>
      <c r="C89" s="32">
        <v>27.846136000000001</v>
      </c>
      <c r="D89" s="32">
        <v>61.583416</v>
      </c>
      <c r="F89" s="32">
        <f t="shared" si="7"/>
        <v>-3.0303335501956109E-3</v>
      </c>
      <c r="G89" s="32">
        <f t="shared" si="8"/>
        <v>1.6410990736742553E-2</v>
      </c>
      <c r="H89" s="32">
        <f t="shared" si="9"/>
        <v>-3.0246295301950047E-3</v>
      </c>
      <c r="I89" s="32">
        <f t="shared" si="9"/>
        <v>-8.6861779914674166E-3</v>
      </c>
      <c r="J89" s="32">
        <f t="shared" si="11"/>
        <v>3.1461332373764778E-2</v>
      </c>
      <c r="K89" s="32">
        <f t="shared" si="11"/>
        <v>3.6943659303195223E-2</v>
      </c>
    </row>
    <row r="90" spans="1:11" x14ac:dyDescent="0.3">
      <c r="A90" s="68">
        <v>43594</v>
      </c>
      <c r="B90" s="32">
        <v>272.89495799999997</v>
      </c>
      <c r="C90" s="32">
        <v>27.762039000000001</v>
      </c>
      <c r="D90" s="32">
        <v>61.050808000000004</v>
      </c>
      <c r="F90" s="32">
        <f t="shared" si="7"/>
        <v>5.0107864213047608E-3</v>
      </c>
      <c r="G90" s="32">
        <f t="shared" si="8"/>
        <v>2.0494518857958364E-4</v>
      </c>
      <c r="H90" s="32">
        <f t="shared" si="9"/>
        <v>-4.3852524061559371E-3</v>
      </c>
      <c r="I90" s="32">
        <f t="shared" si="9"/>
        <v>3.984398564664815E-3</v>
      </c>
      <c r="J90" s="32">
        <f t="shared" si="11"/>
        <v>-4.2910323991518916E-2</v>
      </c>
      <c r="K90" s="32">
        <f t="shared" si="11"/>
        <v>-4.9794668166339782E-2</v>
      </c>
    </row>
    <row r="91" spans="1:11" x14ac:dyDescent="0.3">
      <c r="A91" s="68">
        <v>43595</v>
      </c>
      <c r="B91" s="32">
        <v>274.26580799999999</v>
      </c>
      <c r="C91" s="32">
        <v>27.640561999999999</v>
      </c>
      <c r="D91" s="32">
        <v>61.294544000000002</v>
      </c>
      <c r="F91" s="32">
        <f t="shared" si="7"/>
        <v>-2.5451390489027056E-2</v>
      </c>
      <c r="G91" s="32">
        <f t="shared" si="8"/>
        <v>-2.0132825414682101E-2</v>
      </c>
      <c r="H91" s="32">
        <f t="shared" si="9"/>
        <v>-4.6005021948117619E-2</v>
      </c>
      <c r="I91" s="32">
        <f t="shared" si="9"/>
        <v>-5.3233130260809558E-2</v>
      </c>
      <c r="J91" s="32">
        <f t="shared" si="11"/>
        <v>-3.1948734867823535E-2</v>
      </c>
      <c r="K91" s="32">
        <f t="shared" si="11"/>
        <v>-3.9810719859143487E-2</v>
      </c>
    </row>
    <row r="92" spans="1:11" x14ac:dyDescent="0.3">
      <c r="A92" s="68">
        <v>43598</v>
      </c>
      <c r="B92" s="32">
        <v>267.37344400000001</v>
      </c>
      <c r="C92" s="32">
        <v>26.397763999999999</v>
      </c>
      <c r="D92" s="32">
        <v>58.116970000000002</v>
      </c>
      <c r="F92" s="32">
        <f t="shared" si="7"/>
        <v>9.0028793409062183E-3</v>
      </c>
      <c r="G92" s="32">
        <f t="shared" si="8"/>
        <v>-1.7844012654120681E-2</v>
      </c>
      <c r="H92" s="32">
        <f t="shared" si="9"/>
        <v>1.3012330526515282E-2</v>
      </c>
      <c r="I92" s="32">
        <f t="shared" si="9"/>
        <v>1.3576271453691134E-2</v>
      </c>
      <c r="J92" s="32">
        <f t="shared" si="11"/>
        <v>-4.6803048300148836E-2</v>
      </c>
      <c r="K92" s="32">
        <f t="shared" si="11"/>
        <v>-4.2200522908869109E-2</v>
      </c>
    </row>
    <row r="93" spans="1:11" x14ac:dyDescent="0.3">
      <c r="A93" s="68">
        <v>43599</v>
      </c>
      <c r="B93" s="32">
        <v>269.79144300000002</v>
      </c>
      <c r="C93" s="32">
        <v>26.743504999999999</v>
      </c>
      <c r="D93" s="32">
        <v>58.911361999999997</v>
      </c>
      <c r="F93" s="32">
        <f t="shared" si="7"/>
        <v>5.8405944032932696E-3</v>
      </c>
      <c r="G93" s="32">
        <f t="shared" si="8"/>
        <v>1.1896116350258661E-2</v>
      </c>
      <c r="H93" s="32">
        <f t="shared" si="9"/>
        <v>-1.1597340954327894E-2</v>
      </c>
      <c r="I93" s="32">
        <f t="shared" si="9"/>
        <v>-5.9938030996432353E-3</v>
      </c>
      <c r="J93" s="32">
        <f t="shared" si="11"/>
        <v>3.9460093944047835E-2</v>
      </c>
      <c r="K93" s="32">
        <f t="shared" si="11"/>
        <v>3.5329271970893222E-2</v>
      </c>
    </row>
    <row r="94" spans="1:11" x14ac:dyDescent="0.3">
      <c r="A94" s="68">
        <v>43600</v>
      </c>
      <c r="B94" s="32">
        <v>271.37179600000002</v>
      </c>
      <c r="C94" s="32">
        <v>26.435143</v>
      </c>
      <c r="D94" s="32">
        <v>58.559314999999998</v>
      </c>
      <c r="F94" s="32">
        <f t="shared" si="7"/>
        <v>9.2188574366579915E-3</v>
      </c>
      <c r="G94" s="32">
        <f t="shared" si="8"/>
        <v>4.5865705504509226E-3</v>
      </c>
      <c r="H94" s="32">
        <f t="shared" si="9"/>
        <v>1.0548761220126887E-2</v>
      </c>
      <c r="I94" s="32">
        <f t="shared" si="9"/>
        <v>1.6966349019904403E-2</v>
      </c>
      <c r="J94" s="32">
        <f t="shared" si="11"/>
        <v>-1.2514432960924258E-2</v>
      </c>
      <c r="K94" s="32">
        <f t="shared" si="11"/>
        <v>-3.3341515030945214E-3</v>
      </c>
    </row>
    <row r="95" spans="1:11" x14ac:dyDescent="0.3">
      <c r="A95" s="68">
        <v>43601</v>
      </c>
      <c r="B95" s="32">
        <v>273.88510100000002</v>
      </c>
      <c r="C95" s="32">
        <v>26.715477</v>
      </c>
      <c r="D95" s="32">
        <v>59.561329000000001</v>
      </c>
      <c r="F95" s="32">
        <f t="shared" si="7"/>
        <v>-6.4864105847656601E-3</v>
      </c>
      <c r="G95" s="32">
        <f t="shared" si="8"/>
        <v>3.0004864964364986E-2</v>
      </c>
      <c r="H95" s="32">
        <f t="shared" si="9"/>
        <v>-6.6680300041637866E-3</v>
      </c>
      <c r="I95" s="32">
        <f t="shared" si="9"/>
        <v>-1.3888302277081401E-2</v>
      </c>
      <c r="J95" s="32">
        <f t="shared" si="11"/>
        <v>6.7187757861286765E-2</v>
      </c>
      <c r="K95" s="32">
        <f t="shared" si="11"/>
        <v>8.5678409615594017E-2</v>
      </c>
    </row>
    <row r="96" spans="1:11" x14ac:dyDescent="0.3">
      <c r="A96" s="68">
        <v>43602</v>
      </c>
      <c r="B96" s="32">
        <v>272.11431900000002</v>
      </c>
      <c r="C96" s="32">
        <v>26.537929999999999</v>
      </c>
      <c r="D96" s="32">
        <v>58.739840999999998</v>
      </c>
      <c r="F96" s="32">
        <f t="shared" si="7"/>
        <v>-6.6342007217533427E-3</v>
      </c>
      <c r="G96" s="32">
        <f t="shared" si="8"/>
        <v>-1.0324226591558294E-2</v>
      </c>
      <c r="H96" s="32">
        <f t="shared" si="9"/>
        <v>0</v>
      </c>
      <c r="I96" s="32">
        <f t="shared" si="9"/>
        <v>-1.6918673906137023E-3</v>
      </c>
      <c r="J96" s="32">
        <f t="shared" si="11"/>
        <v>-3.190336986543154E-2</v>
      </c>
      <c r="K96" s="32">
        <f t="shared" si="11"/>
        <v>-2.7526468904521862E-2</v>
      </c>
    </row>
    <row r="97" spans="1:11" x14ac:dyDescent="0.3">
      <c r="A97" s="68">
        <v>43605</v>
      </c>
      <c r="B97" s="32">
        <v>270.31503300000003</v>
      </c>
      <c r="C97" s="32">
        <v>26.537929999999999</v>
      </c>
      <c r="D97" s="32">
        <v>58.640545000000003</v>
      </c>
      <c r="F97" s="32">
        <f t="shared" si="7"/>
        <v>8.9757256142966573E-3</v>
      </c>
      <c r="G97" s="32">
        <f t="shared" si="8"/>
        <v>1.6845227196912553E-2</v>
      </c>
      <c r="H97" s="32">
        <f t="shared" si="9"/>
        <v>1.0159562974380894E-2</v>
      </c>
      <c r="I97" s="32">
        <f t="shared" si="9"/>
        <v>1.7094485674580096E-2</v>
      </c>
      <c r="J97" s="32">
        <f t="shared" si="11"/>
        <v>3.1030500705588177E-2</v>
      </c>
      <c r="K97" s="32">
        <f t="shared" si="11"/>
        <v>2.3137823442793033E-2</v>
      </c>
    </row>
    <row r="98" spans="1:11" x14ac:dyDescent="0.3">
      <c r="A98" s="68">
        <v>43606</v>
      </c>
      <c r="B98" s="32">
        <v>272.752228</v>
      </c>
      <c r="C98" s="32">
        <v>26.808917999999998</v>
      </c>
      <c r="D98" s="32">
        <v>59.651592000000001</v>
      </c>
      <c r="F98" s="32">
        <f t="shared" si="7"/>
        <v>-3.0764898043288986E-3</v>
      </c>
      <c r="G98" s="32">
        <f t="shared" si="8"/>
        <v>-6.9277759495428347E-3</v>
      </c>
      <c r="H98" s="32">
        <f t="shared" si="9"/>
        <v>-6.9955248463847448E-3</v>
      </c>
      <c r="I98" s="32">
        <f t="shared" si="9"/>
        <v>-2.1723300872925243E-2</v>
      </c>
      <c r="J98" s="32">
        <f t="shared" si="11"/>
        <v>-4.3640101579006115E-4</v>
      </c>
      <c r="K98" s="32">
        <f t="shared" si="11"/>
        <v>-1.0390259170439755E-2</v>
      </c>
    </row>
    <row r="99" spans="1:11" x14ac:dyDescent="0.3">
      <c r="A99" s="68">
        <v>43607</v>
      </c>
      <c r="B99" s="32">
        <v>271.91439800000001</v>
      </c>
      <c r="C99" s="32">
        <v>26.622029999999999</v>
      </c>
      <c r="D99" s="32">
        <v>58.369736000000003</v>
      </c>
      <c r="F99" s="32">
        <f t="shared" si="7"/>
        <v>-1.2293535883504444E-2</v>
      </c>
      <c r="G99" s="32">
        <f t="shared" si="8"/>
        <v>1.897184470783302E-3</v>
      </c>
      <c r="H99" s="32">
        <f t="shared" si="9"/>
        <v>-2.5957130187549717E-2</v>
      </c>
      <c r="I99" s="32">
        <f t="shared" si="9"/>
        <v>-1.1823487818189971E-2</v>
      </c>
      <c r="J99" s="32">
        <f t="shared" ref="J99:K114" si="12">LN(C352/C351)</f>
        <v>-1.0535688229789031E-2</v>
      </c>
      <c r="K99" s="32">
        <f t="shared" si="12"/>
        <v>-2.0202853806408252E-2</v>
      </c>
    </row>
    <row r="100" spans="1:11" x14ac:dyDescent="0.3">
      <c r="A100" s="68">
        <v>43608</v>
      </c>
      <c r="B100" s="32">
        <v>268.59207199999997</v>
      </c>
      <c r="C100" s="32">
        <v>25.939889999999998</v>
      </c>
      <c r="D100" s="32">
        <v>57.683666000000002</v>
      </c>
      <c r="F100" s="32">
        <f t="shared" si="7"/>
        <v>2.2656369494910237E-3</v>
      </c>
      <c r="G100" s="32">
        <f t="shared" si="8"/>
        <v>1.2245413067718158E-2</v>
      </c>
      <c r="H100" s="32">
        <f t="shared" si="9"/>
        <v>1.5016624790215491E-2</v>
      </c>
      <c r="I100" s="32">
        <f t="shared" si="9"/>
        <v>7.6390023406545608E-3</v>
      </c>
      <c r="J100" s="32">
        <f t="shared" si="12"/>
        <v>6.9051857834955516E-2</v>
      </c>
      <c r="K100" s="32">
        <f t="shared" si="12"/>
        <v>8.8276768177877482E-2</v>
      </c>
    </row>
    <row r="101" spans="1:11" x14ac:dyDescent="0.3">
      <c r="A101" s="68">
        <v>43609</v>
      </c>
      <c r="B101" s="32">
        <v>269.20129400000002</v>
      </c>
      <c r="C101" s="32">
        <v>26.332359</v>
      </c>
      <c r="D101" s="32">
        <v>58.125999</v>
      </c>
      <c r="F101" s="32">
        <f t="shared" si="7"/>
        <v>-9.3440810591414458E-3</v>
      </c>
      <c r="G101" s="32">
        <f t="shared" si="8"/>
        <v>1.4769252584623728E-2</v>
      </c>
      <c r="H101" s="32">
        <f t="shared" si="9"/>
        <v>-9.9861395280490626E-3</v>
      </c>
      <c r="I101" s="32">
        <f t="shared" si="9"/>
        <v>-9.3619436079186834E-3</v>
      </c>
      <c r="J101" s="32">
        <f t="shared" si="12"/>
        <v>6.767395486055397E-2</v>
      </c>
      <c r="K101" s="32">
        <f t="shared" si="12"/>
        <v>8.1494675824842128E-2</v>
      </c>
    </row>
    <row r="102" spans="1:11" x14ac:dyDescent="0.3">
      <c r="A102" s="68">
        <v>43613</v>
      </c>
      <c r="B102" s="32">
        <v>266.69757099999998</v>
      </c>
      <c r="C102" s="32">
        <v>26.070709000000001</v>
      </c>
      <c r="D102" s="32">
        <v>57.584366000000003</v>
      </c>
      <c r="F102" s="32">
        <f t="shared" si="7"/>
        <v>-6.7334599674168955E-3</v>
      </c>
      <c r="G102" s="32">
        <f t="shared" si="8"/>
        <v>-1.8464701024605117E-3</v>
      </c>
      <c r="H102" s="32">
        <f t="shared" si="9"/>
        <v>-5.3907675663705133E-3</v>
      </c>
      <c r="I102" s="32">
        <f t="shared" si="9"/>
        <v>-1.2548774191679956E-3</v>
      </c>
      <c r="J102" s="32">
        <f t="shared" si="12"/>
        <v>-4.4066883446674726E-2</v>
      </c>
      <c r="K102" s="32">
        <f t="shared" si="12"/>
        <v>-6.1150808773703873E-2</v>
      </c>
    </row>
    <row r="103" spans="1:11" x14ac:dyDescent="0.3">
      <c r="A103" s="68">
        <v>43614</v>
      </c>
      <c r="B103" s="32">
        <v>264.90780599999999</v>
      </c>
      <c r="C103" s="32">
        <v>25.930546</v>
      </c>
      <c r="D103" s="32">
        <v>57.512149999999998</v>
      </c>
      <c r="F103" s="32">
        <f t="shared" si="7"/>
        <v>2.7278038200772713E-3</v>
      </c>
      <c r="G103" s="32">
        <f t="shared" si="8"/>
        <v>4.4458784399354972E-3</v>
      </c>
      <c r="H103" s="32">
        <f t="shared" si="9"/>
        <v>-2.1490375434271635E-2</v>
      </c>
      <c r="I103" s="32">
        <f t="shared" si="9"/>
        <v>-1.5707622225280746E-3</v>
      </c>
      <c r="J103" s="32">
        <f t="shared" si="12"/>
        <v>-3.0218671385062169E-2</v>
      </c>
      <c r="K103" s="32">
        <f t="shared" si="12"/>
        <v>-2.575623760899021E-2</v>
      </c>
    </row>
    <row r="104" spans="1:11" x14ac:dyDescent="0.3">
      <c r="A104" s="68">
        <v>43615</v>
      </c>
      <c r="B104" s="32">
        <v>265.63140900000002</v>
      </c>
      <c r="C104" s="32">
        <v>25.379234</v>
      </c>
      <c r="D104" s="32">
        <v>57.421883000000001</v>
      </c>
      <c r="F104" s="32">
        <f t="shared" si="7"/>
        <v>-1.3566820702347568E-2</v>
      </c>
      <c r="G104" s="32">
        <f t="shared" si="8"/>
        <v>4.0335223210661566E-3</v>
      </c>
      <c r="H104" s="32">
        <f t="shared" si="9"/>
        <v>-2.0834079851905454E-2</v>
      </c>
      <c r="I104" s="32">
        <f t="shared" si="9"/>
        <v>-2.3219853592944515E-2</v>
      </c>
      <c r="J104" s="32">
        <f t="shared" si="12"/>
        <v>2.0111549391313099E-2</v>
      </c>
      <c r="K104" s="32">
        <f t="shared" si="12"/>
        <v>3.1637924153658778E-2</v>
      </c>
    </row>
    <row r="105" spans="1:11" x14ac:dyDescent="0.3">
      <c r="A105" s="68">
        <v>43616</v>
      </c>
      <c r="B105" s="32">
        <v>262.05197099999998</v>
      </c>
      <c r="C105" s="32">
        <v>24.855951000000001</v>
      </c>
      <c r="D105" s="32">
        <v>56.103915999999998</v>
      </c>
      <c r="F105" s="32">
        <f t="shared" si="7"/>
        <v>-2.5466400014619826E-3</v>
      </c>
      <c r="G105" s="32">
        <f t="shared" si="8"/>
        <v>8.2461886164698333E-3</v>
      </c>
      <c r="H105" s="32">
        <f t="shared" si="9"/>
        <v>3.002855249980708E-3</v>
      </c>
      <c r="I105" s="32">
        <f t="shared" si="9"/>
        <v>7.3740286167469724E-3</v>
      </c>
      <c r="J105" s="32">
        <f t="shared" si="12"/>
        <v>9.3022554411670323E-3</v>
      </c>
      <c r="K105" s="32">
        <f t="shared" si="12"/>
        <v>2.7721431283247198E-2</v>
      </c>
    </row>
    <row r="106" spans="1:11" x14ac:dyDescent="0.3">
      <c r="A106" s="68">
        <v>43619</v>
      </c>
      <c r="B106" s="32">
        <v>261.385468</v>
      </c>
      <c r="C106" s="32">
        <v>24.930702</v>
      </c>
      <c r="D106" s="32">
        <v>56.519157</v>
      </c>
      <c r="F106" s="32">
        <f t="shared" si="7"/>
        <v>2.1474850205049641E-2</v>
      </c>
      <c r="G106" s="32">
        <f t="shared" si="8"/>
        <v>1.3220267203195002E-2</v>
      </c>
      <c r="H106" s="32">
        <f t="shared" si="9"/>
        <v>4.5429160572658701E-2</v>
      </c>
      <c r="I106" s="32">
        <f t="shared" si="9"/>
        <v>5.0909996892840405E-2</v>
      </c>
      <c r="J106" s="32">
        <f t="shared" si="12"/>
        <v>4.525650484063045E-2</v>
      </c>
      <c r="K106" s="32">
        <f t="shared" si="12"/>
        <v>4.8003058352889851E-2</v>
      </c>
    </row>
    <row r="107" spans="1:11" x14ac:dyDescent="0.3">
      <c r="A107" s="68">
        <v>43620</v>
      </c>
      <c r="B107" s="32">
        <v>267.05938700000002</v>
      </c>
      <c r="C107" s="32">
        <v>26.089403000000001</v>
      </c>
      <c r="D107" s="32">
        <v>59.471049999999998</v>
      </c>
      <c r="F107" s="32">
        <f t="shared" si="7"/>
        <v>8.6245686633135976E-3</v>
      </c>
      <c r="G107" s="32">
        <f t="shared" si="8"/>
        <v>-2.6299245415384765E-3</v>
      </c>
      <c r="H107" s="32">
        <f t="shared" si="9"/>
        <v>-3.5829391755191594E-4</v>
      </c>
      <c r="I107" s="32">
        <f t="shared" si="9"/>
        <v>-1.5189840169512652E-3</v>
      </c>
      <c r="J107" s="32">
        <f t="shared" si="12"/>
        <v>3.6893504605822025E-2</v>
      </c>
      <c r="K107" s="32">
        <f t="shared" si="12"/>
        <v>4.2395515997786223E-2</v>
      </c>
    </row>
    <row r="108" spans="1:11" x14ac:dyDescent="0.3">
      <c r="A108" s="68">
        <v>43621</v>
      </c>
      <c r="B108" s="32">
        <v>269.37261999999998</v>
      </c>
      <c r="C108" s="32">
        <v>26.080057</v>
      </c>
      <c r="D108" s="32">
        <v>59.380783000000001</v>
      </c>
      <c r="F108" s="32">
        <f t="shared" si="7"/>
        <v>6.4817543799086785E-3</v>
      </c>
      <c r="G108" s="32">
        <f t="shared" si="8"/>
        <v>2.5306596141792939E-2</v>
      </c>
      <c r="H108" s="32">
        <f t="shared" si="9"/>
        <v>4.3135266656044906E-3</v>
      </c>
      <c r="I108" s="32">
        <f t="shared" si="9"/>
        <v>1.0434754864139313E-2</v>
      </c>
      <c r="J108" s="32">
        <f t="shared" si="12"/>
        <v>4.8470081960587788E-2</v>
      </c>
      <c r="K108" s="32">
        <f t="shared" si="12"/>
        <v>5.6079719415142171E-2</v>
      </c>
    </row>
    <row r="109" spans="1:11" x14ac:dyDescent="0.3">
      <c r="A109" s="68">
        <v>43622</v>
      </c>
      <c r="B109" s="32">
        <v>271.12429800000001</v>
      </c>
      <c r="C109" s="32">
        <v>26.192796999999999</v>
      </c>
      <c r="D109" s="32">
        <v>60.003650999999998</v>
      </c>
      <c r="F109" s="32">
        <f t="shared" si="7"/>
        <v>9.9573497129111978E-3</v>
      </c>
      <c r="G109" s="32">
        <f t="shared" si="8"/>
        <v>1.2014943877796747E-2</v>
      </c>
      <c r="H109" s="32">
        <f t="shared" si="9"/>
        <v>-1.2633336812503566E-2</v>
      </c>
      <c r="I109" s="32">
        <f t="shared" si="9"/>
        <v>-1.1803777246486851E-2</v>
      </c>
      <c r="J109" s="32">
        <f t="shared" si="12"/>
        <v>1.5181155879109842E-2</v>
      </c>
      <c r="K109" s="32">
        <f t="shared" si="12"/>
        <v>3.9638725715303053E-2</v>
      </c>
    </row>
    <row r="110" spans="1:11" x14ac:dyDescent="0.3">
      <c r="A110" s="68">
        <v>43623</v>
      </c>
      <c r="B110" s="32">
        <v>273.83746300000001</v>
      </c>
      <c r="C110" s="32">
        <v>25.863976000000001</v>
      </c>
      <c r="D110" s="32">
        <v>59.299545000000002</v>
      </c>
      <c r="F110" s="32">
        <f t="shared" si="7"/>
        <v>4.5782186749074964E-3</v>
      </c>
      <c r="G110" s="32">
        <f t="shared" si="8"/>
        <v>-7.484730916163535E-3</v>
      </c>
      <c r="H110" s="32">
        <f t="shared" si="9"/>
        <v>1.9424957583187741E-2</v>
      </c>
      <c r="I110" s="32">
        <f t="shared" si="9"/>
        <v>2.1535029611398998E-2</v>
      </c>
      <c r="J110" s="32">
        <f t="shared" si="12"/>
        <v>-1.1275693199022175E-2</v>
      </c>
      <c r="K110" s="32">
        <f t="shared" si="12"/>
        <v>-2.8824172300947568E-2</v>
      </c>
    </row>
    <row r="111" spans="1:11" x14ac:dyDescent="0.3">
      <c r="A111" s="68">
        <v>43626</v>
      </c>
      <c r="B111" s="32">
        <v>275.09402499999999</v>
      </c>
      <c r="C111" s="32">
        <v>26.371293999999999</v>
      </c>
      <c r="D111" s="32">
        <v>60.590412000000001</v>
      </c>
      <c r="F111" s="32">
        <f t="shared" si="7"/>
        <v>-2.4220107304557186E-4</v>
      </c>
      <c r="G111" s="32">
        <f t="shared" si="8"/>
        <v>-5.5954915381215336E-3</v>
      </c>
      <c r="H111" s="32">
        <f t="shared" si="9"/>
        <v>6.0381674591355851E-3</v>
      </c>
      <c r="I111" s="32">
        <f t="shared" si="9"/>
        <v>1.125950139090663E-2</v>
      </c>
      <c r="J111" s="32">
        <f t="shared" si="12"/>
        <v>-5.9119621942632518E-2</v>
      </c>
      <c r="K111" s="32">
        <f t="shared" si="12"/>
        <v>-6.3127746610322569E-2</v>
      </c>
    </row>
    <row r="112" spans="1:11" x14ac:dyDescent="0.3">
      <c r="A112" s="68">
        <v>43627</v>
      </c>
      <c r="B112" s="32">
        <v>275.02740499999999</v>
      </c>
      <c r="C112" s="32">
        <v>26.531009999999998</v>
      </c>
      <c r="D112" s="32">
        <v>61.276485000000001</v>
      </c>
      <c r="F112" s="32">
        <f t="shared" si="7"/>
        <v>-1.7668531375463795E-3</v>
      </c>
      <c r="G112" s="32">
        <f t="shared" si="8"/>
        <v>-5.9377365458080325E-2</v>
      </c>
      <c r="H112" s="32">
        <f t="shared" si="9"/>
        <v>-1.0322282581720217E-2</v>
      </c>
      <c r="I112" s="32">
        <f t="shared" si="9"/>
        <v>-1.5888669473555838E-2</v>
      </c>
      <c r="J112" s="32">
        <f t="shared" si="12"/>
        <v>-0.10577840538050086</v>
      </c>
      <c r="K112" s="32">
        <f t="shared" si="12"/>
        <v>-0.1435555118769975</v>
      </c>
    </row>
    <row r="113" spans="1:11" x14ac:dyDescent="0.3">
      <c r="A113" s="68">
        <v>43628</v>
      </c>
      <c r="B113" s="32">
        <v>274.541901</v>
      </c>
      <c r="C113" s="32">
        <v>26.258558000000001</v>
      </c>
      <c r="D113" s="32">
        <v>60.310577000000002</v>
      </c>
      <c r="F113" s="32">
        <f t="shared" si="7"/>
        <v>4.1177004539222142E-3</v>
      </c>
      <c r="G113" s="32">
        <f t="shared" si="8"/>
        <v>1.1904520189864425E-2</v>
      </c>
      <c r="H113" s="32">
        <f t="shared" si="9"/>
        <v>-3.5777594470036222E-4</v>
      </c>
      <c r="I113" s="32">
        <f t="shared" si="9"/>
        <v>4.0331536550671353E-3</v>
      </c>
      <c r="J113" s="32">
        <f t="shared" si="12"/>
        <v>3.490388791211136E-2</v>
      </c>
      <c r="K113" s="32">
        <f t="shared" si="12"/>
        <v>7.6746705353998496E-2</v>
      </c>
    </row>
    <row r="114" spans="1:11" x14ac:dyDescent="0.3">
      <c r="A114" s="68">
        <v>43629</v>
      </c>
      <c r="B114" s="32">
        <v>275.674713</v>
      </c>
      <c r="C114" s="32">
        <v>26.249165000000001</v>
      </c>
      <c r="D114" s="32">
        <v>60.554310000000001</v>
      </c>
      <c r="F114" s="32">
        <f t="shared" si="7"/>
        <v>-1.1056307256024083E-3</v>
      </c>
      <c r="G114" s="32">
        <f t="shared" si="8"/>
        <v>9.2922825788080664E-3</v>
      </c>
      <c r="H114" s="32">
        <f t="shared" si="9"/>
        <v>3.5726196722942285E-3</v>
      </c>
      <c r="I114" s="32">
        <f t="shared" si="9"/>
        <v>5.9453351713742207E-3</v>
      </c>
      <c r="J114" s="32">
        <f t="shared" si="12"/>
        <v>1.4821178757791646E-2</v>
      </c>
      <c r="K114" s="32">
        <f t="shared" si="12"/>
        <v>1.3874639626489304E-2</v>
      </c>
    </row>
    <row r="115" spans="1:11" x14ac:dyDescent="0.3">
      <c r="A115" s="68">
        <v>43630</v>
      </c>
      <c r="B115" s="32">
        <v>275.37008700000001</v>
      </c>
      <c r="C115" s="32">
        <v>26.343111</v>
      </c>
      <c r="D115" s="32">
        <v>60.915398000000003</v>
      </c>
      <c r="F115" s="32">
        <f t="shared" si="7"/>
        <v>3.8016147649802719E-4</v>
      </c>
      <c r="G115" s="32">
        <f t="shared" si="8"/>
        <v>1.9064725353563062E-2</v>
      </c>
      <c r="H115" s="32">
        <f t="shared" si="9"/>
        <v>-3.9305617765235433E-3</v>
      </c>
      <c r="I115" s="32">
        <f t="shared" si="9"/>
        <v>-1.4028157831830835E-2</v>
      </c>
      <c r="J115" s="32">
        <f t="shared" ref="J115:K130" si="13">LN(C368/C367)</f>
        <v>2.5516461512681467E-2</v>
      </c>
      <c r="K115" s="32">
        <f t="shared" si="13"/>
        <v>2.7368363303076466E-2</v>
      </c>
    </row>
    <row r="116" spans="1:11" x14ac:dyDescent="0.3">
      <c r="A116" s="68">
        <v>43633</v>
      </c>
      <c r="B116" s="32">
        <v>275.47479199999998</v>
      </c>
      <c r="C116" s="32">
        <v>26.239771000000001</v>
      </c>
      <c r="D116" s="32">
        <v>60.066833000000003</v>
      </c>
      <c r="F116" s="32">
        <f t="shared" si="7"/>
        <v>1.0416757999320044E-2</v>
      </c>
      <c r="G116" s="32">
        <f t="shared" si="8"/>
        <v>-4.1622868006137822E-3</v>
      </c>
      <c r="H116" s="32">
        <f t="shared" si="9"/>
        <v>2.4404299814789893E-2</v>
      </c>
      <c r="I116" s="32">
        <f t="shared" si="9"/>
        <v>2.1410494834625666E-2</v>
      </c>
      <c r="J116" s="32">
        <f t="shared" si="13"/>
        <v>-3.1498622651280027E-2</v>
      </c>
      <c r="K116" s="32">
        <f t="shared" si="13"/>
        <v>-2.6990919576805175E-2</v>
      </c>
    </row>
    <row r="117" spans="1:11" x14ac:dyDescent="0.3">
      <c r="A117" s="68">
        <v>43634</v>
      </c>
      <c r="B117" s="32">
        <v>278.35934400000002</v>
      </c>
      <c r="C117" s="32">
        <v>26.888012</v>
      </c>
      <c r="D117" s="32">
        <v>61.366759999999999</v>
      </c>
      <c r="F117" s="32">
        <f t="shared" si="7"/>
        <v>2.2544889196911924E-3</v>
      </c>
      <c r="G117" s="32">
        <f t="shared" si="8"/>
        <v>3.8477606878323229E-4</v>
      </c>
      <c r="H117" s="32">
        <f t="shared" si="9"/>
        <v>-1.0537430526221988E-2</v>
      </c>
      <c r="I117" s="32">
        <f t="shared" si="9"/>
        <v>-5.7536656292736573E-3</v>
      </c>
      <c r="J117" s="32">
        <f t="shared" si="13"/>
        <v>1.5987978225320803E-3</v>
      </c>
      <c r="K117" s="32">
        <f t="shared" si="13"/>
        <v>7.5441986549837727E-4</v>
      </c>
    </row>
    <row r="118" spans="1:11" x14ac:dyDescent="0.3">
      <c r="A118" s="68">
        <v>43635</v>
      </c>
      <c r="B118" s="32">
        <v>278.98761000000002</v>
      </c>
      <c r="C118" s="32">
        <v>26.606169000000001</v>
      </c>
      <c r="D118" s="32">
        <v>61.014690000000002</v>
      </c>
      <c r="F118" s="32">
        <f t="shared" si="7"/>
        <v>9.5092576255843188E-3</v>
      </c>
      <c r="G118" s="32">
        <f t="shared" si="8"/>
        <v>-5.7314090171671E-3</v>
      </c>
      <c r="H118" s="32">
        <f t="shared" si="9"/>
        <v>-1.7671660817439039E-3</v>
      </c>
      <c r="I118" s="32">
        <f t="shared" si="9"/>
        <v>7.5172671238861793E-3</v>
      </c>
      <c r="J118" s="32">
        <f t="shared" si="13"/>
        <v>8.3515034379867473E-3</v>
      </c>
      <c r="K118" s="32">
        <f t="shared" si="13"/>
        <v>-2.2650908629098135E-3</v>
      </c>
    </row>
    <row r="119" spans="1:11" x14ac:dyDescent="0.3">
      <c r="A119" s="68">
        <v>43636</v>
      </c>
      <c r="B119" s="32">
        <v>281.65322900000001</v>
      </c>
      <c r="C119" s="32">
        <v>26.559193</v>
      </c>
      <c r="D119" s="32">
        <v>61.475082</v>
      </c>
      <c r="F119" s="32">
        <f t="shared" si="7"/>
        <v>-1.4549201430255915E-3</v>
      </c>
      <c r="G119" s="32">
        <f t="shared" si="8"/>
        <v>6.3948953205036942E-3</v>
      </c>
      <c r="H119" s="32">
        <f t="shared" si="9"/>
        <v>-5.3201238567016007E-3</v>
      </c>
      <c r="I119" s="32">
        <f t="shared" si="9"/>
        <v>-1.910744089260268E-3</v>
      </c>
      <c r="J119" s="32">
        <f t="shared" si="13"/>
        <v>-2.5267006451519424E-2</v>
      </c>
      <c r="K119" s="32">
        <f t="shared" si="13"/>
        <v>-1.6384250797317684E-2</v>
      </c>
    </row>
    <row r="120" spans="1:11" x14ac:dyDescent="0.3">
      <c r="A120" s="68">
        <v>43637</v>
      </c>
      <c r="B120" s="32">
        <v>281.24374399999999</v>
      </c>
      <c r="C120" s="32">
        <v>26.41827</v>
      </c>
      <c r="D120" s="32">
        <v>61.357731000000001</v>
      </c>
      <c r="F120" s="32">
        <f t="shared" si="7"/>
        <v>-1.2250617593162131E-3</v>
      </c>
      <c r="G120" s="32">
        <f t="shared" si="8"/>
        <v>4.5930352706258417E-3</v>
      </c>
      <c r="H120" s="32">
        <f t="shared" si="9"/>
        <v>-4.9911486803151739E-3</v>
      </c>
      <c r="I120" s="32">
        <f t="shared" si="9"/>
        <v>-8.2729581305979547E-3</v>
      </c>
      <c r="J120" s="32">
        <f t="shared" si="13"/>
        <v>6.8813337415626905E-3</v>
      </c>
      <c r="K120" s="32">
        <f t="shared" si="13"/>
        <v>1.6951106024777951E-2</v>
      </c>
    </row>
    <row r="121" spans="1:11" x14ac:dyDescent="0.3">
      <c r="A121" s="68">
        <v>43640</v>
      </c>
      <c r="B121" s="32">
        <v>280.89941399999998</v>
      </c>
      <c r="C121" s="32">
        <v>26.286740999999999</v>
      </c>
      <c r="D121" s="32">
        <v>60.852215000000001</v>
      </c>
      <c r="F121" s="32">
        <f t="shared" si="7"/>
        <v>-9.8564316127562786E-3</v>
      </c>
      <c r="G121" s="32">
        <f t="shared" si="8"/>
        <v>-2.5839715408593002E-2</v>
      </c>
      <c r="H121" s="32">
        <f t="shared" si="9"/>
        <v>-7.8936682476356667E-3</v>
      </c>
      <c r="I121" s="32">
        <f t="shared" si="9"/>
        <v>-1.2990394109379733E-2</v>
      </c>
      <c r="J121" s="32">
        <f t="shared" si="13"/>
        <v>-4.0334755121663103E-2</v>
      </c>
      <c r="K121" s="32">
        <f t="shared" si="13"/>
        <v>-4.1254865337550288E-2</v>
      </c>
    </row>
    <row r="122" spans="1:11" x14ac:dyDescent="0.3">
      <c r="A122" s="68">
        <v>43641</v>
      </c>
      <c r="B122" s="32">
        <v>278.14434799999998</v>
      </c>
      <c r="C122" s="32">
        <v>26.080058999999999</v>
      </c>
      <c r="D122" s="32">
        <v>60.066833000000003</v>
      </c>
      <c r="F122" s="32">
        <f t="shared" si="7"/>
        <v>-9.9816702627557926E-4</v>
      </c>
      <c r="G122" s="32">
        <f t="shared" si="8"/>
        <v>1.0663385471657398E-2</v>
      </c>
      <c r="H122" s="32">
        <f t="shared" si="9"/>
        <v>5.3887018104611896E-3</v>
      </c>
      <c r="I122" s="32">
        <f t="shared" si="9"/>
        <v>1.016783173286602E-2</v>
      </c>
      <c r="J122" s="32">
        <f t="shared" si="13"/>
        <v>3.7506937919644635E-2</v>
      </c>
      <c r="K122" s="32">
        <f t="shared" si="13"/>
        <v>3.6142622568717711E-2</v>
      </c>
    </row>
    <row r="123" spans="1:11" x14ac:dyDescent="0.3">
      <c r="A123" s="68">
        <v>43642</v>
      </c>
      <c r="B123" s="32">
        <v>277.86685199999999</v>
      </c>
      <c r="C123" s="32">
        <v>26.220976</v>
      </c>
      <c r="D123" s="32">
        <v>60.680698</v>
      </c>
      <c r="F123" s="32">
        <f t="shared" si="7"/>
        <v>3.5401837156671403E-3</v>
      </c>
      <c r="G123" s="32">
        <f t="shared" si="8"/>
        <v>-2.4037984174402911E-2</v>
      </c>
      <c r="H123" s="32">
        <f t="shared" si="9"/>
        <v>1.069155448403363E-2</v>
      </c>
      <c r="I123" s="32">
        <f t="shared" si="9"/>
        <v>1.3740341412167715E-2</v>
      </c>
      <c r="J123" s="32">
        <f t="shared" si="13"/>
        <v>-6.5617903741487016E-2</v>
      </c>
      <c r="K123" s="32">
        <f t="shared" si="13"/>
        <v>-6.0648270939067092E-2</v>
      </c>
    </row>
    <row r="124" spans="1:11" x14ac:dyDescent="0.3">
      <c r="A124" s="68">
        <v>43643</v>
      </c>
      <c r="B124" s="32">
        <v>278.85229500000003</v>
      </c>
      <c r="C124" s="32">
        <v>26.502822999999999</v>
      </c>
      <c r="D124" s="32">
        <v>61.520226000000001</v>
      </c>
      <c r="F124" s="32">
        <f t="shared" si="7"/>
        <v>5.132234069464876E-3</v>
      </c>
      <c r="G124" s="32">
        <f t="shared" si="8"/>
        <v>1.4590641576645743E-2</v>
      </c>
      <c r="H124" s="32">
        <f t="shared" si="9"/>
        <v>2.7619423086199791E-2</v>
      </c>
      <c r="I124" s="32">
        <f t="shared" si="9"/>
        <v>2.7212552724704322E-2</v>
      </c>
      <c r="J124" s="32">
        <f t="shared" si="13"/>
        <v>1.0313803609554858E-2</v>
      </c>
      <c r="K124" s="32">
        <f t="shared" si="13"/>
        <v>1.4218734900297403E-2</v>
      </c>
    </row>
    <row r="125" spans="1:11" x14ac:dyDescent="0.3">
      <c r="A125" s="68">
        <v>43644</v>
      </c>
      <c r="B125" s="32">
        <v>280.28710899999999</v>
      </c>
      <c r="C125" s="32">
        <v>27.245018000000002</v>
      </c>
      <c r="D125" s="32">
        <v>63.217334999999999</v>
      </c>
      <c r="F125" s="32">
        <f t="shared" si="7"/>
        <v>9.0377555234118483E-3</v>
      </c>
      <c r="G125" s="32">
        <f t="shared" si="8"/>
        <v>1.2728241229745176E-2</v>
      </c>
      <c r="H125" s="32">
        <f t="shared" si="9"/>
        <v>1.4378739768269724E-2</v>
      </c>
      <c r="I125" s="32">
        <f t="shared" si="9"/>
        <v>1.0087403954644315E-2</v>
      </c>
      <c r="J125" s="32">
        <f t="shared" si="13"/>
        <v>1.5273976917138769E-2</v>
      </c>
      <c r="K125" s="32">
        <f t="shared" si="13"/>
        <v>1.5978141543964222E-2</v>
      </c>
    </row>
    <row r="126" spans="1:11" x14ac:dyDescent="0.3">
      <c r="A126" s="68">
        <v>43647</v>
      </c>
      <c r="B126" s="32">
        <v>282.83175699999998</v>
      </c>
      <c r="C126" s="32">
        <v>27.639596999999998</v>
      </c>
      <c r="D126" s="32">
        <v>63.858260999999999</v>
      </c>
      <c r="F126" s="32">
        <f t="shared" si="7"/>
        <v>2.6007815806712007E-3</v>
      </c>
      <c r="G126" s="32">
        <f t="shared" si="8"/>
        <v>6.9804298229375209E-3</v>
      </c>
      <c r="H126" s="32">
        <f t="shared" si="9"/>
        <v>-9.2197119827025723E-3</v>
      </c>
      <c r="I126" s="32">
        <f t="shared" si="9"/>
        <v>-4.2499259998081025E-3</v>
      </c>
      <c r="J126" s="32">
        <f t="shared" si="13"/>
        <v>-2.0847488555398558E-2</v>
      </c>
      <c r="K126" s="32">
        <f t="shared" si="13"/>
        <v>-1.4785771020617632E-2</v>
      </c>
    </row>
    <row r="127" spans="1:11" x14ac:dyDescent="0.3">
      <c r="A127" s="68">
        <v>43648</v>
      </c>
      <c r="B127" s="32">
        <v>283.56829800000003</v>
      </c>
      <c r="C127" s="32">
        <v>27.385939</v>
      </c>
      <c r="D127" s="32">
        <v>63.587443999999998</v>
      </c>
      <c r="F127" s="32">
        <f t="shared" si="7"/>
        <v>7.9633963413156001E-3</v>
      </c>
      <c r="G127" s="32">
        <f t="shared" si="8"/>
        <v>5.4917728402480567E-3</v>
      </c>
      <c r="H127" s="32">
        <f t="shared" si="9"/>
        <v>-3.4365272282991513E-3</v>
      </c>
      <c r="I127" s="32">
        <f t="shared" si="9"/>
        <v>5.8034274861116257E-3</v>
      </c>
      <c r="J127" s="32">
        <f t="shared" si="13"/>
        <v>1.2890097566063037E-3</v>
      </c>
      <c r="K127" s="32">
        <f t="shared" si="13"/>
        <v>3.9642818837353601E-3</v>
      </c>
    </row>
    <row r="128" spans="1:11" x14ac:dyDescent="0.3">
      <c r="A128" s="68">
        <v>43649</v>
      </c>
      <c r="B128" s="32">
        <v>285.83548000000002</v>
      </c>
      <c r="C128" s="32">
        <v>27.291988</v>
      </c>
      <c r="D128" s="32">
        <v>63.957541999999997</v>
      </c>
      <c r="F128" s="32">
        <f t="shared" si="7"/>
        <v>-1.1384561598098116E-3</v>
      </c>
      <c r="G128" s="32">
        <f t="shared" si="8"/>
        <v>1.5319194438660167E-2</v>
      </c>
      <c r="H128" s="32">
        <f t="shared" si="9"/>
        <v>7.2029676058708867E-3</v>
      </c>
      <c r="I128" s="32">
        <f t="shared" si="9"/>
        <v>7.7330788330471469E-3</v>
      </c>
      <c r="J128" s="32">
        <f t="shared" si="13"/>
        <v>1.5761767290135217E-2</v>
      </c>
      <c r="K128" s="32">
        <f t="shared" si="13"/>
        <v>2.7703706330826069E-2</v>
      </c>
    </row>
    <row r="129" spans="1:11" x14ac:dyDescent="0.3">
      <c r="A129" s="68">
        <v>43651</v>
      </c>
      <c r="B129" s="32">
        <v>285.51025399999997</v>
      </c>
      <c r="C129" s="32">
        <v>27.489280999999998</v>
      </c>
      <c r="D129" s="32">
        <v>64.454048</v>
      </c>
      <c r="F129" s="32">
        <f t="shared" si="7"/>
        <v>-5.5099352370690576E-3</v>
      </c>
      <c r="G129" s="32">
        <f t="shared" si="8"/>
        <v>-1.0367246119869476E-2</v>
      </c>
      <c r="H129" s="32">
        <f t="shared" si="9"/>
        <v>-2.0526499648434015E-3</v>
      </c>
      <c r="I129" s="32">
        <f t="shared" si="9"/>
        <v>-3.7887149410472283E-3</v>
      </c>
      <c r="J129" s="32">
        <f t="shared" si="13"/>
        <v>-2.7856943846990986E-2</v>
      </c>
      <c r="K129" s="32">
        <f t="shared" si="13"/>
        <v>-3.2264038409493753E-2</v>
      </c>
    </row>
    <row r="130" spans="1:11" x14ac:dyDescent="0.3">
      <c r="A130" s="68">
        <v>43654</v>
      </c>
      <c r="B130" s="32">
        <v>283.94143700000001</v>
      </c>
      <c r="C130" s="32">
        <v>27.432912999999999</v>
      </c>
      <c r="D130" s="32">
        <v>64.210312000000002</v>
      </c>
      <c r="F130" s="32">
        <f t="shared" si="7"/>
        <v>1.2456498927265031E-3</v>
      </c>
      <c r="G130" s="32">
        <f t="shared" si="8"/>
        <v>7.6194913868837741E-3</v>
      </c>
      <c r="H130" s="32">
        <f t="shared" si="9"/>
        <v>5.1239639938854102E-3</v>
      </c>
      <c r="I130" s="32">
        <f t="shared" si="9"/>
        <v>6.0270602495967251E-3</v>
      </c>
      <c r="J130" s="32">
        <f t="shared" si="13"/>
        <v>3.9037990571864569E-3</v>
      </c>
      <c r="K130" s="32">
        <f t="shared" si="13"/>
        <v>1.1067356500570065E-2</v>
      </c>
    </row>
    <row r="131" spans="1:11" x14ac:dyDescent="0.3">
      <c r="A131" s="68">
        <v>43655</v>
      </c>
      <c r="B131" s="32">
        <v>284.29534899999999</v>
      </c>
      <c r="C131" s="32">
        <v>27.573839</v>
      </c>
      <c r="D131" s="32">
        <v>64.598479999999995</v>
      </c>
      <c r="F131" s="32">
        <f t="shared" ref="F131:F194" si="14">LN(B132/B131)</f>
        <v>4.7666384698935825E-3</v>
      </c>
      <c r="G131" s="32">
        <f t="shared" ref="G131:G194" si="15">LN(B384/B383)</f>
        <v>-5.7091712657713822E-3</v>
      </c>
      <c r="H131" s="32">
        <f t="shared" ref="H131:I194" si="16">LN(C132/C131)</f>
        <v>-1.1307315851458678E-2</v>
      </c>
      <c r="I131" s="32">
        <f t="shared" si="16"/>
        <v>-6.0270602495967511E-3</v>
      </c>
      <c r="J131" s="32">
        <f t="shared" ref="J131:K146" si="17">LN(C384/C383)</f>
        <v>-1.4388781076196839E-2</v>
      </c>
      <c r="K131" s="32">
        <f t="shared" si="17"/>
        <v>-2.8507890934291142E-2</v>
      </c>
    </row>
    <row r="132" spans="1:11" x14ac:dyDescent="0.3">
      <c r="A132" s="68">
        <v>43656</v>
      </c>
      <c r="B132" s="32">
        <v>285.65371699999997</v>
      </c>
      <c r="C132" s="32">
        <v>27.263808999999998</v>
      </c>
      <c r="D132" s="32">
        <v>64.210312000000002</v>
      </c>
      <c r="F132" s="32">
        <f t="shared" si="14"/>
        <v>2.3414131904231383E-3</v>
      </c>
      <c r="G132" s="32">
        <f t="shared" si="15"/>
        <v>1.0158791090307089E-2</v>
      </c>
      <c r="H132" s="32">
        <f t="shared" si="16"/>
        <v>1.1647870565143588E-2</v>
      </c>
      <c r="I132" s="32">
        <f t="shared" si="16"/>
        <v>6.7256406779249321E-3</v>
      </c>
      <c r="J132" s="32">
        <f t="shared" si="17"/>
        <v>5.3442910884340028E-2</v>
      </c>
      <c r="K132" s="32">
        <f t="shared" si="17"/>
        <v>6.2704212970079817E-2</v>
      </c>
    </row>
    <row r="133" spans="1:11" x14ac:dyDescent="0.3">
      <c r="A133" s="68">
        <v>43657</v>
      </c>
      <c r="B133" s="32">
        <v>286.32333399999999</v>
      </c>
      <c r="C133" s="32">
        <v>27.583231000000001</v>
      </c>
      <c r="D133" s="32">
        <v>64.643623000000005</v>
      </c>
      <c r="F133" s="32">
        <f t="shared" si="14"/>
        <v>4.4670825717134091E-3</v>
      </c>
      <c r="G133" s="32">
        <f t="shared" si="15"/>
        <v>-8.69657384788842E-3</v>
      </c>
      <c r="H133" s="32">
        <f t="shared" si="16"/>
        <v>3.0607605290253292E-3</v>
      </c>
      <c r="I133" s="32">
        <f t="shared" si="16"/>
        <v>2.2319118976755776E-3</v>
      </c>
      <c r="J133" s="32">
        <f t="shared" si="17"/>
        <v>7.0525335112163806E-3</v>
      </c>
      <c r="K133" s="32">
        <f t="shared" si="17"/>
        <v>-8.5838575498883782E-3</v>
      </c>
    </row>
    <row r="134" spans="1:11" x14ac:dyDescent="0.3">
      <c r="A134" s="68">
        <v>43658</v>
      </c>
      <c r="B134" s="32">
        <v>287.60522500000002</v>
      </c>
      <c r="C134" s="32">
        <v>27.667786</v>
      </c>
      <c r="D134" s="32">
        <v>64.788062999999994</v>
      </c>
      <c r="F134" s="32">
        <f t="shared" si="14"/>
        <v>3.3249083300550904E-4</v>
      </c>
      <c r="G134" s="32">
        <f t="shared" si="15"/>
        <v>1.2875640168478772E-2</v>
      </c>
      <c r="H134" s="32">
        <f t="shared" si="16"/>
        <v>-7.840606465037047E-3</v>
      </c>
      <c r="I134" s="32">
        <f t="shared" si="16"/>
        <v>-8.3644510031948124E-4</v>
      </c>
      <c r="J134" s="32">
        <f t="shared" si="17"/>
        <v>-2.0691113695608544E-3</v>
      </c>
      <c r="K134" s="32">
        <f t="shared" si="17"/>
        <v>-4.0063916368235156E-2</v>
      </c>
    </row>
    <row r="135" spans="1:11" x14ac:dyDescent="0.3">
      <c r="A135" s="68">
        <v>43661</v>
      </c>
      <c r="B135" s="32">
        <v>287.70086700000002</v>
      </c>
      <c r="C135" s="32">
        <v>27.451702000000001</v>
      </c>
      <c r="D135" s="32">
        <v>64.733894000000006</v>
      </c>
      <c r="F135" s="32">
        <f t="shared" si="14"/>
        <v>-3.2304999153843598E-3</v>
      </c>
      <c r="G135" s="32">
        <f t="shared" si="15"/>
        <v>9.1454164895909164E-3</v>
      </c>
      <c r="H135" s="32">
        <f t="shared" si="16"/>
        <v>-7.9024942751832299E-3</v>
      </c>
      <c r="I135" s="32">
        <f t="shared" si="16"/>
        <v>-5.4533846882819943E-3</v>
      </c>
      <c r="J135" s="32">
        <f t="shared" si="17"/>
        <v>1.8876257572198064E-2</v>
      </c>
      <c r="K135" s="32">
        <f t="shared" si="17"/>
        <v>3.3143608719643322E-2</v>
      </c>
    </row>
    <row r="136" spans="1:11" x14ac:dyDescent="0.3">
      <c r="A136" s="68">
        <v>43662</v>
      </c>
      <c r="B136" s="32">
        <v>286.77294899999998</v>
      </c>
      <c r="C136" s="32">
        <v>27.235620000000001</v>
      </c>
      <c r="D136" s="32">
        <v>64.381836000000007</v>
      </c>
      <c r="F136" s="32">
        <f t="shared" si="14"/>
        <v>-6.8283195681886977E-3</v>
      </c>
      <c r="G136" s="32">
        <f t="shared" si="15"/>
        <v>-3.2989641721856986E-3</v>
      </c>
      <c r="H136" s="32">
        <f t="shared" si="16"/>
        <v>6.8752545486884115E-3</v>
      </c>
      <c r="I136" s="32">
        <f t="shared" si="16"/>
        <v>-7.0352224648642095E-3</v>
      </c>
      <c r="J136" s="32">
        <f t="shared" si="17"/>
        <v>-2.7613546888589982E-2</v>
      </c>
      <c r="K136" s="32">
        <f t="shared" si="17"/>
        <v>-7.3573518308167598E-3</v>
      </c>
    </row>
    <row r="137" spans="1:11" x14ac:dyDescent="0.3">
      <c r="A137" s="68">
        <v>43663</v>
      </c>
      <c r="B137" s="32">
        <v>284.82144199999999</v>
      </c>
      <c r="C137" s="32">
        <v>27.423517</v>
      </c>
      <c r="D137" s="32">
        <v>63.930484999999997</v>
      </c>
      <c r="F137" s="32">
        <f t="shared" si="14"/>
        <v>3.6543977601874692E-3</v>
      </c>
      <c r="G137" s="32">
        <f t="shared" si="15"/>
        <v>2.8948085093619767E-3</v>
      </c>
      <c r="H137" s="32">
        <f t="shared" si="16"/>
        <v>9.8858047627763991E-3</v>
      </c>
      <c r="I137" s="32">
        <f t="shared" si="16"/>
        <v>1.360352157221047E-2</v>
      </c>
      <c r="J137" s="32">
        <f t="shared" si="17"/>
        <v>-3.0118924903455354E-2</v>
      </c>
      <c r="K137" s="32">
        <f t="shared" si="17"/>
        <v>-2.4391472690319667E-2</v>
      </c>
    </row>
    <row r="138" spans="1:11" x14ac:dyDescent="0.3">
      <c r="A138" s="68">
        <v>43664</v>
      </c>
      <c r="B138" s="32">
        <v>285.86419699999999</v>
      </c>
      <c r="C138" s="32">
        <v>27.695965000000001</v>
      </c>
      <c r="D138" s="32">
        <v>64.806106999999997</v>
      </c>
      <c r="F138" s="32">
        <f t="shared" si="14"/>
        <v>-5.5704033221231197E-3</v>
      </c>
      <c r="G138" s="32">
        <f t="shared" si="15"/>
        <v>8.0492540866082193E-3</v>
      </c>
      <c r="H138" s="32">
        <f t="shared" si="16"/>
        <v>-2.7172605865860692E-3</v>
      </c>
      <c r="I138" s="32">
        <f t="shared" si="16"/>
        <v>-1.2192796241773479E-2</v>
      </c>
      <c r="J138" s="32">
        <f t="shared" si="17"/>
        <v>1.5384857086516896E-2</v>
      </c>
      <c r="K138" s="32">
        <f t="shared" si="17"/>
        <v>-1.5942988860594544E-3</v>
      </c>
    </row>
    <row r="139" spans="1:11" x14ac:dyDescent="0.3">
      <c r="A139" s="68">
        <v>43665</v>
      </c>
      <c r="B139" s="32">
        <v>284.27624500000002</v>
      </c>
      <c r="C139" s="32">
        <v>27.620809999999999</v>
      </c>
      <c r="D139" s="32">
        <v>64.020736999999997</v>
      </c>
      <c r="F139" s="32">
        <f t="shared" si="14"/>
        <v>2.4535207359387555E-3</v>
      </c>
      <c r="G139" s="32">
        <f t="shared" si="15"/>
        <v>2.1252038733482509E-3</v>
      </c>
      <c r="H139" s="32">
        <f t="shared" si="16"/>
        <v>5.765617523898192E-3</v>
      </c>
      <c r="I139" s="32">
        <f t="shared" si="16"/>
        <v>2.6757208028843587E-3</v>
      </c>
      <c r="J139" s="32">
        <f t="shared" si="17"/>
        <v>3.5003606555134854E-2</v>
      </c>
      <c r="K139" s="32">
        <f t="shared" si="17"/>
        <v>3.1218897374655392E-2</v>
      </c>
    </row>
    <row r="140" spans="1:11" x14ac:dyDescent="0.3">
      <c r="A140" s="68">
        <v>43668</v>
      </c>
      <c r="B140" s="32">
        <v>284.97457900000001</v>
      </c>
      <c r="C140" s="32">
        <v>27.780521</v>
      </c>
      <c r="D140" s="32">
        <v>64.192267999999999</v>
      </c>
      <c r="F140" s="32">
        <f t="shared" si="14"/>
        <v>7.1245556224438398E-3</v>
      </c>
      <c r="G140" s="32">
        <f t="shared" si="15"/>
        <v>5.6756878114514976E-3</v>
      </c>
      <c r="H140" s="32">
        <f t="shared" si="16"/>
        <v>2.273582809832415E-2</v>
      </c>
      <c r="I140" s="32">
        <f t="shared" si="16"/>
        <v>1.229908149233813E-2</v>
      </c>
      <c r="J140" s="32">
        <f t="shared" si="17"/>
        <v>-4.5146515098249025E-3</v>
      </c>
      <c r="K140" s="32">
        <f t="shared" si="17"/>
        <v>-1.3540427435515857E-3</v>
      </c>
    </row>
    <row r="141" spans="1:11" x14ac:dyDescent="0.3">
      <c r="A141" s="68">
        <v>43669</v>
      </c>
      <c r="B141" s="32">
        <v>287.01214599999997</v>
      </c>
      <c r="C141" s="32">
        <v>28.419369</v>
      </c>
      <c r="D141" s="32">
        <v>64.986649</v>
      </c>
      <c r="F141" s="32">
        <f t="shared" si="14"/>
        <v>4.6883927126781877E-3</v>
      </c>
      <c r="G141" s="32">
        <f t="shared" si="15"/>
        <v>-1.200320016834135E-2</v>
      </c>
      <c r="H141" s="32">
        <f t="shared" si="16"/>
        <v>1.3788898648942859E-2</v>
      </c>
      <c r="I141" s="32">
        <f t="shared" si="16"/>
        <v>1.4069378458998092E-2</v>
      </c>
      <c r="J141" s="32">
        <f t="shared" si="17"/>
        <v>9.4166870517488968E-3</v>
      </c>
      <c r="K141" s="32">
        <f t="shared" si="17"/>
        <v>8.0972204514339063E-3</v>
      </c>
    </row>
    <row r="142" spans="1:11" x14ac:dyDescent="0.3">
      <c r="A142" s="68">
        <v>43670</v>
      </c>
      <c r="B142" s="32">
        <v>288.36093099999999</v>
      </c>
      <c r="C142" s="32">
        <v>28.813955</v>
      </c>
      <c r="D142" s="32">
        <v>65.907432999999997</v>
      </c>
      <c r="F142" s="32">
        <f t="shared" si="14"/>
        <v>-4.7882401617753345E-3</v>
      </c>
      <c r="G142" s="32">
        <f t="shared" si="15"/>
        <v>-6.4613788742954054E-3</v>
      </c>
      <c r="H142" s="32">
        <f t="shared" si="16"/>
        <v>-1.0818091472600622E-2</v>
      </c>
      <c r="I142" s="32">
        <f t="shared" si="16"/>
        <v>-2.243861488730331E-2</v>
      </c>
      <c r="J142" s="32">
        <f t="shared" si="17"/>
        <v>-7.7725472557117151E-3</v>
      </c>
      <c r="K142" s="32">
        <f t="shared" si="17"/>
        <v>-7.9036586519153733E-3</v>
      </c>
    </row>
    <row r="143" spans="1:11" x14ac:dyDescent="0.3">
      <c r="A143" s="68">
        <v>43671</v>
      </c>
      <c r="B143" s="32">
        <v>286.98349000000002</v>
      </c>
      <c r="C143" s="32">
        <v>28.503923</v>
      </c>
      <c r="D143" s="32">
        <v>64.445030000000003</v>
      </c>
      <c r="F143" s="32">
        <f t="shared" si="14"/>
        <v>6.6774457477236033E-3</v>
      </c>
      <c r="G143" s="32">
        <f t="shared" si="15"/>
        <v>7.2660383941749521E-3</v>
      </c>
      <c r="H143" s="32">
        <f t="shared" si="16"/>
        <v>1.4073325610546668E-2</v>
      </c>
      <c r="I143" s="32">
        <f t="shared" si="16"/>
        <v>1.0728045014110598E-2</v>
      </c>
      <c r="J143" s="32">
        <f t="shared" si="17"/>
        <v>-8.6617377080167382E-3</v>
      </c>
      <c r="K143" s="32">
        <f t="shared" si="17"/>
        <v>-7.3815641811584834E-3</v>
      </c>
    </row>
    <row r="144" spans="1:11" x14ac:dyDescent="0.3">
      <c r="A144" s="68">
        <v>43672</v>
      </c>
      <c r="B144" s="32">
        <v>288.90621900000002</v>
      </c>
      <c r="C144" s="32">
        <v>28.907903999999998</v>
      </c>
      <c r="D144" s="32">
        <v>65.140120999999994</v>
      </c>
      <c r="F144" s="32">
        <f t="shared" si="14"/>
        <v>-1.822957474115531E-3</v>
      </c>
      <c r="G144" s="32">
        <f t="shared" si="15"/>
        <v>-6.3623762799720077E-3</v>
      </c>
      <c r="H144" s="32">
        <f t="shared" si="16"/>
        <v>-8.1581277147752575E-3</v>
      </c>
      <c r="I144" s="32">
        <f t="shared" si="16"/>
        <v>-5.5588410069932056E-3</v>
      </c>
      <c r="J144" s="32">
        <f t="shared" si="17"/>
        <v>9.0723399790180459E-3</v>
      </c>
      <c r="K144" s="32">
        <f t="shared" si="17"/>
        <v>-3.8996726788619865E-4</v>
      </c>
    </row>
    <row r="145" spans="1:11" x14ac:dyDescent="0.3">
      <c r="A145" s="68">
        <v>43675</v>
      </c>
      <c r="B145" s="32">
        <v>288.38003500000002</v>
      </c>
      <c r="C145" s="32">
        <v>28.673029</v>
      </c>
      <c r="D145" s="32">
        <v>64.779021999999998</v>
      </c>
      <c r="F145" s="32">
        <f t="shared" si="14"/>
        <v>-2.4577125988085469E-3</v>
      </c>
      <c r="G145" s="32">
        <f t="shared" si="15"/>
        <v>1.2223437422055769E-2</v>
      </c>
      <c r="H145" s="32">
        <f t="shared" si="16"/>
        <v>1.2050341690245251E-2</v>
      </c>
      <c r="I145" s="32">
        <f t="shared" si="16"/>
        <v>-6.9688805132559861E-4</v>
      </c>
      <c r="J145" s="32">
        <f t="shared" si="17"/>
        <v>3.6675360545849134E-2</v>
      </c>
      <c r="K145" s="32">
        <f t="shared" si="17"/>
        <v>2.4088204489474501E-2</v>
      </c>
    </row>
    <row r="146" spans="1:11" x14ac:dyDescent="0.3">
      <c r="A146" s="68">
        <v>43676</v>
      </c>
      <c r="B146" s="32">
        <v>287.67214999999999</v>
      </c>
      <c r="C146" s="32">
        <v>29.020638999999999</v>
      </c>
      <c r="D146" s="32">
        <v>64.733894000000006</v>
      </c>
      <c r="F146" s="32">
        <f t="shared" si="14"/>
        <v>-1.1000575959585627E-2</v>
      </c>
      <c r="G146" s="32">
        <f t="shared" si="15"/>
        <v>-3.5740503120721165E-3</v>
      </c>
      <c r="H146" s="32">
        <f t="shared" si="16"/>
        <v>-6.8215480536550528E-3</v>
      </c>
      <c r="I146" s="32">
        <f t="shared" si="16"/>
        <v>-7.6991614918235189E-3</v>
      </c>
      <c r="J146" s="32">
        <f t="shared" si="17"/>
        <v>-1.716258439699378E-2</v>
      </c>
      <c r="K146" s="32">
        <f t="shared" si="17"/>
        <v>-3.1920774764100046E-2</v>
      </c>
    </row>
    <row r="147" spans="1:11" x14ac:dyDescent="0.3">
      <c r="A147" s="68">
        <v>43677</v>
      </c>
      <c r="B147" s="32">
        <v>284.52493299999998</v>
      </c>
      <c r="C147" s="32">
        <v>28.823346999999998</v>
      </c>
      <c r="D147" s="32">
        <v>64.237410999999994</v>
      </c>
      <c r="F147" s="32">
        <f t="shared" si="14"/>
        <v>-8.7459833167139265E-3</v>
      </c>
      <c r="G147" s="32">
        <f t="shared" si="15"/>
        <v>7.8709307620673727E-3</v>
      </c>
      <c r="H147" s="32">
        <f t="shared" si="16"/>
        <v>-3.9559749989519707E-2</v>
      </c>
      <c r="I147" s="32">
        <f t="shared" si="16"/>
        <v>-4.0289647990279058E-2</v>
      </c>
      <c r="J147" s="32">
        <f t="shared" ref="J147:K162" si="18">LN(C400/C399)</f>
        <v>1.6089625109838813E-3</v>
      </c>
      <c r="K147" s="32">
        <f t="shared" si="18"/>
        <v>-6.9743116528410134E-3</v>
      </c>
    </row>
    <row r="148" spans="1:11" x14ac:dyDescent="0.3">
      <c r="A148" s="68">
        <v>43678</v>
      </c>
      <c r="B148" s="32">
        <v>282.04733299999998</v>
      </c>
      <c r="C148" s="32">
        <v>27.705362000000001</v>
      </c>
      <c r="D148" s="32">
        <v>61.700752000000001</v>
      </c>
      <c r="F148" s="32">
        <f t="shared" si="14"/>
        <v>-7.5579240743000129E-3</v>
      </c>
      <c r="G148" s="32">
        <f t="shared" si="15"/>
        <v>6.9281012182496483E-3</v>
      </c>
      <c r="H148" s="32">
        <f t="shared" si="16"/>
        <v>-3.7369375582592332E-3</v>
      </c>
      <c r="I148" s="32">
        <f t="shared" si="16"/>
        <v>-3.3959127604614729E-3</v>
      </c>
      <c r="J148" s="32">
        <f t="shared" si="18"/>
        <v>4.4115318409322542E-3</v>
      </c>
      <c r="K148" s="32">
        <f t="shared" si="18"/>
        <v>7.5698646945707654E-3</v>
      </c>
    </row>
    <row r="149" spans="1:11" x14ac:dyDescent="0.3">
      <c r="A149" s="68">
        <v>43679</v>
      </c>
      <c r="B149" s="32">
        <v>279.923676</v>
      </c>
      <c r="C149" s="32">
        <v>27.602022000000002</v>
      </c>
      <c r="D149" s="32">
        <v>61.491576999999999</v>
      </c>
      <c r="F149" s="32">
        <f t="shared" si="14"/>
        <v>-3.053449490503924E-2</v>
      </c>
      <c r="G149" s="32">
        <f t="shared" si="15"/>
        <v>3.8552603358516543E-3</v>
      </c>
      <c r="H149" s="32">
        <f t="shared" si="16"/>
        <v>-4.5256727783197996E-2</v>
      </c>
      <c r="I149" s="32">
        <f t="shared" si="16"/>
        <v>-3.6603208539079918E-2</v>
      </c>
      <c r="J149" s="32">
        <f t="shared" si="18"/>
        <v>7.9993452025973869E-4</v>
      </c>
      <c r="K149" s="32">
        <f t="shared" si="18"/>
        <v>-4.973636822457249E-3</v>
      </c>
    </row>
    <row r="150" spans="1:11" x14ac:dyDescent="0.3">
      <c r="A150" s="68">
        <v>43682</v>
      </c>
      <c r="B150" s="32">
        <v>271.50552399999998</v>
      </c>
      <c r="C150" s="32">
        <v>26.380690000000001</v>
      </c>
      <c r="D150" s="32">
        <v>59.281483000000001</v>
      </c>
      <c r="F150" s="32">
        <f t="shared" si="14"/>
        <v>1.3925438570207926E-2</v>
      </c>
      <c r="G150" s="32">
        <f t="shared" si="15"/>
        <v>6.1918234225461647E-3</v>
      </c>
      <c r="H150" s="32">
        <f t="shared" si="16"/>
        <v>1.2035494480960744E-2</v>
      </c>
      <c r="I150" s="32">
        <f t="shared" si="16"/>
        <v>1.6282816656804738E-2</v>
      </c>
      <c r="J150" s="32">
        <f t="shared" si="18"/>
        <v>1.5079692616547319E-2</v>
      </c>
      <c r="K150" s="32">
        <f t="shared" si="18"/>
        <v>1.7790624490469642E-2</v>
      </c>
    </row>
    <row r="151" spans="1:11" x14ac:dyDescent="0.3">
      <c r="A151" s="68">
        <v>43683</v>
      </c>
      <c r="B151" s="32">
        <v>275.31280500000003</v>
      </c>
      <c r="C151" s="32">
        <v>26.700113000000002</v>
      </c>
      <c r="D151" s="32">
        <v>60.254654000000002</v>
      </c>
      <c r="F151" s="32">
        <f t="shared" si="14"/>
        <v>5.9052824118590132E-4</v>
      </c>
      <c r="G151" s="32">
        <f t="shared" si="15"/>
        <v>6.6622119899506097E-3</v>
      </c>
      <c r="H151" s="32">
        <f t="shared" si="16"/>
        <v>-1.882487887644016E-2</v>
      </c>
      <c r="I151" s="32">
        <f t="shared" si="16"/>
        <v>-1.6896771785450879E-2</v>
      </c>
      <c r="J151" s="32">
        <f t="shared" si="18"/>
        <v>3.1458804684702381E-3</v>
      </c>
      <c r="K151" s="32">
        <f t="shared" si="18"/>
        <v>-2.9433156522793904E-3</v>
      </c>
    </row>
    <row r="152" spans="1:11" x14ac:dyDescent="0.3">
      <c r="A152" s="68">
        <v>43684</v>
      </c>
      <c r="B152" s="32">
        <v>275.47543300000001</v>
      </c>
      <c r="C152" s="32">
        <v>26.202188</v>
      </c>
      <c r="D152" s="32">
        <v>59.245097999999999</v>
      </c>
      <c r="F152" s="32">
        <f t="shared" si="14"/>
        <v>1.9429859349188089E-2</v>
      </c>
      <c r="G152" s="32">
        <f t="shared" si="15"/>
        <v>7.1766390178361209E-4</v>
      </c>
      <c r="H152" s="32">
        <f t="shared" si="16"/>
        <v>1.741655278279116E-2</v>
      </c>
      <c r="I152" s="32">
        <f t="shared" si="16"/>
        <v>2.4265828618586244E-2</v>
      </c>
      <c r="J152" s="32">
        <f t="shared" si="18"/>
        <v>2.4816954347196222E-2</v>
      </c>
      <c r="K152" s="32">
        <f t="shared" si="18"/>
        <v>2.3882392755008797E-2</v>
      </c>
    </row>
    <row r="153" spans="1:11" x14ac:dyDescent="0.3">
      <c r="A153" s="68">
        <v>43685</v>
      </c>
      <c r="B153" s="32">
        <v>280.88021900000001</v>
      </c>
      <c r="C153" s="32">
        <v>26.662537</v>
      </c>
      <c r="D153" s="32">
        <v>60.700313999999999</v>
      </c>
      <c r="F153" s="32">
        <f t="shared" si="14"/>
        <v>-6.8348879894453117E-3</v>
      </c>
      <c r="G153" s="32">
        <f t="shared" si="15"/>
        <v>2.984545395056242E-3</v>
      </c>
      <c r="H153" s="32">
        <f t="shared" si="16"/>
        <v>-1.7633140554692321E-3</v>
      </c>
      <c r="I153" s="32">
        <f t="shared" si="16"/>
        <v>-1.0392410124473235E-2</v>
      </c>
      <c r="J153" s="32">
        <f t="shared" si="18"/>
        <v>1.7087963312164972E-2</v>
      </c>
      <c r="K153" s="32">
        <f t="shared" si="18"/>
        <v>1.4098159449047435E-2</v>
      </c>
    </row>
    <row r="154" spans="1:11" x14ac:dyDescent="0.3">
      <c r="A154" s="68">
        <v>43686</v>
      </c>
      <c r="B154" s="32">
        <v>278.96697999999998</v>
      </c>
      <c r="C154" s="32">
        <v>26.615563999999999</v>
      </c>
      <c r="D154" s="32">
        <v>60.072758</v>
      </c>
      <c r="F154" s="32">
        <f t="shared" si="14"/>
        <v>-1.2247951626284026E-2</v>
      </c>
      <c r="G154" s="32">
        <f t="shared" si="15"/>
        <v>-8.2890145175563215E-3</v>
      </c>
      <c r="H154" s="32">
        <f t="shared" si="16"/>
        <v>-2.465737161360617E-2</v>
      </c>
      <c r="I154" s="32">
        <f t="shared" si="16"/>
        <v>-2.7786085328495417E-2</v>
      </c>
      <c r="J154" s="32">
        <f t="shared" si="18"/>
        <v>1.346324304620004E-2</v>
      </c>
      <c r="K154" s="32">
        <f t="shared" si="18"/>
        <v>1.6882702431554174E-2</v>
      </c>
    </row>
    <row r="155" spans="1:11" x14ac:dyDescent="0.3">
      <c r="A155" s="68">
        <v>43689</v>
      </c>
      <c r="B155" s="32">
        <v>275.57104500000003</v>
      </c>
      <c r="C155" s="32">
        <v>25.967319</v>
      </c>
      <c r="D155" s="32">
        <v>58.426547999999997</v>
      </c>
      <c r="F155" s="32">
        <f t="shared" si="14"/>
        <v>1.5432068007855295E-2</v>
      </c>
      <c r="G155" s="32">
        <f t="shared" si="15"/>
        <v>1.3846001542401176E-2</v>
      </c>
      <c r="H155" s="32">
        <f t="shared" si="16"/>
        <v>2.8902266576841759E-3</v>
      </c>
      <c r="I155" s="32">
        <f t="shared" si="16"/>
        <v>9.1424326024910092E-3</v>
      </c>
      <c r="J155" s="32">
        <f t="shared" si="18"/>
        <v>-7.0828587702510583E-3</v>
      </c>
      <c r="K155" s="32">
        <f t="shared" si="18"/>
        <v>-7.6556187688616292E-3</v>
      </c>
    </row>
    <row r="156" spans="1:11" x14ac:dyDescent="0.3">
      <c r="A156" s="68">
        <v>43690</v>
      </c>
      <c r="B156" s="32">
        <v>279.85665899999998</v>
      </c>
      <c r="C156" s="32">
        <v>26.042479</v>
      </c>
      <c r="D156" s="32">
        <v>58.963158</v>
      </c>
      <c r="F156" s="32">
        <f t="shared" si="14"/>
        <v>-3.0013530852201341E-2</v>
      </c>
      <c r="G156" s="32">
        <f t="shared" si="15"/>
        <v>-1.8094628661650342E-3</v>
      </c>
      <c r="H156" s="32">
        <f t="shared" si="16"/>
        <v>-4.8033061349819536E-2</v>
      </c>
      <c r="I156" s="32">
        <f t="shared" si="16"/>
        <v>-5.4195906888096293E-2</v>
      </c>
      <c r="J156" s="32">
        <f t="shared" si="18"/>
        <v>-1.4318294136003419E-2</v>
      </c>
      <c r="K156" s="32">
        <f t="shared" si="18"/>
        <v>-8.6596892023265305E-3</v>
      </c>
    </row>
    <row r="157" spans="1:11" x14ac:dyDescent="0.3">
      <c r="A157" s="68">
        <v>43691</v>
      </c>
      <c r="B157" s="32">
        <v>271.58197000000001</v>
      </c>
      <c r="C157" s="32">
        <v>24.821145999999999</v>
      </c>
      <c r="D157" s="32">
        <v>55.852646</v>
      </c>
      <c r="F157" s="32">
        <f t="shared" si="14"/>
        <v>2.6385543757727549E-3</v>
      </c>
      <c r="G157" s="32">
        <f t="shared" si="15"/>
        <v>2.9806557513202015E-5</v>
      </c>
      <c r="H157" s="32">
        <f t="shared" si="16"/>
        <v>-6.4552231567601131E-3</v>
      </c>
      <c r="I157" s="32">
        <f t="shared" si="16"/>
        <v>-1.4665739502539947E-3</v>
      </c>
      <c r="J157" s="32">
        <f t="shared" si="18"/>
        <v>4.5437227270958549E-3</v>
      </c>
      <c r="K157" s="32">
        <f t="shared" si="18"/>
        <v>7.5589838781286208E-4</v>
      </c>
    </row>
    <row r="158" spans="1:11" x14ac:dyDescent="0.3">
      <c r="A158" s="68">
        <v>43692</v>
      </c>
      <c r="B158" s="32">
        <v>272.29950000000002</v>
      </c>
      <c r="C158" s="32">
        <v>24.661435999999998</v>
      </c>
      <c r="D158" s="32">
        <v>55.770794000000002</v>
      </c>
      <c r="F158" s="32">
        <f t="shared" si="14"/>
        <v>1.4647026271007172E-2</v>
      </c>
      <c r="G158" s="32">
        <f t="shared" si="15"/>
        <v>3.171449619756244E-3</v>
      </c>
      <c r="H158" s="32">
        <f t="shared" si="16"/>
        <v>2.9281491142954589E-2</v>
      </c>
      <c r="I158" s="32">
        <f t="shared" si="16"/>
        <v>3.4618807928924668E-2</v>
      </c>
      <c r="J158" s="32">
        <f t="shared" si="18"/>
        <v>-2.1769048169300014E-2</v>
      </c>
      <c r="K158" s="32">
        <f t="shared" si="18"/>
        <v>-2.8943090051109413E-2</v>
      </c>
    </row>
    <row r="159" spans="1:11" x14ac:dyDescent="0.3">
      <c r="A159" s="68">
        <v>43693</v>
      </c>
      <c r="B159" s="32">
        <v>276.31723</v>
      </c>
      <c r="C159" s="32">
        <v>25.394235999999999</v>
      </c>
      <c r="D159" s="32">
        <v>57.735320999999999</v>
      </c>
      <c r="F159" s="32">
        <f t="shared" si="14"/>
        <v>1.1975678781681421E-2</v>
      </c>
      <c r="G159" s="32">
        <f t="shared" si="15"/>
        <v>2.1581427147258519E-3</v>
      </c>
      <c r="H159" s="32">
        <f t="shared" si="16"/>
        <v>8.8397189519441501E-3</v>
      </c>
      <c r="I159" s="32">
        <f t="shared" si="16"/>
        <v>1.2990340016155238E-2</v>
      </c>
      <c r="J159" s="32">
        <f t="shared" si="18"/>
        <v>-1.4388648021826473E-2</v>
      </c>
      <c r="K159" s="32">
        <f t="shared" si="18"/>
        <v>-2.1227198488306842E-2</v>
      </c>
    </row>
    <row r="160" spans="1:11" x14ac:dyDescent="0.3">
      <c r="A160" s="68">
        <v>43696</v>
      </c>
      <c r="B160" s="32">
        <v>279.64621</v>
      </c>
      <c r="C160" s="32">
        <v>25.619709</v>
      </c>
      <c r="D160" s="32">
        <v>58.490214999999999</v>
      </c>
      <c r="F160" s="32">
        <f t="shared" si="14"/>
        <v>-7.6920182929030361E-3</v>
      </c>
      <c r="G160" s="32">
        <f t="shared" si="15"/>
        <v>-4.1724515807602539E-3</v>
      </c>
      <c r="H160" s="32">
        <f t="shared" si="16"/>
        <v>-2.0374696689986409E-2</v>
      </c>
      <c r="I160" s="32">
        <f t="shared" si="16"/>
        <v>-1.3935944950507113E-2</v>
      </c>
      <c r="J160" s="32">
        <f t="shared" si="18"/>
        <v>-1.1760082122568307E-3</v>
      </c>
      <c r="K160" s="32">
        <f t="shared" si="18"/>
        <v>-9.9358904911540295E-4</v>
      </c>
    </row>
    <row r="161" spans="1:11" x14ac:dyDescent="0.3">
      <c r="A161" s="68">
        <v>43697</v>
      </c>
      <c r="B161" s="32">
        <v>277.50341800000001</v>
      </c>
      <c r="C161" s="32">
        <v>25.102996999999998</v>
      </c>
      <c r="D161" s="32">
        <v>57.680751999999998</v>
      </c>
      <c r="F161" s="32">
        <f t="shared" si="14"/>
        <v>8.1023669706863574E-3</v>
      </c>
      <c r="G161" s="32">
        <f t="shared" si="15"/>
        <v>3.1088036622290809E-3</v>
      </c>
      <c r="H161" s="32">
        <f t="shared" si="16"/>
        <v>7.828419091882902E-3</v>
      </c>
      <c r="I161" s="32">
        <f t="shared" si="16"/>
        <v>-2.6840423771619273E-3</v>
      </c>
      <c r="J161" s="32">
        <f t="shared" si="18"/>
        <v>-1.5810460746302504E-2</v>
      </c>
      <c r="K161" s="32">
        <f t="shared" si="18"/>
        <v>-1.4218769656472943E-2</v>
      </c>
    </row>
    <row r="162" spans="1:11" x14ac:dyDescent="0.3">
      <c r="A162" s="68">
        <v>43698</v>
      </c>
      <c r="B162" s="32">
        <v>279.760986</v>
      </c>
      <c r="C162" s="32">
        <v>25.300284999999999</v>
      </c>
      <c r="D162" s="32">
        <v>57.526142</v>
      </c>
      <c r="F162" s="32">
        <f t="shared" si="14"/>
        <v>-3.0777432570753909E-4</v>
      </c>
      <c r="G162" s="32">
        <f t="shared" si="15"/>
        <v>3.541042825070556E-3</v>
      </c>
      <c r="H162" s="32">
        <f t="shared" si="16"/>
        <v>9.6084827527848377E-3</v>
      </c>
      <c r="I162" s="32">
        <f t="shared" si="16"/>
        <v>1.0380719734695549E-2</v>
      </c>
      <c r="J162" s="32">
        <f t="shared" si="18"/>
        <v>-4.7923218760196774E-3</v>
      </c>
      <c r="K162" s="32">
        <f t="shared" si="18"/>
        <v>-5.663537847232311E-3</v>
      </c>
    </row>
    <row r="163" spans="1:11" x14ac:dyDescent="0.3">
      <c r="A163" s="68">
        <v>43699</v>
      </c>
      <c r="B163" s="32">
        <v>279.67489599999999</v>
      </c>
      <c r="C163" s="32">
        <v>25.544554000000002</v>
      </c>
      <c r="D163" s="32">
        <v>58.126415000000001</v>
      </c>
      <c r="F163" s="32">
        <f t="shared" si="14"/>
        <v>-2.6023049524832829E-2</v>
      </c>
      <c r="G163" s="32">
        <f t="shared" si="15"/>
        <v>1.0082271989902865E-2</v>
      </c>
      <c r="H163" s="32">
        <f t="shared" si="16"/>
        <v>-2.6837320522475915E-2</v>
      </c>
      <c r="I163" s="32">
        <f t="shared" si="16"/>
        <v>-3.1148283855107609E-2</v>
      </c>
      <c r="J163" s="32">
        <f t="shared" ref="J163:K178" si="19">LN(C416/C415)</f>
        <v>2.8026385212967943E-2</v>
      </c>
      <c r="K163" s="32">
        <f t="shared" si="19"/>
        <v>3.5077323370732265E-2</v>
      </c>
    </row>
    <row r="164" spans="1:11" x14ac:dyDescent="0.3">
      <c r="A164" s="68">
        <v>43700</v>
      </c>
      <c r="B164" s="32">
        <v>272.49078400000002</v>
      </c>
      <c r="C164" s="32">
        <v>24.868124000000002</v>
      </c>
      <c r="D164" s="32">
        <v>56.343783999999999</v>
      </c>
      <c r="F164" s="32">
        <f t="shared" si="14"/>
        <v>1.0997677240192091E-2</v>
      </c>
      <c r="G164" s="32">
        <f t="shared" si="15"/>
        <v>3.4930340856091997E-3</v>
      </c>
      <c r="H164" s="32">
        <f t="shared" si="16"/>
        <v>1.1643290824240414E-2</v>
      </c>
      <c r="I164" s="32">
        <f t="shared" si="16"/>
        <v>1.2352764124201745E-2</v>
      </c>
      <c r="J164" s="32">
        <f t="shared" si="19"/>
        <v>1.1994667189890571E-2</v>
      </c>
      <c r="K164" s="32">
        <f t="shared" si="19"/>
        <v>1.148898005843876E-2</v>
      </c>
    </row>
    <row r="165" spans="1:11" x14ac:dyDescent="0.3">
      <c r="A165" s="68">
        <v>43703</v>
      </c>
      <c r="B165" s="32">
        <v>275.50408900000002</v>
      </c>
      <c r="C165" s="32">
        <v>25.159362999999999</v>
      </c>
      <c r="D165" s="32">
        <v>57.044102000000002</v>
      </c>
      <c r="F165" s="32">
        <f t="shared" si="14"/>
        <v>-3.9312998619302399E-3</v>
      </c>
      <c r="G165" s="32">
        <f t="shared" si="15"/>
        <v>9.9757957256524626E-3</v>
      </c>
      <c r="H165" s="32">
        <f t="shared" si="16"/>
        <v>-1.1643290824240499E-2</v>
      </c>
      <c r="I165" s="32">
        <f t="shared" si="16"/>
        <v>-1.7044928121720277E-2</v>
      </c>
      <c r="J165" s="32">
        <f t="shared" si="19"/>
        <v>-1.7068081353510577E-2</v>
      </c>
      <c r="K165" s="32">
        <f t="shared" si="19"/>
        <v>-1.5610258550687877E-2</v>
      </c>
    </row>
    <row r="166" spans="1:11" x14ac:dyDescent="0.3">
      <c r="A166" s="68">
        <v>43704</v>
      </c>
      <c r="B166" s="32">
        <v>274.42312600000002</v>
      </c>
      <c r="C166" s="32">
        <v>24.868124000000002</v>
      </c>
      <c r="D166" s="32">
        <v>56.080029000000003</v>
      </c>
      <c r="F166" s="32">
        <f t="shared" si="14"/>
        <v>7.0170182086970109E-3</v>
      </c>
      <c r="G166" s="32">
        <f t="shared" si="15"/>
        <v>2.1842493679878022E-3</v>
      </c>
      <c r="H166" s="32">
        <f t="shared" si="16"/>
        <v>1.425373854932566E-2</v>
      </c>
      <c r="I166" s="32">
        <f t="shared" si="16"/>
        <v>1.1288569889364752E-2</v>
      </c>
      <c r="J166" s="32">
        <f t="shared" si="19"/>
        <v>1.898919408389816E-2</v>
      </c>
      <c r="K166" s="32">
        <f t="shared" si="19"/>
        <v>1.6964551453203424E-2</v>
      </c>
    </row>
    <row r="167" spans="1:11" x14ac:dyDescent="0.3">
      <c r="A167" s="68">
        <v>43705</v>
      </c>
      <c r="B167" s="32">
        <v>276.35552999999999</v>
      </c>
      <c r="C167" s="32">
        <v>25.225125999999999</v>
      </c>
      <c r="D167" s="32">
        <v>56.716678999999999</v>
      </c>
      <c r="F167" s="32">
        <f t="shared" si="14"/>
        <v>1.269206617719397E-2</v>
      </c>
      <c r="G167" s="32">
        <f t="shared" si="15"/>
        <v>6.438442114246835E-3</v>
      </c>
      <c r="H167" s="32">
        <f t="shared" si="16"/>
        <v>1.7719218976242786E-2</v>
      </c>
      <c r="I167" s="32">
        <f t="shared" si="16"/>
        <v>2.4395413618059206E-2</v>
      </c>
      <c r="J167" s="32">
        <f t="shared" si="19"/>
        <v>9.5513007251530283E-3</v>
      </c>
      <c r="K167" s="32">
        <f t="shared" si="19"/>
        <v>1.0769264728438182E-2</v>
      </c>
    </row>
    <row r="168" spans="1:11" x14ac:dyDescent="0.3">
      <c r="A168" s="68">
        <v>43706</v>
      </c>
      <c r="B168" s="32">
        <v>279.88540599999999</v>
      </c>
      <c r="C168" s="32">
        <v>25.676079000000001</v>
      </c>
      <c r="D168" s="32">
        <v>58.117320999999997</v>
      </c>
      <c r="F168" s="32">
        <f t="shared" si="14"/>
        <v>-4.4463791361255291E-4</v>
      </c>
      <c r="G168" s="32">
        <f t="shared" si="15"/>
        <v>-3.6290202579682233E-3</v>
      </c>
      <c r="H168" s="32">
        <f t="shared" si="16"/>
        <v>6.5646525077694227E-3</v>
      </c>
      <c r="I168" s="32">
        <f t="shared" si="16"/>
        <v>7.0174033603805832E-3</v>
      </c>
      <c r="J168" s="32">
        <f t="shared" si="19"/>
        <v>-2.1522808577209045E-2</v>
      </c>
      <c r="K168" s="32">
        <f t="shared" si="19"/>
        <v>-2.2438163292051793E-2</v>
      </c>
    </row>
    <row r="169" spans="1:11" x14ac:dyDescent="0.3">
      <c r="A169" s="68">
        <v>43707</v>
      </c>
      <c r="B169" s="32">
        <v>279.760986</v>
      </c>
      <c r="C169" s="32">
        <v>25.845188</v>
      </c>
      <c r="D169" s="32">
        <v>58.526587999999997</v>
      </c>
      <c r="F169" s="32">
        <f t="shared" si="14"/>
        <v>-5.864194840026757E-3</v>
      </c>
      <c r="G169" s="32">
        <f t="shared" si="15"/>
        <v>9.3743251384207551E-3</v>
      </c>
      <c r="H169" s="32">
        <f t="shared" si="16"/>
        <v>-1.6862752289906906E-2</v>
      </c>
      <c r="I169" s="32">
        <f t="shared" si="16"/>
        <v>-1.4557616372711919E-2</v>
      </c>
      <c r="J169" s="32">
        <f t="shared" si="19"/>
        <v>-1.1661257051437037E-3</v>
      </c>
      <c r="K169" s="32">
        <f t="shared" si="19"/>
        <v>1.5636764189145313E-3</v>
      </c>
    </row>
    <row r="170" spans="1:11" x14ac:dyDescent="0.3">
      <c r="A170" s="68">
        <v>43711</v>
      </c>
      <c r="B170" s="32">
        <v>278.12521400000003</v>
      </c>
      <c r="C170" s="32">
        <v>25.413021000000001</v>
      </c>
      <c r="D170" s="32">
        <v>57.680751999999998</v>
      </c>
      <c r="F170" s="32">
        <f t="shared" si="14"/>
        <v>1.1286348682758877E-2</v>
      </c>
      <c r="G170" s="32">
        <f t="shared" si="15"/>
        <v>1.4360539676069126E-2</v>
      </c>
      <c r="H170" s="32">
        <f t="shared" si="16"/>
        <v>1.6135273065731412E-2</v>
      </c>
      <c r="I170" s="32">
        <f t="shared" si="16"/>
        <v>1.3469330722588961E-2</v>
      </c>
      <c r="J170" s="32">
        <f t="shared" si="19"/>
        <v>1.1985392902676932E-2</v>
      </c>
      <c r="K170" s="32">
        <f t="shared" si="19"/>
        <v>1.4542291801855595E-2</v>
      </c>
    </row>
    <row r="171" spans="1:11" x14ac:dyDescent="0.3">
      <c r="A171" s="68">
        <v>43712</v>
      </c>
      <c r="B171" s="32">
        <v>281.28201300000001</v>
      </c>
      <c r="C171" s="32">
        <v>25.826392999999999</v>
      </c>
      <c r="D171" s="32">
        <v>58.462929000000003</v>
      </c>
      <c r="F171" s="32">
        <f t="shared" si="14"/>
        <v>1.2773594342175948E-2</v>
      </c>
      <c r="G171" s="32">
        <f t="shared" si="15"/>
        <v>-3.5020320002152355E-2</v>
      </c>
      <c r="H171" s="32">
        <f t="shared" si="16"/>
        <v>2.9228131098841297E-2</v>
      </c>
      <c r="I171" s="32">
        <f t="shared" si="16"/>
        <v>3.1544465788214383E-2</v>
      </c>
      <c r="J171" s="32">
        <f t="shared" si="19"/>
        <v>-6.990383797213306E-3</v>
      </c>
      <c r="K171" s="32">
        <f t="shared" si="19"/>
        <v>-8.6997835048459368E-3</v>
      </c>
    </row>
    <row r="172" spans="1:11" x14ac:dyDescent="0.3">
      <c r="A172" s="68">
        <v>43713</v>
      </c>
      <c r="B172" s="32">
        <v>284.89804099999998</v>
      </c>
      <c r="C172" s="32">
        <v>26.592390000000002</v>
      </c>
      <c r="D172" s="32">
        <v>60.336506</v>
      </c>
      <c r="F172" s="32">
        <f t="shared" si="14"/>
        <v>7.7191159156809661E-4</v>
      </c>
      <c r="G172" s="32">
        <f t="shared" si="15"/>
        <v>-8.1982857860063846E-3</v>
      </c>
      <c r="H172" s="32">
        <f t="shared" si="16"/>
        <v>-1.3966193021449339E-2</v>
      </c>
      <c r="I172" s="32">
        <f t="shared" si="16"/>
        <v>-5.5930146284296368E-3</v>
      </c>
      <c r="J172" s="32">
        <f t="shared" si="19"/>
        <v>3.3719702859012705E-2</v>
      </c>
      <c r="K172" s="32">
        <f t="shared" si="19"/>
        <v>1.9612086542018486E-2</v>
      </c>
    </row>
    <row r="173" spans="1:11" x14ac:dyDescent="0.3">
      <c r="A173" s="68">
        <v>43714</v>
      </c>
      <c r="B173" s="32">
        <v>285.118042</v>
      </c>
      <c r="C173" s="32">
        <v>26.223576999999999</v>
      </c>
      <c r="D173" s="32">
        <v>59.999985000000002</v>
      </c>
      <c r="F173" s="32">
        <f t="shared" si="14"/>
        <v>5.0325783396237356E-4</v>
      </c>
      <c r="G173" s="32">
        <f t="shared" si="15"/>
        <v>-2.7703201411442682E-2</v>
      </c>
      <c r="H173" s="32">
        <f t="shared" si="16"/>
        <v>3.1940303796190013E-2</v>
      </c>
      <c r="I173" s="32">
        <f t="shared" si="16"/>
        <v>4.1858507414381886E-2</v>
      </c>
      <c r="J173" s="32">
        <f t="shared" si="19"/>
        <v>-4.0759215421800186E-2</v>
      </c>
      <c r="K173" s="32">
        <f t="shared" si="19"/>
        <v>-2.8584313333734426E-2</v>
      </c>
    </row>
    <row r="174" spans="1:11" x14ac:dyDescent="0.3">
      <c r="A174" s="68">
        <v>43717</v>
      </c>
      <c r="B174" s="32">
        <v>285.26156600000002</v>
      </c>
      <c r="C174" s="32">
        <v>27.074686</v>
      </c>
      <c r="D174" s="32">
        <v>62.564799999999998</v>
      </c>
      <c r="F174" s="32">
        <f t="shared" si="14"/>
        <v>-2.3463676785651761E-4</v>
      </c>
      <c r="G174" s="32">
        <f t="shared" si="15"/>
        <v>1.9554979105997114E-2</v>
      </c>
      <c r="H174" s="32">
        <f t="shared" si="16"/>
        <v>2.4837525510246122E-2</v>
      </c>
      <c r="I174" s="32">
        <f t="shared" si="16"/>
        <v>2.7581611651560354E-3</v>
      </c>
      <c r="J174" s="32">
        <f t="shared" si="19"/>
        <v>1.1768334492579333E-3</v>
      </c>
      <c r="K174" s="32">
        <f t="shared" si="19"/>
        <v>7.0284936588998915E-3</v>
      </c>
    </row>
    <row r="175" spans="1:11" x14ac:dyDescent="0.3">
      <c r="A175" s="68">
        <v>43718</v>
      </c>
      <c r="B175" s="32">
        <v>285.19464099999999</v>
      </c>
      <c r="C175" s="32">
        <v>27.755575</v>
      </c>
      <c r="D175" s="32">
        <v>62.737602000000003</v>
      </c>
      <c r="F175" s="32">
        <f t="shared" si="14"/>
        <v>7.0853970579312607E-3</v>
      </c>
      <c r="G175" s="32">
        <f t="shared" si="15"/>
        <v>-1.751620608252415E-2</v>
      </c>
      <c r="H175" s="32">
        <f t="shared" si="16"/>
        <v>3.7407462542444615E-3</v>
      </c>
      <c r="I175" s="32">
        <f t="shared" si="16"/>
        <v>-1.160631537823585E-3</v>
      </c>
      <c r="J175" s="32">
        <f t="shared" si="19"/>
        <v>-1.4610298201053161E-2</v>
      </c>
      <c r="K175" s="32">
        <f t="shared" si="19"/>
        <v>-8.7933682102210465E-3</v>
      </c>
    </row>
    <row r="176" spans="1:11" x14ac:dyDescent="0.3">
      <c r="A176" s="68">
        <v>43719</v>
      </c>
      <c r="B176" s="32">
        <v>287.222534</v>
      </c>
      <c r="C176" s="32">
        <v>27.859596</v>
      </c>
      <c r="D176" s="32">
        <v>62.664828999999997</v>
      </c>
      <c r="F176" s="32">
        <f t="shared" si="14"/>
        <v>3.457997316739906E-3</v>
      </c>
      <c r="G176" s="32">
        <f t="shared" si="15"/>
        <v>5.0899766220212589E-4</v>
      </c>
      <c r="H176" s="32">
        <f t="shared" si="16"/>
        <v>7.1031364313838838E-3</v>
      </c>
      <c r="I176" s="32">
        <f t="shared" si="16"/>
        <v>5.7888928674381737E-3</v>
      </c>
      <c r="J176" s="32">
        <f t="shared" si="19"/>
        <v>1.4218052997153579E-2</v>
      </c>
      <c r="K176" s="32">
        <f t="shared" si="19"/>
        <v>9.8089120821361932E-4</v>
      </c>
    </row>
    <row r="177" spans="1:11" x14ac:dyDescent="0.3">
      <c r="A177" s="68">
        <v>43720</v>
      </c>
      <c r="B177" s="32">
        <v>288.217468</v>
      </c>
      <c r="C177" s="32">
        <v>28.058191000000001</v>
      </c>
      <c r="D177" s="32">
        <v>63.028641</v>
      </c>
      <c r="F177" s="32">
        <f t="shared" si="14"/>
        <v>-6.6389974574822784E-4</v>
      </c>
      <c r="G177" s="32">
        <f t="shared" si="15"/>
        <v>1.3085322740615192E-2</v>
      </c>
      <c r="H177" s="32">
        <f t="shared" si="16"/>
        <v>1.6711628271491481E-2</v>
      </c>
      <c r="I177" s="32">
        <f t="shared" si="16"/>
        <v>1.5606245550137973E-2</v>
      </c>
      <c r="J177" s="32">
        <f t="shared" si="19"/>
        <v>9.7563444588585537E-3</v>
      </c>
      <c r="K177" s="32">
        <f t="shared" si="19"/>
        <v>-5.7504508237434068E-2</v>
      </c>
    </row>
    <row r="178" spans="1:11" x14ac:dyDescent="0.3">
      <c r="A178" s="68">
        <v>43721</v>
      </c>
      <c r="B178" s="32">
        <v>288.026184</v>
      </c>
      <c r="C178" s="32">
        <v>28.531029</v>
      </c>
      <c r="D178" s="32">
        <v>64.019997000000004</v>
      </c>
      <c r="F178" s="32">
        <f t="shared" si="14"/>
        <v>-3.0936628073746802E-3</v>
      </c>
      <c r="G178" s="32">
        <f t="shared" si="15"/>
        <v>5.0396559102453648E-3</v>
      </c>
      <c r="H178" s="32">
        <f t="shared" si="16"/>
        <v>-1.3269099422574899E-3</v>
      </c>
      <c r="I178" s="32">
        <f t="shared" si="16"/>
        <v>-7.987501420820331E-3</v>
      </c>
      <c r="J178" s="32">
        <f t="shared" si="19"/>
        <v>-1.8421103697218656E-2</v>
      </c>
      <c r="K178" s="32">
        <f t="shared" si="19"/>
        <v>-7.18898188948357E-2</v>
      </c>
    </row>
    <row r="179" spans="1:11" x14ac:dyDescent="0.3">
      <c r="A179" s="68">
        <v>43724</v>
      </c>
      <c r="B179" s="32">
        <v>287.136505</v>
      </c>
      <c r="C179" s="32">
        <v>28.493196000000001</v>
      </c>
      <c r="D179" s="32">
        <v>63.510674000000002</v>
      </c>
      <c r="F179" s="32">
        <f t="shared" si="14"/>
        <v>2.5288741229192516E-3</v>
      </c>
      <c r="G179" s="32">
        <f t="shared" si="15"/>
        <v>-3.9765733661448243E-3</v>
      </c>
      <c r="H179" s="32">
        <f t="shared" si="16"/>
        <v>-6.3258928459426567E-3</v>
      </c>
      <c r="I179" s="32">
        <f t="shared" si="16"/>
        <v>-5.0245151921985446E-3</v>
      </c>
      <c r="J179" s="32">
        <f t="shared" ref="J179:K194" si="20">LN(C432/C431)</f>
        <v>1.2578734813901789E-2</v>
      </c>
      <c r="K179" s="32">
        <f t="shared" si="20"/>
        <v>2.6644684123485446E-2</v>
      </c>
    </row>
    <row r="180" spans="1:11" x14ac:dyDescent="0.3">
      <c r="A180" s="68">
        <v>43725</v>
      </c>
      <c r="B180" s="32">
        <v>287.86355600000002</v>
      </c>
      <c r="C180" s="32">
        <v>28.31352</v>
      </c>
      <c r="D180" s="32">
        <v>63.192363999999998</v>
      </c>
      <c r="F180" s="32">
        <f t="shared" si="14"/>
        <v>5.9805941162025E-4</v>
      </c>
      <c r="G180" s="32">
        <f t="shared" si="15"/>
        <v>-8.8342732040425608E-3</v>
      </c>
      <c r="H180" s="32">
        <f t="shared" si="16"/>
        <v>2.0019843048885264E-3</v>
      </c>
      <c r="I180" s="32">
        <f t="shared" si="16"/>
        <v>8.7407080359191893E-3</v>
      </c>
      <c r="J180" s="32">
        <f t="shared" si="20"/>
        <v>-9.813630262323585E-3</v>
      </c>
      <c r="K180" s="32">
        <f t="shared" si="20"/>
        <v>-1.0704560023585909E-2</v>
      </c>
    </row>
    <row r="181" spans="1:11" x14ac:dyDescent="0.3">
      <c r="A181" s="68">
        <v>43726</v>
      </c>
      <c r="B181" s="32">
        <v>288.03576700000002</v>
      </c>
      <c r="C181" s="32">
        <v>28.370259999999998</v>
      </c>
      <c r="D181" s="32">
        <v>63.747131000000003</v>
      </c>
      <c r="F181" s="32">
        <f t="shared" si="14"/>
        <v>-6.6646721975910925E-5</v>
      </c>
      <c r="G181" s="32">
        <f t="shared" si="15"/>
        <v>-1.157926570447082E-2</v>
      </c>
      <c r="H181" s="32">
        <f t="shared" si="16"/>
        <v>-6.0179815455490542E-3</v>
      </c>
      <c r="I181" s="32">
        <f t="shared" si="16"/>
        <v>-5.1490254235299947E-3</v>
      </c>
      <c r="J181" s="32">
        <f t="shared" si="20"/>
        <v>-5.5379578739843038E-3</v>
      </c>
      <c r="K181" s="32">
        <f t="shared" si="20"/>
        <v>-1.4824926844704892E-2</v>
      </c>
    </row>
    <row r="182" spans="1:11" x14ac:dyDescent="0.3">
      <c r="A182" s="68">
        <v>43727</v>
      </c>
      <c r="B182" s="32">
        <v>288.016571</v>
      </c>
      <c r="C182" s="32">
        <v>28.200040999999999</v>
      </c>
      <c r="D182" s="32">
        <v>63.419739</v>
      </c>
      <c r="F182" s="32">
        <f t="shared" si="14"/>
        <v>-4.7359563540934763E-3</v>
      </c>
      <c r="G182" s="32">
        <f t="shared" si="15"/>
        <v>-1.1191999623031211E-2</v>
      </c>
      <c r="H182" s="32">
        <f t="shared" si="16"/>
        <v>-7.742902018055298E-3</v>
      </c>
      <c r="I182" s="32">
        <f t="shared" si="16"/>
        <v>-5.4646108958009195E-3</v>
      </c>
      <c r="J182" s="32">
        <f t="shared" si="20"/>
        <v>-2.9792844616057607E-2</v>
      </c>
      <c r="K182" s="32">
        <f t="shared" si="20"/>
        <v>-2.0948989267195482E-2</v>
      </c>
    </row>
    <row r="183" spans="1:11" x14ac:dyDescent="0.3">
      <c r="A183" s="68">
        <v>43728</v>
      </c>
      <c r="B183" s="32">
        <v>286.65576199999998</v>
      </c>
      <c r="C183" s="32">
        <v>27.982534000000001</v>
      </c>
      <c r="D183" s="32">
        <v>63.074120000000001</v>
      </c>
      <c r="F183" s="32">
        <f t="shared" si="14"/>
        <v>-2.3477602233979713E-4</v>
      </c>
      <c r="G183" s="32">
        <f t="shared" si="15"/>
        <v>1.0132917170979493E-2</v>
      </c>
      <c r="H183" s="32">
        <f t="shared" si="16"/>
        <v>-2.3684926348681102E-3</v>
      </c>
      <c r="I183" s="32">
        <f t="shared" si="16"/>
        <v>2.8796316890031862E-3</v>
      </c>
      <c r="J183" s="32">
        <f t="shared" si="20"/>
        <v>-2.1897249579190425E-2</v>
      </c>
      <c r="K183" s="32">
        <f t="shared" si="20"/>
        <v>-1.4676049547178466E-2</v>
      </c>
    </row>
    <row r="184" spans="1:11" x14ac:dyDescent="0.3">
      <c r="A184" s="68">
        <v>43731</v>
      </c>
      <c r="B184" s="32">
        <v>286.58846999999997</v>
      </c>
      <c r="C184" s="32">
        <v>27.916336000000001</v>
      </c>
      <c r="D184" s="32">
        <v>63.256011999999998</v>
      </c>
      <c r="F184" s="32">
        <f t="shared" si="14"/>
        <v>-7.8778803510494363E-3</v>
      </c>
      <c r="G184" s="32">
        <f t="shared" si="15"/>
        <v>-2.3464196806804401E-2</v>
      </c>
      <c r="H184" s="32">
        <f t="shared" si="16"/>
        <v>-1.9843106923289448E-2</v>
      </c>
      <c r="I184" s="32">
        <f t="shared" si="16"/>
        <v>-2.4009838322563756E-2</v>
      </c>
      <c r="J184" s="32">
        <f t="shared" si="20"/>
        <v>-2.8815599568914989E-2</v>
      </c>
      <c r="K184" s="32">
        <f t="shared" si="20"/>
        <v>-3.3829675160828014E-2</v>
      </c>
    </row>
    <row r="185" spans="1:11" x14ac:dyDescent="0.3">
      <c r="A185" s="68">
        <v>43732</v>
      </c>
      <c r="B185" s="32">
        <v>284.33963</v>
      </c>
      <c r="C185" s="32">
        <v>27.367849</v>
      </c>
      <c r="D185" s="32">
        <v>61.755333</v>
      </c>
      <c r="F185" s="32">
        <f t="shared" si="14"/>
        <v>5.8975229320404263E-3</v>
      </c>
      <c r="G185" s="32">
        <f t="shared" si="15"/>
        <v>2.6617718559978965E-3</v>
      </c>
      <c r="H185" s="32">
        <f t="shared" si="16"/>
        <v>1.0654801669388243E-2</v>
      </c>
      <c r="I185" s="32">
        <f t="shared" si="16"/>
        <v>2.156271523947428E-2</v>
      </c>
      <c r="J185" s="32">
        <f t="shared" si="20"/>
        <v>3.4334672004925392E-3</v>
      </c>
      <c r="K185" s="32">
        <f t="shared" si="20"/>
        <v>8.0913819267438725E-3</v>
      </c>
    </row>
    <row r="186" spans="1:11" x14ac:dyDescent="0.3">
      <c r="A186" s="68">
        <v>43733</v>
      </c>
      <c r="B186" s="32">
        <v>286.02148399999999</v>
      </c>
      <c r="C186" s="32">
        <v>27.661007000000001</v>
      </c>
      <c r="D186" s="32">
        <v>63.101405999999997</v>
      </c>
      <c r="F186" s="32">
        <f t="shared" si="14"/>
        <v>-2.085425588448926E-3</v>
      </c>
      <c r="G186" s="32">
        <f t="shared" si="15"/>
        <v>1.603773947432471E-2</v>
      </c>
      <c r="H186" s="32">
        <f t="shared" si="16"/>
        <v>-4.1111096359499602E-3</v>
      </c>
      <c r="I186" s="32">
        <f t="shared" si="16"/>
        <v>-3.8991532931286635E-3</v>
      </c>
      <c r="J186" s="32">
        <f t="shared" si="20"/>
        <v>6.4062746192512614E-3</v>
      </c>
      <c r="K186" s="32">
        <f t="shared" si="20"/>
        <v>-4.0375451012989927E-3</v>
      </c>
    </row>
    <row r="187" spans="1:11" x14ac:dyDescent="0.3">
      <c r="A187" s="68">
        <v>43734</v>
      </c>
      <c r="B187" s="32">
        <v>285.42562900000001</v>
      </c>
      <c r="C187" s="32">
        <v>27.547523000000002</v>
      </c>
      <c r="D187" s="32">
        <v>62.855843</v>
      </c>
      <c r="F187" s="32">
        <f t="shared" si="14"/>
        <v>-5.4017071100171121E-3</v>
      </c>
      <c r="G187" s="32">
        <f t="shared" si="15"/>
        <v>1.6472961215009702E-2</v>
      </c>
      <c r="H187" s="32">
        <f t="shared" si="16"/>
        <v>7.5240986145151843E-3</v>
      </c>
      <c r="I187" s="32">
        <f t="shared" si="16"/>
        <v>5.0515853233000204E-3</v>
      </c>
      <c r="J187" s="32">
        <f t="shared" si="20"/>
        <v>2.5221988560404446E-2</v>
      </c>
      <c r="K187" s="32">
        <f t="shared" si="20"/>
        <v>3.0930292606190599E-2</v>
      </c>
    </row>
    <row r="188" spans="1:11" x14ac:dyDescent="0.3">
      <c r="A188" s="68">
        <v>43735</v>
      </c>
      <c r="B188" s="32">
        <v>283.88799999999998</v>
      </c>
      <c r="C188" s="32">
        <v>27.755575</v>
      </c>
      <c r="D188" s="32">
        <v>63.174168000000002</v>
      </c>
      <c r="F188" s="32">
        <f t="shared" si="14"/>
        <v>4.6270933861975623E-3</v>
      </c>
      <c r="G188" s="32">
        <f t="shared" si="15"/>
        <v>-5.4608915448076624E-3</v>
      </c>
      <c r="H188" s="32">
        <f t="shared" si="16"/>
        <v>-6.1518137142076348E-3</v>
      </c>
      <c r="I188" s="32">
        <f t="shared" si="16"/>
        <v>-5.4859272525075477E-3</v>
      </c>
      <c r="J188" s="32">
        <f t="shared" si="20"/>
        <v>-1.3372615149221946E-2</v>
      </c>
      <c r="K188" s="32">
        <f t="shared" si="20"/>
        <v>-2.145601406919425E-2</v>
      </c>
    </row>
    <row r="189" spans="1:11" x14ac:dyDescent="0.3">
      <c r="A189" s="68">
        <v>43738</v>
      </c>
      <c r="B189" s="32">
        <v>285.20461999999998</v>
      </c>
      <c r="C189" s="32">
        <v>27.585352</v>
      </c>
      <c r="D189" s="32">
        <v>62.828547999999998</v>
      </c>
      <c r="F189" s="32">
        <f t="shared" si="14"/>
        <v>-1.1966013666588582E-2</v>
      </c>
      <c r="G189" s="32">
        <f t="shared" si="15"/>
        <v>7.5534107903937097E-3</v>
      </c>
      <c r="H189" s="32">
        <f t="shared" si="16"/>
        <v>-2.5344214023033454E-2</v>
      </c>
      <c r="I189" s="32">
        <f t="shared" si="16"/>
        <v>-1.3554113249959397E-2</v>
      </c>
      <c r="J189" s="32">
        <f t="shared" si="20"/>
        <v>1.3372615149221986E-2</v>
      </c>
      <c r="K189" s="32">
        <f t="shared" si="20"/>
        <v>1.6135020974727753E-2</v>
      </c>
    </row>
    <row r="190" spans="1:11" x14ac:dyDescent="0.3">
      <c r="A190" s="68">
        <v>43739</v>
      </c>
      <c r="B190" s="32">
        <v>281.81219499999997</v>
      </c>
      <c r="C190" s="32">
        <v>26.895008000000001</v>
      </c>
      <c r="D190" s="32">
        <v>61.982708000000002</v>
      </c>
      <c r="F190" s="32">
        <f t="shared" si="14"/>
        <v>-1.7822771146559228E-2</v>
      </c>
      <c r="G190" s="32">
        <f t="shared" si="15"/>
        <v>6.3994092889804264E-3</v>
      </c>
      <c r="H190" s="32">
        <f t="shared" si="16"/>
        <v>-2.1322874603066085E-2</v>
      </c>
      <c r="I190" s="32">
        <f t="shared" si="16"/>
        <v>-2.8124780379750434E-2</v>
      </c>
      <c r="J190" s="32">
        <f t="shared" si="20"/>
        <v>4.1511319723384199E-4</v>
      </c>
      <c r="K190" s="32">
        <f t="shared" si="20"/>
        <v>7.6255197268139917E-3</v>
      </c>
    </row>
    <row r="191" spans="1:11" x14ac:dyDescent="0.3">
      <c r="A191" s="68">
        <v>43740</v>
      </c>
      <c r="B191" s="32">
        <v>276.83401500000002</v>
      </c>
      <c r="C191" s="32">
        <v>26.3276</v>
      </c>
      <c r="D191" s="32">
        <v>60.263744000000003</v>
      </c>
      <c r="F191" s="32">
        <f t="shared" si="14"/>
        <v>8.1594938691279418E-3</v>
      </c>
      <c r="G191" s="32">
        <f t="shared" si="15"/>
        <v>-9.5398813646057987E-3</v>
      </c>
      <c r="H191" s="32">
        <f t="shared" si="16"/>
        <v>-1.0780052908750633E-3</v>
      </c>
      <c r="I191" s="32">
        <f t="shared" si="16"/>
        <v>6.6186084780370949E-3</v>
      </c>
      <c r="J191" s="32">
        <f t="shared" si="20"/>
        <v>4.5537587957698248E-3</v>
      </c>
      <c r="K191" s="32">
        <f t="shared" si="20"/>
        <v>5.0518087984449209E-3</v>
      </c>
    </row>
    <row r="192" spans="1:11" x14ac:dyDescent="0.3">
      <c r="A192" s="68">
        <v>43741</v>
      </c>
      <c r="B192" s="32">
        <v>279.102081</v>
      </c>
      <c r="C192" s="32">
        <v>26.299233999999998</v>
      </c>
      <c r="D192" s="32">
        <v>60.663929000000003</v>
      </c>
      <c r="F192" s="32">
        <f t="shared" si="14"/>
        <v>1.3441425041667492E-2</v>
      </c>
      <c r="G192" s="32">
        <f t="shared" si="15"/>
        <v>1.7577756283383861E-2</v>
      </c>
      <c r="H192" s="32">
        <f t="shared" si="16"/>
        <v>1.9936571380522683E-2</v>
      </c>
      <c r="I192" s="32">
        <f t="shared" si="16"/>
        <v>2.1946359092089845E-2</v>
      </c>
      <c r="J192" s="32">
        <f t="shared" si="20"/>
        <v>1.6793503642595471E-2</v>
      </c>
      <c r="K192" s="32">
        <f t="shared" si="20"/>
        <v>2.822832236459626E-2</v>
      </c>
    </row>
    <row r="193" spans="1:11" x14ac:dyDescent="0.3">
      <c r="A193" s="68">
        <v>43742</v>
      </c>
      <c r="B193" s="32">
        <v>282.87893700000001</v>
      </c>
      <c r="C193" s="32">
        <v>26.828811999999999</v>
      </c>
      <c r="D193" s="32">
        <v>62.009998000000003</v>
      </c>
      <c r="F193" s="32">
        <f t="shared" si="14"/>
        <v>-4.3241887367390913E-3</v>
      </c>
      <c r="G193" s="32">
        <f t="shared" si="15"/>
        <v>-1.4318033665877715E-2</v>
      </c>
      <c r="H193" s="32">
        <f t="shared" si="16"/>
        <v>-2.1172047577785419E-3</v>
      </c>
      <c r="I193" s="32">
        <f t="shared" si="16"/>
        <v>-4.401871903764302E-4</v>
      </c>
      <c r="J193" s="32">
        <f t="shared" si="20"/>
        <v>-1.0206346305928229E-2</v>
      </c>
      <c r="K193" s="32">
        <f t="shared" si="20"/>
        <v>-1.1196048973723349E-2</v>
      </c>
    </row>
    <row r="194" spans="1:11" x14ac:dyDescent="0.3">
      <c r="A194" s="68">
        <v>43745</v>
      </c>
      <c r="B194" s="32">
        <v>281.65835600000003</v>
      </c>
      <c r="C194" s="32">
        <v>26.772069999999999</v>
      </c>
      <c r="D194" s="32">
        <v>61.982708000000002</v>
      </c>
      <c r="F194" s="32">
        <f t="shared" si="14"/>
        <v>-1.5646320504486552E-2</v>
      </c>
      <c r="G194" s="32">
        <f t="shared" si="15"/>
        <v>1.7256966216607654E-2</v>
      </c>
      <c r="H194" s="32">
        <f t="shared" si="16"/>
        <v>-2.4312950306262661E-2</v>
      </c>
      <c r="I194" s="32">
        <f t="shared" si="16"/>
        <v>-2.6013915091910245E-2</v>
      </c>
      <c r="J194" s="32">
        <f t="shared" si="20"/>
        <v>2.0711381230352342E-2</v>
      </c>
      <c r="K194" s="32">
        <f t="shared" si="20"/>
        <v>9.6359749719473562E-3</v>
      </c>
    </row>
    <row r="195" spans="1:11" x14ac:dyDescent="0.3">
      <c r="A195" s="68">
        <v>43746</v>
      </c>
      <c r="B195" s="32">
        <v>277.28573599999999</v>
      </c>
      <c r="C195" s="32">
        <v>26.129010999999998</v>
      </c>
      <c r="D195" s="32">
        <v>60.391086999999999</v>
      </c>
      <c r="F195" s="32">
        <f t="shared" ref="F195:F253" si="21">LN(B196/B195)</f>
        <v>9.4515666945058537E-3</v>
      </c>
      <c r="G195" s="32">
        <f t="shared" ref="G195:G253" si="22">LN(B448/B447)</f>
        <v>8.8234179043220132E-3</v>
      </c>
      <c r="H195" s="32">
        <f t="shared" ref="H195:I253" si="23">LN(C196/C195)</f>
        <v>9.3662294855089336E-3</v>
      </c>
      <c r="I195" s="32">
        <f t="shared" si="23"/>
        <v>1.5392844753971685E-2</v>
      </c>
      <c r="J195" s="32">
        <f t="shared" ref="J195:K210" si="24">LN(C448/C447)</f>
        <v>1.4365860132997061E-2</v>
      </c>
      <c r="K195" s="32">
        <f t="shared" si="24"/>
        <v>-2.6796909694563687E-3</v>
      </c>
    </row>
    <row r="196" spans="1:11" x14ac:dyDescent="0.3">
      <c r="A196" s="68">
        <v>43747</v>
      </c>
      <c r="B196" s="32">
        <v>279.91894500000001</v>
      </c>
      <c r="C196" s="32">
        <v>26.374891000000002</v>
      </c>
      <c r="D196" s="32">
        <v>61.327869</v>
      </c>
      <c r="F196" s="32">
        <f t="shared" si="21"/>
        <v>6.7407947824834145E-3</v>
      </c>
      <c r="G196" s="32">
        <f t="shared" si="22"/>
        <v>8.8905881123318813E-3</v>
      </c>
      <c r="H196" s="32">
        <f t="shared" si="23"/>
        <v>1.9879947551824137E-2</v>
      </c>
      <c r="I196" s="32">
        <f t="shared" si="23"/>
        <v>1.7494078583444206E-2</v>
      </c>
      <c r="J196" s="32">
        <f t="shared" si="24"/>
        <v>4.7431349829301197E-3</v>
      </c>
      <c r="K196" s="32">
        <f t="shared" si="24"/>
        <v>4.6849051111656076E-3</v>
      </c>
    </row>
    <row r="197" spans="1:11" x14ac:dyDescent="0.3">
      <c r="A197" s="68">
        <v>43748</v>
      </c>
      <c r="B197" s="32">
        <v>281.81219499999997</v>
      </c>
      <c r="C197" s="32">
        <v>26.904468999999999</v>
      </c>
      <c r="D197" s="32">
        <v>62.410183000000004</v>
      </c>
      <c r="F197" s="32">
        <f t="shared" si="21"/>
        <v>1.0313603002032443E-2</v>
      </c>
      <c r="G197" s="32">
        <f t="shared" si="22"/>
        <v>1.5959623804195504E-2</v>
      </c>
      <c r="H197" s="32">
        <f t="shared" si="23"/>
        <v>1.6039112108385829E-2</v>
      </c>
      <c r="I197" s="32">
        <f t="shared" si="23"/>
        <v>2.1338688860952051E-2</v>
      </c>
      <c r="J197" s="32">
        <f t="shared" si="24"/>
        <v>1.2539261516927988E-2</v>
      </c>
      <c r="K197" s="32">
        <f t="shared" si="24"/>
        <v>2.0923558696673717E-2</v>
      </c>
    </row>
    <row r="198" spans="1:11" x14ac:dyDescent="0.3">
      <c r="A198" s="68">
        <v>43749</v>
      </c>
      <c r="B198" s="32">
        <v>284.73373400000003</v>
      </c>
      <c r="C198" s="32">
        <v>27.339472000000001</v>
      </c>
      <c r="D198" s="32">
        <v>63.756245</v>
      </c>
      <c r="F198" s="32">
        <f t="shared" si="21"/>
        <v>-1.1146442360689211E-3</v>
      </c>
      <c r="G198" s="32">
        <f t="shared" si="22"/>
        <v>-6.5475121236691861E-3</v>
      </c>
      <c r="H198" s="32">
        <f t="shared" si="23"/>
        <v>7.9243422946054087E-3</v>
      </c>
      <c r="I198" s="32">
        <f t="shared" si="23"/>
        <v>1.9949738756915173E-3</v>
      </c>
      <c r="J198" s="32">
        <f t="shared" si="24"/>
        <v>-2.8838593891101397E-2</v>
      </c>
      <c r="K198" s="32">
        <f t="shared" si="24"/>
        <v>-4.9139042100749181E-2</v>
      </c>
    </row>
    <row r="199" spans="1:11" x14ac:dyDescent="0.3">
      <c r="A199" s="68">
        <v>43752</v>
      </c>
      <c r="B199" s="32">
        <v>284.41653400000001</v>
      </c>
      <c r="C199" s="32">
        <v>27.556979999999999</v>
      </c>
      <c r="D199" s="32">
        <v>63.883564</v>
      </c>
      <c r="F199" s="32">
        <f t="shared" si="21"/>
        <v>9.8518881078245839E-3</v>
      </c>
      <c r="G199" s="32">
        <f t="shared" si="22"/>
        <v>-6.3032073989296436E-3</v>
      </c>
      <c r="H199" s="32">
        <f t="shared" si="23"/>
        <v>2.004499763070532E-2</v>
      </c>
      <c r="I199" s="32">
        <f t="shared" si="23"/>
        <v>1.3855744541101138E-2</v>
      </c>
      <c r="J199" s="32">
        <f t="shared" si="24"/>
        <v>-5.4779912269683387E-2</v>
      </c>
      <c r="K199" s="32">
        <f t="shared" si="24"/>
        <v>-1.4992793917908344E-2</v>
      </c>
    </row>
    <row r="200" spans="1:11" x14ac:dyDescent="0.3">
      <c r="A200" s="68">
        <v>43753</v>
      </c>
      <c r="B200" s="32">
        <v>287.23242199999999</v>
      </c>
      <c r="C200" s="32">
        <v>28.114933000000001</v>
      </c>
      <c r="D200" s="32">
        <v>64.774878999999999</v>
      </c>
      <c r="F200" s="32">
        <f t="shared" si="21"/>
        <v>-1.6073214437465624E-3</v>
      </c>
      <c r="G200" s="32">
        <f t="shared" si="22"/>
        <v>-1.2365574839612507E-3</v>
      </c>
      <c r="H200" s="32">
        <f t="shared" si="23"/>
        <v>1.4691373200791112E-2</v>
      </c>
      <c r="I200" s="32">
        <f t="shared" si="23"/>
        <v>-2.4446783221870046E-2</v>
      </c>
      <c r="J200" s="32">
        <f t="shared" si="24"/>
        <v>2.2190339834484783E-2</v>
      </c>
      <c r="K200" s="32">
        <f t="shared" si="24"/>
        <v>1.3389021672444285E-2</v>
      </c>
    </row>
    <row r="201" spans="1:11" x14ac:dyDescent="0.3">
      <c r="A201" s="68">
        <v>43754</v>
      </c>
      <c r="B201" s="32">
        <v>286.771118</v>
      </c>
      <c r="C201" s="32">
        <v>28.531029</v>
      </c>
      <c r="D201" s="32">
        <v>63.210540999999999</v>
      </c>
      <c r="F201" s="32">
        <f t="shared" si="21"/>
        <v>2.9445002005491958E-3</v>
      </c>
      <c r="G201" s="32">
        <f t="shared" si="22"/>
        <v>-6.0459073641762101E-4</v>
      </c>
      <c r="H201" s="32">
        <f t="shared" si="23"/>
        <v>2.9785925494436689E-3</v>
      </c>
      <c r="I201" s="32">
        <f t="shared" si="23"/>
        <v>1.4378713448327117E-3</v>
      </c>
      <c r="J201" s="32">
        <f t="shared" si="24"/>
        <v>3.7197728103441721E-3</v>
      </c>
      <c r="K201" s="32">
        <f t="shared" si="24"/>
        <v>-9.6774929474456976E-3</v>
      </c>
    </row>
    <row r="202" spans="1:11" x14ac:dyDescent="0.3">
      <c r="A202" s="68">
        <v>43755</v>
      </c>
      <c r="B202" s="32">
        <v>287.61676</v>
      </c>
      <c r="C202" s="32">
        <v>28.616137999999999</v>
      </c>
      <c r="D202" s="32">
        <v>63.301495000000003</v>
      </c>
      <c r="F202" s="32">
        <f t="shared" si="21"/>
        <v>-4.3867553196339096E-3</v>
      </c>
      <c r="G202" s="32">
        <f t="shared" si="22"/>
        <v>-1.532010711698667E-2</v>
      </c>
      <c r="H202" s="32">
        <f t="shared" si="23"/>
        <v>2.9697817186928378E-3</v>
      </c>
      <c r="I202" s="32">
        <f t="shared" si="23"/>
        <v>2.0091650035112167E-3</v>
      </c>
      <c r="J202" s="32">
        <f t="shared" si="24"/>
        <v>-2.1685528637232832E-2</v>
      </c>
      <c r="K202" s="32">
        <f t="shared" si="24"/>
        <v>-6.7372168728053955E-3</v>
      </c>
    </row>
    <row r="203" spans="1:11" x14ac:dyDescent="0.3">
      <c r="A203" s="68">
        <v>43756</v>
      </c>
      <c r="B203" s="32">
        <v>286.35781900000001</v>
      </c>
      <c r="C203" s="32">
        <v>28.701248</v>
      </c>
      <c r="D203" s="32">
        <v>63.428806000000002</v>
      </c>
      <c r="F203" s="32">
        <f t="shared" si="21"/>
        <v>6.7563490853753674E-3</v>
      </c>
      <c r="G203" s="32">
        <f t="shared" si="22"/>
        <v>3.9976410180291647E-3</v>
      </c>
      <c r="H203" s="32">
        <f t="shared" si="23"/>
        <v>2.1835691056490865E-2</v>
      </c>
      <c r="I203" s="32">
        <f t="shared" si="23"/>
        <v>2.9250034780098758E-2</v>
      </c>
      <c r="J203" s="32">
        <f t="shared" si="24"/>
        <v>1.7551715659334124E-2</v>
      </c>
      <c r="K203" s="32">
        <f t="shared" si="24"/>
        <v>1.4348933798727606E-2</v>
      </c>
    </row>
    <row r="204" spans="1:11" x14ac:dyDescent="0.3">
      <c r="A204" s="68">
        <v>43759</v>
      </c>
      <c r="B204" s="32">
        <v>288.299103</v>
      </c>
      <c r="C204" s="32">
        <v>29.334852000000001</v>
      </c>
      <c r="D204" s="32">
        <v>65.311501000000007</v>
      </c>
      <c r="F204" s="32">
        <f t="shared" si="21"/>
        <v>-3.2721041072039997E-3</v>
      </c>
      <c r="G204" s="32">
        <f t="shared" si="22"/>
        <v>-1.894744033688727E-3</v>
      </c>
      <c r="H204" s="32">
        <f t="shared" si="23"/>
        <v>5.7859513582619333E-3</v>
      </c>
      <c r="I204" s="32">
        <f t="shared" si="23"/>
        <v>3.4751638456245858E-3</v>
      </c>
      <c r="J204" s="32">
        <f t="shared" si="24"/>
        <v>-3.7352960012261233E-3</v>
      </c>
      <c r="K204" s="32">
        <f t="shared" si="24"/>
        <v>-1.1788144477372971E-2</v>
      </c>
    </row>
    <row r="205" spans="1:11" x14ac:dyDescent="0.3">
      <c r="A205" s="68">
        <v>43760</v>
      </c>
      <c r="B205" s="32">
        <v>287.35730000000001</v>
      </c>
      <c r="C205" s="32">
        <v>29.505074</v>
      </c>
      <c r="D205" s="32">
        <v>65.538864000000004</v>
      </c>
      <c r="F205" s="32">
        <f t="shared" si="21"/>
        <v>2.9054627477154375E-3</v>
      </c>
      <c r="G205" s="32">
        <f t="shared" si="22"/>
        <v>5.4702015109743514E-3</v>
      </c>
      <c r="H205" s="32">
        <f t="shared" si="23"/>
        <v>7.0265515172513501E-3</v>
      </c>
      <c r="I205" s="32">
        <f t="shared" si="23"/>
        <v>5.3975544750945919E-3</v>
      </c>
      <c r="J205" s="32">
        <f t="shared" si="24"/>
        <v>3.3527273549149937E-2</v>
      </c>
      <c r="K205" s="32">
        <f t="shared" si="24"/>
        <v>2.1620041668590998E-2</v>
      </c>
    </row>
    <row r="206" spans="1:11" x14ac:dyDescent="0.3">
      <c r="A206" s="68">
        <v>43761</v>
      </c>
      <c r="B206" s="32">
        <v>288.19342</v>
      </c>
      <c r="C206" s="32">
        <v>29.713123</v>
      </c>
      <c r="D206" s="32">
        <v>65.893569999999997</v>
      </c>
      <c r="F206" s="32">
        <f t="shared" si="21"/>
        <v>1.6325935583431971E-3</v>
      </c>
      <c r="G206" s="32">
        <f t="shared" si="22"/>
        <v>3.3894844179029903E-3</v>
      </c>
      <c r="H206" s="32">
        <f t="shared" si="23"/>
        <v>-1.9113858322646463E-3</v>
      </c>
      <c r="I206" s="32">
        <f t="shared" si="23"/>
        <v>-2.0724694838744908E-3</v>
      </c>
      <c r="J206" s="32">
        <f t="shared" si="24"/>
        <v>1.2055980797352349E-3</v>
      </c>
      <c r="K206" s="32">
        <f t="shared" si="24"/>
        <v>0</v>
      </c>
    </row>
    <row r="207" spans="1:11" x14ac:dyDescent="0.3">
      <c r="A207" s="68">
        <v>43762</v>
      </c>
      <c r="B207" s="32">
        <v>288.66430700000001</v>
      </c>
      <c r="C207" s="32">
        <v>29.656383999999999</v>
      </c>
      <c r="D207" s="32">
        <v>65.757148999999998</v>
      </c>
      <c r="F207" s="32">
        <f t="shared" si="21"/>
        <v>4.0866992457534281E-3</v>
      </c>
      <c r="G207" s="32">
        <f t="shared" si="22"/>
        <v>-1.8652677561615583E-2</v>
      </c>
      <c r="H207" s="32">
        <f t="shared" si="23"/>
        <v>1.1414095150760783E-2</v>
      </c>
      <c r="I207" s="32">
        <f t="shared" si="23"/>
        <v>1.1961573119529325E-2</v>
      </c>
      <c r="J207" s="32">
        <f t="shared" si="24"/>
        <v>-1.4563329780312608E-2</v>
      </c>
      <c r="K207" s="32">
        <f t="shared" si="24"/>
        <v>-1.5824381442859938E-2</v>
      </c>
    </row>
    <row r="208" spans="1:11" x14ac:dyDescent="0.3">
      <c r="A208" s="68">
        <v>43763</v>
      </c>
      <c r="B208" s="32">
        <v>289.846405</v>
      </c>
      <c r="C208" s="32">
        <v>29.996824</v>
      </c>
      <c r="D208" s="32">
        <v>66.548430999999994</v>
      </c>
      <c r="F208" s="32">
        <f t="shared" si="21"/>
        <v>5.6207043522317332E-3</v>
      </c>
      <c r="G208" s="32">
        <f t="shared" si="22"/>
        <v>-3.4535015631431726E-3</v>
      </c>
      <c r="H208" s="32">
        <f t="shared" si="23"/>
        <v>3.7759293649745995E-3</v>
      </c>
      <c r="I208" s="32">
        <f t="shared" si="23"/>
        <v>5.723484473904839E-3</v>
      </c>
      <c r="J208" s="32">
        <f t="shared" si="24"/>
        <v>-2.8520225118037184E-2</v>
      </c>
      <c r="K208" s="32">
        <f t="shared" si="24"/>
        <v>-3.2419798974568773E-2</v>
      </c>
    </row>
    <row r="209" spans="1:11" x14ac:dyDescent="0.3">
      <c r="A209" s="68">
        <v>43766</v>
      </c>
      <c r="B209" s="32">
        <v>291.48013300000002</v>
      </c>
      <c r="C209" s="32">
        <v>30.110303999999999</v>
      </c>
      <c r="D209" s="32">
        <v>66.930412000000004</v>
      </c>
      <c r="F209" s="32">
        <f t="shared" si="21"/>
        <v>-2.9686360308325805E-4</v>
      </c>
      <c r="G209" s="32">
        <f t="shared" si="22"/>
        <v>-3.4776632803513945E-2</v>
      </c>
      <c r="H209" s="32">
        <f t="shared" si="23"/>
        <v>7.1976086543676012E-3</v>
      </c>
      <c r="I209" s="32">
        <f t="shared" si="23"/>
        <v>-6.8175570680878298E-3</v>
      </c>
      <c r="J209" s="32">
        <f t="shared" si="24"/>
        <v>-1.6061222661159797E-2</v>
      </c>
      <c r="K209" s="32">
        <f t="shared" si="24"/>
        <v>-1.8070734145988591E-2</v>
      </c>
    </row>
    <row r="210" spans="1:11" x14ac:dyDescent="0.3">
      <c r="A210" s="68">
        <v>43767</v>
      </c>
      <c r="B210" s="32">
        <v>291.39361600000001</v>
      </c>
      <c r="C210" s="32">
        <v>30.327808000000001</v>
      </c>
      <c r="D210" s="32">
        <v>66.475662</v>
      </c>
      <c r="F210" s="32">
        <f t="shared" si="21"/>
        <v>3.0624219202761128E-3</v>
      </c>
      <c r="G210" s="32">
        <f t="shared" si="22"/>
        <v>1.0112181678651478E-2</v>
      </c>
      <c r="H210" s="32">
        <f t="shared" si="23"/>
        <v>-1.4131118355223933E-2</v>
      </c>
      <c r="I210" s="32">
        <f t="shared" si="23"/>
        <v>-1.6432435270688644E-3</v>
      </c>
      <c r="J210" s="32">
        <f t="shared" si="24"/>
        <v>2.9781627808228568E-3</v>
      </c>
      <c r="K210" s="32">
        <f t="shared" si="24"/>
        <v>1.2803722075869474E-2</v>
      </c>
    </row>
    <row r="211" spans="1:11" x14ac:dyDescent="0.3">
      <c r="A211" s="68">
        <v>43768</v>
      </c>
      <c r="B211" s="32">
        <v>292.28735399999999</v>
      </c>
      <c r="C211" s="32">
        <v>29.902256000000001</v>
      </c>
      <c r="D211" s="32">
        <v>66.366516000000004</v>
      </c>
      <c r="F211" s="32">
        <f t="shared" si="21"/>
        <v>-2.6666233636020915E-3</v>
      </c>
      <c r="G211" s="32">
        <f t="shared" si="22"/>
        <v>-1.0479601663869033E-2</v>
      </c>
      <c r="H211" s="32">
        <f t="shared" si="23"/>
        <v>-1.1130579545287355E-2</v>
      </c>
      <c r="I211" s="32">
        <f t="shared" si="23"/>
        <v>-1.5328530734296823E-2</v>
      </c>
      <c r="J211" s="32">
        <f t="shared" ref="J211:K226" si="25">LN(C464/C463)</f>
        <v>6.7738767387291766E-3</v>
      </c>
      <c r="K211" s="32">
        <f t="shared" si="25"/>
        <v>6.5398386008148025E-3</v>
      </c>
    </row>
    <row r="212" spans="1:11" x14ac:dyDescent="0.3">
      <c r="A212" s="68">
        <v>43769</v>
      </c>
      <c r="B212" s="32">
        <v>291.50897200000003</v>
      </c>
      <c r="C212" s="32">
        <v>29.571272</v>
      </c>
      <c r="D212" s="32">
        <v>65.356971999999999</v>
      </c>
      <c r="F212" s="32">
        <f t="shared" si="21"/>
        <v>9.2214301208346644E-3</v>
      </c>
      <c r="G212" s="32">
        <f t="shared" si="22"/>
        <v>1.1146086666420009E-2</v>
      </c>
      <c r="H212" s="32">
        <f t="shared" si="23"/>
        <v>1.6807018557393874E-2</v>
      </c>
      <c r="I212" s="32">
        <f t="shared" si="23"/>
        <v>3.4303128257890024E-2</v>
      </c>
      <c r="J212" s="32">
        <f t="shared" si="25"/>
        <v>1.5906544524831485E-2</v>
      </c>
      <c r="K212" s="32">
        <f t="shared" si="25"/>
        <v>1.8893422078350781E-2</v>
      </c>
    </row>
    <row r="213" spans="1:11" x14ac:dyDescent="0.3">
      <c r="A213" s="68">
        <v>43770</v>
      </c>
      <c r="B213" s="32">
        <v>294.20953400000002</v>
      </c>
      <c r="C213" s="32">
        <v>30.072476999999999</v>
      </c>
      <c r="D213" s="32">
        <v>67.637816999999998</v>
      </c>
      <c r="F213" s="32">
        <f t="shared" si="21"/>
        <v>4.0095197707006583E-3</v>
      </c>
      <c r="G213" s="32">
        <f t="shared" si="22"/>
        <v>1.7501828741874847E-2</v>
      </c>
      <c r="H213" s="32">
        <f t="shared" si="23"/>
        <v>1.8692092985395543E-2</v>
      </c>
      <c r="I213" s="32">
        <f t="shared" si="23"/>
        <v>1.7585530531257103E-2</v>
      </c>
      <c r="J213" s="32">
        <f t="shared" si="25"/>
        <v>2.5016657694245357E-2</v>
      </c>
      <c r="K213" s="32">
        <f t="shared" si="25"/>
        <v>3.0793104569754069E-2</v>
      </c>
    </row>
    <row r="214" spans="1:11" x14ac:dyDescent="0.3">
      <c r="A214" s="68">
        <v>43773</v>
      </c>
      <c r="B214" s="32">
        <v>295.39154100000002</v>
      </c>
      <c r="C214" s="32">
        <v>30.639880999999999</v>
      </c>
      <c r="D214" s="32">
        <v>68.837783999999999</v>
      </c>
      <c r="F214" s="32">
        <f t="shared" si="21"/>
        <v>-1.1069847185362967E-3</v>
      </c>
      <c r="G214" s="32">
        <f t="shared" si="22"/>
        <v>2.2103221671723367E-2</v>
      </c>
      <c r="H214" s="32">
        <f t="shared" si="23"/>
        <v>1.2879803257321236E-2</v>
      </c>
      <c r="I214" s="32">
        <f t="shared" si="23"/>
        <v>-4.2671307176007957E-3</v>
      </c>
      <c r="J214" s="32">
        <f t="shared" si="25"/>
        <v>-4.1767404497781449E-2</v>
      </c>
      <c r="K214" s="32">
        <f t="shared" si="25"/>
        <v>-3.3877722348752727E-2</v>
      </c>
    </row>
    <row r="215" spans="1:11" x14ac:dyDescent="0.3">
      <c r="A215" s="68">
        <v>43774</v>
      </c>
      <c r="B215" s="32">
        <v>295.064728</v>
      </c>
      <c r="C215" s="32">
        <v>31.037068999999999</v>
      </c>
      <c r="D215" s="32">
        <v>68.544669999999996</v>
      </c>
      <c r="F215" s="32">
        <f t="shared" si="21"/>
        <v>2.281340827380255E-4</v>
      </c>
      <c r="G215" s="32">
        <f t="shared" si="22"/>
        <v>1.931500546758811E-2</v>
      </c>
      <c r="H215" s="32">
        <f t="shared" si="23"/>
        <v>-9.1442178819603872E-4</v>
      </c>
      <c r="I215" s="32">
        <f t="shared" si="23"/>
        <v>-5.494178505181236E-3</v>
      </c>
      <c r="J215" s="32">
        <f t="shared" si="25"/>
        <v>3.8522103339184731E-2</v>
      </c>
      <c r="K215" s="32">
        <f t="shared" si="25"/>
        <v>2.3254153477702936E-2</v>
      </c>
    </row>
    <row r="216" spans="1:11" x14ac:dyDescent="0.3">
      <c r="A216" s="68">
        <v>43775</v>
      </c>
      <c r="B216" s="32">
        <v>295.13204999999999</v>
      </c>
      <c r="C216" s="32">
        <v>31.008700999999999</v>
      </c>
      <c r="D216" s="32">
        <v>68.169105999999999</v>
      </c>
      <c r="F216" s="32">
        <f t="shared" si="21"/>
        <v>3.51077437766583E-3</v>
      </c>
      <c r="G216" s="32">
        <f t="shared" si="22"/>
        <v>-2.2853103820427923E-4</v>
      </c>
      <c r="H216" s="32">
        <f t="shared" si="23"/>
        <v>1.3329388464494036E-2</v>
      </c>
      <c r="I216" s="32">
        <f t="shared" si="23"/>
        <v>1.8505469730668075E-2</v>
      </c>
      <c r="J216" s="32">
        <f t="shared" si="25"/>
        <v>-1.2265187186953078E-2</v>
      </c>
      <c r="K216" s="32">
        <f t="shared" si="25"/>
        <v>-8.3937675778922131E-3</v>
      </c>
    </row>
    <row r="217" spans="1:11" x14ac:dyDescent="0.3">
      <c r="A217" s="68">
        <v>43776</v>
      </c>
      <c r="B217" s="32">
        <v>296.17001299999998</v>
      </c>
      <c r="C217" s="32">
        <v>31.424795</v>
      </c>
      <c r="D217" s="32">
        <v>69.442352</v>
      </c>
      <c r="F217" s="32">
        <f t="shared" si="21"/>
        <v>2.4629366174519531E-3</v>
      </c>
      <c r="G217" s="32">
        <f t="shared" si="22"/>
        <v>1.2487492305703132E-2</v>
      </c>
      <c r="H217" s="32">
        <f t="shared" si="23"/>
        <v>9.0231943997672287E-4</v>
      </c>
      <c r="I217" s="32">
        <f t="shared" si="23"/>
        <v>4.0808954212244635E-3</v>
      </c>
      <c r="J217" s="32">
        <f t="shared" si="25"/>
        <v>0.13270832919808015</v>
      </c>
      <c r="K217" s="32">
        <f t="shared" si="25"/>
        <v>0.10923982870457191</v>
      </c>
    </row>
    <row r="218" spans="1:11" x14ac:dyDescent="0.3">
      <c r="A218" s="68">
        <v>43777</v>
      </c>
      <c r="B218" s="32">
        <v>296.90035999999998</v>
      </c>
      <c r="C218" s="32">
        <v>31.453163</v>
      </c>
      <c r="D218" s="32">
        <v>69.726318000000006</v>
      </c>
      <c r="F218" s="32">
        <f t="shared" si="21"/>
        <v>-1.9117160690806643E-3</v>
      </c>
      <c r="G218" s="32">
        <f t="shared" si="22"/>
        <v>-1.4676858673536479E-3</v>
      </c>
      <c r="H218" s="32">
        <f t="shared" si="23"/>
        <v>-2.4080286944820682E-3</v>
      </c>
      <c r="I218" s="32">
        <f t="shared" si="23"/>
        <v>-6.8548066234772904E-3</v>
      </c>
      <c r="J218" s="32">
        <f t="shared" si="25"/>
        <v>-3.6087306400551071E-3</v>
      </c>
      <c r="K218" s="32">
        <f t="shared" si="25"/>
        <v>2.0995855317348914E-4</v>
      </c>
    </row>
    <row r="219" spans="1:11" x14ac:dyDescent="0.3">
      <c r="A219" s="68">
        <v>43780</v>
      </c>
      <c r="B219" s="32">
        <v>296.33331299999998</v>
      </c>
      <c r="C219" s="32">
        <v>31.377514000000001</v>
      </c>
      <c r="D219" s="32">
        <v>69.249992000000006</v>
      </c>
      <c r="F219" s="32">
        <f t="shared" si="21"/>
        <v>2.1057589799603278E-3</v>
      </c>
      <c r="G219" s="32">
        <f t="shared" si="22"/>
        <v>7.4010907177717265E-3</v>
      </c>
      <c r="H219" s="32">
        <f t="shared" si="23"/>
        <v>-2.7162651709272852E-3</v>
      </c>
      <c r="I219" s="32">
        <f t="shared" si="23"/>
        <v>-7.0352461783324948E-3</v>
      </c>
      <c r="J219" s="32">
        <f t="shared" si="25"/>
        <v>-1.1636563219463303E-2</v>
      </c>
      <c r="K219" s="32">
        <f t="shared" si="25"/>
        <v>2.6507965054396086E-2</v>
      </c>
    </row>
    <row r="220" spans="1:11" x14ac:dyDescent="0.3">
      <c r="A220" s="68">
        <v>43781</v>
      </c>
      <c r="B220" s="32">
        <v>296.95797700000003</v>
      </c>
      <c r="C220" s="32">
        <v>31.292400000000001</v>
      </c>
      <c r="D220" s="32">
        <v>68.764510999999999</v>
      </c>
      <c r="F220" s="32">
        <f t="shared" si="21"/>
        <v>3.2366681845943392E-4</v>
      </c>
      <c r="G220" s="32">
        <f t="shared" si="22"/>
        <v>-9.7482132605926902E-3</v>
      </c>
      <c r="H220" s="32">
        <f t="shared" si="23"/>
        <v>-9.1074140390615711E-3</v>
      </c>
      <c r="I220" s="32">
        <f t="shared" si="23"/>
        <v>-1.5572918482169499E-2</v>
      </c>
      <c r="J220" s="32">
        <f t="shared" si="25"/>
        <v>-2.4061819745540416E-2</v>
      </c>
      <c r="K220" s="32">
        <f t="shared" si="25"/>
        <v>-1.3373402784646375E-2</v>
      </c>
    </row>
    <row r="221" spans="1:11" x14ac:dyDescent="0.3">
      <c r="A221" s="68">
        <v>43782</v>
      </c>
      <c r="B221" s="32">
        <v>297.05410799999999</v>
      </c>
      <c r="C221" s="32">
        <v>31.008700999999999</v>
      </c>
      <c r="D221" s="32">
        <v>67.701942000000003</v>
      </c>
      <c r="F221" s="32">
        <f t="shared" si="21"/>
        <v>1.4545787534824175E-3</v>
      </c>
      <c r="G221" s="32">
        <f t="shared" si="22"/>
        <v>1.3749507753835401E-2</v>
      </c>
      <c r="H221" s="32">
        <f t="shared" si="23"/>
        <v>-2.7485841378702054E-3</v>
      </c>
      <c r="I221" s="32">
        <f t="shared" si="23"/>
        <v>-9.4761517638809896E-4</v>
      </c>
      <c r="J221" s="32">
        <f t="shared" si="25"/>
        <v>1.1547854091064035E-2</v>
      </c>
      <c r="K221" s="32">
        <f t="shared" si="25"/>
        <v>7.8400469767341951E-3</v>
      </c>
    </row>
    <row r="222" spans="1:11" x14ac:dyDescent="0.3">
      <c r="A222" s="68">
        <v>43783</v>
      </c>
      <c r="B222" s="32">
        <v>297.48651100000001</v>
      </c>
      <c r="C222" s="32">
        <v>30.923587999999999</v>
      </c>
      <c r="D222" s="32">
        <v>67.637816999999998</v>
      </c>
      <c r="F222" s="32">
        <f t="shared" si="21"/>
        <v>7.2105785444805115E-3</v>
      </c>
      <c r="G222" s="32">
        <f t="shared" si="22"/>
        <v>1.2405376969458677E-2</v>
      </c>
      <c r="H222" s="32">
        <f t="shared" si="23"/>
        <v>7.0089106204649912E-3</v>
      </c>
      <c r="I222" s="32">
        <f t="shared" si="23"/>
        <v>7.5554564245371566E-3</v>
      </c>
      <c r="J222" s="32">
        <f t="shared" si="25"/>
        <v>2.1254011370950628E-2</v>
      </c>
      <c r="K222" s="32">
        <f t="shared" si="25"/>
        <v>3.5133740961892174E-2</v>
      </c>
    </row>
    <row r="223" spans="1:11" x14ac:dyDescent="0.3">
      <c r="A223" s="68">
        <v>43784</v>
      </c>
      <c r="B223" s="32">
        <v>299.63931300000002</v>
      </c>
      <c r="C223" s="32">
        <v>31.141089999999998</v>
      </c>
      <c r="D223" s="32">
        <v>68.150786999999994</v>
      </c>
      <c r="F223" s="32">
        <f t="shared" si="21"/>
        <v>7.3710481192867873E-4</v>
      </c>
      <c r="G223" s="32">
        <f t="shared" si="22"/>
        <v>-5.3928759540848034E-3</v>
      </c>
      <c r="H223" s="32">
        <f t="shared" si="23"/>
        <v>9.1066443965281583E-4</v>
      </c>
      <c r="I223" s="32">
        <f t="shared" si="23"/>
        <v>0</v>
      </c>
      <c r="J223" s="32">
        <f t="shared" si="25"/>
        <v>-1.0883092859305147E-3</v>
      </c>
      <c r="K223" s="32">
        <f t="shared" si="25"/>
        <v>6.5263662472885885E-3</v>
      </c>
    </row>
    <row r="224" spans="1:11" x14ac:dyDescent="0.3">
      <c r="A224" s="68">
        <v>43787</v>
      </c>
      <c r="B224" s="32">
        <v>299.86025999999998</v>
      </c>
      <c r="C224" s="32">
        <v>31.169461999999999</v>
      </c>
      <c r="D224" s="32">
        <v>68.150786999999994</v>
      </c>
      <c r="F224" s="32">
        <f t="shared" si="21"/>
        <v>-2.884659503630811E-4</v>
      </c>
      <c r="G224" s="32">
        <f t="shared" si="22"/>
        <v>-1.2107754781137601E-2</v>
      </c>
      <c r="H224" s="32">
        <f t="shared" si="23"/>
        <v>-6.0683555933898844E-4</v>
      </c>
      <c r="I224" s="32">
        <f t="shared" si="23"/>
        <v>5.6291530675332321E-3</v>
      </c>
      <c r="J224" s="32">
        <f t="shared" si="25"/>
        <v>-2.0906647673739561E-2</v>
      </c>
      <c r="K224" s="32">
        <f t="shared" si="25"/>
        <v>6.288092991556621E-3</v>
      </c>
    </row>
    <row r="225" spans="1:11" x14ac:dyDescent="0.3">
      <c r="A225" s="68">
        <v>43788</v>
      </c>
      <c r="B225" s="32">
        <v>299.77377300000001</v>
      </c>
      <c r="C225" s="32">
        <v>31.150552999999999</v>
      </c>
      <c r="D225" s="32">
        <v>68.535499999999999</v>
      </c>
      <c r="F225" s="32">
        <f t="shared" si="21"/>
        <v>-3.725759695039636E-3</v>
      </c>
      <c r="G225" s="32">
        <f t="shared" si="22"/>
        <v>4.2013356243212462E-3</v>
      </c>
      <c r="H225" s="32">
        <f t="shared" si="23"/>
        <v>-7.6188310351448327E-3</v>
      </c>
      <c r="I225" s="32">
        <f t="shared" si="23"/>
        <v>-1.2236994315682211E-2</v>
      </c>
      <c r="J225" s="32">
        <f t="shared" si="25"/>
        <v>0</v>
      </c>
      <c r="K225" s="32">
        <f t="shared" si="25"/>
        <v>2.1126925395252391E-2</v>
      </c>
    </row>
    <row r="226" spans="1:11" x14ac:dyDescent="0.3">
      <c r="A226" s="68">
        <v>43789</v>
      </c>
      <c r="B226" s="32">
        <v>298.65896600000002</v>
      </c>
      <c r="C226" s="32">
        <v>30.914124000000001</v>
      </c>
      <c r="D226" s="32">
        <v>67.701942000000003</v>
      </c>
      <c r="F226" s="32">
        <f t="shared" si="21"/>
        <v>-1.6099461196773881E-3</v>
      </c>
      <c r="G226" s="32">
        <f t="shared" si="22"/>
        <v>-6.8714283976778028E-3</v>
      </c>
      <c r="H226" s="32">
        <f t="shared" si="23"/>
        <v>4.5782477786981829E-3</v>
      </c>
      <c r="I226" s="32">
        <f t="shared" si="23"/>
        <v>-1.3511603503338511E-4</v>
      </c>
      <c r="J226" s="32">
        <f t="shared" si="25"/>
        <v>-6.3209559376275802E-3</v>
      </c>
      <c r="K226" s="32">
        <f t="shared" si="25"/>
        <v>-9.4421983276555058E-3</v>
      </c>
    </row>
    <row r="227" spans="1:11" x14ac:dyDescent="0.3">
      <c r="A227" s="68">
        <v>43790</v>
      </c>
      <c r="B227" s="32">
        <v>298.17852800000003</v>
      </c>
      <c r="C227" s="32">
        <v>31.055980999999999</v>
      </c>
      <c r="D227" s="32">
        <v>67.692795000000004</v>
      </c>
      <c r="F227" s="32">
        <f t="shared" si="21"/>
        <v>2.2213196038306637E-3</v>
      </c>
      <c r="G227" s="32">
        <f t="shared" si="22"/>
        <v>5.9766219238277787E-3</v>
      </c>
      <c r="H227" s="32">
        <f t="shared" si="23"/>
        <v>1.030010710352702E-2</v>
      </c>
      <c r="I227" s="32">
        <f t="shared" si="23"/>
        <v>1.3040241457911592E-2</v>
      </c>
      <c r="J227" s="32">
        <f t="shared" ref="J227:K242" si="26">LN(C480/C479)</f>
        <v>2.1403035813017043E-2</v>
      </c>
      <c r="K227" s="32">
        <f t="shared" si="26"/>
        <v>3.1446006311773141E-2</v>
      </c>
    </row>
    <row r="228" spans="1:11" x14ac:dyDescent="0.3">
      <c r="A228" s="68">
        <v>43791</v>
      </c>
      <c r="B228" s="32">
        <v>298.84161399999999</v>
      </c>
      <c r="C228" s="32">
        <v>31.377514000000001</v>
      </c>
      <c r="D228" s="32">
        <v>68.581305999999998</v>
      </c>
      <c r="F228" s="32">
        <f t="shared" si="21"/>
        <v>7.7203836477113307E-3</v>
      </c>
      <c r="G228" s="32">
        <f t="shared" si="22"/>
        <v>1.5985169940407169E-2</v>
      </c>
      <c r="H228" s="32">
        <f t="shared" si="23"/>
        <v>8.7021703393622054E-3</v>
      </c>
      <c r="I228" s="32">
        <f t="shared" si="23"/>
        <v>1.0760790213340105E-2</v>
      </c>
      <c r="J228" s="32">
        <f t="shared" si="26"/>
        <v>5.6427884205242647E-2</v>
      </c>
      <c r="K228" s="32">
        <f t="shared" si="26"/>
        <v>6.8166971718878797E-2</v>
      </c>
    </row>
    <row r="229" spans="1:11" x14ac:dyDescent="0.3">
      <c r="A229" s="68">
        <v>43794</v>
      </c>
      <c r="B229" s="32">
        <v>301.157715</v>
      </c>
      <c r="C229" s="32">
        <v>31.651758000000001</v>
      </c>
      <c r="D229" s="32">
        <v>69.323279999999997</v>
      </c>
      <c r="F229" s="32">
        <f t="shared" si="21"/>
        <v>2.2629647798578421E-3</v>
      </c>
      <c r="G229" s="32">
        <f t="shared" si="22"/>
        <v>-1.5429563006793556E-3</v>
      </c>
      <c r="H229" s="32">
        <f t="shared" si="23"/>
        <v>-3.5916776561249063E-3</v>
      </c>
      <c r="I229" s="32">
        <f t="shared" si="23"/>
        <v>-2.9113380573570192E-3</v>
      </c>
      <c r="J229" s="32">
        <f t="shared" si="26"/>
        <v>1.7238569471005336E-3</v>
      </c>
      <c r="K229" s="32">
        <f t="shared" si="26"/>
        <v>0</v>
      </c>
    </row>
    <row r="230" spans="1:11" x14ac:dyDescent="0.3">
      <c r="A230" s="68">
        <v>43795</v>
      </c>
      <c r="B230" s="32">
        <v>301.83999599999999</v>
      </c>
      <c r="C230" s="32">
        <v>31.538278999999999</v>
      </c>
      <c r="D230" s="32">
        <v>69.121750000000006</v>
      </c>
      <c r="F230" s="32">
        <f t="shared" si="21"/>
        <v>4.4476185776560848E-3</v>
      </c>
      <c r="G230" s="32">
        <f t="shared" si="22"/>
        <v>2.781107823756848E-3</v>
      </c>
      <c r="H230" s="32">
        <f t="shared" si="23"/>
        <v>2.096583511059345E-3</v>
      </c>
      <c r="I230" s="32">
        <f t="shared" si="23"/>
        <v>3.439578013704564E-3</v>
      </c>
      <c r="J230" s="32">
        <f t="shared" si="26"/>
        <v>-1.3788121902633722E-3</v>
      </c>
      <c r="K230" s="32">
        <f t="shared" si="26"/>
        <v>-6.8584537603139234E-3</v>
      </c>
    </row>
    <row r="231" spans="1:11" x14ac:dyDescent="0.3">
      <c r="A231" s="68">
        <v>43796</v>
      </c>
      <c r="B231" s="32">
        <v>303.18545499999999</v>
      </c>
      <c r="C231" s="32">
        <v>31.604471</v>
      </c>
      <c r="D231" s="32">
        <v>69.359909000000002</v>
      </c>
      <c r="F231" s="32">
        <f t="shared" si="21"/>
        <v>-3.7154787495099224E-3</v>
      </c>
      <c r="G231" s="32">
        <f t="shared" si="22"/>
        <v>-4.4368352359198428E-3</v>
      </c>
      <c r="H231" s="32">
        <f t="shared" si="23"/>
        <v>-2.9967840217281611E-3</v>
      </c>
      <c r="I231" s="32">
        <f t="shared" si="23"/>
        <v>-7.9554321126652297E-3</v>
      </c>
      <c r="J231" s="32">
        <f t="shared" si="26"/>
        <v>-2.9048388149372262E-2</v>
      </c>
      <c r="K231" s="32">
        <f t="shared" si="26"/>
        <v>-2.863971934358904E-2</v>
      </c>
    </row>
    <row r="232" spans="1:11" x14ac:dyDescent="0.3">
      <c r="A232" s="68">
        <v>43798</v>
      </c>
      <c r="B232" s="32">
        <v>302.06106599999998</v>
      </c>
      <c r="C232" s="32">
        <v>31.509900999999999</v>
      </c>
      <c r="D232" s="32">
        <v>68.810310000000001</v>
      </c>
      <c r="F232" s="32">
        <f t="shared" si="21"/>
        <v>-8.5310886492849236E-3</v>
      </c>
      <c r="G232" s="32">
        <f t="shared" si="22"/>
        <v>1.0877868806524894E-2</v>
      </c>
      <c r="H232" s="32">
        <f t="shared" si="23"/>
        <v>3.2961588658317192E-3</v>
      </c>
      <c r="I232" s="32">
        <f t="shared" si="23"/>
        <v>-8.0193314308185625E-3</v>
      </c>
      <c r="J232" s="32">
        <f t="shared" si="26"/>
        <v>1.8646123361927339E-2</v>
      </c>
      <c r="K232" s="32">
        <f t="shared" si="26"/>
        <v>7.237164727580802E-3</v>
      </c>
    </row>
    <row r="233" spans="1:11" x14ac:dyDescent="0.3">
      <c r="A233" s="68">
        <v>43801</v>
      </c>
      <c r="B233" s="32">
        <v>299.49511699999999</v>
      </c>
      <c r="C233" s="32">
        <v>31.613934</v>
      </c>
      <c r="D233" s="32">
        <v>68.260704000000004</v>
      </c>
      <c r="F233" s="32">
        <f t="shared" si="21"/>
        <v>-6.7292308015904261E-3</v>
      </c>
      <c r="G233" s="32">
        <f t="shared" si="22"/>
        <v>2.1016720979857451E-3</v>
      </c>
      <c r="H233" s="32">
        <f t="shared" si="23"/>
        <v>-1.7806558141927272E-2</v>
      </c>
      <c r="I233" s="32">
        <f t="shared" si="23"/>
        <v>-1.609768211205527E-2</v>
      </c>
      <c r="J233" s="32">
        <f t="shared" si="26"/>
        <v>1.2813931073868584E-2</v>
      </c>
      <c r="K233" s="32">
        <f t="shared" si="26"/>
        <v>3.0711696492894763E-2</v>
      </c>
    </row>
    <row r="234" spans="1:11" x14ac:dyDescent="0.3">
      <c r="A234" s="68">
        <v>43802</v>
      </c>
      <c r="B234" s="32">
        <v>297.48651100000001</v>
      </c>
      <c r="C234" s="32">
        <v>31.055980999999999</v>
      </c>
      <c r="D234" s="32">
        <v>67.170661999999993</v>
      </c>
      <c r="F234" s="32">
        <f t="shared" si="21"/>
        <v>6.1515153078118079E-3</v>
      </c>
      <c r="G234" s="32">
        <f t="shared" si="22"/>
        <v>-2.7275525578173608E-4</v>
      </c>
      <c r="H234" s="32">
        <f t="shared" si="23"/>
        <v>9.395483654929997E-3</v>
      </c>
      <c r="I234" s="32">
        <f t="shared" si="23"/>
        <v>1.2198539485658747E-2</v>
      </c>
      <c r="J234" s="32">
        <f t="shared" si="26"/>
        <v>1.0382009690118787E-3</v>
      </c>
      <c r="K234" s="32">
        <f t="shared" si="26"/>
        <v>-1.0898301871950839E-2</v>
      </c>
    </row>
    <row r="235" spans="1:11" x14ac:dyDescent="0.3">
      <c r="A235" s="68">
        <v>43803</v>
      </c>
      <c r="B235" s="32">
        <v>299.32214399999998</v>
      </c>
      <c r="C235" s="32">
        <v>31.349142000000001</v>
      </c>
      <c r="D235" s="32">
        <v>67.995063999999999</v>
      </c>
      <c r="F235" s="32">
        <f t="shared" si="21"/>
        <v>1.7961680485977243E-3</v>
      </c>
      <c r="G235" s="32">
        <f t="shared" si="22"/>
        <v>8.5807199475035657E-3</v>
      </c>
      <c r="H235" s="32">
        <f t="shared" si="23"/>
        <v>3.6329819650545076E-3</v>
      </c>
      <c r="I235" s="32">
        <f t="shared" si="23"/>
        <v>6.445446899387656E-3</v>
      </c>
      <c r="J235" s="32">
        <f t="shared" si="26"/>
        <v>1.3058721752900172E-2</v>
      </c>
      <c r="K235" s="32">
        <f t="shared" si="26"/>
        <v>3.5420183262458854E-2</v>
      </c>
    </row>
    <row r="236" spans="1:11" x14ac:dyDescent="0.3">
      <c r="A236" s="68">
        <v>43804</v>
      </c>
      <c r="B236" s="32">
        <v>299.86025999999998</v>
      </c>
      <c r="C236" s="32">
        <v>31.463239999999999</v>
      </c>
      <c r="D236" s="32">
        <v>68.434737999999996</v>
      </c>
      <c r="F236" s="32">
        <f t="shared" si="21"/>
        <v>9.0927335610989854E-3</v>
      </c>
      <c r="G236" s="32">
        <f t="shared" si="22"/>
        <v>-2.0569203335999162E-3</v>
      </c>
      <c r="H236" s="32">
        <f t="shared" si="23"/>
        <v>1.7376072961896895E-2</v>
      </c>
      <c r="I236" s="32">
        <f t="shared" si="23"/>
        <v>1.4616379540681642E-2</v>
      </c>
      <c r="J236" s="32">
        <f t="shared" si="26"/>
        <v>-6.8517680309968477E-3</v>
      </c>
      <c r="K236" s="32">
        <f t="shared" si="26"/>
        <v>-8.393969875795106E-3</v>
      </c>
    </row>
    <row r="237" spans="1:11" x14ac:dyDescent="0.3">
      <c r="A237" s="68">
        <v>43805</v>
      </c>
      <c r="B237" s="32">
        <v>302.599243</v>
      </c>
      <c r="C237" s="32">
        <v>32.014724999999999</v>
      </c>
      <c r="D237" s="32">
        <v>69.442352</v>
      </c>
      <c r="F237" s="32">
        <f t="shared" si="21"/>
        <v>-3.1490985508684771E-3</v>
      </c>
      <c r="G237" s="32">
        <f t="shared" si="22"/>
        <v>2.9217609814419189E-3</v>
      </c>
      <c r="H237" s="32">
        <f t="shared" si="23"/>
        <v>-4.7633902597179817E-3</v>
      </c>
      <c r="I237" s="32">
        <f t="shared" si="23"/>
        <v>-6.3517412454526505E-3</v>
      </c>
      <c r="J237" s="32">
        <f t="shared" si="26"/>
        <v>-5.5152764556475877E-3</v>
      </c>
      <c r="K237" s="32">
        <f t="shared" si="26"/>
        <v>3.9488094536144882E-3</v>
      </c>
    </row>
    <row r="238" spans="1:11" x14ac:dyDescent="0.3">
      <c r="A238" s="68">
        <v>43808</v>
      </c>
      <c r="B238" s="32">
        <v>301.64782700000001</v>
      </c>
      <c r="C238" s="32">
        <v>31.862589</v>
      </c>
      <c r="D238" s="32">
        <v>69.002669999999995</v>
      </c>
      <c r="F238" s="32">
        <f t="shared" si="21"/>
        <v>-1.1158134811959726E-3</v>
      </c>
      <c r="G238" s="32">
        <f t="shared" si="22"/>
        <v>-9.0093203423195108E-3</v>
      </c>
      <c r="H238" s="32">
        <f t="shared" si="23"/>
        <v>5.9682294435038738E-4</v>
      </c>
      <c r="I238" s="32">
        <f t="shared" si="23"/>
        <v>5.9560398453796523E-3</v>
      </c>
      <c r="J238" s="32">
        <f t="shared" si="26"/>
        <v>-4.5038375292408526E-3</v>
      </c>
      <c r="K238" s="32">
        <f t="shared" si="26"/>
        <v>1.0058911701477337E-2</v>
      </c>
    </row>
    <row r="239" spans="1:11" x14ac:dyDescent="0.3">
      <c r="A239" s="68">
        <v>43809</v>
      </c>
      <c r="B239" s="32">
        <v>301.31143200000002</v>
      </c>
      <c r="C239" s="32">
        <v>31.881610999999999</v>
      </c>
      <c r="D239" s="32">
        <v>69.414878999999999</v>
      </c>
      <c r="F239" s="32">
        <f t="shared" si="21"/>
        <v>2.8347256195259828E-3</v>
      </c>
      <c r="G239" s="32">
        <f t="shared" si="22"/>
        <v>-3.2724724555967179E-4</v>
      </c>
      <c r="H239" s="32">
        <f t="shared" si="23"/>
        <v>3.2751738897636219E-3</v>
      </c>
      <c r="I239" s="32">
        <f t="shared" si="23"/>
        <v>-3.0396704727077397E-3</v>
      </c>
      <c r="J239" s="32">
        <f t="shared" si="26"/>
        <v>1.0706477624398835E-2</v>
      </c>
      <c r="K239" s="32">
        <f t="shared" si="26"/>
        <v>2.5953729579684944E-2</v>
      </c>
    </row>
    <row r="240" spans="1:11" x14ac:dyDescent="0.3">
      <c r="A240" s="68">
        <v>43810</v>
      </c>
      <c r="B240" s="32">
        <v>302.16677900000002</v>
      </c>
      <c r="C240" s="32">
        <v>31.9862</v>
      </c>
      <c r="D240" s="32">
        <v>69.204200999999998</v>
      </c>
      <c r="F240" s="32">
        <f t="shared" si="21"/>
        <v>8.5821489688324201E-3</v>
      </c>
      <c r="G240" s="32">
        <f t="shared" si="22"/>
        <v>-1.1731297173663011E-3</v>
      </c>
      <c r="H240" s="32">
        <f t="shared" si="23"/>
        <v>3.0447413266430332E-2</v>
      </c>
      <c r="I240" s="32">
        <f t="shared" si="23"/>
        <v>1.9659760241803739E-2</v>
      </c>
      <c r="J240" s="32">
        <f t="shared" si="26"/>
        <v>-1.8724653092004478E-2</v>
      </c>
      <c r="K240" s="32">
        <f t="shared" si="26"/>
        <v>-2.6293033245938506E-2</v>
      </c>
    </row>
    <row r="241" spans="1:11" x14ac:dyDescent="0.3">
      <c r="A241" s="68">
        <v>43811</v>
      </c>
      <c r="B241" s="32">
        <v>304.77117900000002</v>
      </c>
      <c r="C241" s="32">
        <v>32.975074999999997</v>
      </c>
      <c r="D241" s="32">
        <v>70.578201000000007</v>
      </c>
      <c r="F241" s="32">
        <f t="shared" si="21"/>
        <v>5.9881432187973622E-4</v>
      </c>
      <c r="G241" s="32">
        <f t="shared" si="22"/>
        <v>-4.4872595441775272E-3</v>
      </c>
      <c r="H241" s="32">
        <f t="shared" si="23"/>
        <v>-6.9444048326988226E-3</v>
      </c>
      <c r="I241" s="32">
        <f t="shared" si="23"/>
        <v>-8.6029437817508811E-3</v>
      </c>
      <c r="J241" s="32">
        <f t="shared" si="26"/>
        <v>-1.2326179075055409E-2</v>
      </c>
      <c r="K241" s="32">
        <f t="shared" si="26"/>
        <v>-3.2293184525501832E-3</v>
      </c>
    </row>
    <row r="242" spans="1:11" x14ac:dyDescent="0.3">
      <c r="A242" s="68">
        <v>43812</v>
      </c>
      <c r="B242" s="32">
        <v>304.95373499999999</v>
      </c>
      <c r="C242" s="32">
        <v>32.746876</v>
      </c>
      <c r="D242" s="32">
        <v>69.973624999999998</v>
      </c>
      <c r="F242" s="32">
        <f t="shared" si="21"/>
        <v>6.8466095189146483E-3</v>
      </c>
      <c r="G242" s="32">
        <f t="shared" si="22"/>
        <v>1.3428879950463756E-2</v>
      </c>
      <c r="H242" s="32">
        <f t="shared" si="23"/>
        <v>7.5209166087211714E-3</v>
      </c>
      <c r="I242" s="32">
        <f t="shared" si="23"/>
        <v>6.7842710379888782E-3</v>
      </c>
      <c r="J242" s="32">
        <f t="shared" si="26"/>
        <v>1.4773315652284066E-2</v>
      </c>
      <c r="K242" s="32">
        <f t="shared" si="26"/>
        <v>1.5708333308686706E-2</v>
      </c>
    </row>
    <row r="243" spans="1:11" x14ac:dyDescent="0.3">
      <c r="A243" s="68">
        <v>43815</v>
      </c>
      <c r="B243" s="32">
        <v>307.04879799999998</v>
      </c>
      <c r="C243" s="32">
        <v>32.994090999999997</v>
      </c>
      <c r="D243" s="32">
        <v>70.449959000000007</v>
      </c>
      <c r="F243" s="32">
        <f t="shared" si="21"/>
        <v>2.1913007953926891E-4</v>
      </c>
      <c r="G243" s="32">
        <f t="shared" si="22"/>
        <v>1.5680768989592504E-3</v>
      </c>
      <c r="H243" s="32">
        <f t="shared" si="23"/>
        <v>9.75054785545529E-3</v>
      </c>
      <c r="I243" s="32">
        <f t="shared" si="23"/>
        <v>1.0733803414918657E-2</v>
      </c>
      <c r="J243" s="32">
        <f t="shared" ref="J243:K253" si="27">LN(C496/C495)</f>
        <v>2.7894346622340345E-3</v>
      </c>
      <c r="K243" s="32">
        <f t="shared" si="27"/>
        <v>1.3399938077340962E-3</v>
      </c>
    </row>
    <row r="244" spans="1:11" x14ac:dyDescent="0.3">
      <c r="A244" s="68">
        <v>43816</v>
      </c>
      <c r="B244" s="32">
        <v>307.11608899999999</v>
      </c>
      <c r="C244" s="32">
        <v>33.317374999999998</v>
      </c>
      <c r="D244" s="32">
        <v>71.210228000000001</v>
      </c>
      <c r="F244" s="32">
        <f t="shared" si="21"/>
        <v>6.2498842819158103E-5</v>
      </c>
      <c r="G244" s="32">
        <f t="shared" si="22"/>
        <v>5.5764535058734788E-3</v>
      </c>
      <c r="H244" s="32">
        <f t="shared" si="23"/>
        <v>1.9959732459176207E-3</v>
      </c>
      <c r="I244" s="32">
        <f t="shared" si="23"/>
        <v>2.3129174702669619E-3</v>
      </c>
      <c r="J244" s="32">
        <f t="shared" si="27"/>
        <v>3.8227586752020387E-3</v>
      </c>
      <c r="K244" s="32">
        <f t="shared" si="27"/>
        <v>5.0081890657832431E-3</v>
      </c>
    </row>
    <row r="245" spans="1:11" x14ac:dyDescent="0.3">
      <c r="A245" s="68">
        <v>43817</v>
      </c>
      <c r="B245" s="32">
        <v>307.13528400000001</v>
      </c>
      <c r="C245" s="32">
        <v>33.383941999999998</v>
      </c>
      <c r="D245" s="32">
        <v>71.375122000000005</v>
      </c>
      <c r="F245" s="32">
        <f t="shared" si="21"/>
        <v>4.0906040572889959E-3</v>
      </c>
      <c r="G245" s="32">
        <f t="shared" si="22"/>
        <v>-4.0008314446993119E-3</v>
      </c>
      <c r="H245" s="32">
        <f t="shared" si="23"/>
        <v>-4.5676367418709327E-3</v>
      </c>
      <c r="I245" s="32">
        <f t="shared" si="23"/>
        <v>3.5868284472905629E-3</v>
      </c>
      <c r="J245" s="32">
        <f t="shared" si="27"/>
        <v>-5.5651897103522162E-3</v>
      </c>
      <c r="K245" s="32">
        <f t="shared" si="27"/>
        <v>-1.6623619096882914E-2</v>
      </c>
    </row>
    <row r="246" spans="1:11" x14ac:dyDescent="0.3">
      <c r="A246" s="68">
        <v>43818</v>
      </c>
      <c r="B246" s="32">
        <v>308.394226</v>
      </c>
      <c r="C246" s="32">
        <v>33.231803999999997</v>
      </c>
      <c r="D246" s="32">
        <v>71.631591999999998</v>
      </c>
      <c r="F246" s="32">
        <f t="shared" si="21"/>
        <v>4.3745819910430391E-3</v>
      </c>
      <c r="G246" s="32">
        <f t="shared" si="22"/>
        <v>-3.5819323879200172E-3</v>
      </c>
      <c r="H246" s="32">
        <f t="shared" si="23"/>
        <v>2.8576970856875663E-4</v>
      </c>
      <c r="I246" s="32">
        <f t="shared" si="23"/>
        <v>3.9566280598373931E-3</v>
      </c>
      <c r="J246" s="32">
        <f t="shared" si="27"/>
        <v>3.6641614576551636E-2</v>
      </c>
      <c r="K246" s="32">
        <f t="shared" si="27"/>
        <v>3.6083421102310012E-2</v>
      </c>
    </row>
    <row r="247" spans="1:11" x14ac:dyDescent="0.3">
      <c r="A247" s="68">
        <v>43819</v>
      </c>
      <c r="B247" s="32">
        <v>309.74627700000002</v>
      </c>
      <c r="C247" s="32">
        <v>33.241301999999997</v>
      </c>
      <c r="D247" s="32">
        <v>71.915572999999995</v>
      </c>
      <c r="F247" s="32">
        <f t="shared" si="21"/>
        <v>1.5267489808726143E-3</v>
      </c>
      <c r="G247" s="32">
        <f t="shared" si="22"/>
        <v>-1.6868613349319218E-3</v>
      </c>
      <c r="H247" s="32">
        <f t="shared" si="23"/>
        <v>5.9889252085215099E-3</v>
      </c>
      <c r="I247" s="32">
        <f t="shared" si="23"/>
        <v>3.1792857760451322E-3</v>
      </c>
      <c r="J247" s="32">
        <f t="shared" si="27"/>
        <v>-1.7981843614837158E-2</v>
      </c>
      <c r="K247" s="32">
        <f t="shared" si="27"/>
        <v>-3.2702821593718158E-2</v>
      </c>
    </row>
    <row r="248" spans="1:11" x14ac:dyDescent="0.3">
      <c r="A248" s="68">
        <v>43822</v>
      </c>
      <c r="B248" s="32">
        <v>310.21954299999999</v>
      </c>
      <c r="C248" s="32">
        <v>33.440978999999999</v>
      </c>
      <c r="D248" s="32">
        <v>72.144576999999998</v>
      </c>
      <c r="F248" s="32">
        <f t="shared" si="21"/>
        <v>3.0987251697809377E-5</v>
      </c>
      <c r="G248" s="32">
        <f t="shared" si="22"/>
        <v>8.9817909221408373E-4</v>
      </c>
      <c r="H248" s="32">
        <f t="shared" si="23"/>
        <v>1.4207787345347272E-3</v>
      </c>
      <c r="I248" s="32">
        <f t="shared" si="23"/>
        <v>-2.1608319540043453E-3</v>
      </c>
      <c r="J248" s="32">
        <f t="shared" si="27"/>
        <v>2.8351530625768211E-2</v>
      </c>
      <c r="K248" s="32">
        <f t="shared" si="27"/>
        <v>2.532632530420241E-2</v>
      </c>
    </row>
    <row r="249" spans="1:11" x14ac:dyDescent="0.3">
      <c r="A249" s="68">
        <v>43823</v>
      </c>
      <c r="B249" s="32">
        <v>310.22915599999999</v>
      </c>
      <c r="C249" s="32">
        <v>33.488525000000003</v>
      </c>
      <c r="D249" s="32">
        <v>71.988853000000006</v>
      </c>
      <c r="F249" s="32">
        <f t="shared" si="21"/>
        <v>5.3092330525998602E-3</v>
      </c>
      <c r="G249" s="32">
        <f t="shared" si="22"/>
        <v>3.882898605442608E-3</v>
      </c>
      <c r="H249" s="32">
        <f t="shared" si="23"/>
        <v>8.4819485727923756E-3</v>
      </c>
      <c r="I249" s="32">
        <f t="shared" si="23"/>
        <v>1.565494274419799E-2</v>
      </c>
      <c r="J249" s="32">
        <f t="shared" si="27"/>
        <v>-2.9994862229034427E-3</v>
      </c>
      <c r="K249" s="32">
        <f t="shared" si="27"/>
        <v>-3.4611282521707538E-3</v>
      </c>
    </row>
    <row r="250" spans="1:11" x14ac:dyDescent="0.3">
      <c r="A250" s="68">
        <v>43825</v>
      </c>
      <c r="B250" s="32">
        <v>311.88061499999998</v>
      </c>
      <c r="C250" s="32">
        <v>33.773781</v>
      </c>
      <c r="D250" s="32">
        <v>73.124701999999999</v>
      </c>
      <c r="F250" s="32">
        <f t="shared" si="21"/>
        <v>-2.4778575480869763E-4</v>
      </c>
      <c r="G250" s="32">
        <f t="shared" si="22"/>
        <v>8.5540375552023047E-3</v>
      </c>
      <c r="H250" s="32">
        <f t="shared" si="23"/>
        <v>-4.7975694281447261E-3</v>
      </c>
      <c r="I250" s="32">
        <f t="shared" si="23"/>
        <v>-2.0062586756977746E-3</v>
      </c>
      <c r="J250" s="32">
        <f t="shared" si="27"/>
        <v>5.6582774581629839E-3</v>
      </c>
      <c r="K250" s="32">
        <f t="shared" si="27"/>
        <v>9.2029979634917474E-3</v>
      </c>
    </row>
    <row r="251" spans="1:11" x14ac:dyDescent="0.3">
      <c r="A251" s="68">
        <v>43826</v>
      </c>
      <c r="B251" s="32">
        <v>311.80334499999998</v>
      </c>
      <c r="C251" s="32">
        <v>33.612136999999997</v>
      </c>
      <c r="D251" s="32">
        <v>72.978142000000005</v>
      </c>
      <c r="F251" s="32">
        <f t="shared" si="21"/>
        <v>-5.5285208509045121E-3</v>
      </c>
      <c r="G251" s="32">
        <f t="shared" si="22"/>
        <v>-1.9095431802995427E-3</v>
      </c>
      <c r="H251" s="32">
        <f t="shared" si="23"/>
        <v>-5.6736341327460254E-3</v>
      </c>
      <c r="I251" s="32">
        <f t="shared" si="23"/>
        <v>-2.0105115274437172E-3</v>
      </c>
      <c r="J251" s="32">
        <f t="shared" si="27"/>
        <v>-3.9907742398478194E-3</v>
      </c>
      <c r="K251" s="32">
        <f t="shared" si="27"/>
        <v>-3.6052912517999178E-3</v>
      </c>
    </row>
    <row r="252" spans="1:11" x14ac:dyDescent="0.3">
      <c r="A252" s="68">
        <v>43829</v>
      </c>
      <c r="B252" s="32">
        <v>310.08429000000001</v>
      </c>
      <c r="C252" s="32">
        <v>33.421973999999999</v>
      </c>
      <c r="D252" s="32">
        <v>72.831565999999995</v>
      </c>
      <c r="F252" s="32">
        <f t="shared" si="21"/>
        <v>2.4263772944805332E-3</v>
      </c>
      <c r="G252" s="32">
        <f t="shared" si="22"/>
        <v>1.4257436206320522E-3</v>
      </c>
      <c r="H252" s="32">
        <f t="shared" si="23"/>
        <v>1.9892549880981291E-3</v>
      </c>
      <c r="I252" s="32">
        <f t="shared" si="23"/>
        <v>4.7679030602009904E-3</v>
      </c>
      <c r="J252" s="32">
        <f t="shared" si="27"/>
        <v>-1.000127229168337E-3</v>
      </c>
      <c r="K252" s="32">
        <f t="shared" si="27"/>
        <v>-8.2123008619397161E-4</v>
      </c>
    </row>
    <row r="253" spans="1:11" x14ac:dyDescent="0.3">
      <c r="A253" s="68">
        <v>43830</v>
      </c>
      <c r="B253" s="32">
        <v>310.83758499999999</v>
      </c>
      <c r="C253" s="32">
        <v>33.488525000000003</v>
      </c>
      <c r="D253" s="32">
        <v>73.179648999999998</v>
      </c>
      <c r="F253" s="32">
        <f t="shared" si="21"/>
        <v>9.3084416825169602E-3</v>
      </c>
      <c r="G253" s="32">
        <f t="shared" si="22"/>
        <v>5.0680388326910207E-3</v>
      </c>
      <c r="H253" s="32">
        <f t="shared" si="23"/>
        <v>1.1854526479804787E-2</v>
      </c>
      <c r="I253" s="32">
        <f t="shared" si="23"/>
        <v>1.6633963887574994E-2</v>
      </c>
      <c r="J253" s="32">
        <f t="shared" si="27"/>
        <v>1.0947240753580492E-2</v>
      </c>
      <c r="K253" s="32">
        <f t="shared" si="27"/>
        <v>1.3059346314304219E-2</v>
      </c>
    </row>
    <row r="254" spans="1:11" x14ac:dyDescent="0.3">
      <c r="A254" s="68">
        <v>43832</v>
      </c>
      <c r="B254" s="32">
        <v>313.744507</v>
      </c>
      <c r="C254" s="32">
        <v>33.887878000000001</v>
      </c>
      <c r="D254" s="32">
        <v>74.407096999999993</v>
      </c>
    </row>
    <row r="255" spans="1:11" x14ac:dyDescent="0.3">
      <c r="A255" s="68">
        <v>43833</v>
      </c>
      <c r="B255" s="32">
        <v>311.36874399999999</v>
      </c>
      <c r="C255" s="32">
        <v>33.184260999999999</v>
      </c>
      <c r="D255" s="32">
        <v>73.005607999999995</v>
      </c>
    </row>
    <row r="256" spans="1:11" x14ac:dyDescent="0.3">
      <c r="A256" s="68">
        <v>43836</v>
      </c>
      <c r="B256" s="32">
        <v>312.55664100000001</v>
      </c>
      <c r="C256" s="32">
        <v>33.136710999999998</v>
      </c>
      <c r="D256" s="32">
        <v>72.776611000000003</v>
      </c>
    </row>
    <row r="257" spans="1:4" x14ac:dyDescent="0.3">
      <c r="A257" s="68">
        <v>43837</v>
      </c>
      <c r="B257" s="32">
        <v>311.677795</v>
      </c>
      <c r="C257" s="32">
        <v>32.918030000000002</v>
      </c>
      <c r="D257" s="32">
        <v>72.144576999999998</v>
      </c>
    </row>
    <row r="258" spans="1:4" x14ac:dyDescent="0.3">
      <c r="A258" s="68">
        <v>43838</v>
      </c>
      <c r="B258" s="32">
        <v>313.33892800000001</v>
      </c>
      <c r="C258" s="32">
        <v>33.250819999999997</v>
      </c>
      <c r="D258" s="32">
        <v>72.694175999999999</v>
      </c>
    </row>
    <row r="259" spans="1:4" x14ac:dyDescent="0.3">
      <c r="A259" s="68">
        <v>43839</v>
      </c>
      <c r="B259" s="32">
        <v>315.463593</v>
      </c>
      <c r="C259" s="32">
        <v>33.307868999999997</v>
      </c>
      <c r="D259" s="32">
        <v>73.353690999999998</v>
      </c>
    </row>
    <row r="260" spans="1:4" x14ac:dyDescent="0.3">
      <c r="A260" s="68">
        <v>43840</v>
      </c>
      <c r="B260" s="32">
        <v>314.555725</v>
      </c>
      <c r="C260" s="32">
        <v>33.032124000000003</v>
      </c>
      <c r="D260" s="32">
        <v>72.593413999999996</v>
      </c>
    </row>
    <row r="261" spans="1:4" x14ac:dyDescent="0.3">
      <c r="A261" s="68">
        <v>43843</v>
      </c>
      <c r="B261" s="32">
        <v>316.71902499999999</v>
      </c>
      <c r="C261" s="32">
        <v>33.336399</v>
      </c>
      <c r="D261" s="32">
        <v>73.875809000000004</v>
      </c>
    </row>
    <row r="262" spans="1:4" x14ac:dyDescent="0.3">
      <c r="A262" s="68">
        <v>43844</v>
      </c>
      <c r="B262" s="32">
        <v>316.236176</v>
      </c>
      <c r="C262" s="32">
        <v>33.583607000000001</v>
      </c>
      <c r="D262" s="32">
        <v>75.029983999999999</v>
      </c>
    </row>
    <row r="263" spans="1:4" x14ac:dyDescent="0.3">
      <c r="A263" s="68">
        <v>43845</v>
      </c>
      <c r="B263" s="32">
        <v>316.950806</v>
      </c>
      <c r="C263" s="32">
        <v>32.965564999999998</v>
      </c>
      <c r="D263" s="32">
        <v>74.416259999999994</v>
      </c>
    </row>
    <row r="264" spans="1:4" x14ac:dyDescent="0.3">
      <c r="A264" s="68">
        <v>43846</v>
      </c>
      <c r="B264" s="32">
        <v>319.58734099999998</v>
      </c>
      <c r="C264" s="32">
        <v>33.013106999999998</v>
      </c>
      <c r="D264" s="32">
        <v>74.196426000000002</v>
      </c>
    </row>
    <row r="265" spans="1:4" x14ac:dyDescent="0.3">
      <c r="A265" s="68">
        <v>43847</v>
      </c>
      <c r="B265" s="32">
        <v>320.58203099999997</v>
      </c>
      <c r="C265" s="32">
        <v>33.003601000000003</v>
      </c>
      <c r="D265" s="32">
        <v>74.306335000000004</v>
      </c>
    </row>
    <row r="266" spans="1:4" x14ac:dyDescent="0.3">
      <c r="A266" s="68">
        <v>43851</v>
      </c>
      <c r="B266" s="32">
        <v>319.95425399999999</v>
      </c>
      <c r="C266" s="32">
        <v>32.575721999999999</v>
      </c>
      <c r="D266" s="32">
        <v>73.188811999999999</v>
      </c>
    </row>
    <row r="267" spans="1:4" x14ac:dyDescent="0.3">
      <c r="A267" s="68">
        <v>43852</v>
      </c>
      <c r="B267" s="32">
        <v>319.99292000000003</v>
      </c>
      <c r="C267" s="32">
        <v>32.670802999999999</v>
      </c>
      <c r="D267" s="32">
        <v>73.372017</v>
      </c>
    </row>
    <row r="268" spans="1:4" x14ac:dyDescent="0.3">
      <c r="A268" s="68">
        <v>43853</v>
      </c>
      <c r="B268" s="32">
        <v>320.35995500000001</v>
      </c>
      <c r="C268" s="32">
        <v>32.442604000000003</v>
      </c>
      <c r="D268" s="32">
        <v>73.097221000000005</v>
      </c>
    </row>
    <row r="269" spans="1:4" x14ac:dyDescent="0.3">
      <c r="A269" s="68">
        <v>43854</v>
      </c>
      <c r="B269" s="32">
        <v>317.51095600000002</v>
      </c>
      <c r="C269" s="32">
        <v>31.891117000000001</v>
      </c>
      <c r="D269" s="32">
        <v>71.833106999999998</v>
      </c>
    </row>
    <row r="270" spans="1:4" x14ac:dyDescent="0.3">
      <c r="A270" s="68">
        <v>43857</v>
      </c>
      <c r="B270" s="32">
        <v>312.42141700000002</v>
      </c>
      <c r="C270" s="32">
        <v>31.235039</v>
      </c>
      <c r="D270" s="32">
        <v>70.266754000000006</v>
      </c>
    </row>
    <row r="271" spans="1:4" x14ac:dyDescent="0.3">
      <c r="A271" s="68">
        <v>43858</v>
      </c>
      <c r="B271" s="32">
        <v>315.69534299999998</v>
      </c>
      <c r="C271" s="32">
        <v>31.605868999999998</v>
      </c>
      <c r="D271" s="32">
        <v>70.752243000000007</v>
      </c>
    </row>
    <row r="272" spans="1:4" x14ac:dyDescent="0.3">
      <c r="A272" s="68">
        <v>43859</v>
      </c>
      <c r="B272" s="32">
        <v>315.43457000000001</v>
      </c>
      <c r="C272" s="32">
        <v>31.387165</v>
      </c>
      <c r="D272" s="32">
        <v>70.056076000000004</v>
      </c>
    </row>
    <row r="273" spans="1:4" x14ac:dyDescent="0.3">
      <c r="A273" s="68">
        <v>43860</v>
      </c>
      <c r="B273" s="32">
        <v>316.458282</v>
      </c>
      <c r="C273" s="32">
        <v>31.834064000000001</v>
      </c>
      <c r="D273" s="32">
        <v>70.926292000000004</v>
      </c>
    </row>
    <row r="274" spans="1:4" x14ac:dyDescent="0.3">
      <c r="A274" s="68">
        <v>43861</v>
      </c>
      <c r="B274" s="32">
        <v>310.71203600000001</v>
      </c>
      <c r="C274" s="32">
        <v>31.216021999999999</v>
      </c>
      <c r="D274" s="32">
        <v>68.611877000000007</v>
      </c>
    </row>
    <row r="275" spans="1:4" x14ac:dyDescent="0.3">
      <c r="A275" s="68">
        <v>43864</v>
      </c>
      <c r="B275" s="32">
        <v>313.020172</v>
      </c>
      <c r="C275" s="32">
        <v>31.349138</v>
      </c>
      <c r="D275" s="32">
        <v>69.275756999999999</v>
      </c>
    </row>
    <row r="276" spans="1:4" x14ac:dyDescent="0.3">
      <c r="A276" s="68">
        <v>43865</v>
      </c>
      <c r="B276" s="32">
        <v>317.79098499999998</v>
      </c>
      <c r="C276" s="32">
        <v>31.967189999999999</v>
      </c>
      <c r="D276" s="32">
        <v>70.539000999999999</v>
      </c>
    </row>
    <row r="277" spans="1:4" x14ac:dyDescent="0.3">
      <c r="A277" s="68">
        <v>43866</v>
      </c>
      <c r="B277" s="32">
        <v>321.46087599999998</v>
      </c>
      <c r="C277" s="32">
        <v>33.003601000000003</v>
      </c>
      <c r="D277" s="32">
        <v>72.705894000000001</v>
      </c>
    </row>
    <row r="278" spans="1:4" x14ac:dyDescent="0.3">
      <c r="A278" s="68">
        <v>43867</v>
      </c>
      <c r="B278" s="32">
        <v>322.54254200000003</v>
      </c>
      <c r="C278" s="32">
        <v>32.965564999999998</v>
      </c>
      <c r="D278" s="32">
        <v>72.816551000000004</v>
      </c>
    </row>
    <row r="279" spans="1:4" x14ac:dyDescent="0.3">
      <c r="A279" s="68">
        <v>43868</v>
      </c>
      <c r="B279" s="32">
        <v>320.82351699999998</v>
      </c>
      <c r="C279" s="32">
        <v>32.908507999999998</v>
      </c>
      <c r="D279" s="32">
        <v>72.558364999999995</v>
      </c>
    </row>
    <row r="280" spans="1:4" x14ac:dyDescent="0.3">
      <c r="A280" s="68">
        <v>43871</v>
      </c>
      <c r="B280" s="32">
        <v>323.21859699999999</v>
      </c>
      <c r="C280" s="32">
        <v>32.984580999999999</v>
      </c>
      <c r="D280" s="32">
        <v>72.364738000000003</v>
      </c>
    </row>
    <row r="281" spans="1:4" x14ac:dyDescent="0.3">
      <c r="A281" s="68">
        <v>43872</v>
      </c>
      <c r="B281" s="32">
        <v>323.77865600000001</v>
      </c>
      <c r="C281" s="32">
        <v>33.060645999999998</v>
      </c>
      <c r="D281" s="32">
        <v>72.927193000000003</v>
      </c>
    </row>
    <row r="282" spans="1:4" x14ac:dyDescent="0.3">
      <c r="A282" s="68">
        <v>43873</v>
      </c>
      <c r="B282" s="32">
        <v>325.86474600000003</v>
      </c>
      <c r="C282" s="32">
        <v>33.203270000000003</v>
      </c>
      <c r="D282" s="32">
        <v>73.148491000000007</v>
      </c>
    </row>
    <row r="283" spans="1:4" x14ac:dyDescent="0.3">
      <c r="A283" s="68">
        <v>43874</v>
      </c>
      <c r="B283" s="32">
        <v>325.51709</v>
      </c>
      <c r="C283" s="32">
        <v>33.193767999999999</v>
      </c>
      <c r="D283" s="32">
        <v>72.844200000000001</v>
      </c>
    </row>
    <row r="284" spans="1:4" x14ac:dyDescent="0.3">
      <c r="A284" s="68">
        <v>43875</v>
      </c>
      <c r="B284" s="32">
        <v>326.03857399999998</v>
      </c>
      <c r="C284" s="32">
        <v>33.136710999999998</v>
      </c>
      <c r="D284" s="32">
        <v>72.650565999999998</v>
      </c>
    </row>
    <row r="285" spans="1:4" x14ac:dyDescent="0.3">
      <c r="A285" s="68">
        <v>43879</v>
      </c>
      <c r="B285" s="32">
        <v>325.198395</v>
      </c>
      <c r="C285" s="32">
        <v>32.585231999999998</v>
      </c>
      <c r="D285" s="32">
        <v>71.534858999999997</v>
      </c>
    </row>
    <row r="286" spans="1:4" x14ac:dyDescent="0.3">
      <c r="A286" s="68">
        <v>43880</v>
      </c>
      <c r="B286" s="32">
        <v>326.75323500000002</v>
      </c>
      <c r="C286" s="32">
        <v>33.013106999999998</v>
      </c>
      <c r="D286" s="32">
        <v>71.968224000000006</v>
      </c>
    </row>
    <row r="287" spans="1:4" x14ac:dyDescent="0.3">
      <c r="A287" s="68">
        <v>43881</v>
      </c>
      <c r="B287" s="32">
        <v>325.410797</v>
      </c>
      <c r="C287" s="32">
        <v>33.136710999999998</v>
      </c>
      <c r="D287" s="32">
        <v>72.124984999999995</v>
      </c>
    </row>
    <row r="288" spans="1:4" x14ac:dyDescent="0.3">
      <c r="A288" s="68">
        <v>43882</v>
      </c>
      <c r="B288" s="32">
        <v>322.059662</v>
      </c>
      <c r="C288" s="32">
        <v>32.670802999999999</v>
      </c>
      <c r="D288" s="32">
        <v>70.483672999999996</v>
      </c>
    </row>
    <row r="289" spans="1:4" x14ac:dyDescent="0.3">
      <c r="A289" s="68">
        <v>43885</v>
      </c>
      <c r="B289" s="32">
        <v>311.37838699999998</v>
      </c>
      <c r="C289" s="32">
        <v>31.120940999999998</v>
      </c>
      <c r="D289" s="32">
        <v>66.878365000000002</v>
      </c>
    </row>
    <row r="290" spans="1:4" x14ac:dyDescent="0.3">
      <c r="A290" s="68">
        <v>43886</v>
      </c>
      <c r="B290" s="32">
        <v>301.942993</v>
      </c>
      <c r="C290" s="32">
        <v>29.552059</v>
      </c>
      <c r="D290" s="32">
        <v>64.019913000000003</v>
      </c>
    </row>
    <row r="291" spans="1:4" x14ac:dyDescent="0.3">
      <c r="A291" s="68">
        <v>43887</v>
      </c>
      <c r="B291" s="32">
        <v>300.83242799999999</v>
      </c>
      <c r="C291" s="32">
        <v>29.124174</v>
      </c>
      <c r="D291" s="32">
        <v>62.867317</v>
      </c>
    </row>
    <row r="292" spans="1:4" x14ac:dyDescent="0.3">
      <c r="A292" s="68">
        <v>43888</v>
      </c>
      <c r="B292" s="32">
        <v>287.32147200000003</v>
      </c>
      <c r="C292" s="32">
        <v>27.69792</v>
      </c>
      <c r="D292" s="32">
        <v>59.427959000000001</v>
      </c>
    </row>
    <row r="293" spans="1:4" x14ac:dyDescent="0.3">
      <c r="A293" s="68">
        <v>43889</v>
      </c>
      <c r="B293" s="32">
        <v>286.11431900000002</v>
      </c>
      <c r="C293" s="32">
        <v>27.098890000000001</v>
      </c>
      <c r="D293" s="32">
        <v>58.515106000000003</v>
      </c>
    </row>
    <row r="294" spans="1:4" x14ac:dyDescent="0.3">
      <c r="A294" s="68">
        <v>43892</v>
      </c>
      <c r="B294" s="32">
        <v>298.50485200000003</v>
      </c>
      <c r="C294" s="32">
        <v>27.926123</v>
      </c>
      <c r="D294" s="32">
        <v>62.323295999999999</v>
      </c>
    </row>
    <row r="295" spans="1:4" x14ac:dyDescent="0.3">
      <c r="A295" s="68">
        <v>43893</v>
      </c>
      <c r="B295" s="32">
        <v>289.95797700000003</v>
      </c>
      <c r="C295" s="32">
        <v>26.385764999999999</v>
      </c>
      <c r="D295" s="32">
        <v>59.981216000000003</v>
      </c>
    </row>
    <row r="296" spans="1:4" x14ac:dyDescent="0.3">
      <c r="A296" s="68">
        <v>43894</v>
      </c>
      <c r="B296" s="32">
        <v>302.145782</v>
      </c>
      <c r="C296" s="32">
        <v>26.994301</v>
      </c>
      <c r="D296" s="32">
        <v>62.138882000000002</v>
      </c>
    </row>
    <row r="297" spans="1:4" x14ac:dyDescent="0.3">
      <c r="A297" s="68">
        <v>43895</v>
      </c>
      <c r="B297" s="32">
        <v>292.10189800000001</v>
      </c>
      <c r="C297" s="32">
        <v>25.625927000000001</v>
      </c>
      <c r="D297" s="32">
        <v>58.542769999999997</v>
      </c>
    </row>
    <row r="298" spans="1:4" x14ac:dyDescent="0.3">
      <c r="A298" s="68">
        <v>43896</v>
      </c>
      <c r="B298" s="32">
        <v>287.27316300000001</v>
      </c>
      <c r="C298" s="32">
        <v>24.602039000000001</v>
      </c>
      <c r="D298" s="32">
        <v>56.504973999999997</v>
      </c>
    </row>
    <row r="299" spans="1:4" x14ac:dyDescent="0.3">
      <c r="A299" s="68">
        <v>43899</v>
      </c>
      <c r="B299" s="32">
        <v>264.838776</v>
      </c>
      <c r="C299" s="32">
        <v>20.984936000000001</v>
      </c>
      <c r="D299" s="32">
        <v>47.367176000000001</v>
      </c>
    </row>
    <row r="300" spans="1:4" x14ac:dyDescent="0.3">
      <c r="A300" s="68">
        <v>43900</v>
      </c>
      <c r="B300" s="32">
        <v>278.54281600000002</v>
      </c>
      <c r="C300" s="32">
        <v>22.592537</v>
      </c>
      <c r="D300" s="32">
        <v>51.249125999999997</v>
      </c>
    </row>
    <row r="301" spans="1:4" x14ac:dyDescent="0.3">
      <c r="A301" s="68">
        <v>43901</v>
      </c>
      <c r="B301" s="32">
        <v>264.96426400000001</v>
      </c>
      <c r="C301" s="32">
        <v>21.693045000000001</v>
      </c>
      <c r="D301" s="32">
        <v>46.832366999999998</v>
      </c>
    </row>
    <row r="302" spans="1:4" x14ac:dyDescent="0.3">
      <c r="A302" s="68">
        <v>43902</v>
      </c>
      <c r="B302" s="32">
        <v>239.61322000000001</v>
      </c>
      <c r="C302" s="32">
        <v>19.626131000000001</v>
      </c>
      <c r="D302" s="32">
        <v>39.889107000000003</v>
      </c>
    </row>
    <row r="303" spans="1:4" x14ac:dyDescent="0.3">
      <c r="A303" s="68">
        <v>43903</v>
      </c>
      <c r="B303" s="32">
        <v>260.09686299999998</v>
      </c>
      <c r="C303" s="32">
        <v>23.118835000000001</v>
      </c>
      <c r="D303" s="32">
        <v>47.062880999999997</v>
      </c>
    </row>
    <row r="304" spans="1:4" x14ac:dyDescent="0.3">
      <c r="A304" s="68">
        <v>43906</v>
      </c>
      <c r="B304" s="32">
        <v>231.636078</v>
      </c>
      <c r="C304" s="32">
        <v>19.559146999999999</v>
      </c>
      <c r="D304" s="32">
        <v>37.980415000000001</v>
      </c>
    </row>
    <row r="305" spans="1:4" x14ac:dyDescent="0.3">
      <c r="A305" s="68">
        <v>43907</v>
      </c>
      <c r="B305" s="32">
        <v>244.14260899999999</v>
      </c>
      <c r="C305" s="32">
        <v>21.032779999999999</v>
      </c>
      <c r="D305" s="32">
        <v>37.113663000000003</v>
      </c>
    </row>
    <row r="306" spans="1:4" x14ac:dyDescent="0.3">
      <c r="A306" s="68">
        <v>43908</v>
      </c>
      <c r="B306" s="32">
        <v>231.78095999999999</v>
      </c>
      <c r="C306" s="32">
        <v>19.894064</v>
      </c>
      <c r="D306" s="32">
        <v>33.591320000000003</v>
      </c>
    </row>
    <row r="307" spans="1:4" x14ac:dyDescent="0.3">
      <c r="A307" s="68">
        <v>43909</v>
      </c>
      <c r="B307" s="32">
        <v>232.27349899999999</v>
      </c>
      <c r="C307" s="32">
        <v>20.286394000000001</v>
      </c>
      <c r="D307" s="32">
        <v>36.551192999999998</v>
      </c>
    </row>
    <row r="308" spans="1:4" x14ac:dyDescent="0.3">
      <c r="A308" s="68">
        <v>43910</v>
      </c>
      <c r="B308" s="32">
        <v>222.26388499999999</v>
      </c>
      <c r="C308" s="32">
        <v>18.822327000000001</v>
      </c>
      <c r="D308" s="32">
        <v>35.094315000000002</v>
      </c>
    </row>
    <row r="309" spans="1:4" x14ac:dyDescent="0.3">
      <c r="A309" s="68">
        <v>43913</v>
      </c>
      <c r="B309" s="32">
        <v>216.580963</v>
      </c>
      <c r="C309" s="32">
        <v>17.300850000000001</v>
      </c>
      <c r="D309" s="32">
        <v>32.632362000000001</v>
      </c>
    </row>
    <row r="310" spans="1:4" x14ac:dyDescent="0.3">
      <c r="A310" s="68">
        <v>43914</v>
      </c>
      <c r="B310" s="32">
        <v>236.20391799999999</v>
      </c>
      <c r="C310" s="32">
        <v>20.123722000000001</v>
      </c>
      <c r="D310" s="32">
        <v>37.491714000000002</v>
      </c>
    </row>
    <row r="311" spans="1:4" x14ac:dyDescent="0.3">
      <c r="A311" s="68">
        <v>43915</v>
      </c>
      <c r="B311" s="32">
        <v>239.73992899999999</v>
      </c>
      <c r="C311" s="32">
        <v>20.190705999999999</v>
      </c>
      <c r="D311" s="32">
        <v>38.598205999999998</v>
      </c>
    </row>
    <row r="312" spans="1:4" x14ac:dyDescent="0.3">
      <c r="A312" s="68">
        <v>43916</v>
      </c>
      <c r="B312" s="32">
        <v>253.73826600000001</v>
      </c>
      <c r="C312" s="32">
        <v>21.740891000000001</v>
      </c>
      <c r="D312" s="32">
        <v>42.434055000000001</v>
      </c>
    </row>
    <row r="313" spans="1:4" x14ac:dyDescent="0.3">
      <c r="A313" s="68">
        <v>43917</v>
      </c>
      <c r="B313" s="32">
        <v>246.18052700000001</v>
      </c>
      <c r="C313" s="32">
        <v>20.669156999999998</v>
      </c>
      <c r="D313" s="32">
        <v>40.387039000000001</v>
      </c>
    </row>
    <row r="314" spans="1:4" x14ac:dyDescent="0.3">
      <c r="A314" s="68">
        <v>43920</v>
      </c>
      <c r="B314" s="32">
        <v>254.1754</v>
      </c>
      <c r="C314" s="32">
        <v>21.090195000000001</v>
      </c>
      <c r="D314" s="32">
        <v>40.645229</v>
      </c>
    </row>
    <row r="315" spans="1:4" x14ac:dyDescent="0.3">
      <c r="A315" s="68">
        <v>43921</v>
      </c>
      <c r="B315" s="32">
        <v>250.386841</v>
      </c>
      <c r="C315" s="32">
        <v>20.315100000000001</v>
      </c>
      <c r="D315" s="32">
        <v>38.837947999999997</v>
      </c>
    </row>
    <row r="316" spans="1:4" x14ac:dyDescent="0.3">
      <c r="A316" s="68">
        <v>43922</v>
      </c>
      <c r="B316" s="32">
        <v>239.11821</v>
      </c>
      <c r="C316" s="32">
        <v>18.918018</v>
      </c>
      <c r="D316" s="32">
        <v>35.509239000000001</v>
      </c>
    </row>
    <row r="317" spans="1:4" x14ac:dyDescent="0.3">
      <c r="A317" s="68">
        <v>43923</v>
      </c>
      <c r="B317" s="32">
        <v>244.635941</v>
      </c>
      <c r="C317" s="32">
        <v>19.683544000000001</v>
      </c>
      <c r="D317" s="32">
        <v>36.173141000000001</v>
      </c>
    </row>
    <row r="318" spans="1:4" x14ac:dyDescent="0.3">
      <c r="A318" s="68">
        <v>43924</v>
      </c>
      <c r="B318" s="32">
        <v>241.09994499999999</v>
      </c>
      <c r="C318" s="32">
        <v>19.166817000000002</v>
      </c>
      <c r="D318" s="32">
        <v>34.568728999999998</v>
      </c>
    </row>
    <row r="319" spans="1:4" x14ac:dyDescent="0.3">
      <c r="A319" s="68">
        <v>43927</v>
      </c>
      <c r="B319" s="32">
        <v>257.293701</v>
      </c>
      <c r="C319" s="32">
        <v>20.468208000000001</v>
      </c>
      <c r="D319" s="32">
        <v>37.915871000000003</v>
      </c>
    </row>
    <row r="320" spans="1:4" x14ac:dyDescent="0.3">
      <c r="A320" s="68">
        <v>43928</v>
      </c>
      <c r="B320" s="32">
        <v>257.556061</v>
      </c>
      <c r="C320" s="32">
        <v>21.185886</v>
      </c>
      <c r="D320" s="32">
        <v>38.035736</v>
      </c>
    </row>
    <row r="321" spans="1:4" x14ac:dyDescent="0.3">
      <c r="A321" s="68">
        <v>43929</v>
      </c>
      <c r="B321" s="32">
        <v>266.20172100000002</v>
      </c>
      <c r="C321" s="32">
        <v>22.439430000000002</v>
      </c>
      <c r="D321" s="32">
        <v>40.811194999999998</v>
      </c>
    </row>
    <row r="322" spans="1:4" x14ac:dyDescent="0.3">
      <c r="A322" s="68">
        <v>43930</v>
      </c>
      <c r="B322" s="32">
        <v>270.25262500000002</v>
      </c>
      <c r="C322" s="32">
        <v>23.788668000000001</v>
      </c>
      <c r="D322" s="32">
        <v>43.715747999999998</v>
      </c>
    </row>
    <row r="323" spans="1:4" x14ac:dyDescent="0.3">
      <c r="A323" s="68">
        <v>43934</v>
      </c>
      <c r="B323" s="32">
        <v>267.78521699999999</v>
      </c>
      <c r="C323" s="32">
        <v>22.889178999999999</v>
      </c>
      <c r="D323" s="32">
        <v>43.042625000000001</v>
      </c>
    </row>
    <row r="324" spans="1:4" x14ac:dyDescent="0.3">
      <c r="A324" s="68">
        <v>43935</v>
      </c>
      <c r="B324" s="32">
        <v>275.682953</v>
      </c>
      <c r="C324" s="32">
        <v>22.707367000000001</v>
      </c>
      <c r="D324" s="32">
        <v>41.880802000000003</v>
      </c>
    </row>
    <row r="325" spans="1:4" x14ac:dyDescent="0.3">
      <c r="A325" s="68">
        <v>43936</v>
      </c>
      <c r="B325" s="32">
        <v>269.82522599999999</v>
      </c>
      <c r="C325" s="32">
        <v>21.233730000000001</v>
      </c>
      <c r="D325" s="32">
        <v>39.520287000000003</v>
      </c>
    </row>
    <row r="326" spans="1:4" x14ac:dyDescent="0.3">
      <c r="A326" s="68">
        <v>43937</v>
      </c>
      <c r="B326" s="32">
        <v>271.12695300000001</v>
      </c>
      <c r="C326" s="32">
        <v>20.496911999999998</v>
      </c>
      <c r="D326" s="32">
        <v>37.362617</v>
      </c>
    </row>
    <row r="327" spans="1:4" x14ac:dyDescent="0.3">
      <c r="A327" s="68">
        <v>43938</v>
      </c>
      <c r="B327" s="32">
        <v>278.45156900000001</v>
      </c>
      <c r="C327" s="32">
        <v>22.276758000000001</v>
      </c>
      <c r="D327" s="32">
        <v>41.908470000000001</v>
      </c>
    </row>
    <row r="328" spans="1:4" x14ac:dyDescent="0.3">
      <c r="A328" s="68">
        <v>43941</v>
      </c>
      <c r="B328" s="32">
        <v>273.54577599999999</v>
      </c>
      <c r="C328" s="32">
        <v>21.530369</v>
      </c>
      <c r="D328" s="32">
        <v>40.580677000000001</v>
      </c>
    </row>
    <row r="329" spans="1:4" x14ac:dyDescent="0.3">
      <c r="A329" s="68">
        <v>43942</v>
      </c>
      <c r="B329" s="32">
        <v>265.24005099999999</v>
      </c>
      <c r="C329" s="32">
        <v>20.707432000000001</v>
      </c>
      <c r="D329" s="32">
        <v>38.330807</v>
      </c>
    </row>
    <row r="330" spans="1:4" x14ac:dyDescent="0.3">
      <c r="A330" s="68">
        <v>43943</v>
      </c>
      <c r="B330" s="32">
        <v>271.12695300000001</v>
      </c>
      <c r="C330" s="32">
        <v>20.860537000000001</v>
      </c>
      <c r="D330" s="32">
        <v>38.948605000000001</v>
      </c>
    </row>
    <row r="331" spans="1:4" x14ac:dyDescent="0.3">
      <c r="A331" s="68">
        <v>43944</v>
      </c>
      <c r="B331" s="32">
        <v>271.107483</v>
      </c>
      <c r="C331" s="32">
        <v>20.927519</v>
      </c>
      <c r="D331" s="32">
        <v>39.151454999999999</v>
      </c>
    </row>
    <row r="332" spans="1:4" x14ac:dyDescent="0.3">
      <c r="A332" s="68">
        <v>43945</v>
      </c>
      <c r="B332" s="32">
        <v>274.88632200000001</v>
      </c>
      <c r="C332" s="32">
        <v>21.224160999999999</v>
      </c>
      <c r="D332" s="32">
        <v>39.741585000000001</v>
      </c>
    </row>
    <row r="333" spans="1:4" x14ac:dyDescent="0.3">
      <c r="A333" s="68">
        <v>43948</v>
      </c>
      <c r="B333" s="32">
        <v>278.84979199999998</v>
      </c>
      <c r="C333" s="32">
        <v>22.458570000000002</v>
      </c>
      <c r="D333" s="32">
        <v>42.931975999999999</v>
      </c>
    </row>
    <row r="334" spans="1:4" x14ac:dyDescent="0.3">
      <c r="A334" s="68">
        <v>43949</v>
      </c>
      <c r="B334" s="32">
        <v>277.567566</v>
      </c>
      <c r="C334" s="32">
        <v>22.860468000000001</v>
      </c>
      <c r="D334" s="32">
        <v>43.531326</v>
      </c>
    </row>
    <row r="335" spans="1:4" x14ac:dyDescent="0.3">
      <c r="A335" s="68">
        <v>43950</v>
      </c>
      <c r="B335" s="32">
        <v>284.83383199999997</v>
      </c>
      <c r="C335" s="32">
        <v>23.712116000000002</v>
      </c>
      <c r="D335" s="32">
        <v>46.343662000000002</v>
      </c>
    </row>
    <row r="336" spans="1:4" x14ac:dyDescent="0.3">
      <c r="A336" s="68">
        <v>43951</v>
      </c>
      <c r="B336" s="32">
        <v>282.18185399999999</v>
      </c>
      <c r="C336" s="32">
        <v>23.013570999999999</v>
      </c>
      <c r="D336" s="32">
        <v>44.776142</v>
      </c>
    </row>
    <row r="337" spans="1:4" x14ac:dyDescent="0.3">
      <c r="A337" s="68">
        <v>43952</v>
      </c>
      <c r="B337" s="32">
        <v>274.71151700000001</v>
      </c>
      <c r="C337" s="32">
        <v>22.085374999999999</v>
      </c>
      <c r="D337" s="32">
        <v>42.418514000000002</v>
      </c>
    </row>
    <row r="338" spans="1:4" x14ac:dyDescent="0.3">
      <c r="A338" s="68">
        <v>43955</v>
      </c>
      <c r="B338" s="32">
        <v>275.46923800000002</v>
      </c>
      <c r="C338" s="32">
        <v>21.941841</v>
      </c>
      <c r="D338" s="32">
        <v>42.045772999999997</v>
      </c>
    </row>
    <row r="339" spans="1:4" x14ac:dyDescent="0.3">
      <c r="A339" s="68">
        <v>43956</v>
      </c>
      <c r="B339" s="32">
        <v>278.01440400000001</v>
      </c>
      <c r="C339" s="32">
        <v>21.683474</v>
      </c>
      <c r="D339" s="32">
        <v>40.955486000000001</v>
      </c>
    </row>
    <row r="340" spans="1:4" x14ac:dyDescent="0.3">
      <c r="A340" s="68">
        <v>43957</v>
      </c>
      <c r="B340" s="32">
        <v>276.12979100000001</v>
      </c>
      <c r="C340" s="32">
        <v>21.386832999999999</v>
      </c>
      <c r="D340" s="32">
        <v>40.023620999999999</v>
      </c>
    </row>
    <row r="341" spans="1:4" x14ac:dyDescent="0.3">
      <c r="A341" s="68">
        <v>43958</v>
      </c>
      <c r="B341" s="32">
        <v>279.461792</v>
      </c>
      <c r="C341" s="32">
        <v>21.855720999999999</v>
      </c>
      <c r="D341" s="32">
        <v>41.598469000000001</v>
      </c>
    </row>
    <row r="342" spans="1:4" x14ac:dyDescent="0.3">
      <c r="A342" s="68">
        <v>43959</v>
      </c>
      <c r="B342" s="32">
        <v>284.08587599999998</v>
      </c>
      <c r="C342" s="32">
        <v>22.554262000000001</v>
      </c>
      <c r="D342" s="32">
        <v>43.164009</v>
      </c>
    </row>
    <row r="343" spans="1:4" x14ac:dyDescent="0.3">
      <c r="A343" s="68">
        <v>43962</v>
      </c>
      <c r="B343" s="32">
        <v>284.14410400000003</v>
      </c>
      <c r="C343" s="32">
        <v>21.606922000000001</v>
      </c>
      <c r="D343" s="32">
        <v>41.067307</v>
      </c>
    </row>
    <row r="344" spans="1:4" x14ac:dyDescent="0.3">
      <c r="A344" s="68">
        <v>43963</v>
      </c>
      <c r="B344" s="32">
        <v>278.480682</v>
      </c>
      <c r="C344" s="32">
        <v>20.927519</v>
      </c>
      <c r="D344" s="32">
        <v>39.464503999999998</v>
      </c>
    </row>
    <row r="345" spans="1:4" x14ac:dyDescent="0.3">
      <c r="A345" s="68">
        <v>43964</v>
      </c>
      <c r="B345" s="32">
        <v>273.555542</v>
      </c>
      <c r="C345" s="32">
        <v>19.970614999999999</v>
      </c>
      <c r="D345" s="32">
        <v>37.833733000000002</v>
      </c>
    </row>
    <row r="346" spans="1:4" x14ac:dyDescent="0.3">
      <c r="A346" s="68">
        <v>43965</v>
      </c>
      <c r="B346" s="32">
        <v>276.82922400000001</v>
      </c>
      <c r="C346" s="32">
        <v>20.774412000000002</v>
      </c>
      <c r="D346" s="32">
        <v>39.194262999999999</v>
      </c>
    </row>
    <row r="347" spans="1:4" x14ac:dyDescent="0.3">
      <c r="A347" s="68">
        <v>43966</v>
      </c>
      <c r="B347" s="32">
        <v>278.10183699999999</v>
      </c>
      <c r="C347" s="32">
        <v>20.516051999999998</v>
      </c>
      <c r="D347" s="32">
        <v>39.063800999999998</v>
      </c>
    </row>
    <row r="348" spans="1:4" x14ac:dyDescent="0.3">
      <c r="A348" s="68">
        <v>43969</v>
      </c>
      <c r="B348" s="32">
        <v>286.57269300000002</v>
      </c>
      <c r="C348" s="32">
        <v>21.941841</v>
      </c>
      <c r="D348" s="32">
        <v>42.558289000000002</v>
      </c>
    </row>
    <row r="349" spans="1:4" x14ac:dyDescent="0.3">
      <c r="A349" s="68">
        <v>43970</v>
      </c>
      <c r="B349" s="32">
        <v>283.62927200000001</v>
      </c>
      <c r="C349" s="32">
        <v>21.252870999999999</v>
      </c>
      <c r="D349" s="32">
        <v>41.402785999999999</v>
      </c>
    </row>
    <row r="350" spans="1:4" x14ac:dyDescent="0.3">
      <c r="A350" s="68">
        <v>43971</v>
      </c>
      <c r="B350" s="32">
        <v>288.44754</v>
      </c>
      <c r="C350" s="32">
        <v>21.922696999999999</v>
      </c>
      <c r="D350" s="32">
        <v>42.371924999999997</v>
      </c>
    </row>
    <row r="351" spans="1:4" x14ac:dyDescent="0.3">
      <c r="A351" s="68">
        <v>43972</v>
      </c>
      <c r="B351" s="32">
        <v>286.45614599999999</v>
      </c>
      <c r="C351" s="32">
        <v>21.913132000000001</v>
      </c>
      <c r="D351" s="32">
        <v>41.933948999999998</v>
      </c>
    </row>
    <row r="352" spans="1:4" x14ac:dyDescent="0.3">
      <c r="A352" s="68">
        <v>43973</v>
      </c>
      <c r="B352" s="32">
        <v>287.00012199999998</v>
      </c>
      <c r="C352" s="32">
        <v>21.683474</v>
      </c>
      <c r="D352" s="32">
        <v>41.095264</v>
      </c>
    </row>
    <row r="353" spans="1:4" x14ac:dyDescent="0.3">
      <c r="A353" s="68">
        <v>43977</v>
      </c>
      <c r="B353" s="32">
        <v>290.53616299999999</v>
      </c>
      <c r="C353" s="32">
        <v>23.233664000000001</v>
      </c>
      <c r="D353" s="32">
        <v>44.887962000000002</v>
      </c>
    </row>
    <row r="354" spans="1:4" x14ac:dyDescent="0.3">
      <c r="A354" s="68">
        <v>43978</v>
      </c>
      <c r="B354" s="32">
        <v>294.85900900000001</v>
      </c>
      <c r="C354" s="32">
        <v>24.860401</v>
      </c>
      <c r="D354" s="32">
        <v>48.699283999999999</v>
      </c>
    </row>
    <row r="355" spans="1:4" x14ac:dyDescent="0.3">
      <c r="A355" s="68">
        <v>43979</v>
      </c>
      <c r="B355" s="32">
        <v>294.31506300000001</v>
      </c>
      <c r="C355" s="32">
        <v>23.788668000000001</v>
      </c>
      <c r="D355" s="32">
        <v>45.810509000000003</v>
      </c>
    </row>
    <row r="356" spans="1:4" x14ac:dyDescent="0.3">
      <c r="A356" s="68">
        <v>43980</v>
      </c>
      <c r="B356" s="32">
        <v>295.626465</v>
      </c>
      <c r="C356" s="32">
        <v>23.080559000000001</v>
      </c>
      <c r="D356" s="32">
        <v>44.645668000000001</v>
      </c>
    </row>
    <row r="357" spans="1:4" x14ac:dyDescent="0.3">
      <c r="A357" s="68">
        <v>43983</v>
      </c>
      <c r="B357" s="32">
        <v>296.82128899999998</v>
      </c>
      <c r="C357" s="32">
        <v>23.549444000000001</v>
      </c>
      <c r="D357" s="32">
        <v>46.080745999999998</v>
      </c>
    </row>
    <row r="358" spans="1:4" x14ac:dyDescent="0.3">
      <c r="A358" s="68">
        <v>43984</v>
      </c>
      <c r="B358" s="32">
        <v>299.27905299999998</v>
      </c>
      <c r="C358" s="32">
        <v>23.769528999999999</v>
      </c>
      <c r="D358" s="32">
        <v>47.376041000000001</v>
      </c>
    </row>
    <row r="359" spans="1:4" x14ac:dyDescent="0.3">
      <c r="A359" s="68">
        <v>43985</v>
      </c>
      <c r="B359" s="32">
        <v>303.26187099999999</v>
      </c>
      <c r="C359" s="32">
        <v>24.869968</v>
      </c>
      <c r="D359" s="32">
        <v>49.705703999999997</v>
      </c>
    </row>
    <row r="360" spans="1:4" x14ac:dyDescent="0.3">
      <c r="A360" s="68">
        <v>43986</v>
      </c>
      <c r="B360" s="32">
        <v>302.46536300000002</v>
      </c>
      <c r="C360" s="32">
        <v>25.804644</v>
      </c>
      <c r="D360" s="32">
        <v>51.858311</v>
      </c>
    </row>
    <row r="361" spans="1:4" x14ac:dyDescent="0.3">
      <c r="A361" s="68">
        <v>43987</v>
      </c>
      <c r="B361" s="32">
        <v>310.21740699999998</v>
      </c>
      <c r="C361" s="32">
        <v>27.086205</v>
      </c>
      <c r="D361" s="32">
        <v>54.849601999999997</v>
      </c>
    </row>
    <row r="362" spans="1:4" x14ac:dyDescent="0.3">
      <c r="A362" s="68">
        <v>43990</v>
      </c>
      <c r="B362" s="32">
        <v>313.96713299999999</v>
      </c>
      <c r="C362" s="32">
        <v>27.500541999999999</v>
      </c>
      <c r="D362" s="32">
        <v>57.067436000000001</v>
      </c>
    </row>
    <row r="363" spans="1:4" x14ac:dyDescent="0.3">
      <c r="A363" s="68">
        <v>43991</v>
      </c>
      <c r="B363" s="32">
        <v>311.625946</v>
      </c>
      <c r="C363" s="32">
        <v>27.192195999999999</v>
      </c>
      <c r="D363" s="32">
        <v>55.445995000000003</v>
      </c>
    </row>
    <row r="364" spans="1:4" x14ac:dyDescent="0.3">
      <c r="A364" s="68">
        <v>43992</v>
      </c>
      <c r="B364" s="32">
        <v>309.88711499999999</v>
      </c>
      <c r="C364" s="32">
        <v>25.631201000000001</v>
      </c>
      <c r="D364" s="32">
        <v>52.054004999999997</v>
      </c>
    </row>
    <row r="365" spans="1:4" x14ac:dyDescent="0.3">
      <c r="A365" s="68">
        <v>43993</v>
      </c>
      <c r="B365" s="32">
        <v>292.02246100000002</v>
      </c>
      <c r="C365" s="32">
        <v>23.058443</v>
      </c>
      <c r="D365" s="32">
        <v>45.092964000000002</v>
      </c>
    </row>
    <row r="366" spans="1:4" x14ac:dyDescent="0.3">
      <c r="A366" s="68">
        <v>43994</v>
      </c>
      <c r="B366" s="32">
        <v>295.51962300000002</v>
      </c>
      <c r="C366" s="32">
        <v>23.877483000000002</v>
      </c>
      <c r="D366" s="32">
        <v>48.689964000000003</v>
      </c>
    </row>
    <row r="367" spans="1:4" x14ac:dyDescent="0.3">
      <c r="A367" s="68">
        <v>43997</v>
      </c>
      <c r="B367" s="32">
        <v>298.27847300000002</v>
      </c>
      <c r="C367" s="32">
        <v>24.234010999999999</v>
      </c>
      <c r="D367" s="32">
        <v>49.370227999999997</v>
      </c>
    </row>
    <row r="368" spans="1:4" x14ac:dyDescent="0.3">
      <c r="A368" s="68">
        <v>43998</v>
      </c>
      <c r="B368" s="32">
        <v>304.01962300000002</v>
      </c>
      <c r="C368" s="32">
        <v>24.860334000000002</v>
      </c>
      <c r="D368" s="32">
        <v>50.740070000000003</v>
      </c>
    </row>
    <row r="369" spans="1:4" x14ac:dyDescent="0.3">
      <c r="A369" s="68">
        <v>43999</v>
      </c>
      <c r="B369" s="32">
        <v>302.75683600000002</v>
      </c>
      <c r="C369" s="32">
        <v>24.089472000000001</v>
      </c>
      <c r="D369" s="32">
        <v>49.388866</v>
      </c>
    </row>
    <row r="370" spans="1:4" x14ac:dyDescent="0.3">
      <c r="A370" s="68">
        <v>44000</v>
      </c>
      <c r="B370" s="32">
        <v>302.87335200000001</v>
      </c>
      <c r="C370" s="32">
        <v>24.128017</v>
      </c>
      <c r="D370" s="32">
        <v>49.426139999999997</v>
      </c>
    </row>
    <row r="371" spans="1:4" x14ac:dyDescent="0.3">
      <c r="A371" s="68">
        <v>44001</v>
      </c>
      <c r="B371" s="32">
        <v>301.142426</v>
      </c>
      <c r="C371" s="32">
        <v>24.330366000000001</v>
      </c>
      <c r="D371" s="32">
        <v>49.314312000000001</v>
      </c>
    </row>
    <row r="372" spans="1:4" x14ac:dyDescent="0.3">
      <c r="A372" s="68">
        <v>44004</v>
      </c>
      <c r="B372" s="32">
        <v>303.07437099999999</v>
      </c>
      <c r="C372" s="32">
        <v>23.723312</v>
      </c>
      <c r="D372" s="32">
        <v>48.512917000000002</v>
      </c>
    </row>
    <row r="373" spans="1:4" x14ac:dyDescent="0.3">
      <c r="A373" s="68">
        <v>44005</v>
      </c>
      <c r="B373" s="32">
        <v>304.469604</v>
      </c>
      <c r="C373" s="32">
        <v>23.887122999999999</v>
      </c>
      <c r="D373" s="32">
        <v>49.342274000000003</v>
      </c>
    </row>
    <row r="374" spans="1:4" x14ac:dyDescent="0.3">
      <c r="A374" s="68">
        <v>44006</v>
      </c>
      <c r="B374" s="32">
        <v>296.70297199999999</v>
      </c>
      <c r="C374" s="32">
        <v>22.942813999999998</v>
      </c>
      <c r="D374" s="32">
        <v>47.348083000000003</v>
      </c>
    </row>
    <row r="375" spans="1:4" x14ac:dyDescent="0.3">
      <c r="A375" s="68">
        <v>44007</v>
      </c>
      <c r="B375" s="32">
        <v>299.883759</v>
      </c>
      <c r="C375" s="32">
        <v>23.819669999999999</v>
      </c>
      <c r="D375" s="32">
        <v>49.090668000000001</v>
      </c>
    </row>
    <row r="376" spans="1:4" x14ac:dyDescent="0.3">
      <c r="A376" s="68">
        <v>44008</v>
      </c>
      <c r="B376" s="32">
        <v>292.76110799999998</v>
      </c>
      <c r="C376" s="32">
        <v>22.306850000000001</v>
      </c>
      <c r="D376" s="32">
        <v>46.201889000000001</v>
      </c>
    </row>
    <row r="377" spans="1:4" x14ac:dyDescent="0.3">
      <c r="A377" s="68">
        <v>44011</v>
      </c>
      <c r="B377" s="32">
        <v>297.06399499999998</v>
      </c>
      <c r="C377" s="32">
        <v>22.538108999999999</v>
      </c>
      <c r="D377" s="32">
        <v>46.863514000000002</v>
      </c>
    </row>
    <row r="378" spans="1:4" x14ac:dyDescent="0.3">
      <c r="A378" s="68">
        <v>44012</v>
      </c>
      <c r="B378" s="32">
        <v>300.86926299999999</v>
      </c>
      <c r="C378" s="32">
        <v>22.884998</v>
      </c>
      <c r="D378" s="32">
        <v>47.618319999999997</v>
      </c>
    </row>
    <row r="379" spans="1:4" x14ac:dyDescent="0.3">
      <c r="A379" s="68">
        <v>44013</v>
      </c>
      <c r="B379" s="32">
        <v>302.97680700000001</v>
      </c>
      <c r="C379" s="32">
        <v>22.412842000000001</v>
      </c>
      <c r="D379" s="32">
        <v>46.919426000000001</v>
      </c>
    </row>
    <row r="380" spans="1:4" x14ac:dyDescent="0.3">
      <c r="A380" s="68">
        <v>44014</v>
      </c>
      <c r="B380" s="32">
        <v>304.645264</v>
      </c>
      <c r="C380" s="32">
        <v>22.441751</v>
      </c>
      <c r="D380" s="32">
        <v>47.105797000000003</v>
      </c>
    </row>
    <row r="381" spans="1:4" x14ac:dyDescent="0.3">
      <c r="A381" s="68">
        <v>44018</v>
      </c>
      <c r="B381" s="32">
        <v>309.34811400000001</v>
      </c>
      <c r="C381" s="32">
        <v>22.798275</v>
      </c>
      <c r="D381" s="32">
        <v>48.429046999999997</v>
      </c>
    </row>
    <row r="382" spans="1:4" x14ac:dyDescent="0.3">
      <c r="A382" s="68">
        <v>44019</v>
      </c>
      <c r="B382" s="32">
        <v>306.15759300000002</v>
      </c>
      <c r="C382" s="32">
        <v>22.171949000000001</v>
      </c>
      <c r="D382" s="32">
        <v>46.891468000000003</v>
      </c>
    </row>
    <row r="383" spans="1:4" x14ac:dyDescent="0.3">
      <c r="A383" s="68">
        <v>44020</v>
      </c>
      <c r="B383" s="32">
        <v>308.49926799999997</v>
      </c>
      <c r="C383" s="32">
        <v>22.258673000000002</v>
      </c>
      <c r="D383" s="32">
        <v>47.413314999999997</v>
      </c>
    </row>
    <row r="384" spans="1:4" x14ac:dyDescent="0.3">
      <c r="A384" s="68">
        <v>44021</v>
      </c>
      <c r="B384" s="32">
        <v>306.74301100000002</v>
      </c>
      <c r="C384" s="32">
        <v>21.940691000000001</v>
      </c>
      <c r="D384" s="32">
        <v>46.080745999999998</v>
      </c>
    </row>
    <row r="385" spans="1:4" x14ac:dyDescent="0.3">
      <c r="A385" s="68">
        <v>44022</v>
      </c>
      <c r="B385" s="32">
        <v>309.87503099999998</v>
      </c>
      <c r="C385" s="32">
        <v>23.145164000000001</v>
      </c>
      <c r="D385" s="32">
        <v>49.062716999999999</v>
      </c>
    </row>
    <row r="386" spans="1:4" x14ac:dyDescent="0.3">
      <c r="A386" s="68">
        <v>44025</v>
      </c>
      <c r="B386" s="32">
        <v>307.19186400000001</v>
      </c>
      <c r="C386" s="32">
        <v>23.308973000000002</v>
      </c>
      <c r="D386" s="32">
        <v>48.643371999999999</v>
      </c>
    </row>
    <row r="387" spans="1:4" x14ac:dyDescent="0.3">
      <c r="A387" s="68">
        <v>44026</v>
      </c>
      <c r="B387" s="32">
        <v>311.172729</v>
      </c>
      <c r="C387" s="32">
        <v>23.260794000000001</v>
      </c>
      <c r="D387" s="32">
        <v>46.733051000000003</v>
      </c>
    </row>
    <row r="388" spans="1:4" x14ac:dyDescent="0.3">
      <c r="A388" s="68">
        <v>44027</v>
      </c>
      <c r="B388" s="32">
        <v>314.031586</v>
      </c>
      <c r="C388" s="32">
        <v>23.704041</v>
      </c>
      <c r="D388" s="32">
        <v>48.307907</v>
      </c>
    </row>
    <row r="389" spans="1:4" x14ac:dyDescent="0.3">
      <c r="A389" s="68">
        <v>44028</v>
      </c>
      <c r="B389" s="32">
        <v>312.99731400000002</v>
      </c>
      <c r="C389" s="32">
        <v>23.058443</v>
      </c>
      <c r="D389" s="32">
        <v>47.953792999999997</v>
      </c>
    </row>
    <row r="390" spans="1:4" x14ac:dyDescent="0.3">
      <c r="A390" s="68">
        <v>44029</v>
      </c>
      <c r="B390" s="32">
        <v>313.90469400000001</v>
      </c>
      <c r="C390" s="32">
        <v>22.374302</v>
      </c>
      <c r="D390" s="32">
        <v>46.798279000000001</v>
      </c>
    </row>
    <row r="391" spans="1:4" x14ac:dyDescent="0.3">
      <c r="A391" s="68">
        <v>44032</v>
      </c>
      <c r="B391" s="32">
        <v>316.44158900000002</v>
      </c>
      <c r="C391" s="32">
        <v>22.721188999999999</v>
      </c>
      <c r="D391" s="32">
        <v>46.723728000000001</v>
      </c>
    </row>
    <row r="392" spans="1:4" x14ac:dyDescent="0.3">
      <c r="A392" s="68">
        <v>44033</v>
      </c>
      <c r="B392" s="32">
        <v>317.11480699999998</v>
      </c>
      <c r="C392" s="32">
        <v>23.530595999999999</v>
      </c>
      <c r="D392" s="32">
        <v>48.205399</v>
      </c>
    </row>
    <row r="393" spans="1:4" x14ac:dyDescent="0.3">
      <c r="A393" s="68">
        <v>44034</v>
      </c>
      <c r="B393" s="32">
        <v>318.91976899999997</v>
      </c>
      <c r="C393" s="32">
        <v>23.424603000000001</v>
      </c>
      <c r="D393" s="32">
        <v>48.140171000000002</v>
      </c>
    </row>
    <row r="394" spans="1:4" x14ac:dyDescent="0.3">
      <c r="A394" s="68">
        <v>44035</v>
      </c>
      <c r="B394" s="32">
        <v>315.11459400000001</v>
      </c>
      <c r="C394" s="32">
        <v>23.646227</v>
      </c>
      <c r="D394" s="32">
        <v>48.531554999999997</v>
      </c>
    </row>
    <row r="395" spans="1:4" x14ac:dyDescent="0.3">
      <c r="A395" s="68">
        <v>44036</v>
      </c>
      <c r="B395" s="32">
        <v>313.085083</v>
      </c>
      <c r="C395" s="32">
        <v>23.463148</v>
      </c>
      <c r="D395" s="32">
        <v>48.14949</v>
      </c>
    </row>
    <row r="396" spans="1:4" x14ac:dyDescent="0.3">
      <c r="A396" s="68">
        <v>44039</v>
      </c>
      <c r="B396" s="32">
        <v>315.36825599999997</v>
      </c>
      <c r="C396" s="32">
        <v>23.260794000000001</v>
      </c>
      <c r="D396" s="32">
        <v>47.795380000000002</v>
      </c>
    </row>
    <row r="397" spans="1:4" x14ac:dyDescent="0.3">
      <c r="A397" s="68">
        <v>44040</v>
      </c>
      <c r="B397" s="32">
        <v>313.368134</v>
      </c>
      <c r="C397" s="32">
        <v>23.472784000000001</v>
      </c>
      <c r="D397" s="32">
        <v>47.776744999999998</v>
      </c>
    </row>
    <row r="398" spans="1:4" x14ac:dyDescent="0.3">
      <c r="A398" s="68">
        <v>44041</v>
      </c>
      <c r="B398" s="32">
        <v>317.22207600000002</v>
      </c>
      <c r="C398" s="32">
        <v>24.349637999999999</v>
      </c>
      <c r="D398" s="32">
        <v>48.941574000000003</v>
      </c>
    </row>
    <row r="399" spans="1:4" x14ac:dyDescent="0.3">
      <c r="A399" s="68">
        <v>44042</v>
      </c>
      <c r="B399" s="32">
        <v>316.09033199999999</v>
      </c>
      <c r="C399" s="32">
        <v>23.935300999999999</v>
      </c>
      <c r="D399" s="32">
        <v>47.403992000000002</v>
      </c>
    </row>
    <row r="400" spans="1:4" x14ac:dyDescent="0.3">
      <c r="A400" s="68">
        <v>44043</v>
      </c>
      <c r="B400" s="32">
        <v>318.58807400000001</v>
      </c>
      <c r="C400" s="32">
        <v>23.973842999999999</v>
      </c>
      <c r="D400" s="32">
        <v>47.074531999999998</v>
      </c>
    </row>
    <row r="401" spans="1:4" x14ac:dyDescent="0.3">
      <c r="A401" s="68">
        <v>44046</v>
      </c>
      <c r="B401" s="32">
        <v>320.80294800000001</v>
      </c>
      <c r="C401" s="32">
        <v>24.079837999999999</v>
      </c>
      <c r="D401" s="32">
        <v>47.432231999999999</v>
      </c>
    </row>
    <row r="402" spans="1:4" x14ac:dyDescent="0.3">
      <c r="A402" s="68">
        <v>44047</v>
      </c>
      <c r="B402" s="32">
        <v>322.04211400000003</v>
      </c>
      <c r="C402" s="32">
        <v>24.099108000000001</v>
      </c>
      <c r="D402" s="32">
        <v>47.196907000000003</v>
      </c>
    </row>
    <row r="403" spans="1:4" x14ac:dyDescent="0.3">
      <c r="A403" s="68">
        <v>44048</v>
      </c>
      <c r="B403" s="32">
        <v>324.042328</v>
      </c>
      <c r="C403" s="32">
        <v>24.465268999999999</v>
      </c>
      <c r="D403" s="32">
        <v>48.044083000000001</v>
      </c>
    </row>
    <row r="404" spans="1:4" x14ac:dyDescent="0.3">
      <c r="A404" s="68">
        <v>44049</v>
      </c>
      <c r="B404" s="32">
        <v>326.20837399999999</v>
      </c>
      <c r="C404" s="32">
        <v>24.542355000000001</v>
      </c>
      <c r="D404" s="32">
        <v>47.902881999999998</v>
      </c>
    </row>
    <row r="405" spans="1:4" x14ac:dyDescent="0.3">
      <c r="A405" s="68">
        <v>44050</v>
      </c>
      <c r="B405" s="32">
        <v>326.442566</v>
      </c>
      <c r="C405" s="32">
        <v>25.159041999999999</v>
      </c>
      <c r="D405" s="32">
        <v>49.060687999999999</v>
      </c>
    </row>
    <row r="406" spans="1:4" x14ac:dyDescent="0.3">
      <c r="A406" s="68">
        <v>44053</v>
      </c>
      <c r="B406" s="32">
        <v>327.41830399999998</v>
      </c>
      <c r="C406" s="32">
        <v>25.592652999999999</v>
      </c>
      <c r="D406" s="32">
        <v>49.757252000000001</v>
      </c>
    </row>
    <row r="407" spans="1:4" x14ac:dyDescent="0.3">
      <c r="A407" s="68">
        <v>44054</v>
      </c>
      <c r="B407" s="32">
        <v>324.71554600000002</v>
      </c>
      <c r="C407" s="32">
        <v>25.939543</v>
      </c>
      <c r="D407" s="32">
        <v>50.604419999999998</v>
      </c>
    </row>
    <row r="408" spans="1:4" x14ac:dyDescent="0.3">
      <c r="A408" s="68">
        <v>44055</v>
      </c>
      <c r="B408" s="32">
        <v>329.24282799999997</v>
      </c>
      <c r="C408" s="32">
        <v>25.756466</v>
      </c>
      <c r="D408" s="32">
        <v>50.218491</v>
      </c>
    </row>
    <row r="409" spans="1:4" x14ac:dyDescent="0.3">
      <c r="A409" s="68">
        <v>44056</v>
      </c>
      <c r="B409" s="32">
        <v>328.64761399999998</v>
      </c>
      <c r="C409" s="32">
        <v>25.390305000000001</v>
      </c>
      <c r="D409" s="32">
        <v>49.785491999999998</v>
      </c>
    </row>
    <row r="410" spans="1:4" x14ac:dyDescent="0.3">
      <c r="A410" s="68">
        <v>44057</v>
      </c>
      <c r="B410" s="32">
        <v>328.65741000000003</v>
      </c>
      <c r="C410" s="32">
        <v>25.505934</v>
      </c>
      <c r="D410" s="32">
        <v>49.823138999999998</v>
      </c>
    </row>
    <row r="411" spans="1:4" x14ac:dyDescent="0.3">
      <c r="A411" s="68">
        <v>44060</v>
      </c>
      <c r="B411" s="32">
        <v>329.70138500000002</v>
      </c>
      <c r="C411" s="32">
        <v>24.956693999999999</v>
      </c>
      <c r="D411" s="32">
        <v>48.401772000000001</v>
      </c>
    </row>
    <row r="412" spans="1:4" x14ac:dyDescent="0.3">
      <c r="A412" s="68">
        <v>44061</v>
      </c>
      <c r="B412" s="32">
        <v>330.41369600000002</v>
      </c>
      <c r="C412" s="32">
        <v>24.600172000000001</v>
      </c>
      <c r="D412" s="32">
        <v>47.385165999999998</v>
      </c>
    </row>
    <row r="413" spans="1:4" x14ac:dyDescent="0.3">
      <c r="A413" s="68">
        <v>44062</v>
      </c>
      <c r="B413" s="32">
        <v>329.03793300000001</v>
      </c>
      <c r="C413" s="32">
        <v>24.571259000000001</v>
      </c>
      <c r="D413" s="32">
        <v>47.338107999999998</v>
      </c>
    </row>
    <row r="414" spans="1:4" x14ac:dyDescent="0.3">
      <c r="A414" s="68">
        <v>44063</v>
      </c>
      <c r="B414" s="32">
        <v>330.06243899999998</v>
      </c>
      <c r="C414" s="32">
        <v>24.185831</v>
      </c>
      <c r="D414" s="32">
        <v>46.669781</v>
      </c>
    </row>
    <row r="415" spans="1:4" x14ac:dyDescent="0.3">
      <c r="A415" s="68">
        <v>44064</v>
      </c>
      <c r="B415" s="32">
        <v>331.23327599999999</v>
      </c>
      <c r="C415" s="32">
        <v>24.070201999999998</v>
      </c>
      <c r="D415" s="32">
        <v>46.406211999999996</v>
      </c>
    </row>
    <row r="416" spans="1:4" x14ac:dyDescent="0.3">
      <c r="A416" s="68">
        <v>44067</v>
      </c>
      <c r="B416" s="32">
        <v>334.58975199999998</v>
      </c>
      <c r="C416" s="32">
        <v>24.754345000000001</v>
      </c>
      <c r="D416" s="32">
        <v>48.062904000000003</v>
      </c>
    </row>
    <row r="417" spans="1:4" x14ac:dyDescent="0.3">
      <c r="A417" s="68">
        <v>44068</v>
      </c>
      <c r="B417" s="32">
        <v>335.76052900000002</v>
      </c>
      <c r="C417" s="32">
        <v>25.053052999999998</v>
      </c>
      <c r="D417" s="32">
        <v>48.618282000000001</v>
      </c>
    </row>
    <row r="418" spans="1:4" x14ac:dyDescent="0.3">
      <c r="A418" s="68">
        <v>44069</v>
      </c>
      <c r="B418" s="32">
        <v>339.12677000000002</v>
      </c>
      <c r="C418" s="32">
        <v>24.629073999999999</v>
      </c>
      <c r="D418" s="32">
        <v>47.865231000000001</v>
      </c>
    </row>
    <row r="419" spans="1:4" x14ac:dyDescent="0.3">
      <c r="A419" s="68">
        <v>44070</v>
      </c>
      <c r="B419" s="32">
        <v>339.86831699999999</v>
      </c>
      <c r="C419" s="32">
        <v>25.101229</v>
      </c>
      <c r="D419" s="32">
        <v>48.684170000000002</v>
      </c>
    </row>
    <row r="420" spans="1:4" x14ac:dyDescent="0.3">
      <c r="A420" s="68">
        <v>44071</v>
      </c>
      <c r="B420" s="32">
        <v>342.06359900000001</v>
      </c>
      <c r="C420" s="32">
        <v>25.342127000000001</v>
      </c>
      <c r="D420" s="32">
        <v>49.211295999999997</v>
      </c>
    </row>
    <row r="421" spans="1:4" x14ac:dyDescent="0.3">
      <c r="A421" s="68">
        <v>44074</v>
      </c>
      <c r="B421" s="32">
        <v>340.82449300000002</v>
      </c>
      <c r="C421" s="32">
        <v>24.802520999999999</v>
      </c>
      <c r="D421" s="32">
        <v>48.119380999999997</v>
      </c>
    </row>
    <row r="422" spans="1:4" x14ac:dyDescent="0.3">
      <c r="A422" s="68">
        <v>44075</v>
      </c>
      <c r="B422" s="32">
        <v>344.034515</v>
      </c>
      <c r="C422" s="32">
        <v>24.773614999999999</v>
      </c>
      <c r="D422" s="32">
        <v>48.194682999999998</v>
      </c>
    </row>
    <row r="423" spans="1:4" x14ac:dyDescent="0.3">
      <c r="A423" s="68">
        <v>44076</v>
      </c>
      <c r="B423" s="32">
        <v>349.01068099999998</v>
      </c>
      <c r="C423" s="32">
        <v>25.072323000000001</v>
      </c>
      <c r="D423" s="32">
        <v>48.900664999999996</v>
      </c>
    </row>
    <row r="424" spans="1:4" x14ac:dyDescent="0.3">
      <c r="A424" s="68">
        <v>44077</v>
      </c>
      <c r="B424" s="32">
        <v>336.99975599999999</v>
      </c>
      <c r="C424" s="32">
        <v>24.897669</v>
      </c>
      <c r="D424" s="32">
        <v>48.477085000000002</v>
      </c>
    </row>
    <row r="425" spans="1:4" x14ac:dyDescent="0.3">
      <c r="A425" s="68">
        <v>44078</v>
      </c>
      <c r="B425" s="32">
        <v>334.24822999999998</v>
      </c>
      <c r="C425" s="32">
        <v>25.751525999999998</v>
      </c>
      <c r="D425" s="32">
        <v>49.437206000000003</v>
      </c>
    </row>
    <row r="426" spans="1:4" x14ac:dyDescent="0.3">
      <c r="A426" s="68">
        <v>44082</v>
      </c>
      <c r="B426" s="32">
        <v>325.11556999999999</v>
      </c>
      <c r="C426" s="32">
        <v>24.723016999999999</v>
      </c>
      <c r="D426" s="32">
        <v>48.044083000000001</v>
      </c>
    </row>
    <row r="427" spans="1:4" x14ac:dyDescent="0.3">
      <c r="A427" s="68">
        <v>44083</v>
      </c>
      <c r="B427" s="32">
        <v>331.53576700000002</v>
      </c>
      <c r="C427" s="32">
        <v>24.752129</v>
      </c>
      <c r="D427" s="32">
        <v>48.382950000000001</v>
      </c>
    </row>
    <row r="428" spans="1:4" x14ac:dyDescent="0.3">
      <c r="A428" s="68">
        <v>44084</v>
      </c>
      <c r="B428" s="32">
        <v>325.77908300000001</v>
      </c>
      <c r="C428" s="32">
        <v>24.393122000000002</v>
      </c>
      <c r="D428" s="32">
        <v>47.959366000000003</v>
      </c>
    </row>
    <row r="429" spans="1:4" x14ac:dyDescent="0.3">
      <c r="A429" s="68">
        <v>44085</v>
      </c>
      <c r="B429" s="32">
        <v>325.94494600000002</v>
      </c>
      <c r="C429" s="32">
        <v>24.742422000000001</v>
      </c>
      <c r="D429" s="32">
        <v>48.006431999999997</v>
      </c>
    </row>
    <row r="430" spans="1:4" x14ac:dyDescent="0.3">
      <c r="A430" s="68">
        <v>44088</v>
      </c>
      <c r="B430" s="32">
        <v>330.238068</v>
      </c>
      <c r="C430" s="32">
        <v>24.984998999999998</v>
      </c>
      <c r="D430" s="32">
        <v>45.323718999999997</v>
      </c>
    </row>
    <row r="431" spans="1:4" x14ac:dyDescent="0.3">
      <c r="A431" s="68">
        <v>44089</v>
      </c>
      <c r="B431" s="32">
        <v>331.90655500000003</v>
      </c>
      <c r="C431" s="32">
        <v>24.528960999999999</v>
      </c>
      <c r="D431" s="32">
        <v>42.179768000000003</v>
      </c>
    </row>
    <row r="432" spans="1:4" x14ac:dyDescent="0.3">
      <c r="A432" s="68">
        <v>44090</v>
      </c>
      <c r="B432" s="32">
        <v>330.58932499999997</v>
      </c>
      <c r="C432" s="32">
        <v>24.839452999999999</v>
      </c>
      <c r="D432" s="32">
        <v>43.318741000000003</v>
      </c>
    </row>
    <row r="433" spans="1:4" x14ac:dyDescent="0.3">
      <c r="A433" s="68">
        <v>44091</v>
      </c>
      <c r="B433" s="32">
        <v>327.68167099999999</v>
      </c>
      <c r="C433" s="32">
        <v>24.596879999999999</v>
      </c>
      <c r="D433" s="32">
        <v>42.857506000000001</v>
      </c>
    </row>
    <row r="434" spans="1:4" x14ac:dyDescent="0.3">
      <c r="A434" s="68">
        <v>44092</v>
      </c>
      <c r="B434" s="32">
        <v>323.90924100000001</v>
      </c>
      <c r="C434" s="32">
        <v>24.461040000000001</v>
      </c>
      <c r="D434" s="32">
        <v>42.226832999999999</v>
      </c>
    </row>
    <row r="435" spans="1:4" x14ac:dyDescent="0.3">
      <c r="A435" s="68">
        <v>44095</v>
      </c>
      <c r="B435" s="32">
        <v>320.30426</v>
      </c>
      <c r="C435" s="32">
        <v>23.743024999999999</v>
      </c>
      <c r="D435" s="32">
        <v>41.351424999999999</v>
      </c>
    </row>
    <row r="436" spans="1:4" x14ac:dyDescent="0.3">
      <c r="A436" s="68">
        <v>44096</v>
      </c>
      <c r="B436" s="32">
        <v>323.56637599999999</v>
      </c>
      <c r="C436" s="32">
        <v>23.228769</v>
      </c>
      <c r="D436" s="32">
        <v>40.748981000000001</v>
      </c>
    </row>
    <row r="437" spans="1:4" x14ac:dyDescent="0.3">
      <c r="A437" s="68">
        <v>44097</v>
      </c>
      <c r="B437" s="32">
        <v>316.06253099999998</v>
      </c>
      <c r="C437" s="32">
        <v>22.56897</v>
      </c>
      <c r="D437" s="32">
        <v>39.393512999999999</v>
      </c>
    </row>
    <row r="438" spans="1:4" x14ac:dyDescent="0.3">
      <c r="A438" s="68">
        <v>44098</v>
      </c>
      <c r="B438" s="32">
        <v>316.90493800000002</v>
      </c>
      <c r="C438" s="32">
        <v>22.646592999999999</v>
      </c>
      <c r="D438" s="32">
        <v>39.713554000000002</v>
      </c>
    </row>
    <row r="439" spans="1:4" x14ac:dyDescent="0.3">
      <c r="A439" s="68">
        <v>44099</v>
      </c>
      <c r="B439" s="32">
        <v>322.02835099999999</v>
      </c>
      <c r="C439" s="32">
        <v>22.792138999999999</v>
      </c>
      <c r="D439" s="32">
        <v>39.553531999999997</v>
      </c>
    </row>
    <row r="440" spans="1:4" x14ac:dyDescent="0.3">
      <c r="A440" s="68">
        <v>44102</v>
      </c>
      <c r="B440" s="32">
        <v>327.37704500000001</v>
      </c>
      <c r="C440" s="32">
        <v>23.374313000000001</v>
      </c>
      <c r="D440" s="32">
        <v>40.796050999999999</v>
      </c>
    </row>
    <row r="441" spans="1:4" x14ac:dyDescent="0.3">
      <c r="A441" s="68">
        <v>44103</v>
      </c>
      <c r="B441" s="32">
        <v>325.59414700000002</v>
      </c>
      <c r="C441" s="32">
        <v>23.063818000000001</v>
      </c>
      <c r="D441" s="32">
        <v>39.930053999999998</v>
      </c>
    </row>
    <row r="442" spans="1:4" x14ac:dyDescent="0.3">
      <c r="A442" s="68">
        <v>44104</v>
      </c>
      <c r="B442" s="32">
        <v>328.06280500000003</v>
      </c>
      <c r="C442" s="32">
        <v>23.374313000000001</v>
      </c>
      <c r="D442" s="32">
        <v>40.579552</v>
      </c>
    </row>
    <row r="443" spans="1:4" x14ac:dyDescent="0.3">
      <c r="A443" s="68">
        <v>44105</v>
      </c>
      <c r="B443" s="32">
        <v>330.16894500000001</v>
      </c>
      <c r="C443" s="32">
        <v>23.384018000000001</v>
      </c>
      <c r="D443" s="32">
        <v>40.890174999999999</v>
      </c>
    </row>
    <row r="444" spans="1:4" x14ac:dyDescent="0.3">
      <c r="A444" s="68">
        <v>44106</v>
      </c>
      <c r="B444" s="32">
        <v>327.03414900000001</v>
      </c>
      <c r="C444" s="32">
        <v>23.490746000000001</v>
      </c>
      <c r="D444" s="32">
        <v>41.097267000000002</v>
      </c>
    </row>
    <row r="445" spans="1:4" x14ac:dyDescent="0.3">
      <c r="A445" s="68">
        <v>44109</v>
      </c>
      <c r="B445" s="32">
        <v>332.83349600000003</v>
      </c>
      <c r="C445" s="32">
        <v>23.888569</v>
      </c>
      <c r="D445" s="32">
        <v>42.273902999999997</v>
      </c>
    </row>
    <row r="446" spans="1:4" x14ac:dyDescent="0.3">
      <c r="A446" s="68">
        <v>44110</v>
      </c>
      <c r="B446" s="32">
        <v>328.10192899999998</v>
      </c>
      <c r="C446" s="32">
        <v>23.645994000000002</v>
      </c>
      <c r="D446" s="32">
        <v>41.803241999999997</v>
      </c>
    </row>
    <row r="447" spans="1:4" x14ac:dyDescent="0.3">
      <c r="A447" s="68">
        <v>44111</v>
      </c>
      <c r="B447" s="32">
        <v>333.81310999999999</v>
      </c>
      <c r="C447" s="32">
        <v>24.140841999999999</v>
      </c>
      <c r="D447" s="32">
        <v>42.208004000000003</v>
      </c>
    </row>
    <row r="448" spans="1:4" x14ac:dyDescent="0.3">
      <c r="A448" s="68">
        <v>44112</v>
      </c>
      <c r="B448" s="32">
        <v>336.77151500000002</v>
      </c>
      <c r="C448" s="32">
        <v>24.490148999999999</v>
      </c>
      <c r="D448" s="32">
        <v>42.095050999999998</v>
      </c>
    </row>
    <row r="449" spans="1:4" x14ac:dyDescent="0.3">
      <c r="A449" s="68">
        <v>44113</v>
      </c>
      <c r="B449" s="32">
        <v>339.77896099999998</v>
      </c>
      <c r="C449" s="32">
        <v>24.606584999999999</v>
      </c>
      <c r="D449" s="32">
        <v>42.292724999999997</v>
      </c>
    </row>
    <row r="450" spans="1:4" x14ac:dyDescent="0.3">
      <c r="A450" s="68">
        <v>44116</v>
      </c>
      <c r="B450" s="32">
        <v>345.24520899999999</v>
      </c>
      <c r="C450" s="32">
        <v>24.917076000000002</v>
      </c>
      <c r="D450" s="32">
        <v>43.186962000000001</v>
      </c>
    </row>
    <row r="451" spans="1:4" x14ac:dyDescent="0.3">
      <c r="A451" s="68">
        <v>44117</v>
      </c>
      <c r="B451" s="32">
        <v>342.992096</v>
      </c>
      <c r="C451" s="32">
        <v>24.208765</v>
      </c>
      <c r="D451" s="32">
        <v>41.116092999999999</v>
      </c>
    </row>
    <row r="452" spans="1:4" x14ac:dyDescent="0.3">
      <c r="A452" s="68">
        <v>44118</v>
      </c>
      <c r="B452" s="32">
        <v>340.83694500000001</v>
      </c>
      <c r="C452" s="32">
        <v>22.918279999999999</v>
      </c>
      <c r="D452" s="32">
        <v>40.504246000000002</v>
      </c>
    </row>
    <row r="453" spans="1:4" x14ac:dyDescent="0.3">
      <c r="A453" s="68">
        <v>44119</v>
      </c>
      <c r="B453" s="32">
        <v>340.41574100000003</v>
      </c>
      <c r="C453" s="32">
        <v>23.432528999999999</v>
      </c>
      <c r="D453" s="32">
        <v>41.050204999999998</v>
      </c>
    </row>
    <row r="454" spans="1:4" x14ac:dyDescent="0.3">
      <c r="A454" s="68">
        <v>44120</v>
      </c>
      <c r="B454" s="32">
        <v>340.209991</v>
      </c>
      <c r="C454" s="32">
        <v>23.519855</v>
      </c>
      <c r="D454" s="32">
        <v>40.654857999999997</v>
      </c>
    </row>
    <row r="455" spans="1:4" x14ac:dyDescent="0.3">
      <c r="A455" s="68">
        <v>44123</v>
      </c>
      <c r="B455" s="32">
        <v>335.03765900000002</v>
      </c>
      <c r="C455" s="32">
        <v>23.015305000000001</v>
      </c>
      <c r="D455" s="32">
        <v>40.381878</v>
      </c>
    </row>
    <row r="456" spans="1:4" x14ac:dyDescent="0.3">
      <c r="A456" s="68">
        <v>44124</v>
      </c>
      <c r="B456" s="32">
        <v>336.37970000000001</v>
      </c>
      <c r="C456" s="32">
        <v>23.422829</v>
      </c>
      <c r="D456" s="32">
        <v>40.965491999999998</v>
      </c>
    </row>
    <row r="457" spans="1:4" x14ac:dyDescent="0.3">
      <c r="A457" s="68">
        <v>44125</v>
      </c>
      <c r="B457" s="32">
        <v>335.74295000000001</v>
      </c>
      <c r="C457" s="32">
        <v>23.335501000000001</v>
      </c>
      <c r="D457" s="32">
        <v>40.485419999999998</v>
      </c>
    </row>
    <row r="458" spans="1:4" x14ac:dyDescent="0.3">
      <c r="A458" s="68">
        <v>44126</v>
      </c>
      <c r="B458" s="32">
        <v>337.584564</v>
      </c>
      <c r="C458" s="32">
        <v>24.131139999999998</v>
      </c>
      <c r="D458" s="32">
        <v>41.370246999999999</v>
      </c>
    </row>
    <row r="459" spans="1:4" x14ac:dyDescent="0.3">
      <c r="A459" s="68">
        <v>44127</v>
      </c>
      <c r="B459" s="32">
        <v>338.73074300000002</v>
      </c>
      <c r="C459" s="32">
        <v>24.160250000000001</v>
      </c>
      <c r="D459" s="32">
        <v>41.370246999999999</v>
      </c>
    </row>
    <row r="460" spans="1:4" x14ac:dyDescent="0.3">
      <c r="A460" s="68">
        <v>44130</v>
      </c>
      <c r="B460" s="32">
        <v>332.471069</v>
      </c>
      <c r="C460" s="32">
        <v>23.810946000000001</v>
      </c>
      <c r="D460" s="32">
        <v>40.720740999999997</v>
      </c>
    </row>
    <row r="461" spans="1:4" x14ac:dyDescent="0.3">
      <c r="A461" s="68">
        <v>44131</v>
      </c>
      <c r="B461" s="32">
        <v>331.32486</v>
      </c>
      <c r="C461" s="32">
        <v>23.141445000000001</v>
      </c>
      <c r="D461" s="32">
        <v>39.421753000000002</v>
      </c>
    </row>
    <row r="462" spans="1:4" x14ac:dyDescent="0.3">
      <c r="A462" s="68">
        <v>44132</v>
      </c>
      <c r="B462" s="32">
        <v>320.00054899999998</v>
      </c>
      <c r="C462" s="32">
        <v>22.772734</v>
      </c>
      <c r="D462" s="32">
        <v>38.715770999999997</v>
      </c>
    </row>
    <row r="463" spans="1:4" x14ac:dyDescent="0.3">
      <c r="A463" s="68">
        <v>44133</v>
      </c>
      <c r="B463" s="32">
        <v>323.25286899999998</v>
      </c>
      <c r="C463" s="32">
        <v>22.840655999999999</v>
      </c>
      <c r="D463" s="32">
        <v>39.214663999999999</v>
      </c>
    </row>
    <row r="464" spans="1:4" x14ac:dyDescent="0.3">
      <c r="A464" s="68">
        <v>44134</v>
      </c>
      <c r="B464" s="32">
        <v>319.88299599999999</v>
      </c>
      <c r="C464" s="32">
        <v>22.995901</v>
      </c>
      <c r="D464" s="32">
        <v>39.471961999999998</v>
      </c>
    </row>
    <row r="465" spans="1:4" x14ac:dyDescent="0.3">
      <c r="A465" s="68">
        <v>44137</v>
      </c>
      <c r="B465" s="32">
        <v>323.46838400000001</v>
      </c>
      <c r="C465" s="32">
        <v>23.364611</v>
      </c>
      <c r="D465" s="32">
        <v>40.224812</v>
      </c>
    </row>
    <row r="466" spans="1:4" x14ac:dyDescent="0.3">
      <c r="A466" s="68">
        <v>44138</v>
      </c>
      <c r="B466" s="32">
        <v>329.17950400000001</v>
      </c>
      <c r="C466" s="32">
        <v>23.956488</v>
      </c>
      <c r="D466" s="32">
        <v>41.482726999999997</v>
      </c>
    </row>
    <row r="467" spans="1:4" x14ac:dyDescent="0.3">
      <c r="A467" s="68">
        <v>44139</v>
      </c>
      <c r="B467" s="32">
        <v>336.53643799999998</v>
      </c>
      <c r="C467" s="32">
        <v>22.976496000000001</v>
      </c>
      <c r="D467" s="32">
        <v>40.100924999999997</v>
      </c>
    </row>
    <row r="468" spans="1:4" x14ac:dyDescent="0.3">
      <c r="A468" s="68">
        <v>44140</v>
      </c>
      <c r="B468" s="32">
        <v>343.09982300000001</v>
      </c>
      <c r="C468" s="32">
        <v>23.878868000000001</v>
      </c>
      <c r="D468" s="32">
        <v>41.044364999999999</v>
      </c>
    </row>
    <row r="469" spans="1:4" x14ac:dyDescent="0.3">
      <c r="A469" s="68">
        <v>44141</v>
      </c>
      <c r="B469" s="32">
        <v>343.02142300000003</v>
      </c>
      <c r="C469" s="32">
        <v>23.587778</v>
      </c>
      <c r="D469" s="32">
        <v>40.70129</v>
      </c>
    </row>
    <row r="470" spans="1:4" x14ac:dyDescent="0.3">
      <c r="A470" s="68">
        <v>44144</v>
      </c>
      <c r="B470" s="32">
        <v>347.33175699999998</v>
      </c>
      <c r="C470" s="32">
        <v>26.935282000000001</v>
      </c>
      <c r="D470" s="32">
        <v>45.399433000000002</v>
      </c>
    </row>
    <row r="471" spans="1:4" x14ac:dyDescent="0.3">
      <c r="A471" s="68">
        <v>44145</v>
      </c>
      <c r="B471" s="32">
        <v>346.82235700000001</v>
      </c>
      <c r="C471" s="32">
        <v>26.838255</v>
      </c>
      <c r="D471" s="32">
        <v>45.408965999999999</v>
      </c>
    </row>
    <row r="472" spans="1:4" x14ac:dyDescent="0.3">
      <c r="A472" s="68">
        <v>44146</v>
      </c>
      <c r="B472" s="32">
        <v>349.39874300000002</v>
      </c>
      <c r="C472" s="32">
        <v>26.527760000000001</v>
      </c>
      <c r="D472" s="32">
        <v>46.628760999999997</v>
      </c>
    </row>
    <row r="473" spans="1:4" x14ac:dyDescent="0.3">
      <c r="A473" s="68">
        <v>44147</v>
      </c>
      <c r="B473" s="32">
        <v>346.009277</v>
      </c>
      <c r="C473" s="32">
        <v>25.897072000000001</v>
      </c>
      <c r="D473" s="32">
        <v>46.009326999999999</v>
      </c>
    </row>
    <row r="474" spans="1:4" x14ac:dyDescent="0.3">
      <c r="A474" s="68">
        <v>44148</v>
      </c>
      <c r="B474" s="32">
        <v>350.79959100000002</v>
      </c>
      <c r="C474" s="32">
        <v>26.197861</v>
      </c>
      <c r="D474" s="32">
        <v>46.371459999999999</v>
      </c>
    </row>
    <row r="475" spans="1:4" x14ac:dyDescent="0.3">
      <c r="A475" s="68">
        <v>44151</v>
      </c>
      <c r="B475" s="32">
        <v>355.17849699999999</v>
      </c>
      <c r="C475" s="32">
        <v>26.760629999999999</v>
      </c>
      <c r="D475" s="32">
        <v>48.029620999999999</v>
      </c>
    </row>
    <row r="476" spans="1:4" x14ac:dyDescent="0.3">
      <c r="A476" s="68">
        <v>44152</v>
      </c>
      <c r="B476" s="32">
        <v>353.26821899999999</v>
      </c>
      <c r="C476" s="32">
        <v>26.731521999999998</v>
      </c>
      <c r="D476" s="32">
        <v>48.344104999999999</v>
      </c>
    </row>
    <row r="477" spans="1:4" x14ac:dyDescent="0.3">
      <c r="A477" s="68">
        <v>44153</v>
      </c>
      <c r="B477" s="32">
        <v>349.01672400000001</v>
      </c>
      <c r="C477" s="32">
        <v>26.178457000000002</v>
      </c>
      <c r="D477" s="32">
        <v>48.649054999999997</v>
      </c>
    </row>
    <row r="478" spans="1:4" x14ac:dyDescent="0.3">
      <c r="A478" s="68">
        <v>44154</v>
      </c>
      <c r="B478" s="32">
        <v>350.48614500000002</v>
      </c>
      <c r="C478" s="32">
        <v>26.178457000000002</v>
      </c>
      <c r="D478" s="32">
        <v>49.687793999999997</v>
      </c>
    </row>
    <row r="479" spans="1:4" x14ac:dyDescent="0.3">
      <c r="A479" s="68">
        <v>44155</v>
      </c>
      <c r="B479" s="32">
        <v>348.08605999999997</v>
      </c>
      <c r="C479" s="32">
        <v>26.013506</v>
      </c>
      <c r="D479" s="32">
        <v>49.220840000000003</v>
      </c>
    </row>
    <row r="480" spans="1:4" x14ac:dyDescent="0.3">
      <c r="A480" s="68">
        <v>44158</v>
      </c>
      <c r="B480" s="32">
        <v>350.17266799999999</v>
      </c>
      <c r="C480" s="32">
        <v>26.576274999999999</v>
      </c>
      <c r="D480" s="32">
        <v>50.793232000000003</v>
      </c>
    </row>
    <row r="481" spans="1:4" x14ac:dyDescent="0.3">
      <c r="A481" s="68">
        <v>44159</v>
      </c>
      <c r="B481" s="32">
        <v>355.81521600000002</v>
      </c>
      <c r="C481" s="32">
        <v>28.119036000000001</v>
      </c>
      <c r="D481" s="32">
        <v>54.376392000000003</v>
      </c>
    </row>
    <row r="482" spans="1:4" x14ac:dyDescent="0.3">
      <c r="A482" s="68">
        <v>44160</v>
      </c>
      <c r="B482" s="32">
        <v>355.26663200000002</v>
      </c>
      <c r="C482" s="32">
        <v>28.167551</v>
      </c>
      <c r="D482" s="32">
        <v>54.376392000000003</v>
      </c>
    </row>
    <row r="483" spans="1:4" x14ac:dyDescent="0.3">
      <c r="A483" s="68">
        <v>44162</v>
      </c>
      <c r="B483" s="32">
        <v>356.25604199999998</v>
      </c>
      <c r="C483" s="32">
        <v>28.128740000000001</v>
      </c>
      <c r="D483" s="32">
        <v>54.004730000000002</v>
      </c>
    </row>
    <row r="484" spans="1:4" x14ac:dyDescent="0.3">
      <c r="A484" s="68">
        <v>44165</v>
      </c>
      <c r="B484" s="32">
        <v>354.67889400000001</v>
      </c>
      <c r="C484" s="32">
        <v>27.323398999999998</v>
      </c>
      <c r="D484" s="32">
        <v>52.479987999999999</v>
      </c>
    </row>
    <row r="485" spans="1:4" x14ac:dyDescent="0.3">
      <c r="A485" s="68">
        <v>44166</v>
      </c>
      <c r="B485" s="32">
        <v>358.55810500000001</v>
      </c>
      <c r="C485" s="32">
        <v>27.837654000000001</v>
      </c>
      <c r="D485" s="32">
        <v>52.861172000000003</v>
      </c>
    </row>
    <row r="486" spans="1:4" x14ac:dyDescent="0.3">
      <c r="A486" s="68">
        <v>44167</v>
      </c>
      <c r="B486" s="32">
        <v>359.31246900000002</v>
      </c>
      <c r="C486" s="32">
        <v>28.196659</v>
      </c>
      <c r="D486" s="32">
        <v>54.509815000000003</v>
      </c>
    </row>
    <row r="487" spans="1:4" x14ac:dyDescent="0.3">
      <c r="A487" s="68">
        <v>44168</v>
      </c>
      <c r="B487" s="32">
        <v>359.21447799999999</v>
      </c>
      <c r="C487" s="32">
        <v>28.225947999999999</v>
      </c>
      <c r="D487" s="32">
        <v>53.918976000000001</v>
      </c>
    </row>
    <row r="488" spans="1:4" x14ac:dyDescent="0.3">
      <c r="A488" s="68">
        <v>44169</v>
      </c>
      <c r="B488" s="32">
        <v>362.31005900000002</v>
      </c>
      <c r="C488" s="32">
        <v>28.596959999999999</v>
      </c>
      <c r="D488" s="32">
        <v>55.863022000000001</v>
      </c>
    </row>
    <row r="489" spans="1:4" x14ac:dyDescent="0.3">
      <c r="A489" s="68">
        <v>44172</v>
      </c>
      <c r="B489" s="32">
        <v>361.56558200000001</v>
      </c>
      <c r="C489" s="32">
        <v>28.401689999999999</v>
      </c>
      <c r="D489" s="32">
        <v>55.396071999999997</v>
      </c>
    </row>
    <row r="490" spans="1:4" x14ac:dyDescent="0.3">
      <c r="A490" s="68">
        <v>44173</v>
      </c>
      <c r="B490" s="32">
        <v>362.623535</v>
      </c>
      <c r="C490" s="32">
        <v>28.245477999999999</v>
      </c>
      <c r="D490" s="32">
        <v>55.615253000000003</v>
      </c>
    </row>
    <row r="491" spans="1:4" x14ac:dyDescent="0.3">
      <c r="A491" s="68">
        <v>44174</v>
      </c>
      <c r="B491" s="32">
        <v>359.371216</v>
      </c>
      <c r="C491" s="32">
        <v>28.118551</v>
      </c>
      <c r="D491" s="32">
        <v>56.177504999999996</v>
      </c>
    </row>
    <row r="492" spans="1:4" x14ac:dyDescent="0.3">
      <c r="A492" s="68">
        <v>44175</v>
      </c>
      <c r="B492" s="32">
        <v>359.25363199999998</v>
      </c>
      <c r="C492" s="32">
        <v>28.421219000000001</v>
      </c>
      <c r="D492" s="32">
        <v>57.654606000000001</v>
      </c>
    </row>
    <row r="493" spans="1:4" x14ac:dyDescent="0.3">
      <c r="A493" s="68">
        <v>44176</v>
      </c>
      <c r="B493" s="32">
        <v>358.83242799999999</v>
      </c>
      <c r="C493" s="32">
        <v>27.893992999999998</v>
      </c>
      <c r="D493" s="32">
        <v>56.158447000000002</v>
      </c>
    </row>
    <row r="494" spans="1:4" x14ac:dyDescent="0.3">
      <c r="A494" s="68">
        <v>44179</v>
      </c>
      <c r="B494" s="32">
        <v>357.22586100000001</v>
      </c>
      <c r="C494" s="32">
        <v>27.552277</v>
      </c>
      <c r="D494" s="32">
        <v>55.977386000000003</v>
      </c>
    </row>
    <row r="495" spans="1:4" x14ac:dyDescent="0.3">
      <c r="A495" s="68">
        <v>44180</v>
      </c>
      <c r="B495" s="32">
        <v>362.05535900000001</v>
      </c>
      <c r="C495" s="32">
        <v>27.962337000000002</v>
      </c>
      <c r="D495" s="32">
        <v>56.863639999999997</v>
      </c>
    </row>
    <row r="496" spans="1:4" x14ac:dyDescent="0.3">
      <c r="A496" s="68">
        <v>44181</v>
      </c>
      <c r="B496" s="32">
        <v>362.623535</v>
      </c>
      <c r="C496" s="32">
        <v>28.040444999999998</v>
      </c>
      <c r="D496" s="32">
        <v>56.939888000000003</v>
      </c>
    </row>
    <row r="497" spans="1:4" x14ac:dyDescent="0.3">
      <c r="A497" s="68">
        <v>44182</v>
      </c>
      <c r="B497" s="32">
        <v>364.65133700000001</v>
      </c>
      <c r="C497" s="32">
        <v>28.147842000000001</v>
      </c>
      <c r="D497" s="32">
        <v>57.225769</v>
      </c>
    </row>
    <row r="498" spans="1:4" x14ac:dyDescent="0.3">
      <c r="A498" s="68">
        <v>44183</v>
      </c>
      <c r="B498" s="32">
        <v>363.19534299999998</v>
      </c>
      <c r="C498" s="32">
        <v>27.991629</v>
      </c>
      <c r="D498" s="32">
        <v>56.282333000000001</v>
      </c>
    </row>
    <row r="499" spans="1:4" x14ac:dyDescent="0.3">
      <c r="A499" s="68">
        <v>44186</v>
      </c>
      <c r="B499" s="32">
        <v>361.89672899999999</v>
      </c>
      <c r="C499" s="32">
        <v>29.03631</v>
      </c>
      <c r="D499" s="32">
        <v>58.350276999999998</v>
      </c>
    </row>
    <row r="500" spans="1:4" x14ac:dyDescent="0.3">
      <c r="A500" s="68">
        <v>44187</v>
      </c>
      <c r="B500" s="32">
        <v>361.28677399999998</v>
      </c>
      <c r="C500" s="32">
        <v>28.51885</v>
      </c>
      <c r="D500" s="32">
        <v>56.472923000000002</v>
      </c>
    </row>
    <row r="501" spans="1:4" x14ac:dyDescent="0.3">
      <c r="A501" s="68">
        <v>44188</v>
      </c>
      <c r="B501" s="32">
        <v>361.61142000000001</v>
      </c>
      <c r="C501" s="32">
        <v>29.338974</v>
      </c>
      <c r="D501" s="32">
        <v>57.921439999999997</v>
      </c>
    </row>
    <row r="502" spans="1:4" x14ac:dyDescent="0.3">
      <c r="A502" s="68">
        <v>44189</v>
      </c>
      <c r="B502" s="32">
        <v>363.01825000000002</v>
      </c>
      <c r="C502" s="32">
        <v>29.251104000000002</v>
      </c>
      <c r="D502" s="32">
        <v>57.721313000000002</v>
      </c>
    </row>
    <row r="503" spans="1:4" x14ac:dyDescent="0.3">
      <c r="A503" s="68">
        <v>44193</v>
      </c>
      <c r="B503" s="32">
        <v>366.136841</v>
      </c>
      <c r="C503" s="32">
        <v>29.417083999999999</v>
      </c>
      <c r="D503" s="32">
        <v>58.254973999999997</v>
      </c>
    </row>
    <row r="504" spans="1:4" x14ac:dyDescent="0.3">
      <c r="A504" s="68">
        <v>44194</v>
      </c>
      <c r="B504" s="32">
        <v>365.438354</v>
      </c>
      <c r="C504" s="32">
        <v>29.299921000000001</v>
      </c>
      <c r="D504" s="32">
        <v>58.045326000000003</v>
      </c>
    </row>
    <row r="505" spans="1:4" x14ac:dyDescent="0.3">
      <c r="A505" s="68">
        <v>44195</v>
      </c>
      <c r="B505" s="32">
        <v>365.95974699999999</v>
      </c>
      <c r="C505" s="32">
        <v>29.270631999999999</v>
      </c>
      <c r="D505" s="32">
        <v>57.997677000000003</v>
      </c>
    </row>
    <row r="506" spans="1:4" x14ac:dyDescent="0.3">
      <c r="A506" s="68">
        <v>44196</v>
      </c>
      <c r="B506" s="32">
        <v>367.81915300000003</v>
      </c>
      <c r="C506" s="32">
        <v>29.592825000000001</v>
      </c>
      <c r="D506" s="32">
        <v>58.760055999999999</v>
      </c>
    </row>
    <row r="507" spans="1:4" x14ac:dyDescent="0.3">
      <c r="A507" s="68">
        <v>44200</v>
      </c>
      <c r="B507" s="32">
        <v>362.811646</v>
      </c>
      <c r="C507" s="32">
        <v>29.319448000000001</v>
      </c>
      <c r="D507" s="32">
        <v>57.311543</v>
      </c>
    </row>
    <row r="508" spans="1:4" x14ac:dyDescent="0.3">
      <c r="A508" s="68">
        <v>44201</v>
      </c>
      <c r="B508" s="32">
        <v>365.31045499999999</v>
      </c>
      <c r="C508" s="32">
        <v>29.54401</v>
      </c>
      <c r="D508" s="32">
        <v>58.798175999999998</v>
      </c>
    </row>
    <row r="509" spans="1:4" x14ac:dyDescent="0.3">
      <c r="A509" s="68">
        <v>44202</v>
      </c>
      <c r="B509" s="32">
        <v>367.49447600000002</v>
      </c>
      <c r="C509" s="32">
        <v>31.389288000000001</v>
      </c>
      <c r="D509" s="32">
        <v>62.18121</v>
      </c>
    </row>
    <row r="510" spans="1:4" x14ac:dyDescent="0.3">
      <c r="A510" s="68">
        <v>44203</v>
      </c>
      <c r="B510" s="32">
        <v>372.95452899999998</v>
      </c>
      <c r="C510" s="32">
        <v>32.082489000000002</v>
      </c>
      <c r="D510" s="32">
        <v>62.914997</v>
      </c>
    </row>
    <row r="511" spans="1:4" x14ac:dyDescent="0.3">
      <c r="A511" s="68">
        <v>44204</v>
      </c>
      <c r="B511" s="32">
        <v>375.079498</v>
      </c>
      <c r="C511" s="32">
        <v>31.760296</v>
      </c>
      <c r="D511" s="32">
        <v>62.295569999999998</v>
      </c>
    </row>
    <row r="512" spans="1:4" x14ac:dyDescent="0.3">
      <c r="A512" s="68">
        <v>44207</v>
      </c>
      <c r="B512" s="32">
        <v>372.55117799999999</v>
      </c>
      <c r="C512" s="32">
        <v>32.287520999999998</v>
      </c>
      <c r="D512" s="32">
        <v>63.315246999999999</v>
      </c>
    </row>
    <row r="513" spans="1:4" x14ac:dyDescent="0.3">
      <c r="A513" s="68">
        <v>44208</v>
      </c>
      <c r="B513" s="32">
        <v>372.62988300000001</v>
      </c>
      <c r="C513" s="32">
        <v>32.86356</v>
      </c>
      <c r="D513" s="32">
        <v>63.534416</v>
      </c>
    </row>
    <row r="514" spans="1:4" x14ac:dyDescent="0.3">
      <c r="A514" s="68">
        <v>44209</v>
      </c>
      <c r="B514" s="32">
        <v>373.633331</v>
      </c>
      <c r="C514" s="32">
        <v>32.668289000000001</v>
      </c>
      <c r="D514" s="32">
        <v>63.715488000000001</v>
      </c>
    </row>
    <row r="515" spans="1:4" x14ac:dyDescent="0.3">
      <c r="A515" s="68">
        <v>44210</v>
      </c>
      <c r="B515" s="32">
        <v>372.32488999999998</v>
      </c>
      <c r="C515" s="32">
        <v>33.185749000000001</v>
      </c>
      <c r="D515" s="32">
        <v>65.764374000000004</v>
      </c>
    </row>
    <row r="516" spans="1:4" x14ac:dyDescent="0.3">
      <c r="A516" s="68">
        <v>44211</v>
      </c>
      <c r="B516" s="32">
        <v>369.60964999999999</v>
      </c>
      <c r="C516" s="32">
        <v>32.228935</v>
      </c>
      <c r="D516" s="32">
        <v>61.209183000000003</v>
      </c>
    </row>
    <row r="517" spans="1:4" x14ac:dyDescent="0.3">
      <c r="A517" s="68">
        <v>44215</v>
      </c>
      <c r="B517" s="32">
        <v>372.51181000000003</v>
      </c>
      <c r="C517" s="32">
        <v>31.994617000000002</v>
      </c>
      <c r="D517" s="32">
        <v>60.694575999999998</v>
      </c>
    </row>
    <row r="518" spans="1:4" x14ac:dyDescent="0.3">
      <c r="A518" s="68">
        <v>44216</v>
      </c>
      <c r="B518" s="32">
        <v>377.66687000000002</v>
      </c>
      <c r="C518" s="32">
        <v>31.574791000000001</v>
      </c>
      <c r="D518" s="32">
        <v>60.275272000000001</v>
      </c>
    </row>
    <row r="519" spans="1:4" x14ac:dyDescent="0.3">
      <c r="A519" s="68">
        <v>44217</v>
      </c>
      <c r="B519" s="32">
        <v>378.011169</v>
      </c>
      <c r="C519" s="32">
        <v>31.018280000000001</v>
      </c>
      <c r="D519" s="32">
        <v>58.960175</v>
      </c>
    </row>
    <row r="520" spans="1:4" x14ac:dyDescent="0.3">
      <c r="A520" s="68">
        <v>44218</v>
      </c>
      <c r="B520" s="32">
        <v>376.673248</v>
      </c>
      <c r="C520" s="32">
        <v>30.803484000000001</v>
      </c>
      <c r="D520" s="32">
        <v>58.445576000000003</v>
      </c>
    </row>
    <row r="521" spans="1:4" x14ac:dyDescent="0.3">
      <c r="A521" s="68">
        <v>44221</v>
      </c>
      <c r="B521" s="32">
        <v>378.15878300000003</v>
      </c>
      <c r="C521" s="32">
        <v>30.422712000000001</v>
      </c>
      <c r="D521" s="32">
        <v>57.711784000000002</v>
      </c>
    </row>
    <row r="522" spans="1:4" x14ac:dyDescent="0.3">
      <c r="A522" s="68">
        <v>44222</v>
      </c>
      <c r="B522" s="32">
        <v>377.56848100000002</v>
      </c>
      <c r="C522" s="32">
        <v>30.207917999999999</v>
      </c>
      <c r="D522" s="32">
        <v>58.045326000000003</v>
      </c>
    </row>
    <row r="523" spans="1:4" x14ac:dyDescent="0.3">
      <c r="A523" s="68">
        <v>44223</v>
      </c>
      <c r="B523" s="32">
        <v>368.34054600000002</v>
      </c>
      <c r="C523" s="32">
        <v>29.124182000000001</v>
      </c>
      <c r="D523" s="32">
        <v>56.606341999999998</v>
      </c>
    </row>
    <row r="524" spans="1:4" x14ac:dyDescent="0.3">
      <c r="A524" s="68">
        <v>44224</v>
      </c>
      <c r="B524" s="32">
        <v>371.50836199999998</v>
      </c>
      <c r="C524" s="32">
        <v>29.602588999999998</v>
      </c>
      <c r="D524" s="32">
        <v>57.502128999999996</v>
      </c>
    </row>
    <row r="525" spans="1:4" x14ac:dyDescent="0.3">
      <c r="A525" s="68">
        <v>44225</v>
      </c>
      <c r="B525" s="32">
        <v>364.07092299999999</v>
      </c>
      <c r="C525" s="32">
        <v>28.948439</v>
      </c>
      <c r="D525" s="32">
        <v>55.733727000000002</v>
      </c>
    </row>
    <row r="526" spans="1:4" x14ac:dyDescent="0.3">
      <c r="A526" s="68">
        <v>44228</v>
      </c>
      <c r="B526" s="32">
        <v>370.131012</v>
      </c>
      <c r="C526" s="32">
        <v>29.251104000000002</v>
      </c>
      <c r="D526" s="32">
        <v>56.156604999999999</v>
      </c>
    </row>
    <row r="527" spans="1:4" x14ac:dyDescent="0.3">
      <c r="A527" s="68">
        <v>44229</v>
      </c>
      <c r="B527" s="32">
        <v>375.36480699999998</v>
      </c>
      <c r="C527" s="32">
        <v>30.295788000000002</v>
      </c>
      <c r="D527" s="32">
        <v>57.261859999999999</v>
      </c>
    </row>
    <row r="528" spans="1:4" x14ac:dyDescent="0.3">
      <c r="A528" s="68">
        <v>44230</v>
      </c>
      <c r="B528" s="32">
        <v>375.659943</v>
      </c>
      <c r="C528" s="32">
        <v>30.832775000000002</v>
      </c>
      <c r="D528" s="32">
        <v>58.722717000000003</v>
      </c>
    </row>
    <row r="529" spans="1:4" x14ac:dyDescent="0.3">
      <c r="A529" s="68">
        <v>44231</v>
      </c>
      <c r="B529" s="32">
        <v>379.929596</v>
      </c>
      <c r="C529" s="32">
        <v>31.731007000000002</v>
      </c>
      <c r="D529" s="32">
        <v>59.981754000000002</v>
      </c>
    </row>
    <row r="530" spans="1:4" x14ac:dyDescent="0.3">
      <c r="A530" s="68">
        <v>44232</v>
      </c>
      <c r="B530" s="32">
        <v>381.42492700000003</v>
      </c>
      <c r="C530" s="32">
        <v>31.604081999999998</v>
      </c>
      <c r="D530" s="32">
        <v>60.145138000000003</v>
      </c>
    </row>
    <row r="531" spans="1:4" x14ac:dyDescent="0.3">
      <c r="A531" s="68">
        <v>44235</v>
      </c>
      <c r="B531" s="32">
        <v>384.17956500000003</v>
      </c>
      <c r="C531" s="32">
        <v>32.307040999999998</v>
      </c>
      <c r="D531" s="32">
        <v>61.173499999999997</v>
      </c>
    </row>
    <row r="532" spans="1:4" x14ac:dyDescent="0.3">
      <c r="A532" s="68">
        <v>44236</v>
      </c>
      <c r="B532" s="32">
        <v>383.923767</v>
      </c>
      <c r="C532" s="32">
        <v>32.170361</v>
      </c>
      <c r="D532" s="32">
        <v>60.664127000000001</v>
      </c>
    </row>
    <row r="533" spans="1:4" x14ac:dyDescent="0.3">
      <c r="A533" s="68">
        <v>44237</v>
      </c>
      <c r="B533" s="32">
        <v>383.75650000000002</v>
      </c>
      <c r="C533" s="32">
        <v>32.199649999999998</v>
      </c>
      <c r="D533" s="32">
        <v>61.144669</v>
      </c>
    </row>
    <row r="534" spans="1:4" x14ac:dyDescent="0.3">
      <c r="A534" s="68">
        <v>44238</v>
      </c>
      <c r="B534" s="32">
        <v>384.376282</v>
      </c>
      <c r="C534" s="32">
        <v>32.102015999999999</v>
      </c>
      <c r="D534" s="32">
        <v>60.741013000000002</v>
      </c>
    </row>
    <row r="535" spans="1:4" x14ac:dyDescent="0.3">
      <c r="A535" s="68">
        <v>44239</v>
      </c>
      <c r="B535" s="32">
        <v>386.27502399999997</v>
      </c>
      <c r="C535" s="32">
        <v>32.580418000000002</v>
      </c>
      <c r="D535" s="32">
        <v>61.154282000000002</v>
      </c>
    </row>
    <row r="536" spans="1:4" x14ac:dyDescent="0.3">
      <c r="A536" s="68">
        <v>44243</v>
      </c>
      <c r="B536" s="32">
        <v>385.94049100000001</v>
      </c>
      <c r="C536" s="32">
        <v>33.459122000000001</v>
      </c>
      <c r="D536" s="32">
        <v>61.625216999999999</v>
      </c>
    </row>
    <row r="537" spans="1:4" x14ac:dyDescent="0.3">
      <c r="A537" s="68">
        <v>44244</v>
      </c>
      <c r="B537" s="32">
        <v>386.02908300000001</v>
      </c>
      <c r="C537" s="32">
        <v>33.595813999999997</v>
      </c>
      <c r="D537" s="32">
        <v>62.240321999999999</v>
      </c>
    </row>
    <row r="538" spans="1:4" x14ac:dyDescent="0.3">
      <c r="A538" s="68">
        <v>44245</v>
      </c>
      <c r="B538" s="32">
        <v>384.38613900000001</v>
      </c>
      <c r="C538" s="32">
        <v>33.381016000000002</v>
      </c>
      <c r="D538" s="32">
        <v>61.010117000000001</v>
      </c>
    </row>
    <row r="539" spans="1:4" x14ac:dyDescent="0.3">
      <c r="A539" s="68">
        <v>44246</v>
      </c>
      <c r="B539" s="32">
        <v>383.70730600000002</v>
      </c>
      <c r="C539" s="32">
        <v>33.722735999999998</v>
      </c>
      <c r="D539" s="32">
        <v>63.220627</v>
      </c>
    </row>
    <row r="540" spans="1:4" x14ac:dyDescent="0.3">
      <c r="A540" s="68">
        <v>44249</v>
      </c>
      <c r="B540" s="32">
        <v>380.75595099999998</v>
      </c>
      <c r="C540" s="32">
        <v>34.318309999999997</v>
      </c>
      <c r="D540" s="32">
        <v>62.970745000000001</v>
      </c>
    </row>
    <row r="541" spans="1:4" x14ac:dyDescent="0.3">
      <c r="A541" s="68">
        <v>44250</v>
      </c>
      <c r="B541" s="32">
        <v>381.21835299999998</v>
      </c>
      <c r="C541" s="32">
        <v>34.679546000000002</v>
      </c>
      <c r="D541" s="32">
        <v>64.143280000000004</v>
      </c>
    </row>
    <row r="542" spans="1:4" x14ac:dyDescent="0.3">
      <c r="A542" s="68">
        <v>44251</v>
      </c>
      <c r="B542" s="32">
        <v>385.419128</v>
      </c>
      <c r="C542" s="32">
        <v>35.519199</v>
      </c>
      <c r="D542" s="32">
        <v>65.930901000000006</v>
      </c>
    </row>
    <row r="543" spans="1:4" x14ac:dyDescent="0.3">
      <c r="A543" s="68">
        <v>44252</v>
      </c>
      <c r="B543" s="32">
        <v>376.13211100000001</v>
      </c>
      <c r="C543" s="32">
        <v>35.079849000000003</v>
      </c>
      <c r="D543" s="32">
        <v>64.787216000000001</v>
      </c>
    </row>
    <row r="544" spans="1:4" x14ac:dyDescent="0.3">
      <c r="A544" s="68">
        <v>44253</v>
      </c>
      <c r="B544" s="32">
        <v>374.19409200000001</v>
      </c>
      <c r="C544" s="32">
        <v>33.888714</v>
      </c>
      <c r="D544" s="32">
        <v>63.316733999999997</v>
      </c>
    </row>
    <row r="545" spans="1:4" x14ac:dyDescent="0.3">
      <c r="A545" s="68">
        <v>44256</v>
      </c>
      <c r="B545" s="32">
        <v>383.26458700000001</v>
      </c>
      <c r="C545" s="32">
        <v>34.943156999999999</v>
      </c>
      <c r="D545" s="32">
        <v>66.834334999999996</v>
      </c>
    </row>
    <row r="546" spans="1:4" x14ac:dyDescent="0.3">
      <c r="A546" s="68">
        <v>44257</v>
      </c>
      <c r="B546" s="32">
        <v>380.27392600000002</v>
      </c>
      <c r="C546" s="32">
        <v>34.689312000000001</v>
      </c>
      <c r="D546" s="32">
        <v>66.228851000000006</v>
      </c>
    </row>
    <row r="547" spans="1:4" x14ac:dyDescent="0.3">
      <c r="A547" s="68">
        <v>44258</v>
      </c>
      <c r="B547" s="32">
        <v>375.23687699999999</v>
      </c>
      <c r="C547" s="32">
        <v>35.558250000000001</v>
      </c>
      <c r="D547" s="32">
        <v>67.641655</v>
      </c>
    </row>
    <row r="548" spans="1:4" x14ac:dyDescent="0.3">
      <c r="A548" s="68">
        <v>44259</v>
      </c>
      <c r="B548" s="32">
        <v>370.593414</v>
      </c>
      <c r="C548" s="32">
        <v>35.813361999999998</v>
      </c>
      <c r="D548" s="32">
        <v>67.093826000000007</v>
      </c>
    </row>
    <row r="549" spans="1:4" x14ac:dyDescent="0.3">
      <c r="A549" s="68">
        <v>44260</v>
      </c>
      <c r="B549" s="32">
        <v>377.41107199999999</v>
      </c>
      <c r="C549" s="32">
        <v>36.235270999999997</v>
      </c>
      <c r="D549" s="32">
        <v>67.497489999999999</v>
      </c>
    </row>
    <row r="550" spans="1:4" x14ac:dyDescent="0.3">
      <c r="A550" s="68">
        <v>44263</v>
      </c>
      <c r="B550" s="32">
        <v>375.53204299999999</v>
      </c>
      <c r="C550" s="32">
        <v>36.431514999999997</v>
      </c>
      <c r="D550" s="32">
        <v>69.410065000000003</v>
      </c>
    </row>
    <row r="551" spans="1:4" x14ac:dyDescent="0.3">
      <c r="A551" s="68">
        <v>44264</v>
      </c>
      <c r="B551" s="32">
        <v>380.89370700000001</v>
      </c>
      <c r="C551" s="32">
        <v>35.636744999999998</v>
      </c>
      <c r="D551" s="32">
        <v>68.227913000000001</v>
      </c>
    </row>
    <row r="552" spans="1:4" x14ac:dyDescent="0.3">
      <c r="A552" s="68">
        <v>44265</v>
      </c>
      <c r="B552" s="32">
        <v>383.26458700000001</v>
      </c>
      <c r="C552" s="32">
        <v>36.666995999999997</v>
      </c>
      <c r="D552" s="32">
        <v>70.880538999999999</v>
      </c>
    </row>
    <row r="553" spans="1:4" x14ac:dyDescent="0.3">
      <c r="A553" s="68">
        <v>44266</v>
      </c>
      <c r="B553" s="32">
        <v>387.15063500000002</v>
      </c>
      <c r="C553" s="32">
        <v>36.539444000000003</v>
      </c>
      <c r="D553" s="32">
        <v>70.457656999999998</v>
      </c>
    </row>
    <row r="554" spans="1:4" x14ac:dyDescent="0.3">
      <c r="A554" s="68">
        <v>44267</v>
      </c>
      <c r="B554" s="32">
        <v>387.67202800000001</v>
      </c>
      <c r="C554" s="32">
        <v>37.226269000000002</v>
      </c>
      <c r="D554" s="32">
        <v>72.254897999999997</v>
      </c>
    </row>
    <row r="555" spans="1:4" x14ac:dyDescent="0.3">
      <c r="A555" s="68">
        <v>44270</v>
      </c>
      <c r="B555" s="32">
        <v>389.98388699999998</v>
      </c>
      <c r="C555" s="32">
        <v>37.039847999999999</v>
      </c>
      <c r="D555" s="32">
        <v>71.332252999999994</v>
      </c>
    </row>
    <row r="556" spans="1:4" x14ac:dyDescent="0.3">
      <c r="A556" s="68">
        <v>44271</v>
      </c>
      <c r="B556" s="32">
        <v>389.49200400000001</v>
      </c>
      <c r="C556" s="32">
        <v>36.931919000000001</v>
      </c>
      <c r="D556" s="32">
        <v>70.476883000000001</v>
      </c>
    </row>
    <row r="557" spans="1:4" x14ac:dyDescent="0.3">
      <c r="A557" s="68">
        <v>44272</v>
      </c>
      <c r="B557" s="32">
        <v>390.82015999999999</v>
      </c>
      <c r="C557" s="32">
        <v>37.236083999999998</v>
      </c>
      <c r="D557" s="32">
        <v>70.736373999999998</v>
      </c>
    </row>
    <row r="558" spans="1:4" x14ac:dyDescent="0.3">
      <c r="A558" s="68">
        <v>44273</v>
      </c>
      <c r="B558" s="32">
        <v>385.13385</v>
      </c>
      <c r="C558" s="32">
        <v>38.207462</v>
      </c>
      <c r="D558" s="32">
        <v>70.967026000000004</v>
      </c>
    </row>
    <row r="559" spans="1:4" x14ac:dyDescent="0.3">
      <c r="A559" s="68">
        <v>44274</v>
      </c>
      <c r="B559" s="32">
        <v>384.42123400000003</v>
      </c>
      <c r="C559" s="32">
        <v>37.805171999999999</v>
      </c>
      <c r="D559" s="32">
        <v>70.169326999999996</v>
      </c>
    </row>
    <row r="560" spans="1:4" x14ac:dyDescent="0.3">
      <c r="A560" s="68">
        <v>44277</v>
      </c>
      <c r="B560" s="32">
        <v>387.490814</v>
      </c>
      <c r="C560" s="32">
        <v>36.951537999999999</v>
      </c>
      <c r="D560" s="32">
        <v>69.160163999999995</v>
      </c>
    </row>
    <row r="561" spans="1:4" x14ac:dyDescent="0.3">
      <c r="A561" s="68">
        <v>44278</v>
      </c>
      <c r="B561" s="32">
        <v>384.44094799999999</v>
      </c>
      <c r="C561" s="32">
        <v>36.205840999999999</v>
      </c>
      <c r="D561" s="32">
        <v>68.151038999999997</v>
      </c>
    </row>
    <row r="562" spans="1:4" x14ac:dyDescent="0.3">
      <c r="A562" s="68">
        <v>44279</v>
      </c>
      <c r="B562" s="32">
        <v>382.48666400000002</v>
      </c>
      <c r="C562" s="32">
        <v>36.205840999999999</v>
      </c>
      <c r="D562" s="32">
        <v>67.353333000000006</v>
      </c>
    </row>
    <row r="563" spans="1:4" x14ac:dyDescent="0.3">
      <c r="A563" s="68">
        <v>44280</v>
      </c>
      <c r="B563" s="32">
        <v>384.63836700000002</v>
      </c>
      <c r="C563" s="32">
        <v>36.951537999999999</v>
      </c>
      <c r="D563" s="32">
        <v>68.929519999999997</v>
      </c>
    </row>
    <row r="564" spans="1:4" x14ac:dyDescent="0.3">
      <c r="A564" s="68">
        <v>44281</v>
      </c>
      <c r="B564" s="32">
        <v>390.836792</v>
      </c>
      <c r="C564" s="32">
        <v>37.952354</v>
      </c>
      <c r="D564" s="32">
        <v>70.178939999999997</v>
      </c>
    </row>
    <row r="565" spans="1:4" x14ac:dyDescent="0.3">
      <c r="A565" s="68">
        <v>44284</v>
      </c>
      <c r="B565" s="32">
        <v>390.63937399999998</v>
      </c>
      <c r="C565" s="32">
        <v>37.589314000000002</v>
      </c>
      <c r="D565" s="32">
        <v>68.794967999999997</v>
      </c>
    </row>
  </sheetData>
  <mergeCells count="2">
    <mergeCell ref="N3:P3"/>
    <mergeCell ref="S3:U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57F3451ECD1D94DB3EA0A067932DDB6" ma:contentTypeVersion="4" ma:contentTypeDescription="Create a new document." ma:contentTypeScope="" ma:versionID="4c0be03e7f57523b6ea141aef34a5220">
  <xsd:schema xmlns:xsd="http://www.w3.org/2001/XMLSchema" xmlns:xs="http://www.w3.org/2001/XMLSchema" xmlns:p="http://schemas.microsoft.com/office/2006/metadata/properties" xmlns:ns3="daa50648-ef40-42d2-b51f-37a543a1340c" targetNamespace="http://schemas.microsoft.com/office/2006/metadata/properties" ma:root="true" ma:fieldsID="a47cbb2feb151a356041946cafa3db4b" ns3:_="">
    <xsd:import namespace="daa50648-ef40-42d2-b51f-37a543a1340c"/>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aa50648-ef40-42d2-b51f-37a543a1340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5612528-F875-4678-BC3D-F3FC6BCBF33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aa50648-ef40-42d2-b51f-37a543a1340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C296091-DCAD-40B7-A969-6E08A71A5B3F}">
  <ds:schemaRefs>
    <ds:schemaRef ds:uri="http://schemas.openxmlformats.org/package/2006/metadata/core-properties"/>
    <ds:schemaRef ds:uri="http://purl.org/dc/dcmitype/"/>
    <ds:schemaRef ds:uri="http://purl.org/dc/elements/1.1/"/>
    <ds:schemaRef ds:uri="http://schemas.microsoft.com/office/2006/documentManagement/types"/>
    <ds:schemaRef ds:uri="http://schemas.microsoft.com/office/infopath/2007/PartnerControls"/>
    <ds:schemaRef ds:uri="daa50648-ef40-42d2-b51f-37a543a1340c"/>
    <ds:schemaRef ds:uri="http://schemas.microsoft.com/office/2006/metadata/properties"/>
    <ds:schemaRef ds:uri="http://www.w3.org/XML/1998/namespace"/>
    <ds:schemaRef ds:uri="http://purl.org/dc/terms/"/>
  </ds:schemaRefs>
</ds:datastoreItem>
</file>

<file path=customXml/itemProps3.xml><?xml version="1.0" encoding="utf-8"?>
<ds:datastoreItem xmlns:ds="http://schemas.openxmlformats.org/officeDocument/2006/customXml" ds:itemID="{28067ED0-0ABA-4A65-8FDF-531ACE5D078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BAC__Balance sheet </vt:lpstr>
      <vt:lpstr>BAC_Income_statement</vt:lpstr>
      <vt:lpstr>Ratio_valuation</vt:lpstr>
      <vt:lpstr>CITI_PE10 YEARS</vt:lpstr>
      <vt:lpstr>BAC_Cash_flow_statement</vt:lpstr>
      <vt:lpstr>VALUATION_OF BAC _ON_CF</vt:lpstr>
      <vt:lpstr>EV_to_mktcap</vt:lpstr>
      <vt:lpstr>CITI_blance sheet</vt:lpstr>
      <vt:lpstr>CITI_net_debt</vt:lpstr>
      <vt:lpstr>CITI_statement_of_income</vt:lpstr>
      <vt:lpstr>CITI_cash_flow</vt:lpstr>
      <vt:lpstr>CITI_Valuation_FCF</vt:lpstr>
      <vt:lpstr>task1_wacc_final</vt:lpstr>
      <vt:lpstr>task1_rf</vt:lpstr>
      <vt:lpstr>task1_erm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pooja singh</dc:creator>
  <cp:lastModifiedBy>pooja singh</cp:lastModifiedBy>
  <dcterms:created xsi:type="dcterms:W3CDTF">2022-05-04T02:44:02Z</dcterms:created>
  <dcterms:modified xsi:type="dcterms:W3CDTF">2022-05-09T04:36:23Z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0x010100457F3451ECD1D94DB3EA0A067932DDB6</vt:lpwstr>
  </property>
</Properties>
</file>